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Z:\Shared\PEARMUNDPIRE\Wine Production and Inventories\Inventories\"/>
    </mc:Choice>
  </mc:AlternateContent>
  <xr:revisionPtr revIDLastSave="0" documentId="13_ncr:1_{24890505-4610-4263-B7E6-B179FC05AD2C}" xr6:coauthVersionLast="47" xr6:coauthVersionMax="47" xr10:uidLastSave="{00000000-0000-0000-0000-000000000000}"/>
  <bookViews>
    <workbookView xWindow="-120" yWindow="-120" windowWidth="20730" windowHeight="11310" firstSheet="8" activeTab="14" xr2:uid="{00000000-000D-0000-FFFF-FFFF00000000}"/>
  </bookViews>
  <sheets>
    <sheet name="2009" sheetId="1" r:id="rId1"/>
    <sheet name="2010" sheetId="2" r:id="rId2"/>
    <sheet name="2011" sheetId="3" r:id="rId3"/>
    <sheet name="hp" sheetId="4" r:id="rId4"/>
    <sheet name="2013" sheetId="5" r:id="rId5"/>
    <sheet name="2014" sheetId="6" r:id="rId6"/>
    <sheet name="2015" sheetId="7" r:id="rId7"/>
    <sheet name="2015 Tasting Room and Bulk Wine" sheetId="8" r:id="rId8"/>
    <sheet name="2016" sheetId="9" r:id="rId9"/>
    <sheet name="2017" sheetId="10" r:id="rId10"/>
    <sheet name="2018" sheetId="11" r:id="rId11"/>
    <sheet name="2019" sheetId="12" r:id="rId12"/>
    <sheet name="2020" sheetId="13" r:id="rId13"/>
    <sheet name="2021" sheetId="14" r:id="rId14"/>
    <sheet name="2022" sheetId="15" r:id="rId15"/>
  </sheets>
  <definedNames>
    <definedName name="_xlnm.Print_Area" localSheetId="1">'2010'!$A$5:$Q$41</definedName>
    <definedName name="_xlnm.Print_Area" localSheetId="11">'2019'!$A$8:$T$73</definedName>
    <definedName name="_xlnm.Print_Area" localSheetId="14">'2022'!$A$1:$M$72</definedName>
  </definedNames>
  <calcPr calcId="191029"/>
  <fileRecoveryPr autoRecover="0"/>
</workbook>
</file>

<file path=xl/calcChain.xml><?xml version="1.0" encoding="utf-8"?>
<calcChain xmlns="http://schemas.openxmlformats.org/spreadsheetml/2006/main">
  <c r="M72" i="15" l="1"/>
  <c r="M71" i="15"/>
  <c r="M70" i="15"/>
  <c r="M69" i="15"/>
  <c r="M68" i="15"/>
  <c r="M67" i="15"/>
  <c r="M65" i="15"/>
  <c r="T78" i="15"/>
  <c r="S78" i="15"/>
  <c r="V78" i="15" s="1"/>
  <c r="T77" i="15"/>
  <c r="S77" i="15"/>
  <c r="V77" i="15" s="1"/>
  <c r="T76" i="15"/>
  <c r="S76" i="15"/>
  <c r="V76" i="15" s="1"/>
  <c r="T56" i="15"/>
  <c r="S56" i="15"/>
  <c r="V56" i="15" s="1"/>
  <c r="U56" i="15" s="1"/>
  <c r="T55" i="15"/>
  <c r="S55" i="15"/>
  <c r="V55" i="15" s="1"/>
  <c r="U55" i="15" s="1"/>
  <c r="T54" i="15"/>
  <c r="S54" i="15"/>
  <c r="V54" i="15" s="1"/>
  <c r="V14" i="15"/>
  <c r="L71" i="15"/>
  <c r="L70" i="15"/>
  <c r="L69" i="15"/>
  <c r="L68" i="15"/>
  <c r="L67" i="15"/>
  <c r="L65" i="15"/>
  <c r="T50" i="15"/>
  <c r="S50" i="15"/>
  <c r="V50" i="15" s="1"/>
  <c r="T53" i="15"/>
  <c r="S53" i="15"/>
  <c r="V53" i="15" s="1"/>
  <c r="T49" i="15"/>
  <c r="S49" i="15"/>
  <c r="V49" i="15" s="1"/>
  <c r="Q71" i="15"/>
  <c r="P71" i="15"/>
  <c r="O71" i="15"/>
  <c r="N71" i="15"/>
  <c r="K71" i="15"/>
  <c r="J71" i="15"/>
  <c r="I71" i="15"/>
  <c r="H71" i="15"/>
  <c r="G71" i="15"/>
  <c r="F71" i="15"/>
  <c r="E71" i="15"/>
  <c r="S64" i="15"/>
  <c r="V64" i="15" s="1"/>
  <c r="T63" i="15"/>
  <c r="S63" i="15"/>
  <c r="V63" i="15" s="1"/>
  <c r="T62" i="15"/>
  <c r="S62" i="15"/>
  <c r="V62" i="15" s="1"/>
  <c r="T61" i="15"/>
  <c r="S61" i="15"/>
  <c r="V61" i="15" s="1"/>
  <c r="T60" i="15"/>
  <c r="S60" i="15"/>
  <c r="V60" i="15" s="1"/>
  <c r="T59" i="15"/>
  <c r="S59" i="15"/>
  <c r="V59" i="15" s="1"/>
  <c r="T58" i="15"/>
  <c r="S58" i="15"/>
  <c r="V58" i="15" s="1"/>
  <c r="T57" i="15"/>
  <c r="S57" i="15"/>
  <c r="V57" i="15" s="1"/>
  <c r="T52" i="15"/>
  <c r="S52" i="15"/>
  <c r="V52" i="15" s="1"/>
  <c r="T51" i="15"/>
  <c r="S51" i="15"/>
  <c r="V51" i="15" s="1"/>
  <c r="T48" i="15"/>
  <c r="S48" i="15"/>
  <c r="V48" i="15" s="1"/>
  <c r="S47" i="15"/>
  <c r="V47" i="15" s="1"/>
  <c r="G70" i="15"/>
  <c r="G69" i="15"/>
  <c r="G68" i="15"/>
  <c r="G67" i="15"/>
  <c r="E68" i="15"/>
  <c r="D145" i="15"/>
  <c r="N144" i="15"/>
  <c r="O144" i="15" s="1"/>
  <c r="M143" i="15"/>
  <c r="N143" i="15" s="1"/>
  <c r="Q143" i="15" s="1"/>
  <c r="Q145" i="15" s="1"/>
  <c r="M142" i="15"/>
  <c r="N142" i="15" s="1"/>
  <c r="O142" i="15" s="1"/>
  <c r="M141" i="15"/>
  <c r="N141" i="15" s="1"/>
  <c r="P141" i="15" s="1"/>
  <c r="M140" i="15"/>
  <c r="N140" i="15" s="1"/>
  <c r="P140" i="15" s="1"/>
  <c r="M139" i="15"/>
  <c r="N139" i="15" s="1"/>
  <c r="P139" i="15" s="1"/>
  <c r="M138" i="15"/>
  <c r="Q134" i="15"/>
  <c r="P134" i="15"/>
  <c r="O134" i="15"/>
  <c r="N134" i="15"/>
  <c r="M134" i="15"/>
  <c r="L134" i="15"/>
  <c r="K134" i="15"/>
  <c r="J134" i="15"/>
  <c r="I134" i="15"/>
  <c r="H134" i="15"/>
  <c r="G134" i="15"/>
  <c r="E134" i="15"/>
  <c r="D134" i="15"/>
  <c r="R70" i="15"/>
  <c r="Q70" i="15"/>
  <c r="P70" i="15"/>
  <c r="O70" i="15"/>
  <c r="N70" i="15"/>
  <c r="K70" i="15"/>
  <c r="J70" i="15"/>
  <c r="I70" i="15"/>
  <c r="H70" i="15"/>
  <c r="E70" i="15"/>
  <c r="R69" i="15"/>
  <c r="Q69" i="15"/>
  <c r="P69" i="15"/>
  <c r="O69" i="15"/>
  <c r="N69" i="15"/>
  <c r="K69" i="15"/>
  <c r="J69" i="15"/>
  <c r="I69" i="15"/>
  <c r="H69" i="15"/>
  <c r="E69" i="15"/>
  <c r="R68" i="15"/>
  <c r="Q68" i="15"/>
  <c r="P68" i="15"/>
  <c r="O68" i="15"/>
  <c r="N68" i="15"/>
  <c r="K68" i="15"/>
  <c r="J68" i="15"/>
  <c r="I68" i="15"/>
  <c r="H68" i="15"/>
  <c r="R67" i="15"/>
  <c r="Q67" i="15"/>
  <c r="P67" i="15"/>
  <c r="O67" i="15"/>
  <c r="N67" i="15"/>
  <c r="K67" i="15"/>
  <c r="J67" i="15"/>
  <c r="I67" i="15"/>
  <c r="H67" i="15"/>
  <c r="E67" i="15"/>
  <c r="S66" i="15"/>
  <c r="V66" i="15" s="1"/>
  <c r="R65" i="15"/>
  <c r="Q65" i="15"/>
  <c r="P65" i="15"/>
  <c r="O65" i="15"/>
  <c r="N65" i="15"/>
  <c r="K65" i="15"/>
  <c r="J65" i="15"/>
  <c r="I65" i="15"/>
  <c r="H65" i="15"/>
  <c r="G65" i="15"/>
  <c r="E65" i="15"/>
  <c r="T46" i="15"/>
  <c r="S46" i="15"/>
  <c r="V46" i="15" s="1"/>
  <c r="T45" i="15"/>
  <c r="S45" i="15"/>
  <c r="V45" i="15" s="1"/>
  <c r="T44" i="15"/>
  <c r="S44" i="15"/>
  <c r="V44" i="15" s="1"/>
  <c r="T43" i="15"/>
  <c r="S43" i="15"/>
  <c r="V43" i="15" s="1"/>
  <c r="T42" i="15"/>
  <c r="S42" i="15"/>
  <c r="V42" i="15" s="1"/>
  <c r="T41" i="15"/>
  <c r="S41" i="15"/>
  <c r="V41" i="15" s="1"/>
  <c r="T40" i="15"/>
  <c r="S40" i="15"/>
  <c r="V40" i="15" s="1"/>
  <c r="T39" i="15"/>
  <c r="S39" i="15"/>
  <c r="V39" i="15" s="1"/>
  <c r="T38" i="15"/>
  <c r="S38" i="15"/>
  <c r="V38" i="15" s="1"/>
  <c r="T37" i="15"/>
  <c r="S37" i="15"/>
  <c r="V37" i="15" s="1"/>
  <c r="T36" i="15"/>
  <c r="S36" i="15"/>
  <c r="V36" i="15" s="1"/>
  <c r="T35" i="15"/>
  <c r="S35" i="15"/>
  <c r="V35" i="15" s="1"/>
  <c r="T33" i="15"/>
  <c r="S33" i="15"/>
  <c r="T32" i="15"/>
  <c r="S32" i="15"/>
  <c r="V32" i="15" s="1"/>
  <c r="T31" i="15"/>
  <c r="S31" i="15"/>
  <c r="V31" i="15" s="1"/>
  <c r="T30" i="15"/>
  <c r="S30" i="15"/>
  <c r="V30" i="15" s="1"/>
  <c r="T29" i="15"/>
  <c r="S29" i="15"/>
  <c r="V29" i="15" s="1"/>
  <c r="T28" i="15"/>
  <c r="S28" i="15"/>
  <c r="V28" i="15" s="1"/>
  <c r="T27" i="15"/>
  <c r="S27" i="15"/>
  <c r="V27" i="15" s="1"/>
  <c r="T26" i="15"/>
  <c r="S26" i="15"/>
  <c r="V26" i="15" s="1"/>
  <c r="T25" i="15"/>
  <c r="S25" i="15"/>
  <c r="V25" i="15" s="1"/>
  <c r="T24" i="15"/>
  <c r="S24" i="15"/>
  <c r="V24" i="15" s="1"/>
  <c r="T23" i="15"/>
  <c r="S23" i="15"/>
  <c r="V23" i="15" s="1"/>
  <c r="T22" i="15"/>
  <c r="S22" i="15"/>
  <c r="V22" i="15" s="1"/>
  <c r="T20" i="15"/>
  <c r="S20" i="15"/>
  <c r="V20" i="15" s="1"/>
  <c r="T19" i="15"/>
  <c r="S19" i="15"/>
  <c r="V19" i="15" s="1"/>
  <c r="T18" i="15"/>
  <c r="S18" i="15"/>
  <c r="V18" i="15" s="1"/>
  <c r="T17" i="15"/>
  <c r="S17" i="15"/>
  <c r="V17" i="15" s="1"/>
  <c r="T16" i="15"/>
  <c r="S16" i="15"/>
  <c r="V16" i="15" s="1"/>
  <c r="T15" i="15"/>
  <c r="S15" i="15"/>
  <c r="V15" i="15" s="1"/>
  <c r="T14" i="15"/>
  <c r="T13" i="15"/>
  <c r="S13" i="15"/>
  <c r="V13" i="15" s="1"/>
  <c r="T12" i="15"/>
  <c r="S12" i="15"/>
  <c r="V12" i="15" s="1"/>
  <c r="T11" i="15"/>
  <c r="S11" i="15"/>
  <c r="V11" i="15" s="1"/>
  <c r="T9" i="15"/>
  <c r="S9" i="15"/>
  <c r="V9" i="15" s="1"/>
  <c r="Q67" i="14"/>
  <c r="Q66" i="14"/>
  <c r="Q65" i="14"/>
  <c r="Q64" i="14"/>
  <c r="Q63" i="14"/>
  <c r="Q62" i="14"/>
  <c r="S56" i="14"/>
  <c r="R56" i="14"/>
  <c r="U56" i="14" s="1"/>
  <c r="R54" i="14"/>
  <c r="U54" i="14" s="1"/>
  <c r="S54" i="14"/>
  <c r="O67" i="14"/>
  <c r="O66" i="14"/>
  <c r="O65" i="14"/>
  <c r="O64" i="14"/>
  <c r="O63" i="14"/>
  <c r="O62" i="14"/>
  <c r="M67" i="14"/>
  <c r="M66" i="14"/>
  <c r="M65" i="14"/>
  <c r="M64" i="14"/>
  <c r="M63" i="14"/>
  <c r="M62" i="14"/>
  <c r="L67" i="14"/>
  <c r="L66" i="14"/>
  <c r="L65" i="14"/>
  <c r="L64" i="14"/>
  <c r="L62" i="14"/>
  <c r="K67" i="14"/>
  <c r="K66" i="14"/>
  <c r="K65" i="14"/>
  <c r="K64" i="14"/>
  <c r="K62" i="14"/>
  <c r="I66" i="14"/>
  <c r="I67" i="14"/>
  <c r="I65" i="14"/>
  <c r="I64" i="14"/>
  <c r="R41" i="14"/>
  <c r="U41" i="14" s="1"/>
  <c r="S41" i="14"/>
  <c r="R61" i="14"/>
  <c r="U61" i="14" s="1"/>
  <c r="F67" i="14"/>
  <c r="G67" i="14"/>
  <c r="H67" i="14"/>
  <c r="J67" i="14"/>
  <c r="N67" i="14"/>
  <c r="P67" i="14"/>
  <c r="E67" i="14"/>
  <c r="S60" i="14"/>
  <c r="R60" i="14"/>
  <c r="U60" i="14" s="1"/>
  <c r="S59" i="14"/>
  <c r="R59" i="14"/>
  <c r="U59" i="14" s="1"/>
  <c r="S58" i="14"/>
  <c r="R58" i="14"/>
  <c r="U58" i="14" s="1"/>
  <c r="S57" i="14"/>
  <c r="R57" i="14"/>
  <c r="U57" i="14" s="1"/>
  <c r="S55" i="14"/>
  <c r="R55" i="14"/>
  <c r="U55" i="14" s="1"/>
  <c r="S53" i="14"/>
  <c r="R53" i="14"/>
  <c r="U53" i="14" s="1"/>
  <c r="S52" i="14"/>
  <c r="R52" i="14"/>
  <c r="U52" i="14" s="1"/>
  <c r="S51" i="14"/>
  <c r="R51" i="14"/>
  <c r="U51" i="14" s="1"/>
  <c r="S50" i="14"/>
  <c r="R50" i="14"/>
  <c r="U50" i="14" s="1"/>
  <c r="S49" i="14"/>
  <c r="R49" i="14"/>
  <c r="U49" i="14" s="1"/>
  <c r="S48" i="14"/>
  <c r="R48" i="14"/>
  <c r="U48" i="14" s="1"/>
  <c r="E62" i="14"/>
  <c r="F62" i="14"/>
  <c r="G62" i="14"/>
  <c r="H62" i="14"/>
  <c r="I62" i="14"/>
  <c r="J62" i="14"/>
  <c r="N62" i="14"/>
  <c r="P62" i="14"/>
  <c r="E63" i="14"/>
  <c r="F63" i="14"/>
  <c r="G63" i="14"/>
  <c r="H63" i="14"/>
  <c r="I63" i="14"/>
  <c r="J63" i="14"/>
  <c r="K63" i="14"/>
  <c r="L63" i="14"/>
  <c r="N63" i="14"/>
  <c r="P63" i="14"/>
  <c r="E64" i="14"/>
  <c r="F64" i="14"/>
  <c r="G64" i="14"/>
  <c r="H64" i="14"/>
  <c r="J64" i="14"/>
  <c r="N64" i="14"/>
  <c r="P64" i="14"/>
  <c r="E65" i="14"/>
  <c r="F65" i="14"/>
  <c r="G65" i="14"/>
  <c r="H65" i="14"/>
  <c r="J65" i="14"/>
  <c r="N65" i="14"/>
  <c r="P65" i="14"/>
  <c r="E66" i="14"/>
  <c r="F66" i="14"/>
  <c r="G66" i="14"/>
  <c r="H66" i="14"/>
  <c r="J66" i="14"/>
  <c r="N66" i="14"/>
  <c r="P66" i="14"/>
  <c r="D147" i="14"/>
  <c r="M146" i="14"/>
  <c r="N146" i="14" s="1"/>
  <c r="L145" i="14"/>
  <c r="M145" i="14" s="1"/>
  <c r="P145" i="14" s="1"/>
  <c r="P147" i="14" s="1"/>
  <c r="L144" i="14"/>
  <c r="M144" i="14" s="1"/>
  <c r="N144" i="14" s="1"/>
  <c r="L143" i="14"/>
  <c r="M143" i="14" s="1"/>
  <c r="O143" i="14" s="1"/>
  <c r="L142" i="14"/>
  <c r="M142" i="14" s="1"/>
  <c r="O142" i="14" s="1"/>
  <c r="L141" i="14"/>
  <c r="M141" i="14" s="1"/>
  <c r="O141" i="14" s="1"/>
  <c r="L140" i="14"/>
  <c r="P136" i="14"/>
  <c r="O136" i="14"/>
  <c r="N136" i="14"/>
  <c r="M136" i="14"/>
  <c r="L136" i="14"/>
  <c r="K136" i="14"/>
  <c r="J136" i="14"/>
  <c r="I136" i="14"/>
  <c r="H136" i="14"/>
  <c r="G136" i="14"/>
  <c r="F136" i="14"/>
  <c r="E136" i="14"/>
  <c r="D136" i="14"/>
  <c r="S46" i="14"/>
  <c r="R46" i="14"/>
  <c r="U46" i="14" s="1"/>
  <c r="S45" i="14"/>
  <c r="R45" i="14"/>
  <c r="U45" i="14" s="1"/>
  <c r="S44" i="14"/>
  <c r="R44" i="14"/>
  <c r="U44" i="14" s="1"/>
  <c r="S43" i="14"/>
  <c r="R43" i="14"/>
  <c r="U43" i="14" s="1"/>
  <c r="S42" i="14"/>
  <c r="R42" i="14"/>
  <c r="U42" i="14" s="1"/>
  <c r="S40" i="14"/>
  <c r="R40" i="14"/>
  <c r="U40" i="14" s="1"/>
  <c r="S39" i="14"/>
  <c r="R39" i="14"/>
  <c r="U39" i="14" s="1"/>
  <c r="S38" i="14"/>
  <c r="R38" i="14"/>
  <c r="U38" i="14" s="1"/>
  <c r="S37" i="14"/>
  <c r="R37" i="14"/>
  <c r="U37" i="14" s="1"/>
  <c r="S36" i="14"/>
  <c r="R36" i="14"/>
  <c r="U36" i="14" s="1"/>
  <c r="S35" i="14"/>
  <c r="R35" i="14"/>
  <c r="U35" i="14" s="1"/>
  <c r="S34" i="14"/>
  <c r="R34" i="14"/>
  <c r="S31" i="14"/>
  <c r="R31" i="14"/>
  <c r="U31" i="14" s="1"/>
  <c r="W30" i="14"/>
  <c r="S30" i="14"/>
  <c r="R30" i="14"/>
  <c r="U30" i="14" s="1"/>
  <c r="S29" i="14"/>
  <c r="R29" i="14"/>
  <c r="U29" i="14" s="1"/>
  <c r="S28" i="14"/>
  <c r="R28" i="14"/>
  <c r="U28" i="14" s="1"/>
  <c r="S27" i="14"/>
  <c r="R27" i="14"/>
  <c r="U27" i="14" s="1"/>
  <c r="S26" i="14"/>
  <c r="R26" i="14"/>
  <c r="U26" i="14" s="1"/>
  <c r="S25" i="14"/>
  <c r="R25" i="14"/>
  <c r="U25" i="14" s="1"/>
  <c r="S24" i="14"/>
  <c r="R24" i="14"/>
  <c r="U24" i="14" s="1"/>
  <c r="S23" i="14"/>
  <c r="R23" i="14"/>
  <c r="U23" i="14" s="1"/>
  <c r="S22" i="14"/>
  <c r="R22" i="14"/>
  <c r="U22" i="14" s="1"/>
  <c r="U21" i="14"/>
  <c r="S21" i="14"/>
  <c r="S20" i="14"/>
  <c r="R20" i="14"/>
  <c r="U20" i="14" s="1"/>
  <c r="S19" i="14"/>
  <c r="R19" i="14"/>
  <c r="U19" i="14" s="1"/>
  <c r="S18" i="14"/>
  <c r="R18" i="14"/>
  <c r="U18" i="14" s="1"/>
  <c r="S17" i="14"/>
  <c r="R17" i="14"/>
  <c r="U17" i="14" s="1"/>
  <c r="S16" i="14"/>
  <c r="R16" i="14"/>
  <c r="U16" i="14" s="1"/>
  <c r="S15" i="14"/>
  <c r="R15" i="14"/>
  <c r="U15" i="14" s="1"/>
  <c r="S14" i="14"/>
  <c r="R14" i="14"/>
  <c r="U14" i="14" s="1"/>
  <c r="S13" i="14"/>
  <c r="R13" i="14"/>
  <c r="U13" i="14" s="1"/>
  <c r="W11" i="14"/>
  <c r="V11" i="14"/>
  <c r="S11" i="14"/>
  <c r="R11" i="14"/>
  <c r="U11" i="14" s="1"/>
  <c r="S9" i="14"/>
  <c r="R9" i="14"/>
  <c r="U9" i="14" s="1"/>
  <c r="P140" i="13"/>
  <c r="U76" i="15" l="1"/>
  <c r="U54" i="15"/>
  <c r="U77" i="15"/>
  <c r="U78" i="15"/>
  <c r="U53" i="15"/>
  <c r="U49" i="15"/>
  <c r="U50" i="15"/>
  <c r="R71" i="15"/>
  <c r="T71" i="15" s="1"/>
  <c r="K72" i="15"/>
  <c r="O72" i="15"/>
  <c r="I72" i="15"/>
  <c r="Q72" i="15"/>
  <c r="J72" i="15"/>
  <c r="N72" i="15"/>
  <c r="G72" i="15"/>
  <c r="L72" i="15"/>
  <c r="P72" i="15"/>
  <c r="U57" i="15"/>
  <c r="U59" i="15"/>
  <c r="H72" i="15"/>
  <c r="U63" i="15"/>
  <c r="U51" i="15"/>
  <c r="U52" i="15"/>
  <c r="U58" i="15"/>
  <c r="U60" i="15"/>
  <c r="U61" i="15"/>
  <c r="U62" i="15"/>
  <c r="U48" i="15"/>
  <c r="U14" i="15"/>
  <c r="M145" i="15"/>
  <c r="N145" i="15" s="1"/>
  <c r="U22" i="15"/>
  <c r="U23" i="15"/>
  <c r="U25" i="15"/>
  <c r="U27" i="15"/>
  <c r="U29" i="15"/>
  <c r="U31" i="15"/>
  <c r="V33" i="15"/>
  <c r="U33" i="15" s="1"/>
  <c r="U37" i="15"/>
  <c r="U39" i="15"/>
  <c r="U41" i="15"/>
  <c r="U43" i="15"/>
  <c r="U45" i="15"/>
  <c r="S68" i="15"/>
  <c r="V68" i="15" s="1"/>
  <c r="S70" i="15"/>
  <c r="V70" i="15" s="1"/>
  <c r="N138" i="15"/>
  <c r="U11" i="15"/>
  <c r="U13" i="15"/>
  <c r="U16" i="15"/>
  <c r="U18" i="15"/>
  <c r="U20" i="15"/>
  <c r="U15" i="15"/>
  <c r="U17" i="15"/>
  <c r="U19" i="15"/>
  <c r="T66" i="15"/>
  <c r="U9" i="15"/>
  <c r="T65" i="15"/>
  <c r="T70" i="15"/>
  <c r="T69" i="15"/>
  <c r="T68" i="15"/>
  <c r="E72" i="15"/>
  <c r="T67" i="15"/>
  <c r="W67" i="15" s="1"/>
  <c r="U12" i="15"/>
  <c r="U24" i="15"/>
  <c r="U26" i="15"/>
  <c r="U28" i="15"/>
  <c r="U30" i="15"/>
  <c r="U32" i="15"/>
  <c r="U35" i="15"/>
  <c r="U36" i="15"/>
  <c r="U38" i="15"/>
  <c r="U40" i="15"/>
  <c r="U42" i="15"/>
  <c r="U44" i="15"/>
  <c r="U46" i="15"/>
  <c r="S65" i="15"/>
  <c r="V65" i="15" s="1"/>
  <c r="S67" i="15"/>
  <c r="V67" i="15" s="1"/>
  <c r="S69" i="15"/>
  <c r="V69" i="15" s="1"/>
  <c r="P145" i="15"/>
  <c r="O145" i="15"/>
  <c r="K68" i="14"/>
  <c r="O68" i="14"/>
  <c r="P68" i="14"/>
  <c r="F68" i="14"/>
  <c r="J68" i="14"/>
  <c r="N68" i="14"/>
  <c r="G68" i="14"/>
  <c r="L68" i="14"/>
  <c r="M68" i="14"/>
  <c r="Q68" i="14"/>
  <c r="H68" i="14"/>
  <c r="I68" i="14"/>
  <c r="E68" i="14"/>
  <c r="T54" i="14"/>
  <c r="T56" i="14"/>
  <c r="T50" i="14"/>
  <c r="T59" i="14"/>
  <c r="T52" i="14"/>
  <c r="T41" i="14"/>
  <c r="R67" i="14"/>
  <c r="U67" i="14" s="1"/>
  <c r="T49" i="14"/>
  <c r="S67" i="14"/>
  <c r="R63" i="14"/>
  <c r="U63" i="14" s="1"/>
  <c r="T51" i="14"/>
  <c r="T53" i="14"/>
  <c r="R62" i="14"/>
  <c r="U62" i="14" s="1"/>
  <c r="T48" i="14"/>
  <c r="R66" i="14"/>
  <c r="U66" i="14" s="1"/>
  <c r="S65" i="14"/>
  <c r="R64" i="14"/>
  <c r="U64" i="14" s="1"/>
  <c r="R65" i="14"/>
  <c r="U65" i="14" s="1"/>
  <c r="T57" i="14"/>
  <c r="T55" i="14"/>
  <c r="T60" i="14"/>
  <c r="T58" i="14"/>
  <c r="S66" i="14"/>
  <c r="S63" i="14"/>
  <c r="S62" i="14"/>
  <c r="S64" i="14"/>
  <c r="T27" i="14"/>
  <c r="T18" i="14"/>
  <c r="T19" i="14"/>
  <c r="O147" i="14"/>
  <c r="T40" i="14"/>
  <c r="T42" i="14"/>
  <c r="T22" i="14"/>
  <c r="T25" i="14"/>
  <c r="T9" i="14"/>
  <c r="T26" i="14"/>
  <c r="T13" i="14"/>
  <c r="T24" i="14"/>
  <c r="T29" i="14"/>
  <c r="T14" i="14"/>
  <c r="N147" i="14"/>
  <c r="T36" i="14"/>
  <c r="T21" i="14"/>
  <c r="T17" i="14"/>
  <c r="T39" i="14"/>
  <c r="T43" i="14"/>
  <c r="T38" i="14"/>
  <c r="T15" i="14"/>
  <c r="T23" i="14"/>
  <c r="T30" i="14"/>
  <c r="U34" i="14"/>
  <c r="T37" i="14"/>
  <c r="T44" i="14"/>
  <c r="T16" i="14"/>
  <c r="T31" i="14"/>
  <c r="T11" i="14"/>
  <c r="L147" i="14"/>
  <c r="M147" i="14" s="1"/>
  <c r="T20" i="14"/>
  <c r="T28" i="14"/>
  <c r="T35" i="14"/>
  <c r="T45" i="14"/>
  <c r="T46" i="14"/>
  <c r="M140" i="14"/>
  <c r="U57" i="13"/>
  <c r="R72" i="15" l="1"/>
  <c r="S71" i="15"/>
  <c r="V71" i="15" s="1"/>
  <c r="U65" i="15"/>
  <c r="U70" i="15"/>
  <c r="U69" i="15"/>
  <c r="T72" i="15"/>
  <c r="U68" i="15"/>
  <c r="U67" i="15"/>
  <c r="S72" i="15"/>
  <c r="V72" i="15" s="1"/>
  <c r="T62" i="14"/>
  <c r="T63" i="14"/>
  <c r="T67" i="14"/>
  <c r="T65" i="14"/>
  <c r="R68" i="14"/>
  <c r="U68" i="14" s="1"/>
  <c r="T64" i="14"/>
  <c r="S68" i="14"/>
  <c r="T34" i="14"/>
  <c r="U66" i="13"/>
  <c r="U72" i="15" l="1"/>
  <c r="T66" i="14"/>
  <c r="T68" i="14"/>
  <c r="O140" i="13"/>
  <c r="N140" i="13" l="1"/>
  <c r="D151" i="13" l="1"/>
  <c r="L145" i="13"/>
  <c r="M145" i="13" s="1"/>
  <c r="O145" i="13" s="1"/>
  <c r="L146" i="13"/>
  <c r="M146" i="13" s="1"/>
  <c r="O146" i="13" s="1"/>
  <c r="L147" i="13"/>
  <c r="M147" i="13" s="1"/>
  <c r="O147" i="13" s="1"/>
  <c r="L148" i="13"/>
  <c r="M148" i="13" s="1"/>
  <c r="N148" i="13" s="1"/>
  <c r="L149" i="13"/>
  <c r="M149" i="13" s="1"/>
  <c r="P149" i="13" s="1"/>
  <c r="P151" i="13" s="1"/>
  <c r="M150" i="13"/>
  <c r="N150" i="13" s="1"/>
  <c r="L144" i="13"/>
  <c r="M144" i="13" s="1"/>
  <c r="O151" i="13" l="1"/>
  <c r="N151" i="13"/>
  <c r="L151" i="13"/>
  <c r="M151" i="13" s="1"/>
  <c r="M140" i="13"/>
  <c r="L140" i="13" l="1"/>
  <c r="K140" i="13" l="1"/>
  <c r="I140" i="13" l="1"/>
  <c r="S62" i="13"/>
  <c r="R62" i="13"/>
  <c r="U62" i="13" s="1"/>
  <c r="T62" i="13" l="1"/>
  <c r="S36" i="13"/>
  <c r="R36" i="13"/>
  <c r="U36" i="13" s="1"/>
  <c r="T36" i="13" l="1"/>
  <c r="H140" i="13"/>
  <c r="G140" i="13" l="1"/>
  <c r="F140" i="13" l="1"/>
  <c r="E140" i="13" l="1"/>
  <c r="J140" i="13"/>
  <c r="D140" i="13"/>
  <c r="R16" i="13" l="1"/>
  <c r="U16" i="13" s="1"/>
  <c r="S16" i="13"/>
  <c r="T16" i="13" l="1"/>
  <c r="W19" i="13"/>
  <c r="V19" i="13"/>
  <c r="W18" i="13"/>
  <c r="V18" i="13"/>
  <c r="V17" i="13"/>
  <c r="W16" i="13"/>
  <c r="V16" i="13"/>
  <c r="W15" i="13"/>
  <c r="V15" i="13"/>
  <c r="V14" i="13"/>
  <c r="W14" i="13"/>
  <c r="R47" i="13" l="1"/>
  <c r="U47" i="13" s="1"/>
  <c r="S47" i="13"/>
  <c r="T47" i="13" l="1"/>
  <c r="S46" i="13"/>
  <c r="S45" i="13"/>
  <c r="S64" i="13" l="1"/>
  <c r="R64" i="13"/>
  <c r="U64" i="13" s="1"/>
  <c r="S63" i="13"/>
  <c r="R63" i="13"/>
  <c r="U63" i="13" s="1"/>
  <c r="Q71" i="13"/>
  <c r="P71" i="13"/>
  <c r="O71" i="13"/>
  <c r="N71" i="13"/>
  <c r="M71" i="13"/>
  <c r="L71" i="13"/>
  <c r="K71" i="13"/>
  <c r="J71" i="13"/>
  <c r="I71" i="13"/>
  <c r="H71" i="13"/>
  <c r="G71" i="13"/>
  <c r="F71" i="13"/>
  <c r="Q70" i="13"/>
  <c r="P70" i="13"/>
  <c r="O70" i="13"/>
  <c r="N70" i="13"/>
  <c r="M70" i="13"/>
  <c r="L70" i="13"/>
  <c r="K70" i="13"/>
  <c r="J70" i="13"/>
  <c r="I70" i="13"/>
  <c r="H70" i="13"/>
  <c r="G70" i="13"/>
  <c r="F70" i="13"/>
  <c r="Q69" i="13"/>
  <c r="P69" i="13"/>
  <c r="O69" i="13"/>
  <c r="N69" i="13"/>
  <c r="M69" i="13"/>
  <c r="L69" i="13"/>
  <c r="K69" i="13"/>
  <c r="J69" i="13"/>
  <c r="I69" i="13"/>
  <c r="H69" i="13"/>
  <c r="G69" i="13"/>
  <c r="F69" i="13"/>
  <c r="Q68" i="13"/>
  <c r="P68" i="13"/>
  <c r="O68" i="13"/>
  <c r="N68" i="13"/>
  <c r="M68" i="13"/>
  <c r="L68" i="13"/>
  <c r="K68" i="13"/>
  <c r="J68" i="13"/>
  <c r="I68" i="13"/>
  <c r="H68" i="13"/>
  <c r="G68" i="13"/>
  <c r="F68" i="13"/>
  <c r="Q67" i="13"/>
  <c r="P67" i="13"/>
  <c r="O67" i="13"/>
  <c r="N67" i="13"/>
  <c r="M67" i="13"/>
  <c r="L67" i="13"/>
  <c r="K67" i="13"/>
  <c r="J67" i="13"/>
  <c r="I67" i="13"/>
  <c r="H67" i="13"/>
  <c r="G67" i="13"/>
  <c r="F67" i="13"/>
  <c r="Q66" i="13"/>
  <c r="P66" i="13"/>
  <c r="O66" i="13"/>
  <c r="N66" i="13"/>
  <c r="M66" i="13"/>
  <c r="L66" i="13"/>
  <c r="K66" i="13"/>
  <c r="J66" i="13"/>
  <c r="I66" i="13"/>
  <c r="H66" i="13"/>
  <c r="G66" i="13"/>
  <c r="F66" i="13"/>
  <c r="E66" i="13"/>
  <c r="Q10" i="12"/>
  <c r="P56" i="12"/>
  <c r="R56" i="12" s="1"/>
  <c r="P55" i="12"/>
  <c r="R55" i="12" s="1"/>
  <c r="P53" i="12"/>
  <c r="P52" i="12"/>
  <c r="P51" i="12"/>
  <c r="P50" i="12"/>
  <c r="P45" i="12"/>
  <c r="P40" i="12"/>
  <c r="P37" i="12"/>
  <c r="P36" i="12"/>
  <c r="P34" i="12"/>
  <c r="P33" i="12"/>
  <c r="P32" i="12"/>
  <c r="P31" i="12"/>
  <c r="P30" i="12"/>
  <c r="P24" i="12"/>
  <c r="P23" i="12"/>
  <c r="P22" i="12"/>
  <c r="P14" i="12"/>
  <c r="P11" i="12"/>
  <c r="U11" i="12"/>
  <c r="V9" i="13"/>
  <c r="Q72" i="13" l="1"/>
  <c r="T64" i="13"/>
  <c r="T63" i="13"/>
  <c r="M72" i="13"/>
  <c r="J72" i="13"/>
  <c r="K72" i="13"/>
  <c r="L72" i="13"/>
  <c r="F72" i="13"/>
  <c r="G72" i="13"/>
  <c r="H72" i="13"/>
  <c r="P72" i="13"/>
  <c r="N72" i="13"/>
  <c r="O72" i="13"/>
  <c r="I72" i="13"/>
  <c r="S61" i="13"/>
  <c r="E67" i="13" l="1"/>
  <c r="E68" i="13"/>
  <c r="E69" i="13"/>
  <c r="E70" i="13"/>
  <c r="E71" i="13"/>
  <c r="W62" i="13"/>
  <c r="R61" i="13"/>
  <c r="U61" i="13" s="1"/>
  <c r="T61" i="13" s="1"/>
  <c r="S60" i="13"/>
  <c r="R60" i="13"/>
  <c r="U60" i="13" s="1"/>
  <c r="S59" i="13"/>
  <c r="R59" i="13"/>
  <c r="U59" i="13" s="1"/>
  <c r="S58" i="13"/>
  <c r="R58" i="13"/>
  <c r="U58" i="13" s="1"/>
  <c r="S56" i="13"/>
  <c r="R56" i="13"/>
  <c r="U56" i="13" s="1"/>
  <c r="S55" i="13"/>
  <c r="R55" i="13"/>
  <c r="U55" i="13" s="1"/>
  <c r="S54" i="13"/>
  <c r="R54" i="13"/>
  <c r="U54" i="13" s="1"/>
  <c r="S53" i="13"/>
  <c r="R53" i="13"/>
  <c r="U53" i="13" s="1"/>
  <c r="S52" i="13"/>
  <c r="R52" i="13"/>
  <c r="U52" i="13" s="1"/>
  <c r="S51" i="13"/>
  <c r="R51" i="13"/>
  <c r="U51" i="13" s="1"/>
  <c r="S50" i="13"/>
  <c r="R50" i="13"/>
  <c r="W46" i="13"/>
  <c r="R46" i="13"/>
  <c r="U46" i="13" s="1"/>
  <c r="T46" i="13" s="1"/>
  <c r="R45" i="13"/>
  <c r="U45" i="13" s="1"/>
  <c r="T45" i="13" s="1"/>
  <c r="S44" i="13"/>
  <c r="S43" i="13"/>
  <c r="S42" i="13"/>
  <c r="S41" i="13"/>
  <c r="R39" i="13"/>
  <c r="U39" i="13" s="1"/>
  <c r="S38" i="13"/>
  <c r="R38" i="13"/>
  <c r="U38" i="13" s="1"/>
  <c r="R37" i="13"/>
  <c r="U37" i="13" s="1"/>
  <c r="U34" i="13"/>
  <c r="S34" i="13"/>
  <c r="S32" i="13"/>
  <c r="S30" i="13"/>
  <c r="R30" i="13"/>
  <c r="U30" i="13" s="1"/>
  <c r="S29" i="13"/>
  <c r="R29" i="13"/>
  <c r="U29" i="13" s="1"/>
  <c r="R28" i="13"/>
  <c r="U28" i="13" s="1"/>
  <c r="S27" i="13"/>
  <c r="R27" i="13"/>
  <c r="U27" i="13" s="1"/>
  <c r="S26" i="13"/>
  <c r="R26" i="13"/>
  <c r="U26" i="13" s="1"/>
  <c r="S24" i="13"/>
  <c r="S22" i="13"/>
  <c r="R22" i="13"/>
  <c r="U22" i="13" s="1"/>
  <c r="S21" i="13"/>
  <c r="S15" i="13"/>
  <c r="R15" i="13"/>
  <c r="U15" i="13" s="1"/>
  <c r="R14" i="13"/>
  <c r="S12" i="13"/>
  <c r="E72" i="13" l="1"/>
  <c r="S71" i="13"/>
  <c r="T15" i="13"/>
  <c r="T26" i="13"/>
  <c r="T58" i="13"/>
  <c r="R32" i="13"/>
  <c r="U32" i="13" s="1"/>
  <c r="T32" i="13" s="1"/>
  <c r="S19" i="13"/>
  <c r="R71" i="13"/>
  <c r="T54" i="13"/>
  <c r="T59" i="13"/>
  <c r="T38" i="13"/>
  <c r="R19" i="13"/>
  <c r="U19" i="13" s="1"/>
  <c r="T27" i="13"/>
  <c r="T34" i="13"/>
  <c r="R11" i="13"/>
  <c r="U11" i="13" s="1"/>
  <c r="S18" i="13"/>
  <c r="S11" i="13"/>
  <c r="U50" i="13"/>
  <c r="T30" i="13"/>
  <c r="R43" i="13"/>
  <c r="U43" i="13" s="1"/>
  <c r="T43" i="13" s="1"/>
  <c r="T60" i="13"/>
  <c r="R25" i="13"/>
  <c r="U25" i="13" s="1"/>
  <c r="S17" i="13"/>
  <c r="T56" i="13"/>
  <c r="T52" i="13"/>
  <c r="S23" i="13"/>
  <c r="S28" i="13"/>
  <c r="T28" i="13" s="1"/>
  <c r="S33" i="13"/>
  <c r="R35" i="13"/>
  <c r="U35" i="13" s="1"/>
  <c r="R41" i="13"/>
  <c r="U41" i="13" s="1"/>
  <c r="T41" i="13" s="1"/>
  <c r="R44" i="13"/>
  <c r="U44" i="13" s="1"/>
  <c r="T44" i="13" s="1"/>
  <c r="T53" i="13"/>
  <c r="R18" i="13"/>
  <c r="U18" i="13" s="1"/>
  <c r="T29" i="13"/>
  <c r="S37" i="13"/>
  <c r="T37" i="13" s="1"/>
  <c r="S31" i="13"/>
  <c r="S39" i="13"/>
  <c r="T39" i="13" s="1"/>
  <c r="R42" i="13"/>
  <c r="U42" i="13" s="1"/>
  <c r="T42" i="13" s="1"/>
  <c r="T51" i="13"/>
  <c r="R17" i="13"/>
  <c r="R21" i="13"/>
  <c r="U21" i="13" s="1"/>
  <c r="S40" i="13"/>
  <c r="T22" i="13"/>
  <c r="S14" i="13"/>
  <c r="T14" i="13" s="1"/>
  <c r="S25" i="13"/>
  <c r="T55" i="13"/>
  <c r="S66" i="13"/>
  <c r="R24" i="13"/>
  <c r="U24" i="13" s="1"/>
  <c r="T24" i="13" s="1"/>
  <c r="S35" i="13"/>
  <c r="R40" i="13"/>
  <c r="U40" i="13" s="1"/>
  <c r="R9" i="13"/>
  <c r="S9" i="13"/>
  <c r="R23" i="13"/>
  <c r="U23" i="13" s="1"/>
  <c r="S67" i="13"/>
  <c r="R12" i="13"/>
  <c r="R33" i="13"/>
  <c r="U33" i="13" s="1"/>
  <c r="R31" i="13"/>
  <c r="U31" i="13" s="1"/>
  <c r="P54" i="12"/>
  <c r="P49" i="12"/>
  <c r="P13" i="12"/>
  <c r="U68" i="13" l="1"/>
  <c r="T50" i="13"/>
  <c r="U71" i="13"/>
  <c r="T71" i="13" s="1"/>
  <c r="U70" i="13"/>
  <c r="T21" i="13"/>
  <c r="U69" i="13"/>
  <c r="U12" i="13"/>
  <c r="T12" i="13" s="1"/>
  <c r="T33" i="13"/>
  <c r="T19" i="13"/>
  <c r="T17" i="13"/>
  <c r="S70" i="13"/>
  <c r="T31" i="13"/>
  <c r="T11" i="13"/>
  <c r="T18" i="13"/>
  <c r="S69" i="13"/>
  <c r="T25" i="13"/>
  <c r="S68" i="13"/>
  <c r="T40" i="13"/>
  <c r="R68" i="13"/>
  <c r="T23" i="13"/>
  <c r="R69" i="13"/>
  <c r="R70" i="13"/>
  <c r="U9" i="13"/>
  <c r="T9" i="13" s="1"/>
  <c r="R66" i="13"/>
  <c r="R67" i="13"/>
  <c r="T35" i="13"/>
  <c r="E80" i="12"/>
  <c r="F80" i="12"/>
  <c r="G80" i="12"/>
  <c r="H80" i="12"/>
  <c r="I80" i="12"/>
  <c r="J80" i="12"/>
  <c r="K80" i="12"/>
  <c r="L80" i="12"/>
  <c r="M80" i="12"/>
  <c r="N80" i="12"/>
  <c r="O80" i="12"/>
  <c r="P80" i="12"/>
  <c r="D80" i="12"/>
  <c r="V71" i="12"/>
  <c r="Q70" i="12"/>
  <c r="T70" i="12" s="1"/>
  <c r="S70" i="12" s="1"/>
  <c r="R69" i="12"/>
  <c r="Q69" i="12"/>
  <c r="T69" i="12" s="1"/>
  <c r="R68" i="12"/>
  <c r="Q68" i="12"/>
  <c r="T68" i="12" s="1"/>
  <c r="R67" i="12"/>
  <c r="Q67" i="12"/>
  <c r="T67" i="12" s="1"/>
  <c r="R66" i="12"/>
  <c r="R65" i="12"/>
  <c r="R64" i="12"/>
  <c r="Q64" i="12"/>
  <c r="T64" i="12" s="1"/>
  <c r="R63" i="12"/>
  <c r="Q63" i="12"/>
  <c r="T63" i="12" s="1"/>
  <c r="R62" i="12"/>
  <c r="Q62" i="12"/>
  <c r="T62" i="12" s="1"/>
  <c r="Q61" i="12"/>
  <c r="T61" i="12" s="1"/>
  <c r="R60" i="12"/>
  <c r="Q60" i="12"/>
  <c r="T60" i="12" s="1"/>
  <c r="U67" i="13" l="1"/>
  <c r="T67" i="13" s="1"/>
  <c r="T66" i="13"/>
  <c r="R72" i="13"/>
  <c r="T69" i="13"/>
  <c r="T70" i="13"/>
  <c r="S72" i="13"/>
  <c r="T68" i="13"/>
  <c r="S62" i="12"/>
  <c r="S69" i="12"/>
  <c r="S60" i="12"/>
  <c r="S64" i="12"/>
  <c r="S68" i="12"/>
  <c r="S63" i="12"/>
  <c r="S67" i="12"/>
  <c r="Q66" i="12"/>
  <c r="T66" i="12" s="1"/>
  <c r="S66" i="12" s="1"/>
  <c r="R61" i="12"/>
  <c r="S61" i="12" s="1"/>
  <c r="Q65" i="12"/>
  <c r="T65" i="12" s="1"/>
  <c r="S65" i="12" s="1"/>
  <c r="P75" i="12"/>
  <c r="O75" i="12"/>
  <c r="N75" i="12"/>
  <c r="L75" i="12"/>
  <c r="K75" i="12"/>
  <c r="J75" i="12"/>
  <c r="H75" i="12"/>
  <c r="G75" i="12"/>
  <c r="F75" i="12"/>
  <c r="D75" i="12"/>
  <c r="U72" i="13" l="1"/>
  <c r="T72" i="13" s="1"/>
  <c r="Q80" i="12"/>
  <c r="O131" i="12"/>
  <c r="O51" i="12" l="1"/>
  <c r="O45" i="12"/>
  <c r="O40" i="12"/>
  <c r="O34" i="12"/>
  <c r="O32" i="12"/>
  <c r="O23" i="12"/>
  <c r="O22" i="12"/>
  <c r="O20" i="12"/>
  <c r="M11" i="12" l="1"/>
  <c r="M75" i="12" s="1"/>
  <c r="M42" i="12"/>
  <c r="M43" i="12"/>
  <c r="M40" i="12"/>
  <c r="M45" i="12"/>
  <c r="M50" i="12"/>
  <c r="M46" i="12"/>
  <c r="M27" i="12"/>
  <c r="M32" i="12"/>
  <c r="M34" i="12"/>
  <c r="M24" i="12"/>
  <c r="M20" i="12"/>
  <c r="M21" i="12"/>
  <c r="M17" i="12"/>
  <c r="M22" i="12"/>
  <c r="M23" i="12"/>
  <c r="E75" i="12" l="1"/>
  <c r="Q56" i="12" l="1"/>
  <c r="T56" i="12" s="1"/>
  <c r="S56" i="12" s="1"/>
  <c r="V56" i="12" l="1"/>
  <c r="I45" i="12" l="1"/>
  <c r="I50" i="12"/>
  <c r="I43" i="12"/>
  <c r="I40" i="12"/>
  <c r="I32" i="12"/>
  <c r="I27" i="12"/>
  <c r="I28" i="12"/>
  <c r="I30" i="12"/>
  <c r="I34" i="12"/>
  <c r="I24" i="12"/>
  <c r="I23" i="12"/>
  <c r="I22" i="12"/>
  <c r="I20" i="12"/>
  <c r="I18" i="12"/>
  <c r="I14" i="12"/>
  <c r="I11" i="12"/>
  <c r="I75" i="12" s="1"/>
  <c r="H116" i="12" l="1"/>
  <c r="H117" i="12"/>
  <c r="H120" i="12"/>
  <c r="H124" i="12"/>
  <c r="H119" i="12"/>
  <c r="T44" i="12" l="1"/>
  <c r="R44" i="12"/>
  <c r="R45" i="12"/>
  <c r="R46" i="12"/>
  <c r="R47" i="12"/>
  <c r="R48" i="12"/>
  <c r="R49" i="12"/>
  <c r="R50" i="12"/>
  <c r="R51" i="12"/>
  <c r="R52" i="12"/>
  <c r="R53" i="12"/>
  <c r="R54" i="12"/>
  <c r="Q45" i="12"/>
  <c r="T45" i="12" s="1"/>
  <c r="Q46" i="12"/>
  <c r="T46" i="12" s="1"/>
  <c r="Q47" i="12"/>
  <c r="T47" i="12" s="1"/>
  <c r="Q48" i="12"/>
  <c r="T48" i="12" s="1"/>
  <c r="Q49" i="12"/>
  <c r="T49" i="12" s="1"/>
  <c r="Q50" i="12"/>
  <c r="T50" i="12" s="1"/>
  <c r="Q51" i="12"/>
  <c r="T51" i="12" s="1"/>
  <c r="Q52" i="12"/>
  <c r="T52" i="12" s="1"/>
  <c r="Q53" i="12"/>
  <c r="T53" i="12" s="1"/>
  <c r="Q54" i="12"/>
  <c r="T54" i="12" s="1"/>
  <c r="Q55" i="12"/>
  <c r="T55" i="12" s="1"/>
  <c r="S55" i="12" s="1"/>
  <c r="S53" i="12" l="1"/>
  <c r="S49" i="12"/>
  <c r="S54" i="12"/>
  <c r="S46" i="12"/>
  <c r="S52" i="12"/>
  <c r="S48" i="12"/>
  <c r="S51" i="12"/>
  <c r="S47" i="12"/>
  <c r="S50" i="12"/>
  <c r="S44" i="12"/>
  <c r="S45" i="12"/>
  <c r="Q79" i="12"/>
  <c r="E79" i="12"/>
  <c r="F79" i="12"/>
  <c r="G79" i="12"/>
  <c r="H79" i="12"/>
  <c r="I79" i="12"/>
  <c r="J79" i="12"/>
  <c r="K79" i="12"/>
  <c r="L79" i="12"/>
  <c r="M79" i="12"/>
  <c r="N79" i="12"/>
  <c r="O79" i="12"/>
  <c r="P79" i="12"/>
  <c r="D79" i="12"/>
  <c r="E78" i="12"/>
  <c r="F78" i="12"/>
  <c r="G78" i="12"/>
  <c r="H78" i="12"/>
  <c r="I78" i="12"/>
  <c r="J78" i="12"/>
  <c r="K78" i="12"/>
  <c r="L78" i="12"/>
  <c r="M78" i="12"/>
  <c r="N78" i="12"/>
  <c r="O78" i="12"/>
  <c r="P78" i="12"/>
  <c r="D78" i="12"/>
  <c r="R79" i="12" l="1"/>
  <c r="T79" i="12"/>
  <c r="R42" i="12"/>
  <c r="Q42" i="12"/>
  <c r="T42" i="12" s="1"/>
  <c r="S79" i="12" l="1"/>
  <c r="S42" i="12"/>
  <c r="P77" i="12"/>
  <c r="O77" i="12"/>
  <c r="N77" i="12"/>
  <c r="M77" i="12"/>
  <c r="L77" i="12"/>
  <c r="K77" i="12"/>
  <c r="J77" i="12"/>
  <c r="I77" i="12"/>
  <c r="H77" i="12"/>
  <c r="G77" i="12"/>
  <c r="F77" i="12"/>
  <c r="E77" i="12"/>
  <c r="D77" i="12"/>
  <c r="P76" i="12"/>
  <c r="O76" i="12"/>
  <c r="N76" i="12"/>
  <c r="M76" i="12"/>
  <c r="L76" i="12"/>
  <c r="K76" i="12"/>
  <c r="J76" i="12"/>
  <c r="I76" i="12"/>
  <c r="H76" i="12"/>
  <c r="G76" i="12"/>
  <c r="F76" i="12"/>
  <c r="E76" i="12"/>
  <c r="D76" i="12"/>
  <c r="R43" i="12"/>
  <c r="Q43" i="12"/>
  <c r="T43" i="12" s="1"/>
  <c r="R41" i="12"/>
  <c r="Q41" i="12"/>
  <c r="T41" i="12" s="1"/>
  <c r="R40" i="12"/>
  <c r="Q40" i="12"/>
  <c r="T40" i="12" s="1"/>
  <c r="R39" i="12"/>
  <c r="Q39" i="12"/>
  <c r="T39" i="12" s="1"/>
  <c r="R38" i="12"/>
  <c r="Q38" i="12"/>
  <c r="T38" i="12" s="1"/>
  <c r="R37" i="12"/>
  <c r="Q37" i="12"/>
  <c r="T37" i="12" s="1"/>
  <c r="R36" i="12"/>
  <c r="Q36" i="12"/>
  <c r="T36" i="12" s="1"/>
  <c r="R35" i="12"/>
  <c r="Q35" i="12"/>
  <c r="T35" i="12" s="1"/>
  <c r="R34" i="12"/>
  <c r="Q34" i="12"/>
  <c r="T34" i="12" s="1"/>
  <c r="R33" i="12"/>
  <c r="Q33" i="12"/>
  <c r="R32" i="12"/>
  <c r="Q32" i="12"/>
  <c r="T32" i="12" s="1"/>
  <c r="R31" i="12"/>
  <c r="Q31" i="12"/>
  <c r="T31" i="12" s="1"/>
  <c r="R30" i="12"/>
  <c r="Q30" i="12"/>
  <c r="T30" i="12" s="1"/>
  <c r="R29" i="12"/>
  <c r="Q29" i="12"/>
  <c r="T29" i="12" s="1"/>
  <c r="R28" i="12"/>
  <c r="Q28" i="12"/>
  <c r="T28" i="12" s="1"/>
  <c r="R27" i="12"/>
  <c r="Q27" i="12"/>
  <c r="T27" i="12" s="1"/>
  <c r="R25" i="12"/>
  <c r="Q25" i="12"/>
  <c r="T25" i="12" s="1"/>
  <c r="R24" i="12"/>
  <c r="Q24" i="12"/>
  <c r="T24" i="12" s="1"/>
  <c r="R23" i="12"/>
  <c r="Q23" i="12"/>
  <c r="T23" i="12" s="1"/>
  <c r="R22" i="12"/>
  <c r="Q22" i="12"/>
  <c r="T22" i="12" s="1"/>
  <c r="R21" i="12"/>
  <c r="Q21" i="12"/>
  <c r="T21" i="12" s="1"/>
  <c r="R20" i="12"/>
  <c r="Q20" i="12"/>
  <c r="T20" i="12" s="1"/>
  <c r="R19" i="12"/>
  <c r="Q19" i="12"/>
  <c r="T19" i="12" s="1"/>
  <c r="R18" i="12"/>
  <c r="Q18" i="12"/>
  <c r="T18" i="12" s="1"/>
  <c r="R17" i="12"/>
  <c r="Q17" i="12"/>
  <c r="T17" i="12" s="1"/>
  <c r="R16" i="12"/>
  <c r="Q16" i="12"/>
  <c r="T16" i="12" s="1"/>
  <c r="R14" i="12"/>
  <c r="Q14" i="12"/>
  <c r="T14" i="12" s="1"/>
  <c r="R13" i="12"/>
  <c r="Q13" i="12"/>
  <c r="R11" i="12"/>
  <c r="Q11" i="12"/>
  <c r="R10" i="12"/>
  <c r="T11" i="12" l="1"/>
  <c r="Q81" i="12"/>
  <c r="H81" i="12"/>
  <c r="J81" i="12"/>
  <c r="P81" i="12"/>
  <c r="F81" i="12"/>
  <c r="N81" i="12"/>
  <c r="K81" i="12"/>
  <c r="D81" i="12"/>
  <c r="L81" i="12"/>
  <c r="T10" i="12"/>
  <c r="S10" i="12" s="1"/>
  <c r="Q75" i="12"/>
  <c r="T75" i="12" s="1"/>
  <c r="I81" i="12"/>
  <c r="E81" i="12"/>
  <c r="M81" i="12"/>
  <c r="G81" i="12"/>
  <c r="O81" i="12"/>
  <c r="T33" i="12"/>
  <c r="S33" i="12" s="1"/>
  <c r="Q78" i="12"/>
  <c r="T78" i="12" s="1"/>
  <c r="S20" i="12"/>
  <c r="S24" i="12"/>
  <c r="S29" i="12"/>
  <c r="S37" i="12"/>
  <c r="S18" i="12"/>
  <c r="S22" i="12"/>
  <c r="S27" i="12"/>
  <c r="S31" i="12"/>
  <c r="S35" i="12"/>
  <c r="S39" i="12"/>
  <c r="S11" i="12"/>
  <c r="S17" i="12"/>
  <c r="S21" i="12"/>
  <c r="S25" i="12"/>
  <c r="S30" i="12"/>
  <c r="S34" i="12"/>
  <c r="S38" i="12"/>
  <c r="S14" i="12"/>
  <c r="S19" i="12"/>
  <c r="S23" i="12"/>
  <c r="S28" i="12"/>
  <c r="S32" i="12"/>
  <c r="S36" i="12"/>
  <c r="S40" i="12"/>
  <c r="R78" i="12"/>
  <c r="S41" i="12"/>
  <c r="S16" i="12"/>
  <c r="S43" i="12"/>
  <c r="R75" i="12"/>
  <c r="Q76" i="12"/>
  <c r="T76" i="12" s="1"/>
  <c r="R76" i="12"/>
  <c r="R77" i="12"/>
  <c r="Q77" i="12"/>
  <c r="T77" i="12" s="1"/>
  <c r="T13" i="12"/>
  <c r="S13" i="12" s="1"/>
  <c r="R58" i="11"/>
  <c r="Q58" i="11"/>
  <c r="T58" i="11" s="1"/>
  <c r="R41" i="11"/>
  <c r="Q41" i="11"/>
  <c r="T41" i="11" s="1"/>
  <c r="R48" i="11"/>
  <c r="Q48" i="11"/>
  <c r="T48" i="11" s="1"/>
  <c r="Q47" i="11"/>
  <c r="T47" i="11" s="1"/>
  <c r="R47" i="11"/>
  <c r="Q19" i="11"/>
  <c r="T19" i="11" s="1"/>
  <c r="R19" i="11"/>
  <c r="Q25" i="11"/>
  <c r="T25" i="11" s="1"/>
  <c r="R25" i="11"/>
  <c r="Q49" i="11"/>
  <c r="T49" i="11" s="1"/>
  <c r="R49" i="11"/>
  <c r="R57" i="11"/>
  <c r="Q57" i="11"/>
  <c r="T57" i="11" s="1"/>
  <c r="R56" i="11"/>
  <c r="Q56" i="11"/>
  <c r="T56" i="11" s="1"/>
  <c r="Q55" i="11"/>
  <c r="T55" i="11" s="1"/>
  <c r="R55" i="11"/>
  <c r="R54" i="11"/>
  <c r="Q54" i="11"/>
  <c r="T54" i="11" s="1"/>
  <c r="R53" i="11"/>
  <c r="Q53" i="11"/>
  <c r="T53" i="11" s="1"/>
  <c r="R52" i="11"/>
  <c r="Q52" i="11"/>
  <c r="T52" i="11" s="1"/>
  <c r="R51" i="11"/>
  <c r="Q51" i="11"/>
  <c r="T51" i="11" s="1"/>
  <c r="R50" i="11"/>
  <c r="Q50" i="11"/>
  <c r="T50" i="11" s="1"/>
  <c r="Q46" i="11"/>
  <c r="T46" i="11" s="1"/>
  <c r="R46" i="11"/>
  <c r="Q45" i="11"/>
  <c r="T45" i="11" s="1"/>
  <c r="R45" i="11"/>
  <c r="Q44" i="11"/>
  <c r="T44" i="11" s="1"/>
  <c r="R44" i="11"/>
  <c r="Q43" i="11"/>
  <c r="T43" i="11" s="1"/>
  <c r="R43" i="11"/>
  <c r="Q38" i="11"/>
  <c r="T38" i="11" s="1"/>
  <c r="R38" i="11"/>
  <c r="Q37" i="11"/>
  <c r="T37" i="11" s="1"/>
  <c r="R37" i="11"/>
  <c r="Q36" i="11"/>
  <c r="T36" i="11" s="1"/>
  <c r="R36" i="11"/>
  <c r="Q34" i="11"/>
  <c r="T34" i="11" s="1"/>
  <c r="R34" i="11"/>
  <c r="Q32" i="11"/>
  <c r="T32" i="11" s="1"/>
  <c r="R32" i="11"/>
  <c r="Q31" i="11"/>
  <c r="T31" i="11" s="1"/>
  <c r="R31" i="11"/>
  <c r="Q30" i="11"/>
  <c r="T30" i="11" s="1"/>
  <c r="R30" i="11"/>
  <c r="Q28" i="11"/>
  <c r="T28" i="11" s="1"/>
  <c r="R28" i="11"/>
  <c r="Q24" i="11"/>
  <c r="T24" i="11" s="1"/>
  <c r="R24" i="11"/>
  <c r="Q15" i="11"/>
  <c r="T15" i="11" s="1"/>
  <c r="R15" i="11"/>
  <c r="Q13" i="11"/>
  <c r="T13" i="11" s="1"/>
  <c r="R13" i="11"/>
  <c r="R40" i="11"/>
  <c r="R39" i="11"/>
  <c r="R35" i="11"/>
  <c r="R33" i="11"/>
  <c r="R29" i="11"/>
  <c r="R26" i="11"/>
  <c r="R23" i="11"/>
  <c r="R22" i="11"/>
  <c r="R21" i="11"/>
  <c r="R20" i="11"/>
  <c r="R18" i="11"/>
  <c r="R17" i="11"/>
  <c r="R14" i="11"/>
  <c r="R12" i="11"/>
  <c r="R10" i="11"/>
  <c r="Q40" i="11"/>
  <c r="T40" i="11" s="1"/>
  <c r="Q39" i="11"/>
  <c r="T39" i="11" s="1"/>
  <c r="Q35" i="11"/>
  <c r="T35" i="11" s="1"/>
  <c r="Q33" i="11"/>
  <c r="T33" i="11" s="1"/>
  <c r="Q29" i="11"/>
  <c r="T29" i="11" s="1"/>
  <c r="Q26" i="11"/>
  <c r="T26" i="11" s="1"/>
  <c r="Q23" i="11"/>
  <c r="T23" i="11" s="1"/>
  <c r="Q22" i="11"/>
  <c r="T22" i="11" s="1"/>
  <c r="Q21" i="11"/>
  <c r="T21" i="11" s="1"/>
  <c r="Q20" i="11"/>
  <c r="T20" i="11" s="1"/>
  <c r="Q18" i="11"/>
  <c r="T18" i="11" s="1"/>
  <c r="Q17" i="11"/>
  <c r="T17" i="11" s="1"/>
  <c r="Q14" i="11"/>
  <c r="T14" i="11" s="1"/>
  <c r="Q12" i="11"/>
  <c r="T12" i="11" s="1"/>
  <c r="Q10" i="11"/>
  <c r="Q60" i="11" s="1"/>
  <c r="E64" i="11"/>
  <c r="F64" i="11"/>
  <c r="G64" i="11"/>
  <c r="H64" i="11"/>
  <c r="I64" i="11"/>
  <c r="J64" i="11"/>
  <c r="K64" i="11"/>
  <c r="L64" i="11"/>
  <c r="M64" i="11"/>
  <c r="N64" i="11"/>
  <c r="O64" i="11"/>
  <c r="P64" i="11"/>
  <c r="D65" i="11"/>
  <c r="D64" i="11"/>
  <c r="D60" i="11"/>
  <c r="D61" i="11"/>
  <c r="D62" i="11"/>
  <c r="D63" i="11"/>
  <c r="P63" i="11"/>
  <c r="O63" i="11"/>
  <c r="N63" i="11"/>
  <c r="M63" i="11"/>
  <c r="L63" i="11"/>
  <c r="K63" i="11"/>
  <c r="J63" i="11"/>
  <c r="I63" i="11"/>
  <c r="H63" i="11"/>
  <c r="G63" i="11"/>
  <c r="F63" i="11"/>
  <c r="E63" i="11"/>
  <c r="P62" i="11"/>
  <c r="O62" i="11"/>
  <c r="N62" i="11"/>
  <c r="M62" i="11"/>
  <c r="L62" i="11"/>
  <c r="K62" i="11"/>
  <c r="J62" i="11"/>
  <c r="J60" i="11"/>
  <c r="J61" i="11"/>
  <c r="I62" i="11"/>
  <c r="H62" i="11"/>
  <c r="G62" i="11"/>
  <c r="F62" i="11"/>
  <c r="E62" i="11"/>
  <c r="P61" i="11"/>
  <c r="O61" i="11"/>
  <c r="N61" i="11"/>
  <c r="M61" i="11"/>
  <c r="L61" i="11"/>
  <c r="K61" i="11"/>
  <c r="I61" i="11"/>
  <c r="H61" i="11"/>
  <c r="G61" i="11"/>
  <c r="E61" i="11"/>
  <c r="F61" i="11"/>
  <c r="P60" i="11"/>
  <c r="O60" i="11"/>
  <c r="N60" i="11"/>
  <c r="M60" i="11"/>
  <c r="L60" i="11"/>
  <c r="K60" i="11"/>
  <c r="I60" i="11"/>
  <c r="H60" i="11"/>
  <c r="E60" i="11"/>
  <c r="F60" i="11"/>
  <c r="G60" i="11"/>
  <c r="R45" i="10"/>
  <c r="U45" i="10" s="1"/>
  <c r="S45" i="10"/>
  <c r="Q57" i="10"/>
  <c r="Q97" i="10" s="1"/>
  <c r="I60" i="10"/>
  <c r="J60" i="10"/>
  <c r="K60" i="10"/>
  <c r="L60" i="10"/>
  <c r="M60" i="10"/>
  <c r="N60" i="10"/>
  <c r="O60" i="10"/>
  <c r="P60" i="10"/>
  <c r="Q60" i="10"/>
  <c r="F60" i="10"/>
  <c r="G60" i="10"/>
  <c r="H60" i="10"/>
  <c r="E60" i="10"/>
  <c r="S41" i="10"/>
  <c r="R41" i="10"/>
  <c r="U41" i="10" s="1"/>
  <c r="S40" i="10"/>
  <c r="R40" i="10"/>
  <c r="U40" i="10" s="1"/>
  <c r="S42" i="10"/>
  <c r="S39" i="10"/>
  <c r="S38" i="10"/>
  <c r="R55" i="10"/>
  <c r="U55" i="10" s="1"/>
  <c r="S55" i="10"/>
  <c r="R54" i="10"/>
  <c r="U54" i="10" s="1"/>
  <c r="R53" i="10"/>
  <c r="U53" i="10" s="1"/>
  <c r="R52" i="10"/>
  <c r="U52" i="10" s="1"/>
  <c r="R51" i="10"/>
  <c r="U51" i="10" s="1"/>
  <c r="S51" i="10"/>
  <c r="R50" i="10"/>
  <c r="U50" i="10" s="1"/>
  <c r="R49" i="10"/>
  <c r="U49" i="10" s="1"/>
  <c r="R48" i="10"/>
  <c r="U48" i="10" s="1"/>
  <c r="R47" i="10"/>
  <c r="U47" i="10" s="1"/>
  <c r="R46" i="10"/>
  <c r="U46" i="10" s="1"/>
  <c r="S46" i="10"/>
  <c r="R44" i="10"/>
  <c r="U44" i="10" s="1"/>
  <c r="R43" i="10"/>
  <c r="U43" i="10" s="1"/>
  <c r="R42" i="10"/>
  <c r="U42" i="10" s="1"/>
  <c r="R39" i="10"/>
  <c r="U39" i="10" s="1"/>
  <c r="R38" i="10"/>
  <c r="U38" i="10" s="1"/>
  <c r="S87" i="10"/>
  <c r="R87" i="10"/>
  <c r="U87" i="10" s="1"/>
  <c r="S86" i="10"/>
  <c r="R86" i="10"/>
  <c r="U86" i="10" s="1"/>
  <c r="S85" i="10"/>
  <c r="R85" i="10"/>
  <c r="U85" i="10" s="1"/>
  <c r="S84" i="10"/>
  <c r="R84" i="10"/>
  <c r="U84" i="10" s="1"/>
  <c r="S83" i="10"/>
  <c r="R83" i="10"/>
  <c r="U83" i="10" s="1"/>
  <c r="S82" i="10"/>
  <c r="R82" i="10"/>
  <c r="U82" i="10" s="1"/>
  <c r="R96" i="10"/>
  <c r="R100" i="10" s="1"/>
  <c r="Q96" i="10"/>
  <c r="Q100" i="10" s="1"/>
  <c r="P96" i="10"/>
  <c r="P100" i="10" s="1"/>
  <c r="O96" i="10"/>
  <c r="O100" i="10" s="1"/>
  <c r="N96" i="10"/>
  <c r="N100" i="10" s="1"/>
  <c r="M96" i="10"/>
  <c r="M100" i="10" s="1"/>
  <c r="L96" i="10"/>
  <c r="L100" i="10" s="1"/>
  <c r="K96" i="10"/>
  <c r="K100" i="10" s="1"/>
  <c r="J96" i="10"/>
  <c r="J100" i="10" s="1"/>
  <c r="I96" i="10"/>
  <c r="I100" i="10" s="1"/>
  <c r="H96" i="10"/>
  <c r="H100" i="10" s="1"/>
  <c r="G96" i="10"/>
  <c r="G100" i="10" s="1"/>
  <c r="F96" i="10"/>
  <c r="S96" i="10" s="1"/>
  <c r="S100" i="10" s="1"/>
  <c r="E96" i="10"/>
  <c r="E100" i="10" s="1"/>
  <c r="Q90" i="10"/>
  <c r="P90" i="10"/>
  <c r="O90" i="10"/>
  <c r="N90" i="10"/>
  <c r="M90" i="10"/>
  <c r="L90" i="10"/>
  <c r="L59" i="10"/>
  <c r="K90" i="10"/>
  <c r="J90" i="10"/>
  <c r="I90" i="10"/>
  <c r="H90" i="10"/>
  <c r="G90" i="10"/>
  <c r="F90" i="10"/>
  <c r="E90" i="10"/>
  <c r="Q89" i="10"/>
  <c r="P89" i="10"/>
  <c r="O89" i="10"/>
  <c r="N89" i="10"/>
  <c r="M89" i="10"/>
  <c r="M58" i="10"/>
  <c r="L89" i="10"/>
  <c r="K89" i="10"/>
  <c r="J89" i="10"/>
  <c r="I89" i="10"/>
  <c r="F89" i="10"/>
  <c r="G89" i="10"/>
  <c r="H89" i="10"/>
  <c r="H91" i="10" s="1"/>
  <c r="E89" i="10"/>
  <c r="E58" i="10"/>
  <c r="S80" i="10"/>
  <c r="R80" i="10"/>
  <c r="U80" i="10" s="1"/>
  <c r="S79" i="10"/>
  <c r="R79" i="10"/>
  <c r="U79" i="10" s="1"/>
  <c r="S78" i="10"/>
  <c r="R78" i="10"/>
  <c r="U78" i="10" s="1"/>
  <c r="S77" i="10"/>
  <c r="R77" i="10"/>
  <c r="U77" i="10" s="1"/>
  <c r="S76" i="10"/>
  <c r="R76" i="10"/>
  <c r="U76" i="10" s="1"/>
  <c r="S75" i="10"/>
  <c r="R75" i="10"/>
  <c r="U75" i="10" s="1"/>
  <c r="S74" i="10"/>
  <c r="R74" i="10"/>
  <c r="U74" i="10" s="1"/>
  <c r="S73" i="10"/>
  <c r="R73" i="10"/>
  <c r="U73" i="10" s="1"/>
  <c r="S71" i="10"/>
  <c r="R71" i="10"/>
  <c r="U71" i="10" s="1"/>
  <c r="S70" i="10"/>
  <c r="R70" i="10"/>
  <c r="U70" i="10" s="1"/>
  <c r="S69" i="10"/>
  <c r="R69" i="10"/>
  <c r="U69" i="10" s="1"/>
  <c r="S68" i="10"/>
  <c r="R68" i="10"/>
  <c r="U68" i="10" s="1"/>
  <c r="S67" i="10"/>
  <c r="R67" i="10"/>
  <c r="U67" i="10" s="1"/>
  <c r="Q59" i="10"/>
  <c r="P59" i="10"/>
  <c r="P57" i="10"/>
  <c r="P97" i="10" s="1"/>
  <c r="P58" i="10"/>
  <c r="O59" i="10"/>
  <c r="N59" i="10"/>
  <c r="M59" i="10"/>
  <c r="K59" i="10"/>
  <c r="J59" i="10"/>
  <c r="I59" i="10"/>
  <c r="H59" i="10"/>
  <c r="H57" i="10"/>
  <c r="H58" i="10"/>
  <c r="G59" i="10"/>
  <c r="F59" i="10"/>
  <c r="E59" i="10"/>
  <c r="Q58" i="10"/>
  <c r="O58" i="10"/>
  <c r="N58" i="10"/>
  <c r="L58" i="10"/>
  <c r="K58" i="10"/>
  <c r="J58" i="10"/>
  <c r="I58" i="10"/>
  <c r="G58" i="10"/>
  <c r="F58" i="10"/>
  <c r="R13" i="10"/>
  <c r="U13" i="10" s="1"/>
  <c r="R14" i="10"/>
  <c r="U14" i="10" s="1"/>
  <c r="R15" i="10"/>
  <c r="U15" i="10" s="1"/>
  <c r="R16" i="10"/>
  <c r="U16" i="10" s="1"/>
  <c r="R17" i="10"/>
  <c r="U17" i="10" s="1"/>
  <c r="R18" i="10"/>
  <c r="U18" i="10" s="1"/>
  <c r="R19" i="10"/>
  <c r="U19" i="10" s="1"/>
  <c r="R20" i="10"/>
  <c r="U20" i="10" s="1"/>
  <c r="R21" i="10"/>
  <c r="U21" i="10" s="1"/>
  <c r="R22" i="10"/>
  <c r="U22" i="10" s="1"/>
  <c r="R23" i="10"/>
  <c r="U23" i="10" s="1"/>
  <c r="O57" i="10"/>
  <c r="O97" i="10" s="1"/>
  <c r="N57" i="10"/>
  <c r="N97" i="10" s="1"/>
  <c r="M57" i="10"/>
  <c r="M97" i="10" s="1"/>
  <c r="L57" i="10"/>
  <c r="K57" i="10"/>
  <c r="K97" i="10" s="1"/>
  <c r="J57" i="10"/>
  <c r="I57" i="10"/>
  <c r="F57" i="10"/>
  <c r="F97" i="10" s="1"/>
  <c r="G57" i="10"/>
  <c r="E57" i="10"/>
  <c r="E97" i="10" s="1"/>
  <c r="S54" i="10"/>
  <c r="S53" i="10"/>
  <c r="S52" i="10"/>
  <c r="S50" i="10"/>
  <c r="S49" i="10"/>
  <c r="S48" i="10"/>
  <c r="S47" i="10"/>
  <c r="S44" i="10"/>
  <c r="S43" i="10"/>
  <c r="S36" i="10"/>
  <c r="R36" i="10"/>
  <c r="U36" i="10" s="1"/>
  <c r="S35" i="10"/>
  <c r="R35" i="10"/>
  <c r="U35" i="10" s="1"/>
  <c r="S34" i="10"/>
  <c r="R34" i="10"/>
  <c r="U34" i="10" s="1"/>
  <c r="S33" i="10"/>
  <c r="R33" i="10"/>
  <c r="U33" i="10" s="1"/>
  <c r="S32" i="10"/>
  <c r="R32" i="10"/>
  <c r="U32" i="10" s="1"/>
  <c r="S31" i="10"/>
  <c r="R31" i="10"/>
  <c r="U31" i="10" s="1"/>
  <c r="S30" i="10"/>
  <c r="R30" i="10"/>
  <c r="U30" i="10" s="1"/>
  <c r="S29" i="10"/>
  <c r="R29" i="10"/>
  <c r="U29" i="10" s="1"/>
  <c r="S28" i="10"/>
  <c r="R28" i="10"/>
  <c r="U28" i="10" s="1"/>
  <c r="S27" i="10"/>
  <c r="R27" i="10"/>
  <c r="U27" i="10" s="1"/>
  <c r="S26" i="10"/>
  <c r="R26" i="10"/>
  <c r="U26" i="10" s="1"/>
  <c r="S25" i="10"/>
  <c r="R25" i="10"/>
  <c r="U25" i="10" s="1"/>
  <c r="S23" i="10"/>
  <c r="S22" i="10"/>
  <c r="S21" i="10"/>
  <c r="S20" i="10"/>
  <c r="S19" i="10"/>
  <c r="S18" i="10"/>
  <c r="S17" i="10"/>
  <c r="S16" i="10"/>
  <c r="S15" i="10"/>
  <c r="S14" i="10"/>
  <c r="S13" i="10"/>
  <c r="S11" i="10"/>
  <c r="R11" i="10"/>
  <c r="S10" i="10"/>
  <c r="R10" i="10"/>
  <c r="U10" i="10" s="1"/>
  <c r="S75" i="9"/>
  <c r="S74" i="9"/>
  <c r="S72" i="9"/>
  <c r="R72" i="9"/>
  <c r="U72" i="9" s="1"/>
  <c r="S64" i="9"/>
  <c r="R64" i="9"/>
  <c r="U64" i="9" s="1"/>
  <c r="E35" i="9"/>
  <c r="R75" i="9"/>
  <c r="U75" i="9" s="1"/>
  <c r="R74" i="9"/>
  <c r="U74" i="9" s="1"/>
  <c r="K34" i="9"/>
  <c r="S34" i="9" s="1"/>
  <c r="K78" i="9"/>
  <c r="K15" i="9"/>
  <c r="S15" i="9" s="1"/>
  <c r="S66" i="9"/>
  <c r="R66" i="9"/>
  <c r="U66" i="9" s="1"/>
  <c r="S65" i="9"/>
  <c r="R65" i="9"/>
  <c r="U65" i="9" s="1"/>
  <c r="K38" i="9"/>
  <c r="K56" i="9" s="1"/>
  <c r="F56" i="9"/>
  <c r="G56" i="9"/>
  <c r="H56" i="9"/>
  <c r="I56" i="9"/>
  <c r="J56" i="9"/>
  <c r="L56" i="9"/>
  <c r="M56" i="9"/>
  <c r="N56" i="9"/>
  <c r="O56" i="9"/>
  <c r="P56" i="9"/>
  <c r="Q56" i="9"/>
  <c r="J79" i="9"/>
  <c r="S71" i="9"/>
  <c r="R71" i="9"/>
  <c r="U71" i="9" s="1"/>
  <c r="S76" i="9"/>
  <c r="S73" i="9"/>
  <c r="S70" i="9"/>
  <c r="S69" i="9"/>
  <c r="S67" i="9"/>
  <c r="S63" i="9"/>
  <c r="S11" i="9"/>
  <c r="S10" i="9"/>
  <c r="S21" i="9"/>
  <c r="S20" i="9"/>
  <c r="S19" i="9"/>
  <c r="S18" i="9"/>
  <c r="S17" i="9"/>
  <c r="S16" i="9"/>
  <c r="J14" i="9"/>
  <c r="R14" i="9" s="1"/>
  <c r="U14" i="9" s="1"/>
  <c r="S13" i="9"/>
  <c r="R13" i="9"/>
  <c r="U13" i="9" s="1"/>
  <c r="S33" i="9"/>
  <c r="S32" i="9"/>
  <c r="S31" i="9"/>
  <c r="S30" i="9"/>
  <c r="S29" i="9"/>
  <c r="S28" i="9"/>
  <c r="S27" i="9"/>
  <c r="S26" i="9"/>
  <c r="R26" i="9"/>
  <c r="U26" i="9" s="1"/>
  <c r="S25" i="9"/>
  <c r="J24" i="9"/>
  <c r="J78" i="9"/>
  <c r="S23" i="9"/>
  <c r="S35" i="9"/>
  <c r="S51" i="9"/>
  <c r="S50" i="9"/>
  <c r="S49" i="9"/>
  <c r="S48" i="9"/>
  <c r="S47" i="9"/>
  <c r="S46" i="9"/>
  <c r="S45" i="9"/>
  <c r="S44" i="9"/>
  <c r="S43" i="9"/>
  <c r="S42" i="9"/>
  <c r="S41" i="9"/>
  <c r="S40" i="9"/>
  <c r="S37" i="9"/>
  <c r="S39" i="9"/>
  <c r="Q79" i="9"/>
  <c r="P79" i="9"/>
  <c r="O79" i="9"/>
  <c r="N79" i="9"/>
  <c r="M79" i="9"/>
  <c r="I79" i="9"/>
  <c r="H79" i="9"/>
  <c r="G79" i="9"/>
  <c r="F79" i="9"/>
  <c r="Q78" i="9"/>
  <c r="Q55" i="9"/>
  <c r="P78" i="9"/>
  <c r="P55" i="9"/>
  <c r="O78" i="9"/>
  <c r="O55" i="9"/>
  <c r="N78" i="9"/>
  <c r="N55" i="9"/>
  <c r="M78" i="9"/>
  <c r="M55" i="9"/>
  <c r="I78" i="9"/>
  <c r="I55" i="9"/>
  <c r="H78" i="9"/>
  <c r="H55" i="9"/>
  <c r="F78" i="9"/>
  <c r="F55" i="9"/>
  <c r="Q54" i="9"/>
  <c r="Q86" i="9" s="1"/>
  <c r="P54" i="9"/>
  <c r="O54" i="9"/>
  <c r="O86" i="9" s="1"/>
  <c r="N54" i="9"/>
  <c r="N86" i="9" s="1"/>
  <c r="M54" i="9"/>
  <c r="M86" i="9" s="1"/>
  <c r="I54" i="9"/>
  <c r="I86" i="9" s="1"/>
  <c r="H54" i="9"/>
  <c r="H86" i="9" s="1"/>
  <c r="G54" i="9"/>
  <c r="G86" i="9" s="1"/>
  <c r="F54" i="9"/>
  <c r="F86" i="9" s="1"/>
  <c r="F53" i="9"/>
  <c r="F85" i="9" s="1"/>
  <c r="E54" i="9"/>
  <c r="E86" i="9" s="1"/>
  <c r="Q53" i="9"/>
  <c r="Q85" i="9" s="1"/>
  <c r="P53" i="9"/>
  <c r="P85" i="9" s="1"/>
  <c r="O53" i="9"/>
  <c r="O85" i="9" s="1"/>
  <c r="N53" i="9"/>
  <c r="N85" i="9" s="1"/>
  <c r="M53" i="9"/>
  <c r="M85" i="9" s="1"/>
  <c r="J53" i="9"/>
  <c r="J85" i="9" s="1"/>
  <c r="I53" i="9"/>
  <c r="I85" i="9" s="1"/>
  <c r="H53" i="9"/>
  <c r="H85" i="9" s="1"/>
  <c r="G53" i="9"/>
  <c r="E53" i="9"/>
  <c r="E85" i="9" s="1"/>
  <c r="R76" i="9"/>
  <c r="U76" i="9" s="1"/>
  <c r="R70" i="9"/>
  <c r="U70" i="9" s="1"/>
  <c r="L79" i="9"/>
  <c r="K79" i="9"/>
  <c r="L78" i="9"/>
  <c r="L55" i="9"/>
  <c r="G78" i="9"/>
  <c r="E79" i="9"/>
  <c r="E56" i="9"/>
  <c r="E78" i="9"/>
  <c r="G55" i="9"/>
  <c r="R51" i="9"/>
  <c r="U51" i="9" s="1"/>
  <c r="R50" i="9"/>
  <c r="U50" i="9" s="1"/>
  <c r="R49" i="9"/>
  <c r="U49" i="9" s="1"/>
  <c r="R48" i="9"/>
  <c r="U48" i="9" s="1"/>
  <c r="R47" i="9"/>
  <c r="U47" i="9" s="1"/>
  <c r="R46" i="9"/>
  <c r="U46" i="9" s="1"/>
  <c r="R45" i="9"/>
  <c r="U45" i="9" s="1"/>
  <c r="R44" i="9"/>
  <c r="U44" i="9" s="1"/>
  <c r="R43" i="9"/>
  <c r="U43" i="9" s="1"/>
  <c r="R42" i="9"/>
  <c r="U42" i="9" s="1"/>
  <c r="R41" i="9"/>
  <c r="U41" i="9" s="1"/>
  <c r="R40" i="9"/>
  <c r="U40" i="9" s="1"/>
  <c r="R39" i="9"/>
  <c r="U39" i="9" s="1"/>
  <c r="R69" i="9"/>
  <c r="U69" i="9" s="1"/>
  <c r="R37" i="9"/>
  <c r="U37" i="9" s="1"/>
  <c r="R67" i="9"/>
  <c r="U67" i="9" s="1"/>
  <c r="R63" i="9"/>
  <c r="U63" i="9" s="1"/>
  <c r="R35" i="9"/>
  <c r="R33" i="9"/>
  <c r="U33" i="9" s="1"/>
  <c r="R32" i="9"/>
  <c r="U32" i="9" s="1"/>
  <c r="R31" i="9"/>
  <c r="U31" i="9" s="1"/>
  <c r="R30" i="9"/>
  <c r="U30" i="9" s="1"/>
  <c r="R29" i="9"/>
  <c r="U29" i="9" s="1"/>
  <c r="R28" i="9"/>
  <c r="U28" i="9" s="1"/>
  <c r="R27" i="9"/>
  <c r="U27" i="9" s="1"/>
  <c r="R73" i="9"/>
  <c r="U73" i="9" s="1"/>
  <c r="R25" i="9"/>
  <c r="U25" i="9" s="1"/>
  <c r="R23" i="9"/>
  <c r="U23" i="9" s="1"/>
  <c r="R21" i="9"/>
  <c r="U21" i="9" s="1"/>
  <c r="R20" i="9"/>
  <c r="U20" i="9" s="1"/>
  <c r="R19" i="9"/>
  <c r="U19" i="9" s="1"/>
  <c r="R18" i="9"/>
  <c r="U18" i="9" s="1"/>
  <c r="R17" i="9"/>
  <c r="U17" i="9" s="1"/>
  <c r="R16" i="9"/>
  <c r="U16" i="9" s="1"/>
  <c r="R11" i="9"/>
  <c r="U11" i="9" s="1"/>
  <c r="L54" i="9"/>
  <c r="L86" i="9" s="1"/>
  <c r="L53" i="9"/>
  <c r="L85" i="9" s="1"/>
  <c r="K53" i="9"/>
  <c r="K85" i="9" s="1"/>
  <c r="R10" i="9"/>
  <c r="D25" i="8"/>
  <c r="D24" i="8"/>
  <c r="D23" i="8"/>
  <c r="D22" i="8"/>
  <c r="D21" i="8"/>
  <c r="D20" i="8"/>
  <c r="D19" i="8"/>
  <c r="D18" i="8"/>
  <c r="D17" i="8"/>
  <c r="D16" i="8"/>
  <c r="D15" i="8"/>
  <c r="D14" i="8"/>
  <c r="D13" i="8"/>
  <c r="D12" i="8"/>
  <c r="D11" i="8"/>
  <c r="D10" i="8"/>
  <c r="D9" i="8"/>
  <c r="D8" i="8"/>
  <c r="D7" i="8"/>
  <c r="D6" i="8"/>
  <c r="D5" i="8"/>
  <c r="D4" i="8"/>
  <c r="D3" i="8"/>
  <c r="D2" i="8"/>
  <c r="S51" i="7"/>
  <c r="R51" i="7"/>
  <c r="U51" i="7" s="1"/>
  <c r="R50" i="7"/>
  <c r="U50" i="7" s="1"/>
  <c r="S50" i="7"/>
  <c r="S49" i="7"/>
  <c r="R49" i="7"/>
  <c r="U49" i="7" s="1"/>
  <c r="R38" i="7"/>
  <c r="U38" i="7" s="1"/>
  <c r="S38" i="7"/>
  <c r="R30" i="6"/>
  <c r="U30" i="6" s="1"/>
  <c r="F56" i="7"/>
  <c r="G56" i="7"/>
  <c r="H56" i="7"/>
  <c r="I56" i="7"/>
  <c r="J56" i="7"/>
  <c r="K56" i="7"/>
  <c r="L56" i="7"/>
  <c r="M56" i="7"/>
  <c r="N56" i="7"/>
  <c r="O56" i="7"/>
  <c r="P56" i="7"/>
  <c r="Q56" i="7"/>
  <c r="Q53" i="7"/>
  <c r="Q54" i="7"/>
  <c r="Q55" i="7"/>
  <c r="E56" i="7"/>
  <c r="S48" i="7"/>
  <c r="R48" i="7"/>
  <c r="U48" i="7" s="1"/>
  <c r="S47" i="7"/>
  <c r="R47" i="7"/>
  <c r="U47" i="7" s="1"/>
  <c r="S46" i="7"/>
  <c r="R46" i="7"/>
  <c r="U46" i="7" s="1"/>
  <c r="S45" i="7"/>
  <c r="R45" i="7"/>
  <c r="U45" i="7" s="1"/>
  <c r="S44" i="7"/>
  <c r="R44" i="7"/>
  <c r="U44" i="7" s="1"/>
  <c r="S43" i="7"/>
  <c r="R43" i="7"/>
  <c r="U43" i="7" s="1"/>
  <c r="S42" i="7"/>
  <c r="R42" i="7"/>
  <c r="U42" i="7" s="1"/>
  <c r="S41" i="7"/>
  <c r="R41" i="7"/>
  <c r="U41" i="7" s="1"/>
  <c r="S40" i="7"/>
  <c r="R40" i="7"/>
  <c r="U40" i="7" s="1"/>
  <c r="S39" i="7"/>
  <c r="R39" i="7"/>
  <c r="U39" i="7" s="1"/>
  <c r="S37" i="7"/>
  <c r="R37" i="7"/>
  <c r="U37" i="7" s="1"/>
  <c r="P55" i="7"/>
  <c r="F55" i="7"/>
  <c r="G55" i="7"/>
  <c r="H55" i="7"/>
  <c r="I55" i="7"/>
  <c r="J55" i="7"/>
  <c r="K55" i="7"/>
  <c r="L55" i="7"/>
  <c r="M55" i="7"/>
  <c r="N55" i="7"/>
  <c r="O55" i="7"/>
  <c r="O53" i="7"/>
  <c r="O54" i="7"/>
  <c r="E55" i="7"/>
  <c r="P54" i="7"/>
  <c r="N54" i="7"/>
  <c r="M54" i="7"/>
  <c r="L54" i="7"/>
  <c r="K54" i="7"/>
  <c r="J54" i="7"/>
  <c r="I54" i="7"/>
  <c r="H54" i="7"/>
  <c r="G54" i="7"/>
  <c r="F54" i="7"/>
  <c r="E54" i="7"/>
  <c r="E53" i="7"/>
  <c r="P53" i="7"/>
  <c r="N53" i="7"/>
  <c r="M53" i="7"/>
  <c r="L53" i="7"/>
  <c r="K53" i="7"/>
  <c r="J53" i="7"/>
  <c r="F53" i="7"/>
  <c r="G53" i="7"/>
  <c r="H53" i="7"/>
  <c r="I53" i="7"/>
  <c r="S35" i="7"/>
  <c r="R35" i="7"/>
  <c r="U35" i="7" s="1"/>
  <c r="S34" i="7"/>
  <c r="R34" i="7"/>
  <c r="U34" i="7" s="1"/>
  <c r="S33" i="7"/>
  <c r="R33" i="7"/>
  <c r="U33" i="7" s="1"/>
  <c r="S32" i="7"/>
  <c r="R32" i="7"/>
  <c r="U32" i="7" s="1"/>
  <c r="S31" i="7"/>
  <c r="R31" i="7"/>
  <c r="U31" i="7" s="1"/>
  <c r="S30" i="7"/>
  <c r="R30" i="7"/>
  <c r="U30" i="7" s="1"/>
  <c r="S29" i="7"/>
  <c r="R29" i="7"/>
  <c r="U29" i="7" s="1"/>
  <c r="S28" i="7"/>
  <c r="R28" i="7"/>
  <c r="U28" i="7" s="1"/>
  <c r="S27" i="7"/>
  <c r="R27" i="7"/>
  <c r="U27" i="7" s="1"/>
  <c r="S26" i="7"/>
  <c r="R26" i="7"/>
  <c r="U26" i="7" s="1"/>
  <c r="S25" i="7"/>
  <c r="R25" i="7"/>
  <c r="U25" i="7" s="1"/>
  <c r="S24" i="7"/>
  <c r="R24" i="7"/>
  <c r="U24" i="7" s="1"/>
  <c r="S23" i="7"/>
  <c r="R23" i="7"/>
  <c r="U23" i="7" s="1"/>
  <c r="S21" i="7"/>
  <c r="R21" i="7"/>
  <c r="U21" i="7" s="1"/>
  <c r="S20" i="7"/>
  <c r="R20" i="7"/>
  <c r="U20" i="7" s="1"/>
  <c r="S19" i="7"/>
  <c r="R19" i="7"/>
  <c r="U19" i="7" s="1"/>
  <c r="S18" i="7"/>
  <c r="R18" i="7"/>
  <c r="U18" i="7" s="1"/>
  <c r="S17" i="7"/>
  <c r="R17" i="7"/>
  <c r="S16" i="7"/>
  <c r="R16" i="7"/>
  <c r="U16" i="7" s="1"/>
  <c r="S15" i="7"/>
  <c r="R15" i="7"/>
  <c r="U15" i="7" s="1"/>
  <c r="S13" i="7"/>
  <c r="R13" i="7"/>
  <c r="U13" i="7" s="1"/>
  <c r="S12" i="7"/>
  <c r="R12" i="7"/>
  <c r="U12" i="7" s="1"/>
  <c r="S11" i="7"/>
  <c r="R11" i="7"/>
  <c r="S10" i="7"/>
  <c r="R10" i="7"/>
  <c r="U10" i="7" s="1"/>
  <c r="R49" i="6"/>
  <c r="U49" i="6" s="1"/>
  <c r="S49" i="6"/>
  <c r="F55" i="6"/>
  <c r="G55" i="6"/>
  <c r="H55" i="6"/>
  <c r="I55" i="6"/>
  <c r="J55" i="6"/>
  <c r="K55" i="6"/>
  <c r="L55" i="6"/>
  <c r="M55" i="6"/>
  <c r="N55" i="6"/>
  <c r="O55" i="6"/>
  <c r="P55" i="6"/>
  <c r="Q55" i="6"/>
  <c r="E55" i="6"/>
  <c r="E54" i="6"/>
  <c r="Q54" i="6"/>
  <c r="P54" i="6"/>
  <c r="O54" i="6"/>
  <c r="N54" i="6"/>
  <c r="N52" i="6"/>
  <c r="N53" i="6"/>
  <c r="M54" i="6"/>
  <c r="L54" i="6"/>
  <c r="L52" i="6"/>
  <c r="L53" i="6"/>
  <c r="K54" i="6"/>
  <c r="J54" i="6"/>
  <c r="I54" i="6"/>
  <c r="H54" i="6"/>
  <c r="G54" i="6"/>
  <c r="F54" i="6"/>
  <c r="Q53" i="6"/>
  <c r="P53" i="6"/>
  <c r="O53" i="6"/>
  <c r="M53" i="6"/>
  <c r="K53" i="6"/>
  <c r="J53" i="6"/>
  <c r="I53" i="6"/>
  <c r="H53" i="6"/>
  <c r="H52" i="6"/>
  <c r="G53" i="6"/>
  <c r="F53" i="6"/>
  <c r="E53" i="6"/>
  <c r="Q52" i="6"/>
  <c r="P52" i="6"/>
  <c r="O52" i="6"/>
  <c r="M52" i="6"/>
  <c r="K52" i="6"/>
  <c r="J52" i="6"/>
  <c r="I52" i="6"/>
  <c r="G52" i="6"/>
  <c r="F52" i="6"/>
  <c r="E52" i="6"/>
  <c r="S50" i="6"/>
  <c r="R50" i="6"/>
  <c r="U50" i="6" s="1"/>
  <c r="S48" i="6"/>
  <c r="R48" i="6"/>
  <c r="U48" i="6" s="1"/>
  <c r="S47" i="6"/>
  <c r="R47" i="6"/>
  <c r="U47" i="6" s="1"/>
  <c r="S46" i="6"/>
  <c r="R46" i="6"/>
  <c r="U46" i="6" s="1"/>
  <c r="S45" i="6"/>
  <c r="R45" i="6"/>
  <c r="U45" i="6" s="1"/>
  <c r="S44" i="6"/>
  <c r="R44" i="6"/>
  <c r="U44" i="6" s="1"/>
  <c r="S43" i="6"/>
  <c r="R43" i="6"/>
  <c r="U43" i="6" s="1"/>
  <c r="S42" i="6"/>
  <c r="R42" i="6"/>
  <c r="U42" i="6" s="1"/>
  <c r="S41" i="6"/>
  <c r="R41" i="6"/>
  <c r="U41" i="6" s="1"/>
  <c r="S40" i="6"/>
  <c r="R40" i="6"/>
  <c r="U40" i="6" s="1"/>
  <c r="S39" i="6"/>
  <c r="R39" i="6"/>
  <c r="U39" i="6" s="1"/>
  <c r="S38" i="6"/>
  <c r="R38" i="6"/>
  <c r="S36" i="6"/>
  <c r="T36" i="6" s="1"/>
  <c r="R36" i="6"/>
  <c r="S35" i="6"/>
  <c r="R35" i="6"/>
  <c r="U35" i="6" s="1"/>
  <c r="S34" i="6"/>
  <c r="R34" i="6"/>
  <c r="U34" i="6" s="1"/>
  <c r="S33" i="6"/>
  <c r="R33" i="6"/>
  <c r="U33" i="6" s="1"/>
  <c r="S32" i="6"/>
  <c r="R32" i="6"/>
  <c r="U32" i="6" s="1"/>
  <c r="S31" i="6"/>
  <c r="R31" i="6"/>
  <c r="U31" i="6" s="1"/>
  <c r="S30" i="6"/>
  <c r="S29" i="6"/>
  <c r="R29" i="6"/>
  <c r="U29" i="6" s="1"/>
  <c r="S28" i="6"/>
  <c r="R28" i="6"/>
  <c r="U28" i="6" s="1"/>
  <c r="S27" i="6"/>
  <c r="R27" i="6"/>
  <c r="U27" i="6" s="1"/>
  <c r="S26" i="6"/>
  <c r="R26" i="6"/>
  <c r="U26" i="6" s="1"/>
  <c r="S24" i="6"/>
  <c r="R24" i="6"/>
  <c r="U24" i="6" s="1"/>
  <c r="S23" i="6"/>
  <c r="R23" i="6"/>
  <c r="U23" i="6" s="1"/>
  <c r="S22" i="6"/>
  <c r="R22" i="6"/>
  <c r="U22" i="6" s="1"/>
  <c r="S21" i="6"/>
  <c r="R21" i="6"/>
  <c r="U21" i="6" s="1"/>
  <c r="S20" i="6"/>
  <c r="R20" i="6"/>
  <c r="U20" i="6" s="1"/>
  <c r="S19" i="6"/>
  <c r="R19" i="6"/>
  <c r="U19" i="6" s="1"/>
  <c r="S18" i="6"/>
  <c r="R18" i="6"/>
  <c r="R17" i="6"/>
  <c r="U17" i="6" s="1"/>
  <c r="R10" i="6"/>
  <c r="R12" i="6"/>
  <c r="U12" i="6" s="1"/>
  <c r="R13" i="6"/>
  <c r="U13" i="6" s="1"/>
  <c r="R14" i="6"/>
  <c r="U14" i="6" s="1"/>
  <c r="S17" i="6"/>
  <c r="S15" i="6"/>
  <c r="T15" i="6" s="1"/>
  <c r="R15" i="6"/>
  <c r="S14" i="6"/>
  <c r="S13" i="6"/>
  <c r="S12" i="6"/>
  <c r="S11" i="6"/>
  <c r="T11" i="6" s="1"/>
  <c r="R11" i="6"/>
  <c r="S10" i="6"/>
  <c r="Q55" i="5"/>
  <c r="Q52" i="5"/>
  <c r="Q53" i="5"/>
  <c r="Q54" i="5"/>
  <c r="P55" i="5"/>
  <c r="O55" i="5"/>
  <c r="N55" i="5"/>
  <c r="M55" i="5"/>
  <c r="L55" i="5"/>
  <c r="K55" i="5"/>
  <c r="J55" i="5"/>
  <c r="I55" i="5"/>
  <c r="H55" i="5"/>
  <c r="G55" i="5"/>
  <c r="F55" i="5"/>
  <c r="E55" i="5"/>
  <c r="P54" i="5"/>
  <c r="P52" i="5"/>
  <c r="P53" i="5"/>
  <c r="O54" i="5"/>
  <c r="N54" i="5"/>
  <c r="N52" i="5"/>
  <c r="N53" i="5"/>
  <c r="M54" i="5"/>
  <c r="L54" i="5"/>
  <c r="K54" i="5"/>
  <c r="J54" i="5"/>
  <c r="I54" i="5"/>
  <c r="H54" i="5"/>
  <c r="G54" i="5"/>
  <c r="F54" i="5"/>
  <c r="E54" i="5"/>
  <c r="O53" i="5"/>
  <c r="M53" i="5"/>
  <c r="L53" i="5"/>
  <c r="K53" i="5"/>
  <c r="J53" i="5"/>
  <c r="I53" i="5"/>
  <c r="H53" i="5"/>
  <c r="G53" i="5"/>
  <c r="F53" i="5"/>
  <c r="E53" i="5"/>
  <c r="O52" i="5"/>
  <c r="M52" i="5"/>
  <c r="L52" i="5"/>
  <c r="K52" i="5"/>
  <c r="J52" i="5"/>
  <c r="I52" i="5"/>
  <c r="H52" i="5"/>
  <c r="G52" i="5"/>
  <c r="F52" i="5"/>
  <c r="E52" i="5"/>
  <c r="S50" i="5"/>
  <c r="R50" i="5"/>
  <c r="U50" i="5" s="1"/>
  <c r="Y50" i="5" s="1"/>
  <c r="S49" i="5"/>
  <c r="R49" i="5"/>
  <c r="U49" i="5" s="1"/>
  <c r="S48" i="5"/>
  <c r="R48" i="5"/>
  <c r="U48" i="5" s="1"/>
  <c r="Y47" i="5"/>
  <c r="S46" i="5"/>
  <c r="R46" i="5"/>
  <c r="U46" i="5" s="1"/>
  <c r="S45" i="5"/>
  <c r="R45" i="5"/>
  <c r="U45" i="5" s="1"/>
  <c r="S44" i="5"/>
  <c r="R44" i="5"/>
  <c r="U44" i="5" s="1"/>
  <c r="Y44" i="5" s="1"/>
  <c r="S43" i="5"/>
  <c r="R43" i="5"/>
  <c r="U43" i="5" s="1"/>
  <c r="Y43" i="5" s="1"/>
  <c r="S42" i="5"/>
  <c r="R42" i="5"/>
  <c r="U42" i="5" s="1"/>
  <c r="Y42" i="5" s="1"/>
  <c r="S41" i="5"/>
  <c r="R41" i="5"/>
  <c r="U41" i="5" s="1"/>
  <c r="Y41" i="5" s="1"/>
  <c r="S40" i="5"/>
  <c r="R40" i="5"/>
  <c r="U40" i="5" s="1"/>
  <c r="S39" i="5"/>
  <c r="R39" i="5"/>
  <c r="U39" i="5" s="1"/>
  <c r="Y39" i="5" s="1"/>
  <c r="S38" i="5"/>
  <c r="R38" i="5"/>
  <c r="U38" i="5" s="1"/>
  <c r="S37" i="5"/>
  <c r="R37" i="5"/>
  <c r="U37" i="5" s="1"/>
  <c r="Y37" i="5" s="1"/>
  <c r="S36" i="5"/>
  <c r="R36" i="5"/>
  <c r="U36" i="5" s="1"/>
  <c r="Y36" i="5" s="1"/>
  <c r="Y35" i="5"/>
  <c r="S34" i="5"/>
  <c r="R34" i="5"/>
  <c r="U34" i="5" s="1"/>
  <c r="Y34" i="5" s="1"/>
  <c r="S33" i="5"/>
  <c r="R33" i="5"/>
  <c r="U33" i="5" s="1"/>
  <c r="Y33" i="5" s="1"/>
  <c r="S32" i="5"/>
  <c r="R32" i="5"/>
  <c r="U32" i="5" s="1"/>
  <c r="Y32" i="5" s="1"/>
  <c r="S31" i="5"/>
  <c r="R31" i="5"/>
  <c r="U31" i="5" s="1"/>
  <c r="S30" i="5"/>
  <c r="R30" i="5"/>
  <c r="U30" i="5" s="1"/>
  <c r="S29" i="5"/>
  <c r="R29" i="5"/>
  <c r="U29" i="5" s="1"/>
  <c r="S28" i="5"/>
  <c r="R28" i="5"/>
  <c r="U28" i="5" s="1"/>
  <c r="S27" i="5"/>
  <c r="R27" i="5"/>
  <c r="U27" i="5" s="1"/>
  <c r="Y27" i="5" s="1"/>
  <c r="S26" i="5"/>
  <c r="R26" i="5"/>
  <c r="U26" i="5" s="1"/>
  <c r="Y26" i="5" s="1"/>
  <c r="S25" i="5"/>
  <c r="R25" i="5"/>
  <c r="U25" i="5" s="1"/>
  <c r="Y25" i="5" s="1"/>
  <c r="Y24" i="5"/>
  <c r="S23" i="5"/>
  <c r="R23" i="5"/>
  <c r="U23" i="5" s="1"/>
  <c r="S22" i="5"/>
  <c r="R22" i="5"/>
  <c r="U22" i="5" s="1"/>
  <c r="Y22" i="5" s="1"/>
  <c r="S21" i="5"/>
  <c r="R21" i="5"/>
  <c r="U21" i="5" s="1"/>
  <c r="S20" i="5"/>
  <c r="R20" i="5"/>
  <c r="U20" i="5" s="1"/>
  <c r="Y20" i="5" s="1"/>
  <c r="S19" i="5"/>
  <c r="R19" i="5"/>
  <c r="U19" i="5" s="1"/>
  <c r="Y19" i="5" s="1"/>
  <c r="S18" i="5"/>
  <c r="R18" i="5"/>
  <c r="U18" i="5" s="1"/>
  <c r="S17" i="5"/>
  <c r="R17" i="5"/>
  <c r="U17" i="5" s="1"/>
  <c r="S16" i="5"/>
  <c r="R16" i="5"/>
  <c r="U16" i="5" s="1"/>
  <c r="Y16" i="5" s="1"/>
  <c r="S15" i="5"/>
  <c r="R15" i="5"/>
  <c r="U15" i="5" s="1"/>
  <c r="S14" i="5"/>
  <c r="T14" i="5" s="1"/>
  <c r="R14" i="5"/>
  <c r="S13" i="5"/>
  <c r="R13" i="5"/>
  <c r="U13" i="5" s="1"/>
  <c r="S11" i="5"/>
  <c r="R11" i="5"/>
  <c r="S10" i="5"/>
  <c r="R10" i="5"/>
  <c r="U10" i="5" s="1"/>
  <c r="S9" i="5"/>
  <c r="R9" i="5"/>
  <c r="U9" i="5" s="1"/>
  <c r="Q45" i="3"/>
  <c r="P45" i="3"/>
  <c r="P43" i="3"/>
  <c r="P44" i="3"/>
  <c r="O45" i="3"/>
  <c r="N45" i="3"/>
  <c r="M45" i="3"/>
  <c r="L45" i="3"/>
  <c r="K45" i="3"/>
  <c r="J45" i="3"/>
  <c r="I45" i="3"/>
  <c r="H45" i="3"/>
  <c r="H43" i="3"/>
  <c r="H44" i="3"/>
  <c r="G45" i="3"/>
  <c r="F45" i="3"/>
  <c r="E45" i="3"/>
  <c r="Q44" i="3"/>
  <c r="O44" i="3"/>
  <c r="N44" i="3"/>
  <c r="M44" i="3"/>
  <c r="L44" i="3"/>
  <c r="K44" i="3"/>
  <c r="J44" i="3"/>
  <c r="I44" i="3"/>
  <c r="G44" i="3"/>
  <c r="F44" i="3"/>
  <c r="E44" i="3"/>
  <c r="E43" i="3"/>
  <c r="Q43" i="3"/>
  <c r="O43" i="3"/>
  <c r="N43" i="3"/>
  <c r="M43" i="3"/>
  <c r="L43" i="3"/>
  <c r="K43" i="3"/>
  <c r="J43" i="3"/>
  <c r="I43" i="3"/>
  <c r="G43" i="3"/>
  <c r="F43" i="3"/>
  <c r="S41" i="3"/>
  <c r="R41" i="3"/>
  <c r="U41" i="3" s="1"/>
  <c r="S40" i="3"/>
  <c r="R40" i="3"/>
  <c r="U40" i="3" s="1"/>
  <c r="S39" i="3"/>
  <c r="R39" i="3"/>
  <c r="U39" i="3" s="1"/>
  <c r="S38" i="3"/>
  <c r="R38" i="3"/>
  <c r="U38" i="3" s="1"/>
  <c r="S37" i="3"/>
  <c r="R37" i="3"/>
  <c r="U37" i="3" s="1"/>
  <c r="S36" i="3"/>
  <c r="R36" i="3"/>
  <c r="U36" i="3" s="1"/>
  <c r="S35" i="3"/>
  <c r="R35" i="3"/>
  <c r="U35" i="3" s="1"/>
  <c r="S34" i="3"/>
  <c r="R34" i="3"/>
  <c r="U34" i="3" s="1"/>
  <c r="S32" i="3"/>
  <c r="R32" i="3"/>
  <c r="U32" i="3" s="1"/>
  <c r="S31" i="3"/>
  <c r="R31" i="3"/>
  <c r="U31" i="3" s="1"/>
  <c r="S30" i="3"/>
  <c r="R30" i="3"/>
  <c r="U30" i="3" s="1"/>
  <c r="S29" i="3"/>
  <c r="R29" i="3"/>
  <c r="U29" i="3" s="1"/>
  <c r="S28" i="3"/>
  <c r="R28" i="3"/>
  <c r="U28" i="3" s="1"/>
  <c r="S27" i="3"/>
  <c r="R27" i="3"/>
  <c r="U27" i="3" s="1"/>
  <c r="S26" i="3"/>
  <c r="R26" i="3"/>
  <c r="S25" i="3"/>
  <c r="R25" i="3"/>
  <c r="U25" i="3" s="1"/>
  <c r="S24" i="3"/>
  <c r="R24" i="3"/>
  <c r="U24" i="3" s="1"/>
  <c r="S23" i="3"/>
  <c r="R23" i="3"/>
  <c r="U23" i="3" s="1"/>
  <c r="S21" i="3"/>
  <c r="R21" i="3"/>
  <c r="U21" i="3" s="1"/>
  <c r="S20" i="3"/>
  <c r="R20" i="3"/>
  <c r="U20" i="3" s="1"/>
  <c r="S19" i="3"/>
  <c r="R19" i="3"/>
  <c r="U19" i="3" s="1"/>
  <c r="S18" i="3"/>
  <c r="R18" i="3"/>
  <c r="U18" i="3" s="1"/>
  <c r="S17" i="3"/>
  <c r="R17" i="3"/>
  <c r="U17" i="3" s="1"/>
  <c r="S16" i="3"/>
  <c r="R16" i="3"/>
  <c r="U16" i="3" s="1"/>
  <c r="S15" i="3"/>
  <c r="R15" i="3"/>
  <c r="U15" i="3" s="1"/>
  <c r="S14" i="3"/>
  <c r="R14" i="3"/>
  <c r="U14" i="3" s="1"/>
  <c r="S13" i="3"/>
  <c r="R13" i="3"/>
  <c r="U13" i="3" s="1"/>
  <c r="S12" i="3"/>
  <c r="R12" i="3"/>
  <c r="U12" i="3" s="1"/>
  <c r="S11" i="3"/>
  <c r="R11" i="3"/>
  <c r="U11" i="3" s="1"/>
  <c r="S9" i="3"/>
  <c r="R9" i="3"/>
  <c r="U9" i="3" s="1"/>
  <c r="S8" i="3"/>
  <c r="R8" i="3"/>
  <c r="U8" i="3" s="1"/>
  <c r="S7" i="3"/>
  <c r="R7" i="3"/>
  <c r="U7" i="3" s="1"/>
  <c r="Q49" i="2"/>
  <c r="P49" i="2"/>
  <c r="O49" i="2"/>
  <c r="N49" i="2"/>
  <c r="M49" i="2"/>
  <c r="L49" i="2"/>
  <c r="F49" i="2"/>
  <c r="G49" i="2"/>
  <c r="H49" i="2"/>
  <c r="I49" i="2"/>
  <c r="J49" i="2"/>
  <c r="K49" i="2"/>
  <c r="E49" i="2"/>
  <c r="Q48" i="2"/>
  <c r="P48" i="2"/>
  <c r="O48" i="2"/>
  <c r="N48" i="2"/>
  <c r="M48" i="2"/>
  <c r="L48" i="2"/>
  <c r="K48" i="2"/>
  <c r="J48" i="2"/>
  <c r="I48" i="2"/>
  <c r="H48" i="2"/>
  <c r="G48" i="2"/>
  <c r="F48" i="2"/>
  <c r="E48" i="2"/>
  <c r="Q46" i="2"/>
  <c r="P46" i="2"/>
  <c r="O46" i="2"/>
  <c r="N46" i="2"/>
  <c r="M46" i="2"/>
  <c r="L46" i="2"/>
  <c r="K46" i="2"/>
  <c r="J46" i="2"/>
  <c r="I46" i="2"/>
  <c r="H46" i="2"/>
  <c r="G46" i="2"/>
  <c r="F46" i="2"/>
  <c r="E46" i="2"/>
  <c r="Q45" i="2"/>
  <c r="P45" i="2"/>
  <c r="O45" i="2"/>
  <c r="N45" i="2"/>
  <c r="M45" i="2"/>
  <c r="L45" i="2"/>
  <c r="K45" i="2"/>
  <c r="J45" i="2"/>
  <c r="I45" i="2"/>
  <c r="H45" i="2"/>
  <c r="G45" i="2"/>
  <c r="F45" i="2"/>
  <c r="E45" i="2"/>
  <c r="Q44" i="2"/>
  <c r="P44" i="2"/>
  <c r="O44" i="2"/>
  <c r="N44" i="2"/>
  <c r="M44" i="2"/>
  <c r="F44" i="2"/>
  <c r="G44" i="2"/>
  <c r="H44" i="2"/>
  <c r="I44" i="2"/>
  <c r="J44" i="2"/>
  <c r="K44" i="2"/>
  <c r="L44" i="2"/>
  <c r="E44" i="2"/>
  <c r="Q43" i="2"/>
  <c r="P43" i="2"/>
  <c r="O43" i="2"/>
  <c r="N43" i="2"/>
  <c r="M43" i="2"/>
  <c r="L43" i="2"/>
  <c r="K43" i="2"/>
  <c r="J43" i="2"/>
  <c r="F43" i="2"/>
  <c r="G43" i="2"/>
  <c r="H43" i="2"/>
  <c r="I43" i="2"/>
  <c r="E43" i="2"/>
  <c r="S41" i="2"/>
  <c r="T41" i="2" s="1"/>
  <c r="R41" i="2"/>
  <c r="S40" i="2"/>
  <c r="R40" i="2"/>
  <c r="U40" i="2" s="1"/>
  <c r="S39" i="2"/>
  <c r="R39" i="2"/>
  <c r="U39" i="2" s="1"/>
  <c r="S38" i="2"/>
  <c r="R38" i="2"/>
  <c r="U38" i="2" s="1"/>
  <c r="S37" i="2"/>
  <c r="S36" i="2"/>
  <c r="T36" i="2" s="1"/>
  <c r="R36" i="2"/>
  <c r="S35" i="2"/>
  <c r="R35" i="2"/>
  <c r="U35" i="2" s="1"/>
  <c r="S34" i="2"/>
  <c r="R34" i="2"/>
  <c r="U34" i="2" s="1"/>
  <c r="S33" i="2"/>
  <c r="R33" i="2"/>
  <c r="U33" i="2" s="1"/>
  <c r="S32" i="2"/>
  <c r="R32" i="2"/>
  <c r="U32" i="2" s="1"/>
  <c r="S31" i="2"/>
  <c r="R31" i="2"/>
  <c r="U31" i="2" s="1"/>
  <c r="S30" i="2"/>
  <c r="R30" i="2"/>
  <c r="U30" i="2" s="1"/>
  <c r="S29" i="2"/>
  <c r="R29" i="2"/>
  <c r="U29" i="2" s="1"/>
  <c r="S28" i="2"/>
  <c r="R28" i="2"/>
  <c r="U28" i="2" s="1"/>
  <c r="S27" i="2"/>
  <c r="R27" i="2"/>
  <c r="U27" i="2" s="1"/>
  <c r="S26" i="2"/>
  <c r="R26" i="2"/>
  <c r="U26" i="2" s="1"/>
  <c r="S24" i="2"/>
  <c r="T24" i="2" s="1"/>
  <c r="R24" i="2"/>
  <c r="S23" i="2"/>
  <c r="T23" i="2" s="1"/>
  <c r="R23" i="2"/>
  <c r="S22" i="2"/>
  <c r="T22" i="2" s="1"/>
  <c r="R22" i="2"/>
  <c r="S21" i="2"/>
  <c r="T21" i="2" s="1"/>
  <c r="R21" i="2"/>
  <c r="S20" i="2"/>
  <c r="T20" i="2" s="1"/>
  <c r="R20" i="2"/>
  <c r="S19" i="2"/>
  <c r="R19" i="2"/>
  <c r="U19" i="2" s="1"/>
  <c r="S18" i="2"/>
  <c r="R18" i="2"/>
  <c r="U18" i="2" s="1"/>
  <c r="S17" i="2"/>
  <c r="T17" i="2" s="1"/>
  <c r="R17" i="2"/>
  <c r="S16" i="2"/>
  <c r="T16" i="2" s="1"/>
  <c r="R16" i="2"/>
  <c r="S15" i="2"/>
  <c r="R15" i="2"/>
  <c r="U15" i="2" s="1"/>
  <c r="S14" i="2"/>
  <c r="R14" i="2"/>
  <c r="U14" i="2" s="1"/>
  <c r="S13" i="2"/>
  <c r="R13" i="2"/>
  <c r="U13" i="2" s="1"/>
  <c r="S12" i="2"/>
  <c r="R12" i="2"/>
  <c r="U12" i="2" s="1"/>
  <c r="S11" i="2"/>
  <c r="R11" i="2"/>
  <c r="U11" i="2" s="1"/>
  <c r="S9" i="2"/>
  <c r="R9" i="2"/>
  <c r="U9" i="2" s="1"/>
  <c r="S8" i="2"/>
  <c r="T8" i="2" s="1"/>
  <c r="R8" i="2"/>
  <c r="S7" i="2"/>
  <c r="T7" i="2" s="1"/>
  <c r="R7" i="2"/>
  <c r="S6" i="2"/>
  <c r="R6" i="2"/>
  <c r="U6" i="2" s="1"/>
  <c r="R5" i="2"/>
  <c r="U5" i="2" s="1"/>
  <c r="S5" i="2"/>
  <c r="S3" i="2"/>
  <c r="T3" i="2" s="1"/>
  <c r="R3" i="2"/>
  <c r="Q41" i="1"/>
  <c r="N41" i="1"/>
  <c r="M41" i="1"/>
  <c r="L41" i="1"/>
  <c r="K41" i="1"/>
  <c r="J41" i="1"/>
  <c r="I41" i="1"/>
  <c r="H41" i="1"/>
  <c r="C41" i="1"/>
  <c r="D41" i="1"/>
  <c r="E41" i="1"/>
  <c r="F41" i="1"/>
  <c r="G41" i="1"/>
  <c r="Q40" i="1"/>
  <c r="N40" i="1"/>
  <c r="M40" i="1"/>
  <c r="L40" i="1"/>
  <c r="K40" i="1"/>
  <c r="J40" i="1"/>
  <c r="I40" i="1"/>
  <c r="H40" i="1"/>
  <c r="C40" i="1"/>
  <c r="D40" i="1"/>
  <c r="E40" i="1"/>
  <c r="F40" i="1"/>
  <c r="G40" i="1"/>
  <c r="Q38" i="1"/>
  <c r="N38" i="1"/>
  <c r="M38" i="1"/>
  <c r="L38" i="1"/>
  <c r="K38" i="1"/>
  <c r="J38" i="1"/>
  <c r="I38" i="1"/>
  <c r="H38" i="1"/>
  <c r="G38" i="1"/>
  <c r="F38" i="1"/>
  <c r="E38" i="1"/>
  <c r="C38" i="1"/>
  <c r="D38" i="1"/>
  <c r="Q37" i="1"/>
  <c r="N37" i="1"/>
  <c r="M37" i="1"/>
  <c r="L37" i="1"/>
  <c r="K37" i="1"/>
  <c r="J37" i="1"/>
  <c r="I37" i="1"/>
  <c r="H37" i="1"/>
  <c r="G37" i="1"/>
  <c r="F37" i="1"/>
  <c r="E37" i="1"/>
  <c r="D37" i="1"/>
  <c r="C37" i="1"/>
  <c r="Q36" i="1"/>
  <c r="N36" i="1"/>
  <c r="M36" i="1"/>
  <c r="L36" i="1"/>
  <c r="K36" i="1"/>
  <c r="J36" i="1"/>
  <c r="I36" i="1"/>
  <c r="H36" i="1"/>
  <c r="G36" i="1"/>
  <c r="F36" i="1"/>
  <c r="E36" i="1"/>
  <c r="D36" i="1"/>
  <c r="C36" i="1"/>
  <c r="P34" i="1"/>
  <c r="O34" i="1"/>
  <c r="S34" i="1" s="1"/>
  <c r="P33" i="1"/>
  <c r="O33" i="1"/>
  <c r="S33" i="1" s="1"/>
  <c r="P32" i="1"/>
  <c r="O32" i="1"/>
  <c r="S32" i="1" s="1"/>
  <c r="P31" i="1"/>
  <c r="O31" i="1"/>
  <c r="S31" i="1" s="1"/>
  <c r="P30" i="1"/>
  <c r="O30" i="1"/>
  <c r="S30" i="1" s="1"/>
  <c r="P29" i="1"/>
  <c r="O29" i="1"/>
  <c r="S29" i="1" s="1"/>
  <c r="P28" i="1"/>
  <c r="O28" i="1"/>
  <c r="S28" i="1" s="1"/>
  <c r="P27" i="1"/>
  <c r="O27" i="1"/>
  <c r="S27" i="1" s="1"/>
  <c r="P26" i="1"/>
  <c r="O26" i="1"/>
  <c r="S26" i="1" s="1"/>
  <c r="P25" i="1"/>
  <c r="O25" i="1"/>
  <c r="S25" i="1" s="1"/>
  <c r="P24" i="1"/>
  <c r="O24" i="1"/>
  <c r="S24" i="1" s="1"/>
  <c r="P23" i="1"/>
  <c r="O23" i="1"/>
  <c r="S23" i="1" s="1"/>
  <c r="P22" i="1"/>
  <c r="O22" i="1"/>
  <c r="S22" i="1" s="1"/>
  <c r="P21" i="1"/>
  <c r="O21" i="1"/>
  <c r="S21" i="1" s="1"/>
  <c r="P20" i="1"/>
  <c r="O20" i="1"/>
  <c r="S20" i="1" s="1"/>
  <c r="P19" i="1"/>
  <c r="O19" i="1"/>
  <c r="S19" i="1" s="1"/>
  <c r="P18" i="1"/>
  <c r="O18" i="1"/>
  <c r="S18" i="1" s="1"/>
  <c r="P17" i="1"/>
  <c r="O17" i="1"/>
  <c r="S17" i="1" s="1"/>
  <c r="P16" i="1"/>
  <c r="O16" i="1"/>
  <c r="S16" i="1" s="1"/>
  <c r="P15" i="1"/>
  <c r="O15" i="1"/>
  <c r="S15" i="1" s="1"/>
  <c r="P14" i="1"/>
  <c r="O14" i="1"/>
  <c r="S14" i="1" s="1"/>
  <c r="P13" i="1"/>
  <c r="O13" i="1"/>
  <c r="S13" i="1" s="1"/>
  <c r="P12" i="1"/>
  <c r="O12" i="1"/>
  <c r="S12" i="1" s="1"/>
  <c r="P11" i="1"/>
  <c r="O11" i="1"/>
  <c r="S11" i="1" s="1"/>
  <c r="P10" i="1"/>
  <c r="O10" i="1"/>
  <c r="S10" i="1" s="1"/>
  <c r="P9" i="1"/>
  <c r="O9" i="1"/>
  <c r="S9" i="1" s="1"/>
  <c r="P8" i="1"/>
  <c r="O8" i="1"/>
  <c r="S8" i="1" s="1"/>
  <c r="P7" i="1"/>
  <c r="O7" i="1"/>
  <c r="S7" i="1" s="1"/>
  <c r="P6" i="1"/>
  <c r="O6" i="1"/>
  <c r="S6" i="1" s="1"/>
  <c r="P5" i="1"/>
  <c r="O5" i="1"/>
  <c r="S5" i="1" s="1"/>
  <c r="P4" i="1"/>
  <c r="O4" i="1"/>
  <c r="S4" i="1" s="1"/>
  <c r="P3" i="1"/>
  <c r="O3" i="1"/>
  <c r="S3" i="1" s="1"/>
  <c r="Y48" i="5"/>
  <c r="T52" i="10" l="1"/>
  <c r="T19" i="10"/>
  <c r="S17" i="11"/>
  <c r="S33" i="11"/>
  <c r="T46" i="6"/>
  <c r="T16" i="7"/>
  <c r="T25" i="7"/>
  <c r="T31" i="7"/>
  <c r="T33" i="7"/>
  <c r="T48" i="5"/>
  <c r="T30" i="9"/>
  <c r="T21" i="3"/>
  <c r="T63" i="9"/>
  <c r="J91" i="10"/>
  <c r="T18" i="5"/>
  <c r="T39" i="7"/>
  <c r="K56" i="5"/>
  <c r="T13" i="6"/>
  <c r="K56" i="6"/>
  <c r="T82" i="10"/>
  <c r="P91" i="10"/>
  <c r="T33" i="9"/>
  <c r="T44" i="10"/>
  <c r="T32" i="9"/>
  <c r="T54" i="10"/>
  <c r="R38" i="9"/>
  <c r="U38" i="9" s="1"/>
  <c r="S38" i="9"/>
  <c r="T16" i="9"/>
  <c r="T20" i="9"/>
  <c r="T47" i="10"/>
  <c r="G91" i="10"/>
  <c r="T87" i="10"/>
  <c r="Q61" i="11"/>
  <c r="T61" i="11" s="1"/>
  <c r="F47" i="3"/>
  <c r="I99" i="10"/>
  <c r="M56" i="5"/>
  <c r="T47" i="9"/>
  <c r="T51" i="9"/>
  <c r="H65" i="11"/>
  <c r="N57" i="9"/>
  <c r="T49" i="9"/>
  <c r="S51" i="11"/>
  <c r="T24" i="6"/>
  <c r="T83" i="10"/>
  <c r="T27" i="9"/>
  <c r="T23" i="9"/>
  <c r="T43" i="9"/>
  <c r="I57" i="9"/>
  <c r="T39" i="10"/>
  <c r="N87" i="9"/>
  <c r="T31" i="10"/>
  <c r="O56" i="5"/>
  <c r="Q56" i="5"/>
  <c r="H80" i="9"/>
  <c r="K99" i="10"/>
  <c r="S18" i="11"/>
  <c r="S35" i="11"/>
  <c r="T10" i="5"/>
  <c r="T18" i="9"/>
  <c r="P98" i="10"/>
  <c r="T21" i="7"/>
  <c r="T26" i="7"/>
  <c r="T37" i="7"/>
  <c r="T46" i="7"/>
  <c r="G88" i="9"/>
  <c r="T70" i="10"/>
  <c r="T40" i="10"/>
  <c r="T19" i="6"/>
  <c r="T26" i="5"/>
  <c r="T46" i="5"/>
  <c r="L98" i="10"/>
  <c r="O91" i="10"/>
  <c r="Q99" i="10"/>
  <c r="O98" i="10"/>
  <c r="T17" i="10"/>
  <c r="J98" i="10"/>
  <c r="T49" i="10"/>
  <c r="Y46" i="5"/>
  <c r="T19" i="9"/>
  <c r="T19" i="5"/>
  <c r="T41" i="6"/>
  <c r="I56" i="6"/>
  <c r="O80" i="9"/>
  <c r="G61" i="10"/>
  <c r="G99" i="10"/>
  <c r="N99" i="10"/>
  <c r="T45" i="10"/>
  <c r="K55" i="9"/>
  <c r="K87" i="9" s="1"/>
  <c r="G87" i="9"/>
  <c r="L80" i="9"/>
  <c r="M80" i="9"/>
  <c r="K47" i="3"/>
  <c r="T22" i="10"/>
  <c r="T39" i="9"/>
  <c r="J99" i="10"/>
  <c r="T24" i="7"/>
  <c r="T70" i="9"/>
  <c r="H99" i="10"/>
  <c r="O99" i="10"/>
  <c r="T85" i="10"/>
  <c r="R90" i="10"/>
  <c r="U90" i="10" s="1"/>
  <c r="Q57" i="9"/>
  <c r="H57" i="9"/>
  <c r="N91" i="10"/>
  <c r="R43" i="3"/>
  <c r="T15" i="5"/>
  <c r="O61" i="10"/>
  <c r="L91" i="10"/>
  <c r="G56" i="6"/>
  <c r="N47" i="3"/>
  <c r="S52" i="5"/>
  <c r="T10" i="10"/>
  <c r="T12" i="3"/>
  <c r="T20" i="3"/>
  <c r="T25" i="9"/>
  <c r="T71" i="10"/>
  <c r="S53" i="11"/>
  <c r="T32" i="6"/>
  <c r="T75" i="10"/>
  <c r="H56" i="6"/>
  <c r="T65" i="9"/>
  <c r="S59" i="10"/>
  <c r="R59" i="10"/>
  <c r="E99" i="10"/>
  <c r="Q63" i="11"/>
  <c r="T63" i="11" s="1"/>
  <c r="R5" i="1"/>
  <c r="T14" i="3"/>
  <c r="Q47" i="3"/>
  <c r="T50" i="5"/>
  <c r="M56" i="6"/>
  <c r="J57" i="7"/>
  <c r="T38" i="7"/>
  <c r="Q80" i="9"/>
  <c r="T28" i="9"/>
  <c r="T11" i="9"/>
  <c r="K61" i="10"/>
  <c r="Q62" i="11"/>
  <c r="T62" i="11" s="1"/>
  <c r="T81" i="12"/>
  <c r="E91" i="10"/>
  <c r="U96" i="10"/>
  <c r="T96" i="10" s="1"/>
  <c r="R27" i="1"/>
  <c r="T27" i="6"/>
  <c r="T38" i="10"/>
  <c r="T42" i="5"/>
  <c r="F100" i="10"/>
  <c r="H56" i="5"/>
  <c r="S57" i="11"/>
  <c r="T39" i="5"/>
  <c r="Y18" i="5"/>
  <c r="R8" i="1"/>
  <c r="R12" i="1"/>
  <c r="T38" i="2"/>
  <c r="T8" i="3"/>
  <c r="S50" i="11"/>
  <c r="T14" i="6"/>
  <c r="E56" i="6"/>
  <c r="N56" i="6"/>
  <c r="I80" i="9"/>
  <c r="N61" i="10"/>
  <c r="H88" i="9"/>
  <c r="R15" i="9"/>
  <c r="U15" i="9" s="1"/>
  <c r="T15" i="9" s="1"/>
  <c r="R33" i="1"/>
  <c r="T39" i="2"/>
  <c r="T71" i="9"/>
  <c r="S22" i="11"/>
  <c r="S23" i="11"/>
  <c r="S53" i="9"/>
  <c r="R79" i="9"/>
  <c r="U79" i="9" s="1"/>
  <c r="K54" i="9"/>
  <c r="K86" i="9" s="1"/>
  <c r="R10" i="1"/>
  <c r="K57" i="7"/>
  <c r="T49" i="7"/>
  <c r="F87" i="9"/>
  <c r="T76" i="10"/>
  <c r="R28" i="1"/>
  <c r="T35" i="2"/>
  <c r="I47" i="3"/>
  <c r="T16" i="5"/>
  <c r="T20" i="5"/>
  <c r="T43" i="6"/>
  <c r="T18" i="10"/>
  <c r="T84" i="10"/>
  <c r="S14" i="11"/>
  <c r="S21" i="11"/>
  <c r="S29" i="11"/>
  <c r="F56" i="5"/>
  <c r="T41" i="7"/>
  <c r="T43" i="7"/>
  <c r="P88" i="9"/>
  <c r="S14" i="9"/>
  <c r="T14" i="9" s="1"/>
  <c r="R57" i="10"/>
  <c r="R97" i="10" s="1"/>
  <c r="U97" i="10" s="1"/>
  <c r="T35" i="10"/>
  <c r="T5" i="2"/>
  <c r="J56" i="6"/>
  <c r="R4" i="1"/>
  <c r="T38" i="3"/>
  <c r="T32" i="5"/>
  <c r="T13" i="10"/>
  <c r="T42" i="10"/>
  <c r="T50" i="10"/>
  <c r="S12" i="11"/>
  <c r="S26" i="11"/>
  <c r="S44" i="11"/>
  <c r="T30" i="5"/>
  <c r="Y30" i="5"/>
  <c r="L57" i="9"/>
  <c r="T23" i="10"/>
  <c r="T15" i="10"/>
  <c r="F99" i="10"/>
  <c r="M91" i="10"/>
  <c r="M65" i="11"/>
  <c r="T39" i="3"/>
  <c r="T27" i="5"/>
  <c r="T45" i="6"/>
  <c r="T50" i="6"/>
  <c r="F56" i="6"/>
  <c r="S56" i="7"/>
  <c r="T25" i="10"/>
  <c r="T36" i="10"/>
  <c r="T74" i="10"/>
  <c r="G65" i="11"/>
  <c r="T15" i="3"/>
  <c r="T19" i="3"/>
  <c r="T10" i="7"/>
  <c r="T27" i="7"/>
  <c r="T20" i="10"/>
  <c r="F61" i="10"/>
  <c r="I91" i="10"/>
  <c r="L56" i="5"/>
  <c r="T17" i="6"/>
  <c r="T29" i="6"/>
  <c r="T26" i="10"/>
  <c r="T30" i="10"/>
  <c r="T60" i="11"/>
  <c r="T16" i="3"/>
  <c r="T47" i="6"/>
  <c r="T50" i="7"/>
  <c r="P57" i="9"/>
  <c r="S79" i="9"/>
  <c r="T50" i="9"/>
  <c r="T13" i="9"/>
  <c r="T73" i="9"/>
  <c r="O88" i="9"/>
  <c r="T34" i="10"/>
  <c r="U100" i="10"/>
  <c r="T100" i="10" s="1"/>
  <c r="S54" i="11"/>
  <c r="R15" i="1"/>
  <c r="R19" i="1"/>
  <c r="S48" i="2"/>
  <c r="T41" i="3"/>
  <c r="T48" i="7"/>
  <c r="G57" i="9"/>
  <c r="S24" i="11"/>
  <c r="G85" i="9"/>
  <c r="R31" i="1"/>
  <c r="T12" i="2"/>
  <c r="T19" i="2"/>
  <c r="T34" i="2"/>
  <c r="L47" i="3"/>
  <c r="J47" i="3"/>
  <c r="T22" i="6"/>
  <c r="T34" i="6"/>
  <c r="T20" i="7"/>
  <c r="R55" i="7"/>
  <c r="T28" i="7"/>
  <c r="T35" i="7"/>
  <c r="R53" i="9"/>
  <c r="R85" i="9" s="1"/>
  <c r="U85" i="9" s="1"/>
  <c r="T42" i="9"/>
  <c r="P86" i="9"/>
  <c r="T67" i="10"/>
  <c r="Q91" i="10"/>
  <c r="S13" i="11"/>
  <c r="S30" i="11"/>
  <c r="S56" i="11"/>
  <c r="S41" i="11"/>
  <c r="N88" i="9"/>
  <c r="T67" i="9"/>
  <c r="T23" i="6"/>
  <c r="T35" i="6"/>
  <c r="T68" i="10"/>
  <c r="S58" i="11"/>
  <c r="R56" i="7"/>
  <c r="R11" i="1"/>
  <c r="R18" i="1"/>
  <c r="T30" i="3"/>
  <c r="T35" i="3"/>
  <c r="O47" i="3"/>
  <c r="M47" i="3"/>
  <c r="T22" i="5"/>
  <c r="T44" i="6"/>
  <c r="T29" i="7"/>
  <c r="N80" i="9"/>
  <c r="G80" i="9"/>
  <c r="J80" i="9"/>
  <c r="T73" i="10"/>
  <c r="T29" i="2"/>
  <c r="T36" i="3"/>
  <c r="T23" i="7"/>
  <c r="T33" i="10"/>
  <c r="L65" i="11"/>
  <c r="R54" i="6"/>
  <c r="S53" i="5"/>
  <c r="R16" i="1"/>
  <c r="R23" i="1"/>
  <c r="R30" i="1"/>
  <c r="R34" i="1"/>
  <c r="T11" i="2"/>
  <c r="T15" i="2"/>
  <c r="T24" i="3"/>
  <c r="T21" i="6"/>
  <c r="T34" i="7"/>
  <c r="T17" i="9"/>
  <c r="I87" i="9"/>
  <c r="T53" i="10"/>
  <c r="P99" i="10"/>
  <c r="T46" i="10"/>
  <c r="T29" i="5"/>
  <c r="Y29" i="5"/>
  <c r="Y23" i="5"/>
  <c r="T23" i="5"/>
  <c r="U55" i="7"/>
  <c r="R14" i="1"/>
  <c r="R22" i="1"/>
  <c r="R26" i="1"/>
  <c r="T31" i="2"/>
  <c r="R46" i="2"/>
  <c r="U46" i="2" s="1"/>
  <c r="R48" i="2"/>
  <c r="U48" i="2" s="1"/>
  <c r="R49" i="2"/>
  <c r="U49" i="2" s="1"/>
  <c r="T11" i="3"/>
  <c r="T13" i="3"/>
  <c r="T33" i="5"/>
  <c r="J56" i="5"/>
  <c r="T12" i="6"/>
  <c r="T26" i="6"/>
  <c r="T31" i="6"/>
  <c r="T39" i="6"/>
  <c r="T48" i="6"/>
  <c r="Q56" i="6"/>
  <c r="T18" i="7"/>
  <c r="T30" i="7"/>
  <c r="H57" i="7"/>
  <c r="T41" i="9"/>
  <c r="J54" i="9"/>
  <c r="T31" i="9"/>
  <c r="J88" i="9"/>
  <c r="I88" i="9"/>
  <c r="T66" i="9"/>
  <c r="R34" i="9"/>
  <c r="U34" i="9" s="1"/>
  <c r="T34" i="9" s="1"/>
  <c r="T43" i="10"/>
  <c r="T69" i="10"/>
  <c r="T77" i="10"/>
  <c r="G98" i="10"/>
  <c r="N98" i="10"/>
  <c r="L99" i="10"/>
  <c r="S40" i="11"/>
  <c r="S36" i="11"/>
  <c r="S38" i="11"/>
  <c r="S52" i="11"/>
  <c r="T69" i="9"/>
  <c r="M88" i="9"/>
  <c r="R6" i="1"/>
  <c r="T14" i="2"/>
  <c r="T27" i="2"/>
  <c r="T18" i="3"/>
  <c r="R45" i="3"/>
  <c r="T37" i="3"/>
  <c r="T40" i="3"/>
  <c r="G47" i="3"/>
  <c r="T13" i="5"/>
  <c r="T34" i="5"/>
  <c r="T37" i="5"/>
  <c r="T41" i="5"/>
  <c r="T44" i="5"/>
  <c r="L87" i="9"/>
  <c r="Q88" i="9"/>
  <c r="H61" i="10"/>
  <c r="P61" i="10"/>
  <c r="E98" i="10"/>
  <c r="M61" i="10"/>
  <c r="J65" i="11"/>
  <c r="R63" i="11"/>
  <c r="S32" i="11"/>
  <c r="S46" i="11"/>
  <c r="R17" i="1"/>
  <c r="O37" i="1"/>
  <c r="P37" i="1" s="1"/>
  <c r="R37" i="1" s="1"/>
  <c r="T26" i="2"/>
  <c r="T28" i="2"/>
  <c r="T25" i="3"/>
  <c r="T36" i="5"/>
  <c r="R55" i="5"/>
  <c r="T43" i="5"/>
  <c r="E56" i="5"/>
  <c r="G56" i="5"/>
  <c r="T42" i="6"/>
  <c r="T12" i="7"/>
  <c r="T15" i="7"/>
  <c r="T19" i="7"/>
  <c r="G57" i="7"/>
  <c r="L57" i="7"/>
  <c r="S55" i="7"/>
  <c r="T40" i="7"/>
  <c r="T44" i="7"/>
  <c r="Q57" i="7"/>
  <c r="I57" i="7"/>
  <c r="T30" i="6"/>
  <c r="T40" i="9"/>
  <c r="T44" i="9"/>
  <c r="T48" i="9"/>
  <c r="P80" i="9"/>
  <c r="F57" i="9"/>
  <c r="T32" i="10"/>
  <c r="T21" i="10"/>
  <c r="T14" i="10"/>
  <c r="I98" i="10"/>
  <c r="H98" i="10"/>
  <c r="T48" i="10"/>
  <c r="P65" i="11"/>
  <c r="M87" i="9"/>
  <c r="M57" i="9"/>
  <c r="J97" i="10"/>
  <c r="J61" i="10"/>
  <c r="R44" i="3"/>
  <c r="S90" i="10"/>
  <c r="S58" i="10"/>
  <c r="S78" i="9"/>
  <c r="T23" i="3"/>
  <c r="U26" i="3"/>
  <c r="T26" i="3" s="1"/>
  <c r="T29" i="3"/>
  <c r="T34" i="3"/>
  <c r="S44" i="3"/>
  <c r="U18" i="6"/>
  <c r="T18" i="6" s="1"/>
  <c r="R53" i="6"/>
  <c r="R55" i="6"/>
  <c r="U38" i="6"/>
  <c r="T38" i="6" s="1"/>
  <c r="T47" i="7"/>
  <c r="T45" i="9"/>
  <c r="U11" i="10"/>
  <c r="T11" i="10" s="1"/>
  <c r="T29" i="10"/>
  <c r="I97" i="10"/>
  <c r="I61" i="10"/>
  <c r="T16" i="10"/>
  <c r="M99" i="10"/>
  <c r="O41" i="1"/>
  <c r="P41" i="1" s="1"/>
  <c r="R41" i="1" s="1"/>
  <c r="S46" i="2"/>
  <c r="U11" i="7"/>
  <c r="T11" i="7" s="1"/>
  <c r="R53" i="7"/>
  <c r="E57" i="7"/>
  <c r="M98" i="10"/>
  <c r="S43" i="3"/>
  <c r="S44" i="2"/>
  <c r="S52" i="6"/>
  <c r="S54" i="7"/>
  <c r="N57" i="7"/>
  <c r="E88" i="9"/>
  <c r="F88" i="9"/>
  <c r="F80" i="9"/>
  <c r="E80" i="9"/>
  <c r="O36" i="1"/>
  <c r="P36" i="1" s="1"/>
  <c r="R36" i="1" s="1"/>
  <c r="R21" i="1"/>
  <c r="R25" i="1"/>
  <c r="T33" i="2"/>
  <c r="S45" i="3"/>
  <c r="T20" i="6"/>
  <c r="U17" i="7"/>
  <c r="U54" i="7" s="1"/>
  <c r="R54" i="7"/>
  <c r="T21" i="9"/>
  <c r="T29" i="9"/>
  <c r="R78" i="9"/>
  <c r="T27" i="10"/>
  <c r="L97" i="10"/>
  <c r="L61" i="10"/>
  <c r="F98" i="10"/>
  <c r="F91" i="10"/>
  <c r="T21" i="5"/>
  <c r="Y21" i="5"/>
  <c r="R58" i="10"/>
  <c r="R53" i="5"/>
  <c r="K80" i="9"/>
  <c r="T18" i="2"/>
  <c r="T30" i="2"/>
  <c r="Y49" i="5"/>
  <c r="T49" i="5"/>
  <c r="J55" i="9"/>
  <c r="S24" i="9"/>
  <c r="R24" i="9"/>
  <c r="R56" i="9" s="1"/>
  <c r="E61" i="10"/>
  <c r="Q61" i="10"/>
  <c r="Q98" i="10"/>
  <c r="Y40" i="5"/>
  <c r="T40" i="5"/>
  <c r="U10" i="9"/>
  <c r="T10" i="9" s="1"/>
  <c r="O38" i="1"/>
  <c r="P38" i="1" s="1"/>
  <c r="R38" i="1" s="1"/>
  <c r="R43" i="2"/>
  <c r="U43" i="2" s="1"/>
  <c r="S43" i="2"/>
  <c r="S45" i="2"/>
  <c r="R45" i="2"/>
  <c r="U45" i="2" s="1"/>
  <c r="T32" i="3"/>
  <c r="T38" i="5"/>
  <c r="Y38" i="5"/>
  <c r="I56" i="5"/>
  <c r="U10" i="6"/>
  <c r="T10" i="6" s="1"/>
  <c r="R52" i="6"/>
  <c r="L56" i="6"/>
  <c r="T49" i="6"/>
  <c r="T13" i="7"/>
  <c r="M57" i="7"/>
  <c r="H87" i="9"/>
  <c r="O87" i="9"/>
  <c r="T28" i="10"/>
  <c r="G97" i="10"/>
  <c r="S57" i="10"/>
  <c r="R54" i="5"/>
  <c r="T25" i="5"/>
  <c r="F57" i="7"/>
  <c r="T9" i="2"/>
  <c r="T13" i="2"/>
  <c r="P47" i="3"/>
  <c r="U11" i="5"/>
  <c r="T11" i="5" s="1"/>
  <c r="R52" i="5"/>
  <c r="T28" i="5"/>
  <c r="Y28" i="5"/>
  <c r="S54" i="5"/>
  <c r="S55" i="5"/>
  <c r="K88" i="9"/>
  <c r="O57" i="9"/>
  <c r="T64" i="9"/>
  <c r="S89" i="10"/>
  <c r="K98" i="10"/>
  <c r="K91" i="10"/>
  <c r="T80" i="10"/>
  <c r="R24" i="1"/>
  <c r="T32" i="2"/>
  <c r="E47" i="3"/>
  <c r="S53" i="6"/>
  <c r="O56" i="6"/>
  <c r="T51" i="7"/>
  <c r="K65" i="11"/>
  <c r="R61" i="11"/>
  <c r="S20" i="11"/>
  <c r="S39" i="11"/>
  <c r="S47" i="11"/>
  <c r="T86" i="10"/>
  <c r="R62" i="11"/>
  <c r="S25" i="11"/>
  <c r="R3" i="1"/>
  <c r="R20" i="1"/>
  <c r="R29" i="1"/>
  <c r="T40" i="2"/>
  <c r="T27" i="3"/>
  <c r="T28" i="6"/>
  <c r="T37" i="9"/>
  <c r="T76" i="9"/>
  <c r="P87" i="9"/>
  <c r="T72" i="9"/>
  <c r="S48" i="11"/>
  <c r="R9" i="1"/>
  <c r="R32" i="1"/>
  <c r="O40" i="1"/>
  <c r="P40" i="1" s="1"/>
  <c r="R40" i="1" s="1"/>
  <c r="T31" i="3"/>
  <c r="T40" i="6"/>
  <c r="T32" i="7"/>
  <c r="T26" i="9"/>
  <c r="R89" i="10"/>
  <c r="E65" i="11"/>
  <c r="O65" i="11"/>
  <c r="T41" i="10"/>
  <c r="R60" i="11"/>
  <c r="I65" i="11"/>
  <c r="Q64" i="11"/>
  <c r="T64" i="11" s="1"/>
  <c r="T9" i="3"/>
  <c r="R7" i="1"/>
  <c r="R13" i="1"/>
  <c r="S49" i="2"/>
  <c r="H47" i="3"/>
  <c r="S53" i="7"/>
  <c r="O57" i="7"/>
  <c r="T46" i="9"/>
  <c r="Q87" i="9"/>
  <c r="T55" i="10"/>
  <c r="F65" i="11"/>
  <c r="T10" i="11"/>
  <c r="S10" i="11" s="1"/>
  <c r="S55" i="11"/>
  <c r="S78" i="12"/>
  <c r="S77" i="12"/>
  <c r="R81" i="12"/>
  <c r="T17" i="5"/>
  <c r="Y17" i="5"/>
  <c r="U53" i="5"/>
  <c r="T9" i="5"/>
  <c r="T45" i="7"/>
  <c r="U56" i="7"/>
  <c r="T45" i="5"/>
  <c r="Y45" i="5"/>
  <c r="T17" i="3"/>
  <c r="U44" i="3"/>
  <c r="T28" i="3"/>
  <c r="T31" i="5"/>
  <c r="Y31" i="5"/>
  <c r="U54" i="5"/>
  <c r="U43" i="3"/>
  <c r="T7" i="3"/>
  <c r="R44" i="2"/>
  <c r="U44" i="2" s="1"/>
  <c r="S55" i="6"/>
  <c r="S31" i="11"/>
  <c r="S45" i="11"/>
  <c r="S56" i="9"/>
  <c r="U55" i="5"/>
  <c r="P56" i="5"/>
  <c r="U54" i="6"/>
  <c r="T33" i="6"/>
  <c r="S54" i="6"/>
  <c r="T42" i="7"/>
  <c r="S28" i="11"/>
  <c r="S43" i="11"/>
  <c r="L88" i="9"/>
  <c r="E55" i="9"/>
  <c r="U35" i="9"/>
  <c r="T35" i="9" s="1"/>
  <c r="P56" i="6"/>
  <c r="N65" i="11"/>
  <c r="S15" i="11"/>
  <c r="S37" i="11"/>
  <c r="S19" i="11"/>
  <c r="P57" i="7"/>
  <c r="T51" i="10"/>
  <c r="N56" i="5"/>
  <c r="R64" i="11"/>
  <c r="S34" i="11"/>
  <c r="S49" i="11"/>
  <c r="H97" i="10"/>
  <c r="S76" i="12"/>
  <c r="S75" i="12"/>
  <c r="T38" i="9" l="1"/>
  <c r="N89" i="9"/>
  <c r="T44" i="2"/>
  <c r="I89" i="9"/>
  <c r="U53" i="7"/>
  <c r="U57" i="7" s="1"/>
  <c r="R99" i="10"/>
  <c r="U99" i="10" s="1"/>
  <c r="T17" i="7"/>
  <c r="O89" i="9"/>
  <c r="U59" i="10"/>
  <c r="T59" i="10" s="1"/>
  <c r="T44" i="3"/>
  <c r="S80" i="9"/>
  <c r="U53" i="9"/>
  <c r="T53" i="9" s="1"/>
  <c r="U55" i="6"/>
  <c r="T55" i="6" s="1"/>
  <c r="T48" i="2"/>
  <c r="Q89" i="9"/>
  <c r="G89" i="9"/>
  <c r="S99" i="10"/>
  <c r="T56" i="7"/>
  <c r="H89" i="9"/>
  <c r="R80" i="9"/>
  <c r="S60" i="11"/>
  <c r="S62" i="11"/>
  <c r="Q65" i="11"/>
  <c r="U52" i="5"/>
  <c r="T52" i="5" s="1"/>
  <c r="F89" i="9"/>
  <c r="S85" i="9"/>
  <c r="T85" i="9" s="1"/>
  <c r="T79" i="9"/>
  <c r="T54" i="7"/>
  <c r="U57" i="10"/>
  <c r="T57" i="10" s="1"/>
  <c r="T65" i="11"/>
  <c r="P89" i="9"/>
  <c r="T53" i="5"/>
  <c r="R54" i="9"/>
  <c r="K89" i="9"/>
  <c r="S88" i="9"/>
  <c r="K57" i="9"/>
  <c r="S56" i="5"/>
  <c r="T43" i="2"/>
  <c r="R47" i="3"/>
  <c r="T46" i="2"/>
  <c r="U52" i="6"/>
  <c r="T52" i="6" s="1"/>
  <c r="R57" i="7"/>
  <c r="U45" i="3"/>
  <c r="T45" i="3" s="1"/>
  <c r="T54" i="6"/>
  <c r="T54" i="5"/>
  <c r="S61" i="11"/>
  <c r="U78" i="9"/>
  <c r="T78" i="9" s="1"/>
  <c r="S47" i="3"/>
  <c r="U53" i="6"/>
  <c r="T53" i="6" s="1"/>
  <c r="S61" i="10"/>
  <c r="M89" i="9"/>
  <c r="S57" i="7"/>
  <c r="J86" i="9"/>
  <c r="S86" i="9" s="1"/>
  <c r="S54" i="9"/>
  <c r="T55" i="7"/>
  <c r="R91" i="10"/>
  <c r="U89" i="10"/>
  <c r="S97" i="10"/>
  <c r="T97" i="10" s="1"/>
  <c r="S98" i="10"/>
  <c r="S91" i="10"/>
  <c r="U24" i="9"/>
  <c r="T24" i="9" s="1"/>
  <c r="R55" i="9"/>
  <c r="R87" i="9" s="1"/>
  <c r="T55" i="5"/>
  <c r="R56" i="5"/>
  <c r="J87" i="9"/>
  <c r="J57" i="9"/>
  <c r="S55" i="9"/>
  <c r="T49" i="2"/>
  <c r="T90" i="10"/>
  <c r="R56" i="6"/>
  <c r="R65" i="11"/>
  <c r="S56" i="6"/>
  <c r="T45" i="2"/>
  <c r="U58" i="10"/>
  <c r="T58" i="10" s="1"/>
  <c r="R98" i="10"/>
  <c r="U98" i="10" s="1"/>
  <c r="R61" i="10"/>
  <c r="U61" i="10" s="1"/>
  <c r="S81" i="12"/>
  <c r="U56" i="9"/>
  <c r="T56" i="9" s="1"/>
  <c r="R88" i="9"/>
  <c r="E57" i="9"/>
  <c r="E87" i="9"/>
  <c r="T43" i="3"/>
  <c r="Y56" i="5"/>
  <c r="L89" i="9"/>
  <c r="U56" i="5" l="1"/>
  <c r="T53" i="7"/>
  <c r="T99" i="10"/>
  <c r="U56" i="6"/>
  <c r="T56" i="6" s="1"/>
  <c r="S65" i="11"/>
  <c r="T80" i="9"/>
  <c r="T56" i="5"/>
  <c r="R86" i="9"/>
  <c r="U86" i="9" s="1"/>
  <c r="T86" i="9" s="1"/>
  <c r="U54" i="9"/>
  <c r="T54" i="9" s="1"/>
  <c r="T61" i="10"/>
  <c r="U55" i="9"/>
  <c r="T55" i="9" s="1"/>
  <c r="S57" i="9"/>
  <c r="U47" i="3"/>
  <c r="T47" i="3" s="1"/>
  <c r="U80" i="9"/>
  <c r="T57" i="7"/>
  <c r="S87" i="9"/>
  <c r="S89" i="9" s="1"/>
  <c r="J89" i="9"/>
  <c r="T89" i="10"/>
  <c r="T91" i="10" s="1"/>
  <c r="U91" i="10"/>
  <c r="R57" i="9"/>
  <c r="U57" i="9" s="1"/>
  <c r="T98" i="10"/>
  <c r="U88" i="9"/>
  <c r="T88" i="9" s="1"/>
  <c r="E89" i="9"/>
  <c r="U87" i="9"/>
  <c r="T57" i="9" l="1"/>
  <c r="R89" i="9"/>
  <c r="U89" i="9" s="1"/>
  <c r="T89" i="9" s="1"/>
  <c r="T87" i="9"/>
</calcChain>
</file>

<file path=xl/sharedStrings.xml><?xml version="1.0" encoding="utf-8"?>
<sst xmlns="http://schemas.openxmlformats.org/spreadsheetml/2006/main" count="2875" uniqueCount="548">
  <si>
    <t>CASES MOVED PER MONTH</t>
  </si>
  <si>
    <t>AS OF 1/3/09</t>
  </si>
  <si>
    <t>Wine</t>
  </si>
  <si>
    <t>Year</t>
  </si>
  <si>
    <t>Jan</t>
  </si>
  <si>
    <t>Feb</t>
  </si>
  <si>
    <t>Mar</t>
  </si>
  <si>
    <t>Apr</t>
  </si>
  <si>
    <t>May</t>
  </si>
  <si>
    <t>Jun</t>
  </si>
  <si>
    <t>Jul</t>
  </si>
  <si>
    <t>Aug</t>
  </si>
  <si>
    <t>Sep</t>
  </si>
  <si>
    <t>Oct</t>
  </si>
  <si>
    <t>Nov</t>
  </si>
  <si>
    <t>Dec</t>
  </si>
  <si>
    <t>Totals</t>
  </si>
  <si>
    <t>Avg</t>
  </si>
  <si>
    <t>BOY Inventory</t>
  </si>
  <si>
    <t>Months Left</t>
  </si>
  <si>
    <t>Inven to date</t>
  </si>
  <si>
    <t>Ameritage Reserve</t>
  </si>
  <si>
    <t>Ameritage</t>
  </si>
  <si>
    <t>Cab Franc</t>
  </si>
  <si>
    <t>Cab Sauv</t>
  </si>
  <si>
    <t>Chardonnay</t>
  </si>
  <si>
    <t>Merlot</t>
  </si>
  <si>
    <t>Petite Verdot</t>
  </si>
  <si>
    <t>LH Viognier</t>
  </si>
  <si>
    <t>Malbec</t>
  </si>
  <si>
    <t>Sauv Blanc</t>
  </si>
  <si>
    <t>Viognier</t>
  </si>
  <si>
    <t>Redmund's</t>
  </si>
  <si>
    <t>Riesling</t>
  </si>
  <si>
    <t>Sweet Petite</t>
  </si>
  <si>
    <t xml:space="preserve"> </t>
  </si>
  <si>
    <t>Reds</t>
  </si>
  <si>
    <t>Whites</t>
  </si>
  <si>
    <t>2009 Monthly Avg.</t>
  </si>
  <si>
    <t>2010      BOY Inventory</t>
  </si>
  <si>
    <t>2010 Monthly Avg.</t>
  </si>
  <si>
    <t>Remaining Inventory</t>
  </si>
  <si>
    <t>Vin De Sol</t>
  </si>
  <si>
    <t>Sweet Petit</t>
  </si>
  <si>
    <t>Harrys Tap Room</t>
  </si>
  <si>
    <t>LH Petit Manseng</t>
  </si>
  <si>
    <t>Petit Manseng</t>
  </si>
  <si>
    <t>n/a</t>
  </si>
  <si>
    <t>2011 Monthly Avg.</t>
  </si>
  <si>
    <t>2012      BOY Inventory</t>
  </si>
  <si>
    <t>2012 Monthly Avg.</t>
  </si>
  <si>
    <t>Hen's Night</t>
  </si>
  <si>
    <t>Ameritage Res</t>
  </si>
  <si>
    <t xml:space="preserve">Ameritage  </t>
  </si>
  <si>
    <t>19 remaining cases, 25 sold, the remainder recycled.</t>
  </si>
  <si>
    <t>All 128 cases recycled into other bulk wines.</t>
  </si>
  <si>
    <t>Petit Verdot</t>
  </si>
  <si>
    <t>LH Tram</t>
  </si>
  <si>
    <t>Petite Manseng</t>
  </si>
  <si>
    <t>TOTAL</t>
  </si>
  <si>
    <t>IN-BOND TRANSFERS</t>
  </si>
  <si>
    <t xml:space="preserve">Starting Cases </t>
  </si>
  <si>
    <r>
      <t xml:space="preserve">In(+) or Out(-) </t>
    </r>
    <r>
      <rPr>
        <b/>
        <sz val="20"/>
        <rFont val="Arial"/>
        <family val="2"/>
      </rPr>
      <t>Cases</t>
    </r>
  </si>
  <si>
    <t>Remaining Cases</t>
  </si>
  <si>
    <t>Starting Gallons</t>
  </si>
  <si>
    <r>
      <t xml:space="preserve">In(+) or Out(-) </t>
    </r>
    <r>
      <rPr>
        <b/>
        <sz val="20"/>
        <rFont val="Arial"/>
        <family val="2"/>
      </rPr>
      <t>Bulk Gallons</t>
    </r>
  </si>
  <si>
    <t>Remaining Gallons</t>
  </si>
  <si>
    <t>Bulk wines</t>
  </si>
  <si>
    <t>2013 vintage</t>
  </si>
  <si>
    <t>Shiners</t>
  </si>
  <si>
    <t xml:space="preserve">56 ‘12 pv </t>
  </si>
  <si>
    <t>Red</t>
  </si>
  <si>
    <t>gal</t>
  </si>
  <si>
    <t>including 1200 gal of reds stored at VH</t>
  </si>
  <si>
    <t>at VHCW</t>
  </si>
  <si>
    <t>84 ‘11 cf</t>
  </si>
  <si>
    <t>white</t>
  </si>
  <si>
    <t>including  2300 gal of delaney made at PC</t>
  </si>
  <si>
    <t xml:space="preserve">68 ‘10 ameritage </t>
  </si>
  <si>
    <t>ABC #</t>
  </si>
  <si>
    <t>2013      BOY Inventory</t>
  </si>
  <si>
    <t>Tasting Room</t>
  </si>
  <si>
    <t>shiners</t>
  </si>
  <si>
    <t xml:space="preserve">used </t>
  </si>
  <si>
    <t>Vin de Sol</t>
  </si>
  <si>
    <t xml:space="preserve">Collaberation </t>
  </si>
  <si>
    <t>Farm Use Wines</t>
  </si>
  <si>
    <t>1991 Brut</t>
  </si>
  <si>
    <t>2000 Brut</t>
  </si>
  <si>
    <t>2013 Monthly Avg.</t>
  </si>
  <si>
    <t>2014     BOY Inventory</t>
  </si>
  <si>
    <t>2014 Monthly Avg.</t>
  </si>
  <si>
    <t xml:space="preserve">          </t>
  </si>
  <si>
    <t>Cab Franc Res</t>
  </si>
  <si>
    <t>Black Ops</t>
  </si>
  <si>
    <t>Syrah</t>
  </si>
  <si>
    <t>2015     BOY Inventory</t>
  </si>
  <si>
    <t>2015 Monthly Avg.</t>
  </si>
  <si>
    <t>Dry Rielsing</t>
  </si>
  <si>
    <t>Mabec</t>
  </si>
  <si>
    <t>Farm Use</t>
  </si>
  <si>
    <t>Bottles</t>
  </si>
  <si>
    <t>Cases</t>
  </si>
  <si>
    <t>Bulk Wine</t>
  </si>
  <si>
    <t>Gallons</t>
  </si>
  <si>
    <t>Chard</t>
  </si>
  <si>
    <t>PM</t>
  </si>
  <si>
    <t>Traminette</t>
  </si>
  <si>
    <t>Pinot Gris</t>
  </si>
  <si>
    <t>Vio</t>
  </si>
  <si>
    <t>Rose</t>
  </si>
  <si>
    <t>Delaney</t>
  </si>
  <si>
    <t>Mer</t>
  </si>
  <si>
    <t>Mal</t>
  </si>
  <si>
    <t>CF</t>
  </si>
  <si>
    <t>PV/Mal</t>
  </si>
  <si>
    <t>PV</t>
  </si>
  <si>
    <t>CS</t>
  </si>
  <si>
    <t>AMR</t>
  </si>
  <si>
    <t>CFR</t>
  </si>
  <si>
    <t>Norton</t>
  </si>
  <si>
    <t>AM</t>
  </si>
  <si>
    <t>B Ops</t>
  </si>
  <si>
    <t>Mal Res</t>
  </si>
  <si>
    <t>2016     BOY Inventory</t>
  </si>
  <si>
    <t>2016 Monthly Avg.</t>
  </si>
  <si>
    <t>Malbec Res</t>
  </si>
  <si>
    <t>Mabec Res</t>
  </si>
  <si>
    <t>Viognier Res</t>
  </si>
  <si>
    <t>EFFINGHAM</t>
  </si>
  <si>
    <t>Eff Meritage</t>
  </si>
  <si>
    <t>Tannat</t>
  </si>
  <si>
    <t>Eff King's Ransom</t>
  </si>
  <si>
    <t>N/V</t>
  </si>
  <si>
    <t>Sparkling</t>
  </si>
  <si>
    <t>Meritage</t>
  </si>
  <si>
    <t>Kings Ransom</t>
  </si>
  <si>
    <t>Overall</t>
  </si>
  <si>
    <t>Starting Cases</t>
  </si>
  <si>
    <t>In(+) or Out(-) Cases</t>
  </si>
  <si>
    <t>In(+) or Out(-) Bulk Gallons</t>
  </si>
  <si>
    <t>2017     BOY Inventory</t>
  </si>
  <si>
    <t>201+AB8:AE667</t>
  </si>
  <si>
    <t>Bottling Info</t>
  </si>
  <si>
    <t>Date</t>
  </si>
  <si>
    <t>Description and volume of addition</t>
  </si>
  <si>
    <t>Bottling Date</t>
  </si>
  <si>
    <t>Vintage</t>
  </si>
  <si>
    <t>Varietal Bottled (please list one per line)</t>
  </si>
  <si>
    <t># Cases Bottled</t>
  </si>
  <si>
    <t>Bull Run Riesling</t>
  </si>
  <si>
    <t>Bull Run Rose</t>
  </si>
  <si>
    <t>350 lbs of sugar</t>
  </si>
  <si>
    <t>Bull Run Delaney</t>
  </si>
  <si>
    <t>6 gallons top off wine moved from PC to VH (norton)</t>
  </si>
  <si>
    <t>White Blend (Delaney) for Hammerstone</t>
  </si>
  <si>
    <t>PC Vidal Blanc</t>
  </si>
  <si>
    <t>** Added to Inv Sheet BOY</t>
  </si>
  <si>
    <t>10 gallons top off wine moved from PC to VH</t>
  </si>
  <si>
    <t>Wine Club Rose</t>
  </si>
  <si>
    <t>800 lbs of sugar (used for Delaney)</t>
  </si>
  <si>
    <t>Effingham Rose (shiners)</t>
  </si>
  <si>
    <t>27 lbs of sugar added to 2016 Effingham Traminette</t>
  </si>
  <si>
    <t>Bull Run Pinot Gris</t>
  </si>
  <si>
    <t>62 lbs of sugar added to 2016 BR Long Tom</t>
  </si>
  <si>
    <t>4/28/2017 and 5/8/17</t>
  </si>
  <si>
    <t>Effingham Traminette</t>
  </si>
  <si>
    <t>Only partial bottling - Truck broke down</t>
  </si>
  <si>
    <t>**Added to inv Sheet BOY</t>
  </si>
  <si>
    <t>40 lbs of sugar added to 2016  LH Vio</t>
  </si>
  <si>
    <t>PC Petit Manseng</t>
  </si>
  <si>
    <t>478 Screw Cap and 43 Cork Finish *** added to Inv Sheet BOY</t>
  </si>
  <si>
    <t>20 lbs of sugar added to 2016 LH Vio</t>
  </si>
  <si>
    <t>Bull Run Petit Manseng</t>
  </si>
  <si>
    <t>236 Gallons Chardonnay Concentrate</t>
  </si>
  <si>
    <t>Bull Run SS Chard</t>
  </si>
  <si>
    <t>56 Gallons Gewurztraminer</t>
  </si>
  <si>
    <t>PC Wine Club Sauv Blanc</t>
  </si>
  <si>
    <t>Bottled as shiners</t>
  </si>
  <si>
    <t>**Added to Inv Sheet BOY</t>
  </si>
  <si>
    <t>48 Gallons Viognier</t>
  </si>
  <si>
    <t>PC Riesling</t>
  </si>
  <si>
    <t>Bottled on 5/19 and 5/22/17 - 105 cs bottled as shiners and need to be hand labled)</t>
  </si>
  <si>
    <t>96 Gallons Petit Verdot</t>
  </si>
  <si>
    <t>Bull Run Long Tom</t>
  </si>
  <si>
    <t>36 Gallons Merlot</t>
  </si>
  <si>
    <t>Hammerstone Vio</t>
  </si>
  <si>
    <t>96 Gallons Cab Sauv</t>
  </si>
  <si>
    <t>Hammerstone Chardonnay</t>
  </si>
  <si>
    <t>78 Gallons Cab Franc</t>
  </si>
  <si>
    <t>Bull Run Viognier</t>
  </si>
  <si>
    <t>12 gallons Mega Purple</t>
  </si>
  <si>
    <t>Bull Run Barrel Chardonnay</t>
  </si>
  <si>
    <t>110 Gallons Guwurtzimer Conentrate</t>
  </si>
  <si>
    <t>PC Viognier</t>
  </si>
  <si>
    <t>PC Chardonnay</t>
  </si>
  <si>
    <t>Ameritage  ***orig bottling was 671 but Dec 2017 111 cases were relabeled as 2016 Am.</t>
  </si>
  <si>
    <t xml:space="preserve"> Chardonnay</t>
  </si>
  <si>
    <t>Effingham Chardonnay</t>
  </si>
  <si>
    <t>Poplar Springs Chardonnay</t>
  </si>
  <si>
    <t>BR Vidal Blanc</t>
  </si>
  <si>
    <t>BR Sweet Victory</t>
  </si>
  <si>
    <t>PC Late Harvest Vio</t>
  </si>
  <si>
    <t>TWBR Norton</t>
  </si>
  <si>
    <t>Bottled at Bull Run</t>
  </si>
  <si>
    <t>Vidal Blanc</t>
  </si>
  <si>
    <t>TWBR - Merlot</t>
  </si>
  <si>
    <t>Wine Club Sauv Blanc</t>
  </si>
  <si>
    <t>TWBR Meritage</t>
  </si>
  <si>
    <t>Poplar Springs Petit Verdot</t>
  </si>
  <si>
    <t>10 of these bottled as shiners</t>
  </si>
  <si>
    <t>Poplar Springs Merlot</t>
  </si>
  <si>
    <t>Effingham Merlot</t>
  </si>
  <si>
    <t>Effingham Meritage</t>
  </si>
  <si>
    <t>PC Petit Verdot</t>
  </si>
  <si>
    <t>PC Cab Franc</t>
  </si>
  <si>
    <t>Hammerstone Cab Franc</t>
  </si>
  <si>
    <t>Petit Verdot Reserve</t>
  </si>
  <si>
    <t>Hammerstone Norton</t>
  </si>
  <si>
    <t>PC Cab Sauv</t>
  </si>
  <si>
    <t>PC Ameritage</t>
  </si>
  <si>
    <t>Ameritage ***Orig bottling was 904 cases but 111 cases of 2015 AM were relabeled as 2016</t>
  </si>
  <si>
    <t>EFF Tannat</t>
  </si>
  <si>
    <t>** Added to EFF Inv Sheet BOY</t>
  </si>
  <si>
    <t>Bull Run Reconcilation</t>
  </si>
  <si>
    <t>LH Tannat</t>
  </si>
  <si>
    <t>Bull Run Meritage Reserve</t>
  </si>
  <si>
    <t>PC Cab Franc Reserve</t>
  </si>
  <si>
    <t>PC Ameritage Reserve</t>
  </si>
  <si>
    <t>EFF Kings Ransom</t>
  </si>
  <si>
    <t>PC Black Ops bottled as shiners</t>
  </si>
  <si>
    <t>Late Harvest Tannat  **156 of these are shiners</t>
  </si>
  <si>
    <t>Black Ops - 4th mission</t>
  </si>
  <si>
    <t>King's Ransom</t>
  </si>
  <si>
    <t>Eff Rose</t>
  </si>
  <si>
    <t>Added 2 -55 gallon drums of Gewurtztraminer concentrate to 2017 BR Delaney</t>
  </si>
  <si>
    <t>Added 65 lbs of Sugar to 2017 BR Riesling</t>
  </si>
  <si>
    <t>**added to BOY inventory</t>
  </si>
  <si>
    <t>Added 140 lbs of Sugar to 2017 BR Vidal Blanc</t>
  </si>
  <si>
    <t>BULL RUN Delaney</t>
  </si>
  <si>
    <t>Added 33 lbs of sugar to Fleetwood Rose</t>
  </si>
  <si>
    <t>Black Ops - 4th Mission</t>
  </si>
  <si>
    <t>Added 45 lbs of sugar to Effingham Rose</t>
  </si>
  <si>
    <t>Added 200 lbs of sugar to BR Rose</t>
  </si>
  <si>
    <t>Vin de Sol (88 cs/pallet)</t>
  </si>
  <si>
    <t>TWBR Riesling</t>
  </si>
  <si>
    <t>invoiced</t>
  </si>
  <si>
    <t>TWBR Vidal Blanc</t>
  </si>
  <si>
    <t>Vint Hill Misty</t>
  </si>
  <si>
    <t>Bottled at PC as Shiners</t>
  </si>
  <si>
    <t>Fleetwood Petit Manseng</t>
  </si>
  <si>
    <t>TWBR Petit Manseng</t>
  </si>
  <si>
    <t>TWBR Pinot Gris</t>
  </si>
  <si>
    <t>TWBR Sweet Victory</t>
  </si>
  <si>
    <t>PC Rose</t>
  </si>
  <si>
    <t>Fleetwood Rose</t>
  </si>
  <si>
    <t>TWBR Rose</t>
  </si>
  <si>
    <t>TWBR Vio</t>
  </si>
  <si>
    <t>TWBR SS Chardonnay</t>
  </si>
  <si>
    <t>FLEETWOOD Chardonnay</t>
  </si>
  <si>
    <t>PC Farm Use White</t>
  </si>
  <si>
    <t>** added to BOY Inventory</t>
  </si>
  <si>
    <t>PC  SS Chard Shiners</t>
  </si>
  <si>
    <t>TWBR Barrel Chardonnay</t>
  </si>
  <si>
    <t>Petit Verdot Rsv</t>
  </si>
  <si>
    <t>4th Mission</t>
  </si>
  <si>
    <t>TWBR PV</t>
  </si>
  <si>
    <t xml:space="preserve">FW Meritage </t>
  </si>
  <si>
    <t>Bottled at Effingham but was PC wine</t>
  </si>
  <si>
    <t>Farm Use Red</t>
  </si>
  <si>
    <t>added to BOY Inventory</t>
  </si>
  <si>
    <t>Farm Use White</t>
  </si>
  <si>
    <t>Farm Use white</t>
  </si>
  <si>
    <t>n/v</t>
  </si>
  <si>
    <t>Va's Heritage</t>
  </si>
  <si>
    <t>TWBR Reconciliation</t>
  </si>
  <si>
    <t xml:space="preserve">invoiced  </t>
  </si>
  <si>
    <t xml:space="preserve">Ameritage </t>
  </si>
  <si>
    <t xml:space="preserve">43 cases of Misty to VHCW </t>
  </si>
  <si>
    <t>invoiced at $96/case</t>
  </si>
  <si>
    <t>5th Mission</t>
  </si>
  <si>
    <t>300 gallons Cab Sauv to VHCW</t>
  </si>
  <si>
    <t>$20/gallon</t>
  </si>
  <si>
    <t>605 gallons Cab Franc to VHCW</t>
  </si>
  <si>
    <t>330 gallons Petit Verdot to Eff</t>
  </si>
  <si>
    <t>330 gallons Cab Sauv to Eff</t>
  </si>
  <si>
    <t>2019  BOTTLINGS</t>
  </si>
  <si>
    <t>Description</t>
  </si>
  <si>
    <t>TRANSFERS</t>
  </si>
  <si>
    <t>2019     BOY Inventory</t>
  </si>
  <si>
    <t>2019 Monthly Avg.</t>
  </si>
  <si>
    <t>Cab Sauv Reserve</t>
  </si>
  <si>
    <t>Tugs Cuvee</t>
  </si>
  <si>
    <t>Black Ops 5th Mission</t>
  </si>
  <si>
    <t>6th Mission</t>
  </si>
  <si>
    <t>VH Petit Manseng</t>
  </si>
  <si>
    <t>VH Traminette</t>
  </si>
  <si>
    <t>VH Misty</t>
  </si>
  <si>
    <t>EFF Traminette</t>
  </si>
  <si>
    <t>EFF Celebration</t>
  </si>
  <si>
    <t>VH Pinot Gris</t>
  </si>
  <si>
    <t>PC Piot Gris</t>
  </si>
  <si>
    <t>VH Rose</t>
  </si>
  <si>
    <t>EFF Rose</t>
  </si>
  <si>
    <t>ADDITIONS - Sugar/concentrate/juice/bulk wine</t>
  </si>
  <si>
    <t>Petit Verdot FROM Pearmund to Effingham</t>
  </si>
  <si>
    <t>YEAR</t>
  </si>
  <si>
    <t>BULK WINE ONLY</t>
  </si>
  <si>
    <t>YE Gal</t>
  </si>
  <si>
    <t>Muscoto</t>
  </si>
  <si>
    <t>Pinto Gris</t>
  </si>
  <si>
    <t>Chambourcin</t>
  </si>
  <si>
    <t>Cab Sauv Lot #1 from Pearmund to Effingham</t>
  </si>
  <si>
    <t>VH Viognier</t>
  </si>
  <si>
    <t>EFF Viognier</t>
  </si>
  <si>
    <t>Fleetwood Viognier</t>
  </si>
  <si>
    <t>PC Cab Fanc</t>
  </si>
  <si>
    <t>PV/CF</t>
  </si>
  <si>
    <t>PEARMUND CELLARS</t>
  </si>
  <si>
    <t>Transfer Merlot - George from PC to EM bulk wine</t>
  </si>
  <si>
    <t>Transfer Tannat-Silvia from PC to EM bulk wine</t>
  </si>
  <si>
    <t>Transfer Tannat-George from PC to EM bulk wine</t>
  </si>
  <si>
    <t>Transfer Cab Franc-Trumb from PC to EM bulk wine</t>
  </si>
  <si>
    <t>Transfer Cab Sauv-L1 George from PC to EM bulk wine</t>
  </si>
  <si>
    <t>Transfer Merlot-SC from PC to EM bulk wine</t>
  </si>
  <si>
    <t>Transfer Merlot-Silvia from PC to EM bulk wine</t>
  </si>
  <si>
    <t>Transfer Cab Franc-TG from PC to EM bulk wine</t>
  </si>
  <si>
    <t>Transfer Syrah-George from PC to VH bulk wine</t>
  </si>
  <si>
    <t>Transfer Grenache-George from PC to VH bulk wine</t>
  </si>
  <si>
    <t>Transfer Merlot-Silvia from PC to VH bulk wine</t>
  </si>
  <si>
    <t>Transfer Petit Verdot from PC to VH bulk wiine</t>
  </si>
  <si>
    <t>Transfer Chambourcin from VH to PC bulk wine</t>
  </si>
  <si>
    <t>Transfer Merlot from VH to PC bulk wine</t>
  </si>
  <si>
    <t>Transfer Cab Franc from VH to PC bulk wine</t>
  </si>
  <si>
    <t>Transfer Petit Verdot from VH to PC bulk wiine</t>
  </si>
  <si>
    <t>Transer Cab Franc-Trump from PC to VH bulk wine</t>
  </si>
  <si>
    <t>Transfer Cab Franc-Silver Creek from PC to VH bulk wine</t>
  </si>
  <si>
    <t>Transfer Cab Sauv-Silvia from PC to VH bulk wine</t>
  </si>
  <si>
    <t>Transfer Petit Verdot-Silver Creek from PC to VH bulk wine</t>
  </si>
  <si>
    <t>Transfer Petit Verdot-George from PC to EM bulk wine</t>
  </si>
  <si>
    <t>Transfer Cab Sauv-L1 from PC to EM bulk wine</t>
  </si>
  <si>
    <t>Transfer Petit Verdot-Silver Creek from PC to EM bulk wine</t>
  </si>
  <si>
    <t>Transfer Cab Franc-Trump from PC to EM bulk wine</t>
  </si>
  <si>
    <t>Transfer Cab Franc-Silver Creek from PC to EM bulk wine</t>
  </si>
  <si>
    <t>Transfer Merlot (Black Ops component) from EM to PC</t>
  </si>
  <si>
    <t>Transfer Cab Sauv (Black Ops componet) from EM to PC</t>
  </si>
  <si>
    <t>Transfer Cab Franc-Silver Creek from EM to PC</t>
  </si>
  <si>
    <t>Transfer Cab Franc-L1 from PC to VH</t>
  </si>
  <si>
    <t>Transfer Mourvedre-George from PC to VH bulk wine</t>
  </si>
  <si>
    <t>Transfer Merlot-Lot 2/3 from EM to PC bulk wine</t>
  </si>
  <si>
    <t>Transfer Cab Sauv LC from PC to EM bulk wine</t>
  </si>
  <si>
    <t>Transfer Cab Sauv LC from PC to VH bulk wine</t>
  </si>
  <si>
    <t>Transfer Cab Sauv-L4 from PC to VH bulk wine</t>
  </si>
  <si>
    <t xml:space="preserve"> Transfer Syrah - Sarah from VH recover as bulk</t>
  </si>
  <si>
    <t>Merlot/Cab Fran</t>
  </si>
  <si>
    <t>Qty</t>
  </si>
  <si>
    <t>Cameo Rose</t>
  </si>
  <si>
    <t>7th Mission</t>
  </si>
  <si>
    <t>Sparlking Wine</t>
  </si>
  <si>
    <t>Palindrome</t>
  </si>
  <si>
    <t xml:space="preserve"> I, Chris Pearmund, hereby attest that a physical inventory of all bulk and bottled wine was performed, and the pages attached reflect the results of that inventory.  This inventory is true to the best of my knowledge and ability.</t>
  </si>
  <si>
    <t>Stainless Steel Chard Shiners</t>
  </si>
  <si>
    <t>Chard Shiners</t>
  </si>
  <si>
    <t>Vio Shhiners</t>
  </si>
  <si>
    <t>2019 Monthly Avg</t>
  </si>
  <si>
    <t>BoE Gal</t>
  </si>
  <si>
    <t>2020     BOY Inventory</t>
  </si>
  <si>
    <t>2020 Monthly Avg</t>
  </si>
  <si>
    <t>891 gal</t>
  </si>
  <si>
    <t>Syrah Rose</t>
  </si>
  <si>
    <t>339 gal</t>
  </si>
  <si>
    <t>Chardonnay 68 Brix (6 gallon pail)</t>
  </si>
  <si>
    <t>Viognier 68 Brix (6 gallon pail)</t>
  </si>
  <si>
    <t>Sauvignon Blanc 68 Brix (6 gallon pail)</t>
  </si>
  <si>
    <t>Pinot Grigio 68 Brix (6 gallon pail)</t>
  </si>
  <si>
    <t>Cab Franc 68 Brix (6 gallon pail)</t>
  </si>
  <si>
    <t>Cabernet Sauvignon 68 Brix (6 gallon pail)</t>
  </si>
  <si>
    <t>Merlot  68 Brix (6 gallon pail)</t>
  </si>
  <si>
    <t>Petite Verdot 68 Brix (6 gallon pail)</t>
  </si>
  <si>
    <t>(Purple) (6 gallon pail)</t>
  </si>
  <si>
    <t>DATE</t>
  </si>
  <si>
    <t>DESCRIPTION</t>
  </si>
  <si>
    <t>UNIT</t>
  </si>
  <si>
    <t>VINTAGE</t>
  </si>
  <si>
    <t>QUANTITY</t>
  </si>
  <si>
    <t>2020  BOTTLINGS</t>
  </si>
  <si>
    <t>2020 TRANSFERS</t>
  </si>
  <si>
    <t>2020 ADDITIONS - Sugar/concentrate/juice/bulk wine</t>
  </si>
  <si>
    <t>NV</t>
  </si>
  <si>
    <t>cases</t>
  </si>
  <si>
    <t>VH Rose (Rosie)</t>
  </si>
  <si>
    <t>PC sold/transfered to VH Rose (Rosie)</t>
  </si>
  <si>
    <t>Vio Shiners</t>
  </si>
  <si>
    <t>Celebration</t>
  </si>
  <si>
    <t>VH Sauv Blanc</t>
  </si>
  <si>
    <t>EFF Petit Manseng</t>
  </si>
  <si>
    <t>2019</t>
  </si>
  <si>
    <t>PC sold/transfered to VH Sauv Blanc</t>
  </si>
  <si>
    <t>PC sold/transfered to VH Petit Manseng</t>
  </si>
  <si>
    <t>PC sold/transfered to VH Misty</t>
  </si>
  <si>
    <t>PC sold/transfered to Eff Petit Manseng</t>
  </si>
  <si>
    <t>PC sold/transfered to Eff Celebration</t>
  </si>
  <si>
    <t>Muscat</t>
  </si>
  <si>
    <t>Wine Club Rose 3L Bag</t>
  </si>
  <si>
    <t>Riesling - NO TAX TO PAY</t>
  </si>
  <si>
    <t>Sparlking Wine - NO TAX</t>
  </si>
  <si>
    <t>PC Viogner</t>
  </si>
  <si>
    <t>Eff Viogner</t>
  </si>
  <si>
    <t>Eff Chardonnay</t>
  </si>
  <si>
    <t>Eff Chardonnay Shiners</t>
  </si>
  <si>
    <t>PC sold/transferred to EFF Viognier</t>
  </si>
  <si>
    <t>PC sold/transferred to EFF Chardonnay</t>
  </si>
  <si>
    <t>Eff sold/transfered to Meritage</t>
  </si>
  <si>
    <t>2018</t>
  </si>
  <si>
    <t>PC sold/transfered to VH Cab Franc</t>
  </si>
  <si>
    <t>PC sold/transferred to VH Chardonnay Shiners</t>
  </si>
  <si>
    <t>PC sold/transferred to Eff Cameo Rose</t>
  </si>
  <si>
    <t>Sparkling Wine</t>
  </si>
  <si>
    <t>2020</t>
  </si>
  <si>
    <t>PC sold/transferred to VH Syrah</t>
  </si>
  <si>
    <t>PC sold/transferred to VH Chambourcin Port</t>
  </si>
  <si>
    <t>PC sold/transferred to VH Pinot Noir</t>
  </si>
  <si>
    <t>PC sold/transferred to VH Malbec</t>
  </si>
  <si>
    <t>PC sold/transferred to VH Primitivo</t>
  </si>
  <si>
    <t>PC sold/transferred to VH Touriga Port</t>
  </si>
  <si>
    <t>PC sold/transferred to VH Grenache</t>
  </si>
  <si>
    <t>Vidal/Traminette</t>
  </si>
  <si>
    <t>Grenache (Rose)</t>
  </si>
  <si>
    <t>BKS</t>
  </si>
  <si>
    <t>MER</t>
  </si>
  <si>
    <t>Total</t>
  </si>
  <si>
    <t>Merlot      -     Barrel Counts</t>
  </si>
  <si>
    <t>Day #1</t>
  </si>
  <si>
    <t>Day#2</t>
  </si>
  <si>
    <t>VHCW</t>
  </si>
  <si>
    <t xml:space="preserve">PC 2019 Vintage </t>
  </si>
  <si>
    <t>PC sold/transferred to VH Mourvedre</t>
  </si>
  <si>
    <t>PC sold/transferred to VH Cab Franc</t>
  </si>
  <si>
    <t>PC sold/transferred to VH Cab Sauv</t>
  </si>
  <si>
    <t>Tannat/Cab Sauv</t>
  </si>
  <si>
    <t>Chambourcin/Merlot</t>
  </si>
  <si>
    <t>Cab Franc Reserve</t>
  </si>
  <si>
    <t>Cab Franc Rederve</t>
  </si>
  <si>
    <t>Sparlking</t>
  </si>
  <si>
    <t>PC sold/transferred to Eff Red Blend</t>
  </si>
  <si>
    <t>PC sold/transferred to EFF Cab Franc</t>
  </si>
  <si>
    <t>PC sold/transferred to EFF Merlot</t>
  </si>
  <si>
    <t>PC sold/transferred to EFF Petit Verdot</t>
  </si>
  <si>
    <t>PC sold/transferred to EFF Tannat</t>
  </si>
  <si>
    <t>PC sold/transferred to EFF Cab Sauv</t>
  </si>
  <si>
    <t>Chardonnay Vintner</t>
  </si>
  <si>
    <t>VH Chardonnay Vintner</t>
  </si>
  <si>
    <t>Chardonnay Shiners</t>
  </si>
  <si>
    <t>VH Chardonnay</t>
  </si>
  <si>
    <t>PC sold/transferred to VH PV Port</t>
  </si>
  <si>
    <t>PC sold/transferred to VH Tannat</t>
  </si>
  <si>
    <t>PC sold/transferred to VH Tannat Port</t>
  </si>
  <si>
    <t>PC sold/transferred to VH Petit Verdot</t>
  </si>
  <si>
    <t>Eff sold/transfered to PC Cab Franc</t>
  </si>
  <si>
    <t>PC Chardonnay Shiners</t>
  </si>
  <si>
    <t>Vintner Chard</t>
  </si>
  <si>
    <t>Viognier Conc 68 Brix (6 Gallon Pail)</t>
  </si>
  <si>
    <t>Muscat Conc 68 Brix (6 Gallon Pail)</t>
  </si>
  <si>
    <t>Cab Sauv Conc 68 Brix (6 Gallon Pail)</t>
  </si>
  <si>
    <t>Merlot Conc 68 Brix (6 Gallon Pail)</t>
  </si>
  <si>
    <t>Petite Sirah Conc 68 Brix (6 Gallon Pail)</t>
  </si>
  <si>
    <t>Viognier Conc 68 Brix (Gallon Drum)</t>
  </si>
  <si>
    <t>8th Mission</t>
  </si>
  <si>
    <t>Sunshine</t>
  </si>
  <si>
    <t>7th Mission Black Ops</t>
  </si>
  <si>
    <t>PC sold/transferred to EFF Heritage</t>
  </si>
  <si>
    <t>PC sold/transferred to VH Petite Verdot</t>
  </si>
  <si>
    <t>PC Added 6 gallons concentrate to Rose</t>
  </si>
  <si>
    <t>3 years</t>
  </si>
  <si>
    <t>1.5 years</t>
  </si>
  <si>
    <t>month</t>
  </si>
  <si>
    <t>Cabernet Sauvignon Reserve</t>
  </si>
  <si>
    <t>Cabernet Franc Reserve</t>
  </si>
  <si>
    <t>Cabernet Franc</t>
  </si>
  <si>
    <t>Black Ops - 8th Mission</t>
  </si>
  <si>
    <t>PVR</t>
  </si>
  <si>
    <t>PC Added 24 gallons concentrate to Celebration</t>
  </si>
  <si>
    <t>PC Added 1195 pounds of sugar to 2021 wines</t>
  </si>
  <si>
    <t>PC Added 12 gallons of High Res conc to 2021 wines</t>
  </si>
  <si>
    <t>PC Added 750 gallons concentrate to 2021 wines</t>
  </si>
  <si>
    <t>1.5L Bags</t>
  </si>
  <si>
    <t>PC Sold/Transferred to VH Rose</t>
  </si>
  <si>
    <t>PC Sold/Transferred to Sauv Blanc</t>
  </si>
  <si>
    <t>PC Sold/Transferred to VH Petit Manseng</t>
  </si>
  <si>
    <t>PC Sold/Transferred to EFF Heritage</t>
  </si>
  <si>
    <t>PC Sold/Transferred to EFF Celebration</t>
  </si>
  <si>
    <t>2021</t>
  </si>
  <si>
    <t>PC Sold/Transferred to VH Pinto Noir</t>
  </si>
  <si>
    <t>PC Sold/Transferred to VH Zinfandel</t>
  </si>
  <si>
    <t>PC Sold/Transferred to EFF Cab Sauv</t>
  </si>
  <si>
    <t>PC Sold/Transferred to VH Cab Sauv</t>
  </si>
  <si>
    <t>PC Sold/Transferred to VH Merlot</t>
  </si>
  <si>
    <t>PC Sold/Transferred to VH Syrah</t>
  </si>
  <si>
    <t>PC Sold/Transferred to EFF Merlot</t>
  </si>
  <si>
    <t>PC Sold/Transferred to VH Petit Verdot</t>
  </si>
  <si>
    <t>PC Sold/Transferred to VH Mourvedre</t>
  </si>
  <si>
    <t>PC Sold/Transferred to VH Grenache</t>
  </si>
  <si>
    <t>PC Sold/Transferred to VH Tannat</t>
  </si>
  <si>
    <t>PC Sold/Transferred to EFF Tannat</t>
  </si>
  <si>
    <t>VH Sold/Transferred to PC Cab Franc</t>
  </si>
  <si>
    <t>PC sold/transferred to Eff Cab Sauv</t>
  </si>
  <si>
    <t>PC sold/transferred to Eff Petit Verdot</t>
  </si>
  <si>
    <t>PC sold/transferred to Eff Merlot</t>
  </si>
  <si>
    <t>PC sold/transferred to Eff Cab Franc</t>
  </si>
  <si>
    <t>PC sold/transferred to Eff Touriga Nacional</t>
  </si>
  <si>
    <t>VH Sold/Transferred to PC Petit Verdot Blend</t>
  </si>
  <si>
    <t>PC Sold/Transferred to VH Cab Franc</t>
  </si>
  <si>
    <t>PC sold/transferred to VH Red Blend</t>
  </si>
  <si>
    <t>PC sold/transferred to VH Merlot</t>
  </si>
  <si>
    <t>2022     BOY Inventory</t>
  </si>
  <si>
    <t>2022 Monthly Avg</t>
  </si>
  <si>
    <t>2021  BOTTLINGS</t>
  </si>
  <si>
    <t>Pearmund Cellars Petit Manseng</t>
  </si>
  <si>
    <t>Effingham Manor Petit Manseng</t>
  </si>
  <si>
    <t>Vint Hill Craft Winery Petit Manseng</t>
  </si>
  <si>
    <t>Vint Hill Craft Winery Sauvingnon Blanc</t>
  </si>
  <si>
    <t>Rayne Vineyars Vidal Blanc - Shiners</t>
  </si>
  <si>
    <t>Added 11 lbs of Sugar to 2021 Vidal Blanc</t>
  </si>
  <si>
    <t>2021 Monthly Avg</t>
  </si>
  <si>
    <t>9th Mission</t>
  </si>
  <si>
    <t>2021 Vintage Bottling</t>
  </si>
  <si>
    <t>Pearmund Cellars Sunshine</t>
  </si>
  <si>
    <t>Effingham Celebration</t>
  </si>
  <si>
    <t>Pearmund Cellars Rose</t>
  </si>
  <si>
    <t>Effingham Rose</t>
  </si>
  <si>
    <t>Vint Hill Craft Winery Rosie</t>
  </si>
  <si>
    <t>Vint Hill Craft Winery Misty</t>
  </si>
  <si>
    <t>lbs</t>
  </si>
  <si>
    <t>Added 44 lbs of Sugar to 2021 PC Rose</t>
  </si>
  <si>
    <t>Added 30 lbs of Sugar to 2021 EFF Rose</t>
  </si>
  <si>
    <t>Added 52 lbs of Sugar to 2021 Celebration/Misty</t>
  </si>
  <si>
    <t>Sunshine - 1.5L Bags</t>
  </si>
  <si>
    <t>PC Sold Effingham Petit Manseng to Effingham</t>
  </si>
  <si>
    <t>PC Sold Vint Hill Craft Winery Misty to VHCW</t>
  </si>
  <si>
    <t>PC Sold Effingham Celebration to Effingham</t>
  </si>
  <si>
    <t>PC Sold Vint Hill Craft Winery Rosie to VHCS</t>
  </si>
  <si>
    <t>PC Sold Effingham Rose to Effingham</t>
  </si>
  <si>
    <t>Sunshing - 1.5L bags</t>
  </si>
  <si>
    <t xml:space="preserve">  </t>
  </si>
  <si>
    <t>Clearly White</t>
  </si>
  <si>
    <t>Clearly Rose</t>
  </si>
  <si>
    <t>Clearly Sangria</t>
  </si>
  <si>
    <t>24/case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</si>
</sst>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mm\ d\,\ yyyy"/>
    <numFmt numFmtId="165" formatCode="0.0"/>
  </numFmts>
  <fonts count="23" x14ac:knownFonts="1">
    <font>
      <sz val="10"/>
      <name val="Arial"/>
    </font>
    <font>
      <sz val="10"/>
      <name val="Arial"/>
      <family val="2"/>
    </font>
    <font>
      <b/>
      <sz val="16"/>
      <name val="Arial"/>
      <family val="2"/>
    </font>
    <font>
      <b/>
      <sz val="12"/>
      <name val="Arial"/>
      <family val="2"/>
    </font>
    <font>
      <b/>
      <sz val="10"/>
      <name val="Arial"/>
      <family val="2"/>
    </font>
    <font>
      <b/>
      <sz val="20"/>
      <name val="Arial"/>
      <family val="2"/>
    </font>
    <font>
      <sz val="10"/>
      <color indexed="8"/>
      <name val="Arial"/>
      <family val="2"/>
    </font>
    <font>
      <sz val="10"/>
      <color indexed="10"/>
      <name val="Arial"/>
      <family val="2"/>
    </font>
    <font>
      <sz val="8"/>
      <name val="Arial"/>
      <family val="2"/>
    </font>
    <font>
      <sz val="10"/>
      <color rgb="FFFF0000"/>
      <name val="Arial"/>
      <family val="2"/>
    </font>
    <font>
      <sz val="12"/>
      <name val="Times New Roman"/>
      <family val="1"/>
    </font>
    <font>
      <sz val="12"/>
      <name val="Calibri"/>
      <family val="2"/>
    </font>
    <font>
      <sz val="11"/>
      <name val="Times New Roman"/>
      <family val="1"/>
    </font>
    <font>
      <sz val="10"/>
      <name val="Arial"/>
      <family val="2"/>
    </font>
    <font>
      <sz val="10"/>
      <color theme="1"/>
      <name val="Arial"/>
      <family val="2"/>
    </font>
    <font>
      <sz val="12"/>
      <name val="Arial"/>
      <family val="2"/>
    </font>
    <font>
      <sz val="12"/>
      <color theme="1"/>
      <name val="Arial"/>
      <family val="2"/>
    </font>
    <font>
      <sz val="12"/>
      <name val="Arial"/>
      <family val="2"/>
    </font>
    <font>
      <sz val="12"/>
      <color rgb="FFFF0000"/>
      <name val="Arial"/>
      <family val="2"/>
    </font>
    <font>
      <sz val="12"/>
      <color rgb="FF000000"/>
      <name val="Arial"/>
      <family val="2"/>
    </font>
    <font>
      <sz val="14"/>
      <name val="Arial"/>
      <family val="2"/>
    </font>
    <font>
      <b/>
      <sz val="14"/>
      <name val="Arial"/>
      <family val="2"/>
    </font>
    <font>
      <b/>
      <sz val="12"/>
      <color rgb="FFFF0000"/>
      <name val="Arial"/>
      <family val="2"/>
    </font>
  </fonts>
  <fills count="24">
    <fill>
      <patternFill patternType="none"/>
    </fill>
    <fill>
      <patternFill patternType="gray125"/>
    </fill>
    <fill>
      <patternFill patternType="solid">
        <fgColor indexed="15"/>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indexed="8"/>
        <bgColor indexed="64"/>
      </patternFill>
    </fill>
    <fill>
      <patternFill patternType="solid">
        <fgColor indexed="17"/>
        <bgColor indexed="64"/>
      </patternFill>
    </fill>
    <fill>
      <patternFill patternType="solid">
        <fgColor indexed="55"/>
        <bgColor indexed="64"/>
      </patternFill>
    </fill>
    <fill>
      <patternFill patternType="solid">
        <fgColor indexed="22"/>
        <bgColor indexed="64"/>
      </patternFill>
    </fill>
    <fill>
      <patternFill patternType="solid">
        <fgColor theme="0"/>
        <bgColor indexed="64"/>
      </patternFill>
    </fill>
    <fill>
      <patternFill patternType="solid">
        <fgColor rgb="FFFF0000"/>
        <bgColor indexed="64"/>
      </patternFill>
    </fill>
    <fill>
      <patternFill patternType="solid">
        <fgColor theme="1" tint="0.499984740745262"/>
        <bgColor indexed="64"/>
      </patternFill>
    </fill>
    <fill>
      <patternFill patternType="solid">
        <fgColor theme="1"/>
        <bgColor indexed="64"/>
      </patternFill>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00B0F0"/>
        <bgColor indexed="64"/>
      </patternFill>
    </fill>
    <fill>
      <patternFill patternType="solid">
        <fgColor rgb="FF009644"/>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3">
    <xf numFmtId="0" fontId="0" fillId="0" borderId="0"/>
    <xf numFmtId="43" fontId="1" fillId="0" borderId="0" applyFont="0" applyFill="0" applyBorder="0" applyAlignment="0" applyProtection="0"/>
    <xf numFmtId="9" fontId="13" fillId="0" borderId="0" applyFont="0" applyFill="0" applyBorder="0" applyAlignment="0" applyProtection="0"/>
  </cellStyleXfs>
  <cellXfs count="462">
    <xf numFmtId="0" fontId="0" fillId="0" borderId="0" xfId="0"/>
    <xf numFmtId="0" fontId="3" fillId="0" borderId="0" xfId="0" applyFont="1" applyAlignment="1">
      <alignment horizontal="center"/>
    </xf>
    <xf numFmtId="0" fontId="0" fillId="0" borderId="1" xfId="0" applyBorder="1"/>
    <xf numFmtId="0" fontId="0" fillId="2" borderId="1" xfId="0" applyFill="1" applyBorder="1"/>
    <xf numFmtId="0" fontId="0" fillId="3" borderId="1" xfId="0" applyFill="1" applyBorder="1"/>
    <xf numFmtId="0" fontId="0" fillId="0" borderId="2" xfId="0" applyBorder="1"/>
    <xf numFmtId="0" fontId="0" fillId="0" borderId="3" xfId="0" applyBorder="1"/>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165" fontId="0" fillId="0" borderId="1" xfId="0" applyNumberFormat="1" applyBorder="1"/>
    <xf numFmtId="1" fontId="0" fillId="4" borderId="1" xfId="0" applyNumberFormat="1" applyFill="1" applyBorder="1"/>
    <xf numFmtId="0" fontId="0" fillId="0" borderId="7" xfId="0" applyBorder="1"/>
    <xf numFmtId="0" fontId="4" fillId="0" borderId="2" xfId="0" applyFont="1" applyBorder="1"/>
    <xf numFmtId="0" fontId="0" fillId="0" borderId="1" xfId="0" applyBorder="1" applyAlignment="1">
      <alignment horizontal="left"/>
    </xf>
    <xf numFmtId="0" fontId="0" fillId="0" borderId="8" xfId="0" applyBorder="1"/>
    <xf numFmtId="0" fontId="0" fillId="0" borderId="9" xfId="0" applyBorder="1"/>
    <xf numFmtId="0" fontId="0" fillId="2" borderId="9" xfId="0" applyFill="1" applyBorder="1"/>
    <xf numFmtId="1" fontId="0" fillId="4" borderId="9" xfId="0" applyNumberFormat="1" applyFill="1" applyBorder="1"/>
    <xf numFmtId="0" fontId="0" fillId="3" borderId="9" xfId="0" applyFill="1" applyBorder="1"/>
    <xf numFmtId="165" fontId="0" fillId="0" borderId="9" xfId="0" applyNumberFormat="1" applyBorder="1"/>
    <xf numFmtId="0" fontId="0" fillId="0" borderId="9" xfId="0" applyBorder="1" applyAlignment="1">
      <alignment horizontal="left"/>
    </xf>
    <xf numFmtId="0" fontId="0" fillId="0" borderId="10" xfId="0" applyBorder="1"/>
    <xf numFmtId="0" fontId="0" fillId="2" borderId="10" xfId="0" applyFill="1" applyBorder="1"/>
    <xf numFmtId="1" fontId="0" fillId="4" borderId="10" xfId="0" applyNumberFormat="1" applyFill="1" applyBorder="1"/>
    <xf numFmtId="165" fontId="0" fillId="0" borderId="10" xfId="0" applyNumberFormat="1" applyBorder="1"/>
    <xf numFmtId="0" fontId="0" fillId="0" borderId="11" xfId="0" applyBorder="1"/>
    <xf numFmtId="1" fontId="0" fillId="3" borderId="11" xfId="0" applyNumberFormat="1" applyFill="1" applyBorder="1"/>
    <xf numFmtId="0" fontId="0" fillId="0" borderId="11" xfId="0" applyBorder="1" applyAlignment="1">
      <alignment horizontal="left"/>
    </xf>
    <xf numFmtId="0" fontId="0" fillId="0" borderId="1" xfId="0" applyBorder="1" applyAlignment="1">
      <alignment horizontal="right"/>
    </xf>
    <xf numFmtId="0" fontId="0" fillId="5" borderId="1" xfId="0" applyFill="1" applyBorder="1"/>
    <xf numFmtId="0" fontId="0" fillId="0" borderId="9" xfId="0" applyBorder="1" applyAlignment="1">
      <alignment horizontal="right"/>
    </xf>
    <xf numFmtId="0" fontId="0" fillId="5" borderId="9" xfId="0" applyFill="1" applyBorder="1"/>
    <xf numFmtId="0" fontId="0" fillId="6" borderId="1" xfId="0" applyFill="1" applyBorder="1"/>
    <xf numFmtId="165" fontId="0" fillId="6" borderId="1" xfId="0" applyNumberFormat="1" applyFill="1" applyBorder="1"/>
    <xf numFmtId="0" fontId="0" fillId="6" borderId="1" xfId="0" applyFill="1" applyBorder="1" applyAlignment="1">
      <alignment horizontal="left"/>
    </xf>
    <xf numFmtId="0" fontId="0" fillId="6" borderId="1" xfId="0" applyFill="1" applyBorder="1" applyAlignment="1">
      <alignment horizontal="right"/>
    </xf>
    <xf numFmtId="0" fontId="0" fillId="6" borderId="9" xfId="0" applyFill="1" applyBorder="1"/>
    <xf numFmtId="165" fontId="0" fillId="6" borderId="9" xfId="0" applyNumberFormat="1" applyFill="1" applyBorder="1"/>
    <xf numFmtId="0" fontId="0" fillId="6" borderId="9" xfId="0" applyFill="1" applyBorder="1" applyAlignment="1">
      <alignment horizontal="left"/>
    </xf>
    <xf numFmtId="0" fontId="0" fillId="5" borderId="9" xfId="0" applyFill="1" applyBorder="1" applyAlignment="1">
      <alignment horizontal="right"/>
    </xf>
    <xf numFmtId="43" fontId="0" fillId="0" borderId="9" xfId="1" applyFont="1" applyBorder="1"/>
    <xf numFmtId="1" fontId="0" fillId="4" borderId="11" xfId="0" applyNumberFormat="1" applyFill="1" applyBorder="1"/>
    <xf numFmtId="0" fontId="6" fillId="7" borderId="1" xfId="0" applyFont="1" applyFill="1" applyBorder="1"/>
    <xf numFmtId="1" fontId="6" fillId="7" borderId="1" xfId="0" applyNumberFormat="1" applyFont="1" applyFill="1" applyBorder="1"/>
    <xf numFmtId="165" fontId="6" fillId="7" borderId="1" xfId="0" applyNumberFormat="1" applyFont="1" applyFill="1" applyBorder="1"/>
    <xf numFmtId="0" fontId="0" fillId="7" borderId="1" xfId="0" applyFill="1" applyBorder="1"/>
    <xf numFmtId="0" fontId="0" fillId="7" borderId="11" xfId="0" applyFill="1" applyBorder="1"/>
    <xf numFmtId="1" fontId="0" fillId="7" borderId="11" xfId="0" applyNumberFormat="1" applyFill="1" applyBorder="1"/>
    <xf numFmtId="1" fontId="0" fillId="7" borderId="1" xfId="0" applyNumberFormat="1" applyFill="1" applyBorder="1"/>
    <xf numFmtId="0" fontId="0" fillId="8" borderId="1" xfId="0" applyFill="1" applyBorder="1"/>
    <xf numFmtId="0" fontId="4" fillId="0" borderId="1" xfId="0" applyFont="1" applyBorder="1" applyAlignment="1">
      <alignment horizontal="center"/>
    </xf>
    <xf numFmtId="0" fontId="0" fillId="3" borderId="0" xfId="0" applyFill="1"/>
    <xf numFmtId="0" fontId="4" fillId="0" borderId="10" xfId="0" applyFont="1" applyBorder="1" applyAlignment="1">
      <alignment horizontal="center"/>
    </xf>
    <xf numFmtId="1" fontId="0" fillId="4" borderId="12" xfId="0" applyNumberFormat="1" applyFill="1" applyBorder="1"/>
    <xf numFmtId="0" fontId="0" fillId="3" borderId="9" xfId="0" applyFill="1" applyBorder="1" applyAlignment="1">
      <alignment horizontal="right"/>
    </xf>
    <xf numFmtId="0" fontId="0" fillId="8" borderId="9" xfId="0" applyFill="1" applyBorder="1"/>
    <xf numFmtId="0" fontId="0" fillId="6" borderId="9" xfId="0" applyFill="1" applyBorder="1" applyAlignment="1">
      <alignment horizontal="right"/>
    </xf>
    <xf numFmtId="0" fontId="0" fillId="0" borderId="10" xfId="0" applyBorder="1" applyAlignment="1">
      <alignment horizontal="right"/>
    </xf>
    <xf numFmtId="0" fontId="0" fillId="6" borderId="10" xfId="0" applyFill="1" applyBorder="1"/>
    <xf numFmtId="0" fontId="0" fillId="0" borderId="6" xfId="0" applyBorder="1"/>
    <xf numFmtId="0" fontId="3" fillId="0" borderId="13" xfId="0" applyFont="1" applyBorder="1" applyAlignment="1">
      <alignment horizontal="center"/>
    </xf>
    <xf numFmtId="0" fontId="3" fillId="0" borderId="14" xfId="0" applyFont="1" applyBorder="1" applyAlignment="1">
      <alignment horizontal="center"/>
    </xf>
    <xf numFmtId="49" fontId="3" fillId="0" borderId="15" xfId="0" applyNumberFormat="1" applyFont="1" applyBorder="1" applyAlignment="1">
      <alignment horizontal="center" wrapText="1"/>
    </xf>
    <xf numFmtId="0" fontId="3" fillId="0" borderId="15" xfId="0" applyFont="1" applyBorder="1" applyAlignment="1">
      <alignment horizontal="center" wrapText="1"/>
    </xf>
    <xf numFmtId="0" fontId="3" fillId="0" borderId="15" xfId="0" applyFont="1" applyBorder="1" applyAlignment="1">
      <alignment horizontal="center"/>
    </xf>
    <xf numFmtId="0" fontId="3" fillId="0" borderId="16" xfId="0" applyFont="1" applyBorder="1" applyAlignment="1">
      <alignment horizontal="center"/>
    </xf>
    <xf numFmtId="0" fontId="0" fillId="0" borderId="17" xfId="0" applyBorder="1"/>
    <xf numFmtId="0" fontId="3" fillId="0" borderId="14" xfId="0" applyFont="1" applyBorder="1" applyAlignment="1">
      <alignment horizontal="center" wrapText="1"/>
    </xf>
    <xf numFmtId="0" fontId="3" fillId="0" borderId="16" xfId="0" applyFont="1" applyBorder="1" applyAlignment="1">
      <alignment horizontal="center" wrapText="1"/>
    </xf>
    <xf numFmtId="1" fontId="0" fillId="9" borderId="1" xfId="0" applyNumberFormat="1" applyFill="1" applyBorder="1"/>
    <xf numFmtId="1" fontId="0" fillId="9" borderId="11" xfId="0" applyNumberFormat="1" applyFill="1" applyBorder="1"/>
    <xf numFmtId="0" fontId="0" fillId="0" borderId="18" xfId="0" applyBorder="1"/>
    <xf numFmtId="1" fontId="0" fillId="0" borderId="19" xfId="0" applyNumberFormat="1" applyBorder="1" applyAlignment="1">
      <alignment horizontal="left"/>
    </xf>
    <xf numFmtId="0" fontId="6" fillId="7" borderId="20" xfId="0" applyFont="1" applyFill="1" applyBorder="1"/>
    <xf numFmtId="0" fontId="0" fillId="7" borderId="0" xfId="0" applyFill="1"/>
    <xf numFmtId="0" fontId="6" fillId="7" borderId="21" xfId="0" applyFont="1" applyFill="1" applyBorder="1" applyAlignment="1">
      <alignment horizontal="left"/>
    </xf>
    <xf numFmtId="0" fontId="0" fillId="0" borderId="20" xfId="0" applyBorder="1"/>
    <xf numFmtId="1" fontId="0" fillId="0" borderId="21" xfId="0" applyNumberFormat="1" applyBorder="1" applyAlignment="1">
      <alignment horizontal="left"/>
    </xf>
    <xf numFmtId="0" fontId="0" fillId="0" borderId="22" xfId="0" applyBorder="1"/>
    <xf numFmtId="0" fontId="0" fillId="7" borderId="20" xfId="0" applyFill="1" applyBorder="1"/>
    <xf numFmtId="0" fontId="0" fillId="7" borderId="21" xfId="0" applyFill="1" applyBorder="1" applyAlignment="1">
      <alignment horizontal="left"/>
    </xf>
    <xf numFmtId="0" fontId="0" fillId="3" borderId="20" xfId="0" applyFill="1" applyBorder="1"/>
    <xf numFmtId="0" fontId="0" fillId="7" borderId="23" xfId="0" applyFill="1" applyBorder="1"/>
    <xf numFmtId="0" fontId="0" fillId="7" borderId="24" xfId="0" applyFill="1" applyBorder="1"/>
    <xf numFmtId="0" fontId="0" fillId="0" borderId="14" xfId="0" applyBorder="1"/>
    <xf numFmtId="0" fontId="0" fillId="0" borderId="25" xfId="0" applyBorder="1"/>
    <xf numFmtId="0" fontId="4" fillId="0" borderId="15" xfId="0" applyFont="1" applyBorder="1" applyAlignment="1">
      <alignment horizontal="center"/>
    </xf>
    <xf numFmtId="1" fontId="0" fillId="4" borderId="15" xfId="0" applyNumberFormat="1" applyFill="1" applyBorder="1"/>
    <xf numFmtId="1" fontId="0" fillId="0" borderId="15" xfId="0" applyNumberFormat="1" applyBorder="1"/>
    <xf numFmtId="0" fontId="0" fillId="2" borderId="15" xfId="0" applyFill="1" applyBorder="1"/>
    <xf numFmtId="165" fontId="0" fillId="0" borderId="15" xfId="0" applyNumberFormat="1" applyBorder="1"/>
    <xf numFmtId="1" fontId="0" fillId="0" borderId="16" xfId="0" applyNumberFormat="1" applyBorder="1" applyAlignment="1">
      <alignment horizontal="left"/>
    </xf>
    <xf numFmtId="1" fontId="0" fillId="4" borderId="9" xfId="0" applyNumberFormat="1" applyFill="1" applyBorder="1" applyAlignment="1">
      <alignment horizontal="center"/>
    </xf>
    <xf numFmtId="1" fontId="0" fillId="0" borderId="26" xfId="0" applyNumberFormat="1" applyBorder="1" applyAlignment="1">
      <alignment horizontal="left"/>
    </xf>
    <xf numFmtId="0" fontId="0" fillId="7" borderId="27" xfId="0" applyFill="1" applyBorder="1"/>
    <xf numFmtId="0" fontId="0" fillId="7" borderId="10" xfId="0" applyFill="1" applyBorder="1"/>
    <xf numFmtId="1" fontId="0" fillId="7" borderId="7" xfId="0" applyNumberFormat="1" applyFill="1" applyBorder="1"/>
    <xf numFmtId="0" fontId="0" fillId="7" borderId="7" xfId="0" applyFill="1" applyBorder="1"/>
    <xf numFmtId="165" fontId="0" fillId="7" borderId="7" xfId="0" applyNumberFormat="1" applyFill="1" applyBorder="1"/>
    <xf numFmtId="0" fontId="0" fillId="7" borderId="28" xfId="0" applyFill="1" applyBorder="1" applyAlignment="1">
      <alignment horizontal="left"/>
    </xf>
    <xf numFmtId="1" fontId="0" fillId="0" borderId="1" xfId="0" applyNumberFormat="1" applyBorder="1" applyAlignment="1">
      <alignment horizontal="left"/>
    </xf>
    <xf numFmtId="0" fontId="0" fillId="4" borderId="1" xfId="0" applyFill="1" applyBorder="1"/>
    <xf numFmtId="0" fontId="7" fillId="6" borderId="9" xfId="0" applyFont="1" applyFill="1" applyBorder="1"/>
    <xf numFmtId="164" fontId="2" fillId="10" borderId="29" xfId="0" applyNumberFormat="1" applyFont="1" applyFill="1" applyBorder="1"/>
    <xf numFmtId="164" fontId="2" fillId="10" borderId="30" xfId="0" applyNumberFormat="1" applyFont="1" applyFill="1" applyBorder="1"/>
    <xf numFmtId="164" fontId="2" fillId="10" borderId="31" xfId="0" applyNumberFormat="1" applyFont="1" applyFill="1" applyBorder="1"/>
    <xf numFmtId="0" fontId="3" fillId="0" borderId="32" xfId="0" applyFont="1" applyBorder="1" applyAlignment="1">
      <alignment horizontal="center"/>
    </xf>
    <xf numFmtId="49" fontId="3" fillId="0" borderId="33" xfId="0" applyNumberFormat="1" applyFont="1" applyBorder="1" applyAlignment="1">
      <alignment horizontal="center" wrapText="1"/>
    </xf>
    <xf numFmtId="0" fontId="3" fillId="0" borderId="33" xfId="0" applyFont="1" applyBorder="1" applyAlignment="1">
      <alignment horizontal="center" wrapText="1"/>
    </xf>
    <xf numFmtId="0" fontId="3" fillId="0" borderId="33" xfId="0" applyFont="1" applyBorder="1" applyAlignment="1">
      <alignment horizontal="center"/>
    </xf>
    <xf numFmtId="0" fontId="3" fillId="0" borderId="34" xfId="0" applyFont="1" applyBorder="1" applyAlignment="1">
      <alignment horizontal="center"/>
    </xf>
    <xf numFmtId="0" fontId="3" fillId="0" borderId="32" xfId="0" applyFont="1" applyBorder="1" applyAlignment="1">
      <alignment horizontal="center" wrapText="1"/>
    </xf>
    <xf numFmtId="0" fontId="3" fillId="0" borderId="34" xfId="0" applyFont="1" applyBorder="1" applyAlignment="1">
      <alignment horizontal="center" wrapText="1"/>
    </xf>
    <xf numFmtId="0" fontId="1" fillId="0" borderId="1" xfId="0" applyFont="1" applyBorder="1"/>
    <xf numFmtId="165" fontId="1" fillId="7" borderId="1" xfId="0" applyNumberFormat="1" applyFont="1" applyFill="1" applyBorder="1"/>
    <xf numFmtId="164" fontId="2" fillId="10" borderId="29" xfId="0" applyNumberFormat="1" applyFont="1" applyFill="1" applyBorder="1" applyAlignment="1">
      <alignment horizontal="left"/>
    </xf>
    <xf numFmtId="164" fontId="2" fillId="10" borderId="30" xfId="0" applyNumberFormat="1" applyFont="1" applyFill="1" applyBorder="1" applyAlignment="1">
      <alignment horizontal="left"/>
    </xf>
    <xf numFmtId="0" fontId="3" fillId="0" borderId="35" xfId="0" applyFont="1" applyBorder="1" applyAlignment="1">
      <alignment horizontal="center" vertical="center" wrapText="1"/>
    </xf>
    <xf numFmtId="0" fontId="3" fillId="0" borderId="36" xfId="0" applyFont="1" applyBorder="1" applyAlignment="1">
      <alignment horizontal="center" vertical="center" wrapText="1"/>
    </xf>
    <xf numFmtId="164" fontId="2" fillId="0" borderId="0" xfId="0" applyNumberFormat="1" applyFont="1" applyAlignment="1">
      <alignment horizontal="left"/>
    </xf>
    <xf numFmtId="0" fontId="1" fillId="0" borderId="10" xfId="0" applyFont="1" applyBorder="1"/>
    <xf numFmtId="0" fontId="3" fillId="0" borderId="10" xfId="0" applyFont="1" applyBorder="1" applyAlignment="1">
      <alignment horizontal="center" wrapText="1"/>
    </xf>
    <xf numFmtId="0" fontId="0" fillId="0" borderId="37" xfId="0" applyBorder="1"/>
    <xf numFmtId="0" fontId="0" fillId="7" borderId="8" xfId="0" applyFill="1" applyBorder="1"/>
    <xf numFmtId="0" fontId="1" fillId="7" borderId="0" xfId="0" applyFont="1" applyFill="1"/>
    <xf numFmtId="0" fontId="1" fillId="0" borderId="0" xfId="0" applyFont="1"/>
    <xf numFmtId="0" fontId="3" fillId="0" borderId="38" xfId="0" applyFont="1" applyBorder="1" applyAlignment="1">
      <alignment horizontal="center" vertical="center" wrapText="1"/>
    </xf>
    <xf numFmtId="0" fontId="1" fillId="0" borderId="10" xfId="0" applyFont="1" applyBorder="1" applyAlignment="1">
      <alignment horizontal="center" wrapText="1"/>
    </xf>
    <xf numFmtId="1" fontId="0" fillId="0" borderId="1" xfId="0" applyNumberFormat="1" applyBorder="1"/>
    <xf numFmtId="0" fontId="1" fillId="8" borderId="1" xfId="0" applyFont="1" applyFill="1" applyBorder="1"/>
    <xf numFmtId="0" fontId="1" fillId="8" borderId="1" xfId="0" applyFont="1" applyFill="1" applyBorder="1" applyAlignment="1">
      <alignment horizontal="right"/>
    </xf>
    <xf numFmtId="0" fontId="1" fillId="0" borderId="1" xfId="0" applyFont="1" applyBorder="1" applyAlignment="1">
      <alignment horizontal="right"/>
    </xf>
    <xf numFmtId="165" fontId="0" fillId="7" borderId="1" xfId="0" applyNumberFormat="1" applyFill="1" applyBorder="1"/>
    <xf numFmtId="0" fontId="0" fillId="0" borderId="39" xfId="0" applyBorder="1"/>
    <xf numFmtId="0" fontId="0" fillId="7" borderId="39" xfId="0" applyFill="1" applyBorder="1"/>
    <xf numFmtId="0" fontId="1" fillId="7" borderId="1" xfId="0" applyFont="1" applyFill="1" applyBorder="1" applyAlignment="1">
      <alignment horizontal="right"/>
    </xf>
    <xf numFmtId="0" fontId="1" fillId="7" borderId="1" xfId="0" applyFont="1" applyFill="1" applyBorder="1"/>
    <xf numFmtId="1" fontId="0" fillId="7" borderId="21" xfId="0" applyNumberFormat="1" applyFill="1" applyBorder="1" applyAlignment="1">
      <alignment horizontal="left"/>
    </xf>
    <xf numFmtId="1" fontId="0" fillId="0" borderId="9" xfId="0" applyNumberFormat="1" applyBorder="1"/>
    <xf numFmtId="0" fontId="0" fillId="7" borderId="40" xfId="0" applyFill="1" applyBorder="1"/>
    <xf numFmtId="0" fontId="0" fillId="7" borderId="41" xfId="0" applyFill="1" applyBorder="1"/>
    <xf numFmtId="1" fontId="0" fillId="7" borderId="41" xfId="0" applyNumberFormat="1" applyFill="1" applyBorder="1"/>
    <xf numFmtId="165" fontId="1" fillId="7" borderId="41" xfId="0" applyNumberFormat="1" applyFont="1" applyFill="1" applyBorder="1"/>
    <xf numFmtId="0" fontId="0" fillId="7" borderId="42" xfId="0" applyFill="1" applyBorder="1"/>
    <xf numFmtId="0" fontId="1" fillId="0" borderId="1" xfId="0" applyFont="1" applyBorder="1" applyAlignment="1">
      <alignment horizontal="center"/>
    </xf>
    <xf numFmtId="0" fontId="0" fillId="0" borderId="1" xfId="0" applyBorder="1" applyAlignment="1">
      <alignment horizontal="center"/>
    </xf>
    <xf numFmtId="0" fontId="1" fillId="6" borderId="1" xfId="0" applyFont="1" applyFill="1" applyBorder="1"/>
    <xf numFmtId="0" fontId="1" fillId="6" borderId="1" xfId="0" applyFont="1" applyFill="1" applyBorder="1" applyAlignment="1">
      <alignment horizontal="right"/>
    </xf>
    <xf numFmtId="0" fontId="1" fillId="11" borderId="1" xfId="0" applyFont="1" applyFill="1" applyBorder="1"/>
    <xf numFmtId="0" fontId="1" fillId="12" borderId="1" xfId="0" applyFont="1" applyFill="1" applyBorder="1"/>
    <xf numFmtId="0" fontId="1" fillId="11" borderId="1" xfId="0" applyFont="1" applyFill="1" applyBorder="1" applyAlignment="1">
      <alignment horizontal="right"/>
    </xf>
    <xf numFmtId="0" fontId="9" fillId="6" borderId="1" xfId="0" applyFont="1" applyFill="1" applyBorder="1"/>
    <xf numFmtId="0" fontId="9" fillId="12" borderId="1" xfId="0" applyFont="1" applyFill="1" applyBorder="1"/>
    <xf numFmtId="0" fontId="9" fillId="12" borderId="1" xfId="0" applyFont="1" applyFill="1" applyBorder="1" applyAlignment="1">
      <alignment horizontal="right"/>
    </xf>
    <xf numFmtId="0" fontId="0" fillId="13" borderId="0" xfId="0" applyFill="1"/>
    <xf numFmtId="0" fontId="3" fillId="0" borderId="45" xfId="0" applyFont="1" applyBorder="1" applyAlignment="1">
      <alignment horizontal="center"/>
    </xf>
    <xf numFmtId="0" fontId="0" fillId="3" borderId="39" xfId="0" applyFill="1" applyBorder="1"/>
    <xf numFmtId="0" fontId="0" fillId="0" borderId="46" xfId="0" applyBorder="1"/>
    <xf numFmtId="0" fontId="0" fillId="0" borderId="39" xfId="0" applyBorder="1" applyAlignment="1">
      <alignment horizontal="center"/>
    </xf>
    <xf numFmtId="0" fontId="3" fillId="0" borderId="1" xfId="0" applyFont="1" applyBorder="1"/>
    <xf numFmtId="0" fontId="10" fillId="0" borderId="1" xfId="0" applyFont="1" applyBorder="1"/>
    <xf numFmtId="0" fontId="0" fillId="14" borderId="1" xfId="0" applyFill="1" applyBorder="1"/>
    <xf numFmtId="0" fontId="1" fillId="12" borderId="1" xfId="0" applyFont="1" applyFill="1" applyBorder="1" applyAlignment="1">
      <alignment horizontal="right"/>
    </xf>
    <xf numFmtId="0" fontId="11" fillId="0" borderId="0" xfId="0" applyFont="1" applyAlignment="1">
      <alignment vertical="center"/>
    </xf>
    <xf numFmtId="0" fontId="3" fillId="0" borderId="0" xfId="0" applyFont="1" applyAlignment="1">
      <alignment horizontal="center" wrapText="1"/>
    </xf>
    <xf numFmtId="0" fontId="4" fillId="0" borderId="0" xfId="0" applyFont="1"/>
    <xf numFmtId="1" fontId="0" fillId="0" borderId="0" xfId="0" applyNumberFormat="1"/>
    <xf numFmtId="0" fontId="0" fillId="0" borderId="0" xfId="0" applyAlignment="1">
      <alignment horizontal="center"/>
    </xf>
    <xf numFmtId="0" fontId="11" fillId="0" borderId="0" xfId="0" applyFont="1" applyAlignment="1">
      <alignment horizontal="center" vertical="center"/>
    </xf>
    <xf numFmtId="0" fontId="0" fillId="7" borderId="1" xfId="0" applyFill="1" applyBorder="1" applyAlignment="1">
      <alignment horizontal="center"/>
    </xf>
    <xf numFmtId="0" fontId="1" fillId="11" borderId="1" xfId="0" applyFont="1" applyFill="1" applyBorder="1" applyAlignment="1">
      <alignment horizontal="center"/>
    </xf>
    <xf numFmtId="0" fontId="1" fillId="7" borderId="1" xfId="0" applyFont="1" applyFill="1" applyBorder="1" applyAlignment="1">
      <alignment horizontal="center"/>
    </xf>
    <xf numFmtId="1" fontId="0" fillId="4" borderId="1" xfId="0" applyNumberFormat="1" applyFill="1" applyBorder="1" applyAlignment="1">
      <alignment horizontal="center"/>
    </xf>
    <xf numFmtId="0" fontId="0" fillId="7" borderId="41" xfId="0" applyFill="1" applyBorder="1" applyAlignment="1">
      <alignment horizontal="center"/>
    </xf>
    <xf numFmtId="0" fontId="0" fillId="0" borderId="10" xfId="0" applyBorder="1" applyAlignment="1">
      <alignment horizontal="center"/>
    </xf>
    <xf numFmtId="0" fontId="0" fillId="0" borderId="37" xfId="0" applyBorder="1" applyAlignment="1">
      <alignment horizontal="center"/>
    </xf>
    <xf numFmtId="0" fontId="0" fillId="0" borderId="8" xfId="0" applyBorder="1" applyAlignment="1">
      <alignment horizontal="center"/>
    </xf>
    <xf numFmtId="0" fontId="0" fillId="7" borderId="8" xfId="0" applyFill="1" applyBorder="1" applyAlignment="1">
      <alignment horizontal="center"/>
    </xf>
    <xf numFmtId="0" fontId="0" fillId="7" borderId="0" xfId="0" applyFill="1" applyAlignment="1">
      <alignment horizontal="center"/>
    </xf>
    <xf numFmtId="0" fontId="1" fillId="15" borderId="1" xfId="0" applyFont="1" applyFill="1" applyBorder="1" applyAlignment="1">
      <alignment horizontal="center"/>
    </xf>
    <xf numFmtId="0" fontId="1" fillId="12" borderId="1" xfId="0" applyFont="1" applyFill="1" applyBorder="1" applyAlignment="1">
      <alignment horizontal="center"/>
    </xf>
    <xf numFmtId="1" fontId="1" fillId="0" borderId="21" xfId="0" applyNumberFormat="1" applyFont="1" applyBorder="1" applyAlignment="1">
      <alignment horizontal="left"/>
    </xf>
    <xf numFmtId="0" fontId="9" fillId="12" borderId="1" xfId="0" applyFont="1" applyFill="1" applyBorder="1" applyAlignment="1">
      <alignment horizontal="center"/>
    </xf>
    <xf numFmtId="1" fontId="0" fillId="4" borderId="9" xfId="0" applyNumberFormat="1" applyFill="1" applyBorder="1" applyAlignment="1">
      <alignment horizontal="right"/>
    </xf>
    <xf numFmtId="165" fontId="0" fillId="0" borderId="9" xfId="0" applyNumberFormat="1" applyBorder="1" applyAlignment="1">
      <alignment horizontal="right"/>
    </xf>
    <xf numFmtId="0" fontId="12" fillId="0" borderId="1" xfId="0" applyFont="1" applyBorder="1"/>
    <xf numFmtId="0" fontId="0" fillId="11" borderId="46" xfId="0" applyFill="1" applyBorder="1"/>
    <xf numFmtId="1" fontId="0" fillId="4" borderId="46" xfId="0" applyNumberFormat="1" applyFill="1" applyBorder="1"/>
    <xf numFmtId="0" fontId="0" fillId="7" borderId="47" xfId="0" applyFill="1" applyBorder="1"/>
    <xf numFmtId="1" fontId="1" fillId="11" borderId="1" xfId="2" applyNumberFormat="1" applyFont="1" applyFill="1" applyBorder="1" applyAlignment="1">
      <alignment horizontal="center"/>
    </xf>
    <xf numFmtId="0" fontId="1" fillId="4" borderId="1" xfId="0" applyFont="1" applyFill="1" applyBorder="1"/>
    <xf numFmtId="1" fontId="0" fillId="4" borderId="1" xfId="0" applyNumberFormat="1" applyFill="1" applyBorder="1" applyAlignment="1">
      <alignment horizontal="right"/>
    </xf>
    <xf numFmtId="0" fontId="0" fillId="4" borderId="9" xfId="0" applyFill="1" applyBorder="1"/>
    <xf numFmtId="0" fontId="0" fillId="0" borderId="9" xfId="0" applyBorder="1" applyAlignment="1">
      <alignment horizontal="center"/>
    </xf>
    <xf numFmtId="0" fontId="1" fillId="15" borderId="9" xfId="0" applyFont="1" applyFill="1" applyBorder="1" applyAlignment="1">
      <alignment horizontal="center"/>
    </xf>
    <xf numFmtId="0" fontId="0" fillId="11" borderId="1" xfId="0" applyFill="1" applyBorder="1"/>
    <xf numFmtId="0" fontId="0" fillId="16" borderId="1" xfId="0" applyFill="1" applyBorder="1"/>
    <xf numFmtId="0" fontId="0" fillId="15" borderId="1" xfId="0" applyFill="1" applyBorder="1"/>
    <xf numFmtId="0" fontId="1" fillId="3" borderId="1" xfId="0" applyFont="1" applyFill="1" applyBorder="1"/>
    <xf numFmtId="0" fontId="1" fillId="5" borderId="9" xfId="0" applyFont="1" applyFill="1" applyBorder="1"/>
    <xf numFmtId="165" fontId="1" fillId="0" borderId="11" xfId="0" applyNumberFormat="1" applyFont="1" applyBorder="1"/>
    <xf numFmtId="0" fontId="1" fillId="3" borderId="9" xfId="0" applyFont="1" applyFill="1" applyBorder="1"/>
    <xf numFmtId="0" fontId="1" fillId="0" borderId="9" xfId="0" applyFont="1" applyBorder="1"/>
    <xf numFmtId="0" fontId="1" fillId="8" borderId="9" xfId="0" applyFont="1" applyFill="1" applyBorder="1"/>
    <xf numFmtId="0" fontId="1" fillId="6" borderId="9" xfId="0" applyFont="1" applyFill="1" applyBorder="1" applyAlignment="1">
      <alignment horizontal="right"/>
    </xf>
    <xf numFmtId="0" fontId="1" fillId="3" borderId="9" xfId="0" applyFont="1" applyFill="1" applyBorder="1" applyAlignment="1">
      <alignment horizontal="right"/>
    </xf>
    <xf numFmtId="0" fontId="1" fillId="0" borderId="9" xfId="0" applyFont="1" applyBorder="1" applyAlignment="1">
      <alignment horizontal="right"/>
    </xf>
    <xf numFmtId="1" fontId="1" fillId="9" borderId="9" xfId="0" applyNumberFormat="1" applyFont="1" applyFill="1" applyBorder="1"/>
    <xf numFmtId="165" fontId="1" fillId="7" borderId="11" xfId="0" applyNumberFormat="1" applyFont="1" applyFill="1" applyBorder="1"/>
    <xf numFmtId="0" fontId="1" fillId="0" borderId="7" xfId="0" applyFont="1" applyBorder="1" applyAlignment="1">
      <alignment horizontal="center"/>
    </xf>
    <xf numFmtId="0" fontId="0" fillId="14" borderId="1" xfId="0" applyFill="1" applyBorder="1" applyAlignment="1">
      <alignment horizontal="center"/>
    </xf>
    <xf numFmtId="0" fontId="0" fillId="15" borderId="1" xfId="0" applyFill="1" applyBorder="1" applyAlignment="1">
      <alignment horizontal="center"/>
    </xf>
    <xf numFmtId="0" fontId="0" fillId="11" borderId="1" xfId="0" applyFill="1" applyBorder="1" applyAlignment="1">
      <alignment horizontal="center"/>
    </xf>
    <xf numFmtId="0" fontId="14" fillId="11" borderId="1" xfId="0" applyFont="1" applyFill="1" applyBorder="1" applyAlignment="1">
      <alignment horizontal="center"/>
    </xf>
    <xf numFmtId="0" fontId="1" fillId="0" borderId="0" xfId="0" applyFont="1" applyAlignment="1">
      <alignment horizontal="center"/>
    </xf>
    <xf numFmtId="2" fontId="0" fillId="0" borderId="0" xfId="0" applyNumberFormat="1" applyAlignment="1">
      <alignment horizontal="center"/>
    </xf>
    <xf numFmtId="0" fontId="4" fillId="0" borderId="0" xfId="0" applyFont="1" applyAlignment="1">
      <alignment horizontal="center"/>
    </xf>
    <xf numFmtId="2" fontId="4" fillId="0" borderId="0" xfId="0" applyNumberFormat="1" applyFont="1" applyAlignment="1">
      <alignment horizontal="center"/>
    </xf>
    <xf numFmtId="0" fontId="3" fillId="11" borderId="33" xfId="0" applyFont="1" applyFill="1" applyBorder="1" applyAlignment="1">
      <alignment horizontal="center"/>
    </xf>
    <xf numFmtId="0" fontId="15" fillId="0" borderId="0" xfId="0" applyFont="1"/>
    <xf numFmtId="0" fontId="15" fillId="0" borderId="0" xfId="0" applyFont="1" applyAlignment="1">
      <alignment horizontal="center"/>
    </xf>
    <xf numFmtId="0" fontId="15" fillId="13" borderId="0" xfId="0" applyFont="1" applyFill="1"/>
    <xf numFmtId="164" fontId="3" fillId="10" borderId="29" xfId="0" applyNumberFormat="1" applyFont="1" applyFill="1" applyBorder="1"/>
    <xf numFmtId="164" fontId="3" fillId="10" borderId="30" xfId="0" applyNumberFormat="1" applyFont="1" applyFill="1" applyBorder="1"/>
    <xf numFmtId="164" fontId="3" fillId="10" borderId="31" xfId="0" applyNumberFormat="1" applyFont="1" applyFill="1" applyBorder="1"/>
    <xf numFmtId="0" fontId="15" fillId="14" borderId="1" xfId="0" applyFont="1" applyFill="1" applyBorder="1"/>
    <xf numFmtId="0" fontId="15" fillId="7" borderId="39" xfId="0" applyFont="1" applyFill="1" applyBorder="1"/>
    <xf numFmtId="0" fontId="15" fillId="7" borderId="1" xfId="0" applyFont="1" applyFill="1" applyBorder="1"/>
    <xf numFmtId="0" fontId="15" fillId="7" borderId="1" xfId="0" applyFont="1" applyFill="1" applyBorder="1" applyAlignment="1">
      <alignment horizontal="center"/>
    </xf>
    <xf numFmtId="1" fontId="15" fillId="7" borderId="1" xfId="0" applyNumberFormat="1" applyFont="1" applyFill="1" applyBorder="1"/>
    <xf numFmtId="165" fontId="15" fillId="7" borderId="1" xfId="0" applyNumberFormat="1" applyFont="1" applyFill="1" applyBorder="1"/>
    <xf numFmtId="1" fontId="15" fillId="7" borderId="21" xfId="0" applyNumberFormat="1" applyFont="1" applyFill="1" applyBorder="1" applyAlignment="1">
      <alignment horizontal="left"/>
    </xf>
    <xf numFmtId="0" fontId="15" fillId="0" borderId="39" xfId="0" applyFont="1" applyBorder="1"/>
    <xf numFmtId="0" fontId="15" fillId="0" borderId="1" xfId="0" applyFont="1" applyBorder="1"/>
    <xf numFmtId="0" fontId="15" fillId="4" borderId="1" xfId="0" applyFont="1" applyFill="1" applyBorder="1"/>
    <xf numFmtId="0" fontId="15" fillId="0" borderId="1" xfId="0" applyFont="1" applyBorder="1" applyAlignment="1">
      <alignment horizontal="center"/>
    </xf>
    <xf numFmtId="0" fontId="15" fillId="11" borderId="1" xfId="0" applyFont="1" applyFill="1" applyBorder="1" applyAlignment="1">
      <alignment horizontal="center"/>
    </xf>
    <xf numFmtId="0" fontId="15" fillId="2" borderId="1" xfId="0" applyFont="1" applyFill="1" applyBorder="1"/>
    <xf numFmtId="1" fontId="15" fillId="4" borderId="9" xfId="0" applyNumberFormat="1" applyFont="1" applyFill="1" applyBorder="1"/>
    <xf numFmtId="165" fontId="15" fillId="0" borderId="9" xfId="0" applyNumberFormat="1" applyFont="1" applyBorder="1"/>
    <xf numFmtId="1" fontId="15" fillId="0" borderId="21" xfId="0" applyNumberFormat="1" applyFont="1" applyBorder="1" applyAlignment="1">
      <alignment horizontal="left"/>
    </xf>
    <xf numFmtId="0" fontId="15" fillId="12" borderId="1" xfId="0" applyFont="1" applyFill="1" applyBorder="1" applyAlignment="1">
      <alignment horizontal="center"/>
    </xf>
    <xf numFmtId="0" fontId="15" fillId="14" borderId="1" xfId="0" applyFont="1" applyFill="1" applyBorder="1" applyAlignment="1">
      <alignment horizontal="center"/>
    </xf>
    <xf numFmtId="0" fontId="15" fillId="16" borderId="1" xfId="0" applyFont="1" applyFill="1" applyBorder="1" applyAlignment="1">
      <alignment horizontal="center"/>
    </xf>
    <xf numFmtId="0" fontId="16" fillId="12" borderId="1" xfId="0" applyFont="1" applyFill="1" applyBorder="1" applyAlignment="1">
      <alignment horizontal="center"/>
    </xf>
    <xf numFmtId="0" fontId="15" fillId="15" borderId="1" xfId="0" applyFont="1" applyFill="1" applyBorder="1" applyAlignment="1">
      <alignment horizontal="center"/>
    </xf>
    <xf numFmtId="0" fontId="15" fillId="7" borderId="21" xfId="0" applyFont="1" applyFill="1" applyBorder="1" applyAlignment="1">
      <alignment horizontal="left"/>
    </xf>
    <xf numFmtId="0" fontId="15" fillId="11" borderId="46" xfId="0" applyFont="1" applyFill="1" applyBorder="1"/>
    <xf numFmtId="0" fontId="15" fillId="12" borderId="7" xfId="0" applyFont="1" applyFill="1" applyBorder="1" applyAlignment="1">
      <alignment horizontal="center"/>
    </xf>
    <xf numFmtId="0" fontId="15" fillId="0" borderId="9" xfId="0" applyFont="1" applyBorder="1"/>
    <xf numFmtId="0" fontId="15" fillId="4" borderId="9" xfId="0" applyFont="1" applyFill="1" applyBorder="1"/>
    <xf numFmtId="0" fontId="15" fillId="0" borderId="9" xfId="0" applyFont="1" applyBorder="1" applyAlignment="1">
      <alignment horizontal="center"/>
    </xf>
    <xf numFmtId="0" fontId="15" fillId="15" borderId="9" xfId="0" applyFont="1" applyFill="1" applyBorder="1" applyAlignment="1">
      <alignment horizontal="center"/>
    </xf>
    <xf numFmtId="1" fontId="15" fillId="0" borderId="26" xfId="0" applyNumberFormat="1" applyFont="1" applyBorder="1" applyAlignment="1">
      <alignment horizontal="left"/>
    </xf>
    <xf numFmtId="0" fontId="15" fillId="11" borderId="1" xfId="0" applyFont="1" applyFill="1" applyBorder="1"/>
    <xf numFmtId="0" fontId="15" fillId="16" borderId="1" xfId="0" applyFont="1" applyFill="1" applyBorder="1"/>
    <xf numFmtId="0" fontId="15" fillId="14" borderId="9" xfId="0" applyFont="1" applyFill="1" applyBorder="1"/>
    <xf numFmtId="1" fontId="15" fillId="14" borderId="9" xfId="0" applyNumberFormat="1" applyFont="1" applyFill="1" applyBorder="1"/>
    <xf numFmtId="165" fontId="15" fillId="14" borderId="9" xfId="0" applyNumberFormat="1" applyFont="1" applyFill="1" applyBorder="1"/>
    <xf numFmtId="1" fontId="15" fillId="14" borderId="26" xfId="0" applyNumberFormat="1" applyFont="1" applyFill="1" applyBorder="1" applyAlignment="1">
      <alignment horizontal="left"/>
    </xf>
    <xf numFmtId="1" fontId="15" fillId="0" borderId="26" xfId="0" applyNumberFormat="1" applyFont="1" applyBorder="1" applyAlignment="1">
      <alignment horizontal="right"/>
    </xf>
    <xf numFmtId="1" fontId="15" fillId="0" borderId="1" xfId="0" applyNumberFormat="1" applyFont="1" applyBorder="1"/>
    <xf numFmtId="1" fontId="15" fillId="4" borderId="9" xfId="0" applyNumberFormat="1" applyFont="1" applyFill="1" applyBorder="1" applyAlignment="1">
      <alignment horizontal="center"/>
    </xf>
    <xf numFmtId="1" fontId="15" fillId="4" borderId="9" xfId="0" applyNumberFormat="1" applyFont="1" applyFill="1" applyBorder="1" applyAlignment="1">
      <alignment horizontal="right"/>
    </xf>
    <xf numFmtId="165" fontId="15" fillId="0" borderId="9" xfId="0" applyNumberFormat="1" applyFont="1" applyBorder="1" applyAlignment="1">
      <alignment horizontal="right"/>
    </xf>
    <xf numFmtId="0" fontId="15" fillId="0" borderId="39" xfId="0" applyFont="1" applyBorder="1" applyAlignment="1">
      <alignment horizontal="center"/>
    </xf>
    <xf numFmtId="1" fontId="15" fillId="4" borderId="1" xfId="0" applyNumberFormat="1" applyFont="1" applyFill="1" applyBorder="1" applyAlignment="1">
      <alignment horizontal="center"/>
    </xf>
    <xf numFmtId="1" fontId="15" fillId="4" borderId="1" xfId="0" applyNumberFormat="1" applyFont="1" applyFill="1" applyBorder="1"/>
    <xf numFmtId="0" fontId="15" fillId="7" borderId="41" xfId="0" applyFont="1" applyFill="1" applyBorder="1"/>
    <xf numFmtId="1" fontId="15" fillId="7" borderId="41" xfId="0" applyNumberFormat="1" applyFont="1" applyFill="1" applyBorder="1"/>
    <xf numFmtId="0" fontId="15" fillId="7" borderId="0" xfId="0" applyFont="1" applyFill="1" applyAlignment="1">
      <alignment horizontal="center"/>
    </xf>
    <xf numFmtId="0" fontId="15" fillId="7" borderId="41" xfId="0" applyFont="1" applyFill="1" applyBorder="1" applyAlignment="1">
      <alignment horizontal="center"/>
    </xf>
    <xf numFmtId="165" fontId="15" fillId="7" borderId="41" xfId="0" applyNumberFormat="1" applyFont="1" applyFill="1" applyBorder="1"/>
    <xf numFmtId="0" fontId="15" fillId="7" borderId="47" xfId="0" applyFont="1" applyFill="1" applyBorder="1"/>
    <xf numFmtId="1" fontId="15" fillId="0" borderId="0" xfId="0" applyNumberFormat="1" applyFont="1"/>
    <xf numFmtId="1" fontId="15" fillId="0" borderId="0" xfId="0" applyNumberFormat="1" applyFont="1" applyAlignment="1">
      <alignment horizontal="center"/>
    </xf>
    <xf numFmtId="165" fontId="15" fillId="0" borderId="0" xfId="0" applyNumberFormat="1" applyFont="1"/>
    <xf numFmtId="0" fontId="3" fillId="0" borderId="0" xfId="0" applyFont="1"/>
    <xf numFmtId="1" fontId="15" fillId="0" borderId="1" xfId="0" applyNumberFormat="1" applyFont="1" applyBorder="1" applyAlignment="1">
      <alignment horizontal="center"/>
    </xf>
    <xf numFmtId="1" fontId="15" fillId="0" borderId="1" xfId="0" applyNumberFormat="1" applyFont="1" applyBorder="1" applyAlignment="1">
      <alignment horizontal="right"/>
    </xf>
    <xf numFmtId="0" fontId="15" fillId="14" borderId="0" xfId="0" applyFont="1" applyFill="1"/>
    <xf numFmtId="0" fontId="15" fillId="7" borderId="0" xfId="0" applyFont="1" applyFill="1"/>
    <xf numFmtId="1" fontId="15" fillId="7" borderId="0" xfId="0" applyNumberFormat="1" applyFont="1" applyFill="1"/>
    <xf numFmtId="165" fontId="15" fillId="7" borderId="0" xfId="0" applyNumberFormat="1" applyFont="1" applyFill="1"/>
    <xf numFmtId="1" fontId="15" fillId="0" borderId="0" xfId="0" applyNumberFormat="1" applyFont="1" applyAlignment="1">
      <alignment horizontal="left"/>
    </xf>
    <xf numFmtId="164" fontId="3" fillId="10" borderId="29" xfId="0" applyNumberFormat="1" applyFont="1" applyFill="1" applyBorder="1" applyAlignment="1">
      <alignment horizontal="left"/>
    </xf>
    <xf numFmtId="164" fontId="3" fillId="10" borderId="30" xfId="0" applyNumberFormat="1" applyFont="1" applyFill="1" applyBorder="1" applyAlignment="1">
      <alignment horizontal="left"/>
    </xf>
    <xf numFmtId="164" fontId="3" fillId="0" borderId="0" xfId="0" applyNumberFormat="1" applyFont="1" applyAlignment="1">
      <alignment horizontal="left"/>
    </xf>
    <xf numFmtId="0" fontId="15" fillId="0" borderId="10" xfId="0" applyFont="1" applyBorder="1"/>
    <xf numFmtId="0" fontId="15" fillId="0" borderId="10" xfId="0" applyFont="1" applyBorder="1" applyAlignment="1">
      <alignment horizontal="center" wrapText="1"/>
    </xf>
    <xf numFmtId="0" fontId="15" fillId="0" borderId="10" xfId="0" applyFont="1" applyBorder="1" applyAlignment="1">
      <alignment horizontal="center"/>
    </xf>
    <xf numFmtId="0" fontId="15" fillId="0" borderId="37" xfId="0" applyFont="1" applyBorder="1" applyAlignment="1">
      <alignment horizontal="center"/>
    </xf>
    <xf numFmtId="0" fontId="15" fillId="0" borderId="8" xfId="0" applyFont="1" applyBorder="1" applyAlignment="1">
      <alignment horizontal="center"/>
    </xf>
    <xf numFmtId="0" fontId="15" fillId="7" borderId="8" xfId="0" applyFont="1" applyFill="1" applyBorder="1" applyAlignment="1">
      <alignment horizontal="center"/>
    </xf>
    <xf numFmtId="0" fontId="15" fillId="11" borderId="46" xfId="0" applyFont="1" applyFill="1" applyBorder="1" applyAlignment="1">
      <alignment horizontal="center"/>
    </xf>
    <xf numFmtId="0" fontId="15" fillId="12" borderId="0" xfId="0" applyFont="1" applyFill="1" applyAlignment="1">
      <alignment horizontal="center"/>
    </xf>
    <xf numFmtId="0" fontId="17" fillId="0" borderId="0" xfId="0" applyFont="1"/>
    <xf numFmtId="0" fontId="17" fillId="0" borderId="0" xfId="0" applyFont="1" applyAlignment="1">
      <alignment horizontal="center"/>
    </xf>
    <xf numFmtId="0" fontId="18" fillId="12" borderId="1" xfId="0" applyFont="1" applyFill="1" applyBorder="1" applyAlignment="1">
      <alignment horizontal="center"/>
    </xf>
    <xf numFmtId="0" fontId="15" fillId="18" borderId="0" xfId="0" applyFont="1" applyFill="1"/>
    <xf numFmtId="14" fontId="17" fillId="0" borderId="0" xfId="0" applyNumberFormat="1" applyFont="1"/>
    <xf numFmtId="14" fontId="15" fillId="17" borderId="0" xfId="0" applyNumberFormat="1" applyFont="1" applyFill="1"/>
    <xf numFmtId="0" fontId="15" fillId="17" borderId="0" xfId="0" applyFont="1" applyFill="1"/>
    <xf numFmtId="0" fontId="17" fillId="14" borderId="0" xfId="0" applyFont="1" applyFill="1"/>
    <xf numFmtId="0" fontId="3" fillId="18" borderId="0" xfId="0" applyFont="1" applyFill="1"/>
    <xf numFmtId="0" fontId="3" fillId="17" borderId="0" xfId="0" applyFont="1" applyFill="1"/>
    <xf numFmtId="1" fontId="15" fillId="0" borderId="26" xfId="0" applyNumberFormat="1" applyFont="1" applyBorder="1" applyAlignment="1">
      <alignment horizontal="center"/>
    </xf>
    <xf numFmtId="0" fontId="18" fillId="15" borderId="1" xfId="0" applyFont="1" applyFill="1" applyBorder="1" applyAlignment="1">
      <alignment horizontal="center"/>
    </xf>
    <xf numFmtId="0" fontId="15" fillId="17" borderId="0" xfId="0" applyFont="1" applyFill="1" applyAlignment="1">
      <alignment horizontal="center"/>
    </xf>
    <xf numFmtId="14" fontId="15" fillId="0" borderId="0" xfId="0" applyNumberFormat="1" applyFont="1"/>
    <xf numFmtId="164" fontId="3" fillId="10" borderId="31" xfId="0" applyNumberFormat="1" applyFont="1" applyFill="1" applyBorder="1" applyAlignment="1">
      <alignment horizontal="center"/>
    </xf>
    <xf numFmtId="14" fontId="3" fillId="17" borderId="0" xfId="0" applyNumberFormat="1" applyFont="1" applyFill="1"/>
    <xf numFmtId="1" fontId="15" fillId="7" borderId="21" xfId="0" applyNumberFormat="1" applyFont="1" applyFill="1" applyBorder="1" applyAlignment="1">
      <alignment horizontal="center"/>
    </xf>
    <xf numFmtId="1" fontId="15" fillId="0" borderId="21" xfId="0" applyNumberFormat="1" applyFont="1" applyBorder="1" applyAlignment="1">
      <alignment horizontal="center"/>
    </xf>
    <xf numFmtId="14" fontId="15" fillId="0" borderId="0" xfId="0" applyNumberFormat="1" applyFont="1" applyAlignment="1">
      <alignment horizontal="center"/>
    </xf>
    <xf numFmtId="0" fontId="15" fillId="7" borderId="21" xfId="0" applyFont="1" applyFill="1" applyBorder="1" applyAlignment="1">
      <alignment horizontal="center"/>
    </xf>
    <xf numFmtId="16" fontId="15" fillId="18" borderId="0" xfId="0" applyNumberFormat="1" applyFont="1" applyFill="1"/>
    <xf numFmtId="14" fontId="15" fillId="18" borderId="0" xfId="0" applyNumberFormat="1" applyFont="1" applyFill="1"/>
    <xf numFmtId="0" fontId="15" fillId="12" borderId="9" xfId="0" applyFont="1" applyFill="1" applyBorder="1" applyAlignment="1">
      <alignment horizontal="center"/>
    </xf>
    <xf numFmtId="1" fontId="15" fillId="14" borderId="26" xfId="0" applyNumberFormat="1" applyFont="1" applyFill="1" applyBorder="1" applyAlignment="1">
      <alignment horizontal="center"/>
    </xf>
    <xf numFmtId="16" fontId="15" fillId="0" borderId="0" xfId="0" applyNumberFormat="1" applyFont="1" applyAlignment="1">
      <alignment horizontal="center"/>
    </xf>
    <xf numFmtId="1" fontId="15" fillId="16" borderId="1" xfId="0" applyNumberFormat="1" applyFont="1" applyFill="1" applyBorder="1" applyAlignment="1">
      <alignment horizontal="center" vertical="center"/>
    </xf>
    <xf numFmtId="1" fontId="15" fillId="0" borderId="9" xfId="0" applyNumberFormat="1" applyFont="1" applyBorder="1" applyAlignment="1">
      <alignment horizontal="center"/>
    </xf>
    <xf numFmtId="1" fontId="15" fillId="11" borderId="9" xfId="0" applyNumberFormat="1" applyFont="1" applyFill="1" applyBorder="1" applyAlignment="1">
      <alignment horizontal="center"/>
    </xf>
    <xf numFmtId="1" fontId="15" fillId="15" borderId="9" xfId="0" applyNumberFormat="1" applyFont="1" applyFill="1" applyBorder="1" applyAlignment="1">
      <alignment horizontal="center"/>
    </xf>
    <xf numFmtId="1" fontId="15" fillId="12" borderId="9" xfId="0" applyNumberFormat="1" applyFont="1" applyFill="1" applyBorder="1" applyAlignment="1">
      <alignment horizontal="center"/>
    </xf>
    <xf numFmtId="0" fontId="15" fillId="16" borderId="1" xfId="0" applyFont="1" applyFill="1" applyBorder="1" applyAlignment="1">
      <alignment horizontal="center" vertical="center"/>
    </xf>
    <xf numFmtId="0" fontId="15" fillId="7" borderId="47" xfId="0" applyFont="1" applyFill="1" applyBorder="1" applyAlignment="1">
      <alignment horizontal="center"/>
    </xf>
    <xf numFmtId="0" fontId="15" fillId="0" borderId="41" xfId="0" applyFont="1" applyBorder="1"/>
    <xf numFmtId="0" fontId="15" fillId="0" borderId="41" xfId="0" applyFont="1" applyBorder="1" applyAlignment="1">
      <alignment horizontal="center"/>
    </xf>
    <xf numFmtId="164" fontId="3" fillId="0" borderId="0" xfId="0" applyNumberFormat="1" applyFont="1" applyAlignment="1">
      <alignment horizontal="center"/>
    </xf>
    <xf numFmtId="0" fontId="3" fillId="17" borderId="0" xfId="0" applyFont="1" applyFill="1" applyAlignment="1">
      <alignment horizontal="center"/>
    </xf>
    <xf numFmtId="1" fontId="15" fillId="7" borderId="1" xfId="0" applyNumberFormat="1" applyFont="1" applyFill="1" applyBorder="1" applyAlignment="1">
      <alignment horizontal="center"/>
    </xf>
    <xf numFmtId="165" fontId="15" fillId="7" borderId="1" xfId="0" applyNumberFormat="1" applyFont="1" applyFill="1" applyBorder="1" applyAlignment="1">
      <alignment horizontal="center"/>
    </xf>
    <xf numFmtId="0" fontId="15" fillId="2" borderId="1" xfId="0" applyFont="1" applyFill="1" applyBorder="1" applyAlignment="1">
      <alignment horizontal="center"/>
    </xf>
    <xf numFmtId="165" fontId="15" fillId="0" borderId="9" xfId="0" applyNumberFormat="1" applyFont="1" applyBorder="1" applyAlignment="1">
      <alignment horizontal="center"/>
    </xf>
    <xf numFmtId="0" fontId="15" fillId="2" borderId="9" xfId="0" applyFont="1" applyFill="1" applyBorder="1" applyAlignment="1">
      <alignment horizontal="center"/>
    </xf>
    <xf numFmtId="0" fontId="15" fillId="14" borderId="9" xfId="0" applyFont="1" applyFill="1" applyBorder="1" applyAlignment="1">
      <alignment horizontal="center"/>
    </xf>
    <xf numFmtId="1" fontId="15" fillId="14" borderId="9" xfId="0" applyNumberFormat="1" applyFont="1" applyFill="1" applyBorder="1" applyAlignment="1">
      <alignment horizontal="center"/>
    </xf>
    <xf numFmtId="165" fontId="15" fillId="14" borderId="9" xfId="0" applyNumberFormat="1" applyFont="1" applyFill="1" applyBorder="1" applyAlignment="1">
      <alignment horizontal="center"/>
    </xf>
    <xf numFmtId="1" fontId="15" fillId="2" borderId="1" xfId="0" applyNumberFormat="1" applyFont="1" applyFill="1" applyBorder="1" applyAlignment="1">
      <alignment horizontal="center"/>
    </xf>
    <xf numFmtId="0" fontId="15" fillId="14" borderId="39" xfId="0" applyFont="1" applyFill="1" applyBorder="1"/>
    <xf numFmtId="1" fontId="15" fillId="7" borderId="41" xfId="0" applyNumberFormat="1" applyFont="1" applyFill="1" applyBorder="1" applyAlignment="1">
      <alignment horizontal="center"/>
    </xf>
    <xf numFmtId="165" fontId="15" fillId="7" borderId="41" xfId="0" applyNumberFormat="1" applyFont="1" applyFill="1" applyBorder="1" applyAlignment="1">
      <alignment horizontal="center"/>
    </xf>
    <xf numFmtId="165" fontId="15" fillId="0" borderId="0" xfId="0" applyNumberFormat="1" applyFont="1" applyAlignment="1">
      <alignment horizontal="center"/>
    </xf>
    <xf numFmtId="1" fontId="18" fillId="12" borderId="9" xfId="0" applyNumberFormat="1" applyFont="1" applyFill="1" applyBorder="1" applyAlignment="1">
      <alignment horizontal="center"/>
    </xf>
    <xf numFmtId="0" fontId="19" fillId="15" borderId="1" xfId="0" applyFont="1" applyFill="1" applyBorder="1" applyAlignment="1">
      <alignment horizontal="center"/>
    </xf>
    <xf numFmtId="164" fontId="2" fillId="10" borderId="30" xfId="0" applyNumberFormat="1" applyFont="1" applyFill="1" applyBorder="1" applyAlignment="1">
      <alignment horizontal="center"/>
    </xf>
    <xf numFmtId="164" fontId="3" fillId="10" borderId="30" xfId="0" applyNumberFormat="1" applyFont="1" applyFill="1" applyBorder="1" applyAlignment="1">
      <alignment horizontal="center"/>
    </xf>
    <xf numFmtId="14" fontId="15" fillId="19" borderId="0" xfId="0" applyNumberFormat="1" applyFont="1" applyFill="1"/>
    <xf numFmtId="0" fontId="15" fillId="19" borderId="0" xfId="0" applyFont="1" applyFill="1" applyAlignment="1">
      <alignment horizontal="center"/>
    </xf>
    <xf numFmtId="0" fontId="15" fillId="19" borderId="0" xfId="0" applyFont="1" applyFill="1"/>
    <xf numFmtId="14" fontId="15" fillId="20" borderId="0" xfId="0" applyNumberFormat="1" applyFont="1" applyFill="1"/>
    <xf numFmtId="0" fontId="15" fillId="20" borderId="0" xfId="0" applyFont="1" applyFill="1" applyAlignment="1">
      <alignment horizontal="center"/>
    </xf>
    <xf numFmtId="0" fontId="15" fillId="20" borderId="0" xfId="0" applyFont="1" applyFill="1"/>
    <xf numFmtId="14" fontId="17" fillId="0" borderId="0" xfId="0" applyNumberFormat="1" applyFont="1" applyAlignment="1">
      <alignment horizontal="center"/>
    </xf>
    <xf numFmtId="0" fontId="19" fillId="0" borderId="1" xfId="0" applyFont="1" applyBorder="1" applyAlignment="1">
      <alignment horizontal="center"/>
    </xf>
    <xf numFmtId="1" fontId="15" fillId="16" borderId="9" xfId="0" applyNumberFormat="1" applyFont="1" applyFill="1" applyBorder="1" applyAlignment="1">
      <alignment horizontal="center"/>
    </xf>
    <xf numFmtId="14" fontId="15" fillId="21" borderId="0" xfId="0" applyNumberFormat="1" applyFont="1" applyFill="1"/>
    <xf numFmtId="0" fontId="15" fillId="21" borderId="0" xfId="0" applyFont="1" applyFill="1" applyAlignment="1">
      <alignment horizontal="center"/>
    </xf>
    <xf numFmtId="0" fontId="15" fillId="21" borderId="0" xfId="0" applyFont="1" applyFill="1"/>
    <xf numFmtId="1" fontId="15" fillId="20" borderId="0" xfId="0" applyNumberFormat="1" applyFont="1" applyFill="1" applyAlignment="1">
      <alignment horizontal="center"/>
    </xf>
    <xf numFmtId="0" fontId="20" fillId="20" borderId="0" xfId="0" applyFont="1" applyFill="1"/>
    <xf numFmtId="14" fontId="15" fillId="20" borderId="0" xfId="0" applyNumberFormat="1" applyFont="1" applyFill="1" applyAlignment="1">
      <alignment horizontal="right"/>
    </xf>
    <xf numFmtId="0" fontId="15" fillId="20" borderId="0" xfId="0" applyFont="1" applyFill="1" applyAlignment="1">
      <alignment horizontal="right"/>
    </xf>
    <xf numFmtId="1" fontId="3" fillId="20" borderId="0" xfId="0" applyNumberFormat="1" applyFont="1" applyFill="1" applyAlignment="1">
      <alignment horizontal="center"/>
    </xf>
    <xf numFmtId="0" fontId="15" fillId="20" borderId="0" xfId="0" applyFont="1" applyFill="1" applyAlignment="1">
      <alignment horizontal="left"/>
    </xf>
    <xf numFmtId="0" fontId="15" fillId="19" borderId="0" xfId="0" applyFont="1" applyFill="1" applyAlignment="1">
      <alignment horizontal="right"/>
    </xf>
    <xf numFmtId="0" fontId="15" fillId="11" borderId="9" xfId="0" applyFont="1" applyFill="1" applyBorder="1" applyAlignment="1">
      <alignment horizontal="center"/>
    </xf>
    <xf numFmtId="1" fontId="15" fillId="22" borderId="9" xfId="0" applyNumberFormat="1" applyFont="1" applyFill="1" applyBorder="1" applyAlignment="1">
      <alignment horizontal="center"/>
    </xf>
    <xf numFmtId="0" fontId="15" fillId="11" borderId="0" xfId="0" applyFont="1" applyFill="1" applyAlignment="1">
      <alignment horizontal="center"/>
    </xf>
    <xf numFmtId="0" fontId="3" fillId="11" borderId="7" xfId="0" applyFont="1" applyFill="1" applyBorder="1" applyAlignment="1">
      <alignment horizontal="center"/>
    </xf>
    <xf numFmtId="0" fontId="3" fillId="0" borderId="7" xfId="0" applyFont="1" applyBorder="1" applyAlignment="1">
      <alignment horizontal="center"/>
    </xf>
    <xf numFmtId="0" fontId="17" fillId="0" borderId="1" xfId="0" applyFont="1" applyBorder="1" applyAlignment="1">
      <alignment horizontal="center"/>
    </xf>
    <xf numFmtId="0" fontId="15" fillId="14" borderId="1" xfId="0" applyFont="1" applyFill="1" applyBorder="1" applyAlignment="1">
      <alignment horizontal="center" vertical="center"/>
    </xf>
    <xf numFmtId="0" fontId="15" fillId="4" borderId="1" xfId="0" applyFont="1" applyFill="1" applyBorder="1" applyAlignment="1">
      <alignment horizontal="center"/>
    </xf>
    <xf numFmtId="1" fontId="15" fillId="14" borderId="1" xfId="0" applyNumberFormat="1" applyFont="1" applyFill="1" applyBorder="1" applyAlignment="1">
      <alignment horizontal="center"/>
    </xf>
    <xf numFmtId="1" fontId="15" fillId="16" borderId="1" xfId="0" applyNumberFormat="1" applyFont="1" applyFill="1" applyBorder="1" applyAlignment="1">
      <alignment horizontal="center"/>
    </xf>
    <xf numFmtId="1" fontId="15" fillId="16" borderId="41" xfId="0" applyNumberFormat="1" applyFont="1" applyFill="1" applyBorder="1" applyAlignment="1">
      <alignment horizontal="center"/>
    </xf>
    <xf numFmtId="1" fontId="15" fillId="16" borderId="0" xfId="0" applyNumberFormat="1" applyFont="1" applyFill="1" applyAlignment="1">
      <alignment horizontal="center"/>
    </xf>
    <xf numFmtId="1" fontId="15" fillId="14" borderId="0" xfId="0" applyNumberFormat="1" applyFont="1" applyFill="1" applyAlignment="1">
      <alignment horizontal="center"/>
    </xf>
    <xf numFmtId="1" fontId="15" fillId="0" borderId="41" xfId="0" applyNumberFormat="1" applyFont="1" applyBorder="1" applyAlignment="1">
      <alignment horizontal="center"/>
    </xf>
    <xf numFmtId="14" fontId="15" fillId="21" borderId="0" xfId="0" applyNumberFormat="1" applyFont="1" applyFill="1" applyAlignment="1">
      <alignment horizontal="right"/>
    </xf>
    <xf numFmtId="14" fontId="15" fillId="19" borderId="1" xfId="0" applyNumberFormat="1" applyFont="1" applyFill="1" applyBorder="1"/>
    <xf numFmtId="0" fontId="15" fillId="19" borderId="1" xfId="0" applyFont="1" applyFill="1" applyBorder="1" applyAlignment="1">
      <alignment horizontal="center"/>
    </xf>
    <xf numFmtId="0" fontId="15" fillId="19" borderId="1" xfId="0" applyFont="1" applyFill="1" applyBorder="1"/>
    <xf numFmtId="0" fontId="15" fillId="19" borderId="1" xfId="0" applyFont="1" applyFill="1" applyBorder="1" applyAlignment="1">
      <alignment horizontal="right"/>
    </xf>
    <xf numFmtId="14" fontId="15" fillId="20" borderId="1" xfId="0" applyNumberFormat="1" applyFont="1" applyFill="1" applyBorder="1"/>
    <xf numFmtId="0" fontId="15" fillId="20" borderId="1" xfId="0" applyFont="1" applyFill="1" applyBorder="1" applyAlignment="1">
      <alignment horizontal="center"/>
    </xf>
    <xf numFmtId="0" fontId="15" fillId="20" borderId="1" xfId="0" applyFont="1" applyFill="1" applyBorder="1"/>
    <xf numFmtId="14" fontId="15" fillId="0" borderId="0" xfId="0" applyNumberFormat="1" applyFont="1" applyAlignment="1">
      <alignment horizontal="right"/>
    </xf>
    <xf numFmtId="0" fontId="15" fillId="0" borderId="0" xfId="0" applyFont="1" applyAlignment="1">
      <alignment horizontal="left"/>
    </xf>
    <xf numFmtId="0" fontId="15" fillId="0" borderId="0" xfId="0" applyFont="1" applyAlignment="1">
      <alignment horizontal="right"/>
    </xf>
    <xf numFmtId="0" fontId="20" fillId="0" borderId="0" xfId="0" applyFont="1"/>
    <xf numFmtId="14" fontId="15" fillId="20" borderId="1" xfId="0" applyNumberFormat="1" applyFont="1" applyFill="1" applyBorder="1" applyAlignment="1">
      <alignment horizontal="right"/>
    </xf>
    <xf numFmtId="1" fontId="15" fillId="20" borderId="1" xfId="0" applyNumberFormat="1" applyFont="1" applyFill="1" applyBorder="1" applyAlignment="1">
      <alignment horizontal="center"/>
    </xf>
    <xf numFmtId="0" fontId="15" fillId="20" borderId="1" xfId="0" applyFont="1" applyFill="1" applyBorder="1" applyAlignment="1">
      <alignment horizontal="left"/>
    </xf>
    <xf numFmtId="0" fontId="20" fillId="20" borderId="1" xfId="0" applyFont="1" applyFill="1" applyBorder="1"/>
    <xf numFmtId="0" fontId="15" fillId="21" borderId="1" xfId="0" applyFont="1" applyFill="1" applyBorder="1" applyAlignment="1">
      <alignment horizontal="center"/>
    </xf>
    <xf numFmtId="0" fontId="15" fillId="21" borderId="1" xfId="0" applyFont="1" applyFill="1" applyBorder="1"/>
    <xf numFmtId="0" fontId="3" fillId="0" borderId="1" xfId="0" applyFont="1" applyBorder="1" applyAlignment="1">
      <alignment horizontal="center"/>
    </xf>
    <xf numFmtId="14" fontId="15" fillId="20" borderId="1" xfId="0" quotePrefix="1" applyNumberFormat="1" applyFont="1" applyFill="1" applyBorder="1" applyAlignment="1">
      <alignment horizontal="center"/>
    </xf>
    <xf numFmtId="1" fontId="15" fillId="20" borderId="1" xfId="0" applyNumberFormat="1" applyFont="1" applyFill="1" applyBorder="1"/>
    <xf numFmtId="0" fontId="0" fillId="0" borderId="48" xfId="0" applyBorder="1"/>
    <xf numFmtId="49" fontId="15" fillId="20" borderId="1" xfId="0" quotePrefix="1" applyNumberFormat="1" applyFont="1" applyFill="1" applyBorder="1" applyAlignment="1">
      <alignment horizontal="center"/>
    </xf>
    <xf numFmtId="0" fontId="0" fillId="0" borderId="49" xfId="0" applyBorder="1"/>
    <xf numFmtId="0" fontId="21" fillId="0" borderId="0" xfId="0" applyFont="1"/>
    <xf numFmtId="0" fontId="21" fillId="0" borderId="0" xfId="0" applyFont="1" applyAlignment="1">
      <alignment horizontal="center"/>
    </xf>
    <xf numFmtId="0" fontId="21" fillId="0" borderId="1" xfId="0" applyFont="1" applyBorder="1"/>
    <xf numFmtId="0" fontId="21" fillId="0" borderId="1" xfId="0" applyFont="1" applyBorder="1" applyAlignment="1">
      <alignment horizontal="center"/>
    </xf>
    <xf numFmtId="0" fontId="21" fillId="16" borderId="0" xfId="0" applyFont="1" applyFill="1" applyAlignment="1">
      <alignment horizontal="center"/>
    </xf>
    <xf numFmtId="0" fontId="21" fillId="0" borderId="39" xfId="0" applyFont="1" applyBorder="1" applyAlignment="1">
      <alignment horizontal="center"/>
    </xf>
    <xf numFmtId="1" fontId="21" fillId="16" borderId="41" xfId="0" applyNumberFormat="1" applyFont="1" applyFill="1" applyBorder="1"/>
    <xf numFmtId="1" fontId="21" fillId="4" borderId="9" xfId="0" applyNumberFormat="1" applyFont="1" applyFill="1" applyBorder="1" applyAlignment="1">
      <alignment horizontal="center"/>
    </xf>
    <xf numFmtId="0" fontId="21" fillId="2" borderId="1" xfId="0" applyFont="1" applyFill="1" applyBorder="1" applyAlignment="1">
      <alignment horizontal="center"/>
    </xf>
    <xf numFmtId="165" fontId="21" fillId="0" borderId="9" xfId="0" applyNumberFormat="1" applyFont="1" applyBorder="1" applyAlignment="1">
      <alignment horizontal="center"/>
    </xf>
    <xf numFmtId="1" fontId="21" fillId="0" borderId="26" xfId="0" applyNumberFormat="1" applyFont="1" applyBorder="1" applyAlignment="1">
      <alignment horizontal="center"/>
    </xf>
    <xf numFmtId="0" fontId="21" fillId="21" borderId="1" xfId="0" applyFont="1" applyFill="1" applyBorder="1"/>
    <xf numFmtId="1" fontId="15" fillId="20" borderId="1" xfId="0" quotePrefix="1" applyNumberFormat="1" applyFont="1" applyFill="1" applyBorder="1" applyAlignment="1">
      <alignment horizontal="center"/>
    </xf>
    <xf numFmtId="14" fontId="15" fillId="21" borderId="1" xfId="0" applyNumberFormat="1" applyFont="1" applyFill="1" applyBorder="1" applyAlignment="1">
      <alignment horizontal="center"/>
    </xf>
    <xf numFmtId="0" fontId="15" fillId="16" borderId="41" xfId="0" applyFont="1" applyFill="1" applyBorder="1"/>
    <xf numFmtId="0" fontId="16" fillId="12" borderId="9" xfId="0" applyFont="1" applyFill="1" applyBorder="1" applyAlignment="1">
      <alignment horizontal="center"/>
    </xf>
    <xf numFmtId="0" fontId="16" fillId="0" borderId="9" xfId="0" applyFont="1" applyBorder="1" applyAlignment="1">
      <alignment horizontal="center"/>
    </xf>
    <xf numFmtId="0" fontId="16" fillId="11" borderId="9" xfId="0" applyFont="1" applyFill="1" applyBorder="1" applyAlignment="1">
      <alignment horizontal="center"/>
    </xf>
    <xf numFmtId="0" fontId="19" fillId="12" borderId="1" xfId="0" applyFont="1" applyFill="1" applyBorder="1" applyAlignment="1">
      <alignment horizontal="center"/>
    </xf>
    <xf numFmtId="0" fontId="22" fillId="0" borderId="9" xfId="0" applyFont="1" applyBorder="1" applyAlignment="1">
      <alignment horizontal="center"/>
    </xf>
    <xf numFmtId="1" fontId="22" fillId="16" borderId="26" xfId="0" applyNumberFormat="1" applyFont="1" applyFill="1" applyBorder="1" applyAlignment="1">
      <alignment horizontal="center"/>
    </xf>
    <xf numFmtId="0" fontId="15" fillId="4" borderId="8" xfId="0" applyFont="1" applyFill="1" applyBorder="1" applyAlignment="1">
      <alignment horizontal="center"/>
    </xf>
    <xf numFmtId="0" fontId="15" fillId="16" borderId="8" xfId="0" applyFont="1" applyFill="1" applyBorder="1" applyAlignment="1">
      <alignment horizontal="center"/>
    </xf>
    <xf numFmtId="1" fontId="15" fillId="16" borderId="8" xfId="0" applyNumberFormat="1" applyFont="1" applyFill="1" applyBorder="1" applyAlignment="1">
      <alignment horizontal="center" vertical="center"/>
    </xf>
    <xf numFmtId="1" fontId="15" fillId="16" borderId="8" xfId="0" applyNumberFormat="1" applyFont="1" applyFill="1" applyBorder="1" applyAlignment="1">
      <alignment horizontal="center"/>
    </xf>
    <xf numFmtId="1" fontId="15" fillId="14" borderId="8" xfId="0" applyNumberFormat="1" applyFont="1" applyFill="1" applyBorder="1" applyAlignment="1">
      <alignment horizontal="center"/>
    </xf>
    <xf numFmtId="14" fontId="0" fillId="0" borderId="0" xfId="0" applyNumberFormat="1"/>
    <xf numFmtId="0" fontId="0" fillId="23" borderId="1" xfId="0" applyFill="1" applyBorder="1"/>
    <xf numFmtId="1" fontId="15" fillId="14" borderId="8" xfId="0" applyNumberFormat="1" applyFont="1" applyFill="1" applyBorder="1" applyAlignment="1">
      <alignment horizontal="center" vertical="center"/>
    </xf>
    <xf numFmtId="1" fontId="15" fillId="4" borderId="8" xfId="0" applyNumberFormat="1" applyFont="1" applyFill="1" applyBorder="1" applyAlignment="1">
      <alignment horizontal="center"/>
    </xf>
    <xf numFmtId="14" fontId="1" fillId="0" borderId="0" xfId="0" applyNumberFormat="1" applyFont="1" applyAlignment="1">
      <alignment horizontal="center"/>
    </xf>
    <xf numFmtId="14" fontId="1" fillId="0" borderId="0" xfId="0" applyNumberFormat="1" applyFont="1"/>
    <xf numFmtId="0" fontId="0" fillId="12" borderId="1" xfId="0" applyFill="1" applyBorder="1"/>
    <xf numFmtId="164" fontId="2" fillId="0" borderId="29" xfId="0" applyNumberFormat="1" applyFont="1" applyBorder="1" applyAlignment="1">
      <alignment horizontal="center"/>
    </xf>
    <xf numFmtId="164" fontId="2" fillId="0" borderId="30" xfId="0" applyNumberFormat="1" applyFont="1" applyBorder="1" applyAlignment="1">
      <alignment horizontal="center"/>
    </xf>
    <xf numFmtId="164" fontId="2" fillId="0" borderId="31" xfId="0" applyNumberFormat="1" applyFont="1" applyBorder="1" applyAlignment="1">
      <alignment horizontal="center"/>
    </xf>
    <xf numFmtId="164" fontId="2" fillId="10" borderId="17" xfId="0" applyNumberFormat="1" applyFont="1" applyFill="1" applyBorder="1" applyAlignment="1">
      <alignment horizontal="center"/>
    </xf>
    <xf numFmtId="164" fontId="2" fillId="10" borderId="2" xfId="0" applyNumberFormat="1" applyFont="1" applyFill="1" applyBorder="1" applyAlignment="1">
      <alignment horizontal="center"/>
    </xf>
    <xf numFmtId="164" fontId="2" fillId="10" borderId="3" xfId="0" applyNumberFormat="1" applyFont="1" applyFill="1" applyBorder="1" applyAlignment="1">
      <alignment horizontal="center"/>
    </xf>
    <xf numFmtId="164" fontId="2" fillId="10" borderId="43" xfId="0" applyNumberFormat="1" applyFont="1" applyFill="1" applyBorder="1" applyAlignment="1">
      <alignment horizontal="center"/>
    </xf>
    <xf numFmtId="164" fontId="2" fillId="10" borderId="30" xfId="0" applyNumberFormat="1" applyFont="1" applyFill="1" applyBorder="1" applyAlignment="1">
      <alignment horizontal="center"/>
    </xf>
    <xf numFmtId="0" fontId="2" fillId="10" borderId="29" xfId="0" applyFont="1" applyFill="1" applyBorder="1"/>
    <xf numFmtId="0" fontId="2" fillId="10" borderId="30" xfId="0" applyFont="1" applyFill="1" applyBorder="1"/>
    <xf numFmtId="0" fontId="2" fillId="10" borderId="31" xfId="0" applyFont="1" applyFill="1" applyBorder="1"/>
    <xf numFmtId="164" fontId="2" fillId="10" borderId="44" xfId="0" applyNumberFormat="1" applyFont="1" applyFill="1" applyBorder="1" applyAlignment="1">
      <alignment horizontal="center"/>
    </xf>
    <xf numFmtId="164" fontId="3" fillId="10" borderId="43" xfId="0" applyNumberFormat="1" applyFont="1" applyFill="1" applyBorder="1" applyAlignment="1">
      <alignment horizontal="center"/>
    </xf>
    <xf numFmtId="164" fontId="3" fillId="10" borderId="30" xfId="0" applyNumberFormat="1" applyFont="1" applyFill="1" applyBorder="1" applyAlignment="1">
      <alignment horizontal="center"/>
    </xf>
    <xf numFmtId="0" fontId="3" fillId="10" borderId="29" xfId="0" applyFont="1" applyFill="1" applyBorder="1"/>
    <xf numFmtId="0" fontId="3" fillId="10" borderId="30" xfId="0" applyFont="1" applyFill="1" applyBorder="1"/>
    <xf numFmtId="0" fontId="3" fillId="10" borderId="31" xfId="0" applyFont="1" applyFill="1" applyBorder="1"/>
    <xf numFmtId="164" fontId="3" fillId="10" borderId="44" xfId="0" applyNumberFormat="1" applyFont="1" applyFill="1" applyBorder="1" applyAlignment="1">
      <alignment horizontal="center"/>
    </xf>
    <xf numFmtId="0" fontId="3" fillId="11" borderId="0" xfId="0" applyFont="1" applyFill="1" applyAlignment="1">
      <alignment horizontal="center"/>
    </xf>
    <xf numFmtId="14" fontId="15" fillId="19" borderId="1" xfId="0" applyNumberFormat="1" applyFont="1" applyFill="1" applyBorder="1" applyAlignment="1">
      <alignment horizontal="center"/>
    </xf>
    <xf numFmtId="0" fontId="20" fillId="20" borderId="1" xfId="0" applyFont="1" applyFill="1" applyBorder="1" applyAlignment="1">
      <alignment horizontal="center"/>
    </xf>
    <xf numFmtId="0" fontId="15" fillId="21" borderId="1" xfId="0" applyFon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9" defaultPivotStyle="PivotStyleLight16"/>
  <colors>
    <mruColors>
      <color rgb="FF0096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1038225</xdr:colOff>
      <xdr:row>3</xdr:row>
      <xdr:rowOff>76200</xdr:rowOff>
    </xdr:to>
    <xdr:pic>
      <xdr:nvPicPr>
        <xdr:cNvPr id="1025" name="Picture 1" descr="Pearmund Logo.jpg">
          <a:extLst>
            <a:ext uri="{FF2B5EF4-FFF2-40B4-BE49-F238E27FC236}">
              <a16:creationId xmlns:a16="http://schemas.microsoft.com/office/drawing/2014/main" id="{00000000-0008-0000-0200-000001040000}"/>
            </a:ext>
          </a:extLst>
        </xdr:cNvPr>
        <xdr:cNvPicPr>
          <a:picLocks noChangeAspect="1"/>
        </xdr:cNvPicPr>
      </xdr:nvPicPr>
      <xdr:blipFill>
        <a:blip xmlns:r="http://schemas.openxmlformats.org/officeDocument/2006/relationships" r:embed="rId1" cstate="print"/>
        <a:srcRect/>
        <a:stretch>
          <a:fillRect/>
        </a:stretch>
      </xdr:blipFill>
      <xdr:spPr bwMode="auto">
        <a:xfrm>
          <a:off x="523875" y="161925"/>
          <a:ext cx="1038225" cy="121920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oneCellAnchor>
    <xdr:from>
      <xdr:col>22</xdr:col>
      <xdr:colOff>0</xdr:colOff>
      <xdr:row>0</xdr:row>
      <xdr:rowOff>0</xdr:rowOff>
    </xdr:from>
    <xdr:ext cx="609600" cy="939613"/>
    <xdr:pic>
      <xdr:nvPicPr>
        <xdr:cNvPr id="2" name="Picture 1" descr="Pearmund Logo.jpg">
          <a:extLst>
            <a:ext uri="{FF2B5EF4-FFF2-40B4-BE49-F238E27FC236}">
              <a16:creationId xmlns:a16="http://schemas.microsoft.com/office/drawing/2014/main" id="{60BE3342-E1F4-4554-B147-15255342D021}"/>
            </a:ext>
          </a:extLst>
        </xdr:cNvPr>
        <xdr:cNvPicPr>
          <a:picLocks noChangeAspect="1"/>
        </xdr:cNvPicPr>
      </xdr:nvPicPr>
      <xdr:blipFill>
        <a:blip xmlns:r="http://schemas.openxmlformats.org/officeDocument/2006/relationships" r:embed="rId1" cstate="print"/>
        <a:srcRect/>
        <a:stretch>
          <a:fillRect/>
        </a:stretch>
      </xdr:blipFill>
      <xdr:spPr bwMode="auto">
        <a:xfrm>
          <a:off x="15925800" y="0"/>
          <a:ext cx="609600" cy="939613"/>
        </a:xfrm>
        <a:prstGeom prst="rect">
          <a:avLst/>
        </a:prstGeom>
        <a:noFill/>
        <a:ln w="9525">
          <a:noFill/>
          <a:miter lim="800000"/>
          <a:headEnd/>
          <a:tailEnd/>
        </a:ln>
      </xdr:spPr>
    </xdr:pic>
    <xdr:clientData/>
  </xdr:oneCellAnchor>
  <xdr:twoCellAnchor editAs="oneCell">
    <xdr:from>
      <xdr:col>7</xdr:col>
      <xdr:colOff>34249</xdr:colOff>
      <xdr:row>0</xdr:row>
      <xdr:rowOff>0</xdr:rowOff>
    </xdr:from>
    <xdr:to>
      <xdr:col>9</xdr:col>
      <xdr:colOff>536393</xdr:colOff>
      <xdr:row>3</xdr:row>
      <xdr:rowOff>121332</xdr:rowOff>
    </xdr:to>
    <xdr:pic>
      <xdr:nvPicPr>
        <xdr:cNvPr id="4" name="Picture 3">
          <a:extLst>
            <a:ext uri="{FF2B5EF4-FFF2-40B4-BE49-F238E27FC236}">
              <a16:creationId xmlns:a16="http://schemas.microsoft.com/office/drawing/2014/main" id="{4FFF38C4-EF02-4A45-BEC0-1B2A26D25FAB}"/>
            </a:ext>
          </a:extLst>
        </xdr:cNvPr>
        <xdr:cNvPicPr>
          <a:picLocks noChangeAspect="1"/>
        </xdr:cNvPicPr>
      </xdr:nvPicPr>
      <xdr:blipFill>
        <a:blip xmlns:r="http://schemas.openxmlformats.org/officeDocument/2006/relationships" r:embed="rId2"/>
        <a:stretch>
          <a:fillRect/>
        </a:stretch>
      </xdr:blipFill>
      <xdr:spPr>
        <a:xfrm>
          <a:off x="5971499" y="0"/>
          <a:ext cx="1480044" cy="59758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23</xdr:col>
      <xdr:colOff>0</xdr:colOff>
      <xdr:row>0</xdr:row>
      <xdr:rowOff>0</xdr:rowOff>
    </xdr:from>
    <xdr:ext cx="609600" cy="939613"/>
    <xdr:pic>
      <xdr:nvPicPr>
        <xdr:cNvPr id="2" name="Picture 1" descr="Pearmund Logo.jpg">
          <a:extLst>
            <a:ext uri="{FF2B5EF4-FFF2-40B4-BE49-F238E27FC236}">
              <a16:creationId xmlns:a16="http://schemas.microsoft.com/office/drawing/2014/main" id="{5142914B-D903-4D5E-8D68-F94F0AB61918}"/>
            </a:ext>
          </a:extLst>
        </xdr:cNvPr>
        <xdr:cNvPicPr>
          <a:picLocks noChangeAspect="1"/>
        </xdr:cNvPicPr>
      </xdr:nvPicPr>
      <xdr:blipFill>
        <a:blip xmlns:r="http://schemas.openxmlformats.org/officeDocument/2006/relationships" r:embed="rId1" cstate="print"/>
        <a:srcRect/>
        <a:stretch>
          <a:fillRect/>
        </a:stretch>
      </xdr:blipFill>
      <xdr:spPr bwMode="auto">
        <a:xfrm>
          <a:off x="15192375" y="0"/>
          <a:ext cx="609600" cy="939613"/>
        </a:xfrm>
        <a:prstGeom prst="rect">
          <a:avLst/>
        </a:prstGeom>
        <a:noFill/>
        <a:ln w="9525">
          <a:noFill/>
          <a:miter lim="800000"/>
          <a:headEnd/>
          <a:tailEnd/>
        </a:ln>
      </xdr:spPr>
    </xdr:pic>
    <xdr:clientData/>
  </xdr:oneCellAnchor>
  <xdr:twoCellAnchor editAs="oneCell">
    <xdr:from>
      <xdr:col>8</xdr:col>
      <xdr:colOff>34249</xdr:colOff>
      <xdr:row>0</xdr:row>
      <xdr:rowOff>0</xdr:rowOff>
    </xdr:from>
    <xdr:to>
      <xdr:col>10</xdr:col>
      <xdr:colOff>555443</xdr:colOff>
      <xdr:row>4</xdr:row>
      <xdr:rowOff>45132</xdr:rowOff>
    </xdr:to>
    <xdr:pic>
      <xdr:nvPicPr>
        <xdr:cNvPr id="3" name="Picture 2">
          <a:extLst>
            <a:ext uri="{FF2B5EF4-FFF2-40B4-BE49-F238E27FC236}">
              <a16:creationId xmlns:a16="http://schemas.microsoft.com/office/drawing/2014/main" id="{5825A64C-B7F0-4849-867E-A64276B4DA3E}"/>
            </a:ext>
          </a:extLst>
        </xdr:cNvPr>
        <xdr:cNvPicPr>
          <a:picLocks noChangeAspect="1"/>
        </xdr:cNvPicPr>
      </xdr:nvPicPr>
      <xdr:blipFill>
        <a:blip xmlns:r="http://schemas.openxmlformats.org/officeDocument/2006/relationships" r:embed="rId2"/>
        <a:stretch>
          <a:fillRect/>
        </a:stretch>
      </xdr:blipFill>
      <xdr:spPr>
        <a:xfrm>
          <a:off x="5720674" y="0"/>
          <a:ext cx="1492744" cy="6928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1038225</xdr:colOff>
      <xdr:row>5</xdr:row>
      <xdr:rowOff>20731</xdr:rowOff>
    </xdr:to>
    <xdr:pic>
      <xdr:nvPicPr>
        <xdr:cNvPr id="2049" name="Picture 1" descr="Pearmund Logo.jpg">
          <a:extLst>
            <a:ext uri="{FF2B5EF4-FFF2-40B4-BE49-F238E27FC236}">
              <a16:creationId xmlns:a16="http://schemas.microsoft.com/office/drawing/2014/main" id="{00000000-0008-0000-0400-000001080000}"/>
            </a:ext>
          </a:extLst>
        </xdr:cNvPr>
        <xdr:cNvPicPr>
          <a:picLocks noChangeAspect="1"/>
        </xdr:cNvPicPr>
      </xdr:nvPicPr>
      <xdr:blipFill>
        <a:blip xmlns:r="http://schemas.openxmlformats.org/officeDocument/2006/relationships" r:embed="rId1" cstate="print"/>
        <a:srcRect/>
        <a:stretch>
          <a:fillRect/>
        </a:stretch>
      </xdr:blipFill>
      <xdr:spPr bwMode="auto">
        <a:xfrm>
          <a:off x="609600" y="0"/>
          <a:ext cx="1038225" cy="12192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609600</xdr:colOff>
      <xdr:row>5</xdr:row>
      <xdr:rowOff>20731</xdr:rowOff>
    </xdr:to>
    <xdr:pic>
      <xdr:nvPicPr>
        <xdr:cNvPr id="2" name="Picture 1" descr="Pearmund Logo.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1219200" y="0"/>
          <a:ext cx="1038225" cy="1230406"/>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609600</xdr:colOff>
      <xdr:row>5</xdr:row>
      <xdr:rowOff>20731</xdr:rowOff>
    </xdr:to>
    <xdr:pic>
      <xdr:nvPicPr>
        <xdr:cNvPr id="3" name="Picture 2" descr="Pearmund Logo.jp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rcRect/>
        <a:stretch>
          <a:fillRect/>
        </a:stretch>
      </xdr:blipFill>
      <xdr:spPr bwMode="auto">
        <a:xfrm>
          <a:off x="1219200" y="0"/>
          <a:ext cx="609600" cy="944656"/>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609600</xdr:colOff>
      <xdr:row>4</xdr:row>
      <xdr:rowOff>143995</xdr:rowOff>
    </xdr:to>
    <xdr:pic>
      <xdr:nvPicPr>
        <xdr:cNvPr id="2" name="Picture 1" descr="Pearmund Logo.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1219200" y="0"/>
          <a:ext cx="609600" cy="944656"/>
        </a:xfrm>
        <a:prstGeom prst="rect">
          <a:avLst/>
        </a:prstGeom>
        <a:noFill/>
        <a:ln w="9525">
          <a:noFill/>
          <a:miter lim="800000"/>
          <a:headEnd/>
          <a:tailEnd/>
        </a:ln>
      </xdr:spPr>
    </xdr:pic>
    <xdr:clientData/>
  </xdr:twoCellAnchor>
  <xdr:oneCellAnchor>
    <xdr:from>
      <xdr:col>22</xdr:col>
      <xdr:colOff>0</xdr:colOff>
      <xdr:row>0</xdr:row>
      <xdr:rowOff>0</xdr:rowOff>
    </xdr:from>
    <xdr:ext cx="609600" cy="939613"/>
    <xdr:pic>
      <xdr:nvPicPr>
        <xdr:cNvPr id="3" name="Picture 2" descr="Pearmund Logo.jpg">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srcRect/>
        <a:stretch>
          <a:fillRect/>
        </a:stretch>
      </xdr:blipFill>
      <xdr:spPr bwMode="auto">
        <a:xfrm>
          <a:off x="1210235" y="0"/>
          <a:ext cx="609600" cy="939613"/>
        </a:xfrm>
        <a:prstGeom prst="rect">
          <a:avLst/>
        </a:prstGeom>
        <a:noFill/>
        <a:ln w="9525">
          <a:noFill/>
          <a:miter lim="800000"/>
          <a:headEnd/>
          <a:tailEnd/>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609600</xdr:colOff>
      <xdr:row>4</xdr:row>
      <xdr:rowOff>172570</xdr:rowOff>
    </xdr:to>
    <xdr:pic>
      <xdr:nvPicPr>
        <xdr:cNvPr id="2" name="Picture 1" descr="Pearmund Logo.jpg">
          <a:extLst>
            <a:ext uri="{FF2B5EF4-FFF2-40B4-BE49-F238E27FC236}">
              <a16:creationId xmlns:a16="http://schemas.microsoft.com/office/drawing/2014/main" id="{FCE71403-7E03-4828-9504-B5C575FE68B1}"/>
            </a:ext>
          </a:extLst>
        </xdr:cNvPr>
        <xdr:cNvPicPr>
          <a:picLocks noChangeAspect="1"/>
        </xdr:cNvPicPr>
      </xdr:nvPicPr>
      <xdr:blipFill>
        <a:blip xmlns:r="http://schemas.openxmlformats.org/officeDocument/2006/relationships" r:embed="rId1" cstate="print"/>
        <a:srcRect/>
        <a:stretch>
          <a:fillRect/>
        </a:stretch>
      </xdr:blipFill>
      <xdr:spPr bwMode="auto">
        <a:xfrm>
          <a:off x="1219200" y="0"/>
          <a:ext cx="609600" cy="934570"/>
        </a:xfrm>
        <a:prstGeom prst="rect">
          <a:avLst/>
        </a:prstGeom>
        <a:noFill/>
        <a:ln w="9525">
          <a:noFill/>
          <a:miter lim="800000"/>
          <a:headEnd/>
          <a:tailEnd/>
        </a:ln>
      </xdr:spPr>
    </xdr:pic>
    <xdr:clientData/>
  </xdr:twoCellAnchor>
  <xdr:oneCellAnchor>
    <xdr:from>
      <xdr:col>22</xdr:col>
      <xdr:colOff>0</xdr:colOff>
      <xdr:row>0</xdr:row>
      <xdr:rowOff>0</xdr:rowOff>
    </xdr:from>
    <xdr:ext cx="609600" cy="939613"/>
    <xdr:pic>
      <xdr:nvPicPr>
        <xdr:cNvPr id="3" name="Picture 2" descr="Pearmund Logo.jpg">
          <a:extLst>
            <a:ext uri="{FF2B5EF4-FFF2-40B4-BE49-F238E27FC236}">
              <a16:creationId xmlns:a16="http://schemas.microsoft.com/office/drawing/2014/main" id="{B57A97F8-22C9-48A8-8382-C7AD03DB1ED4}"/>
            </a:ext>
          </a:extLst>
        </xdr:cNvPr>
        <xdr:cNvPicPr>
          <a:picLocks noChangeAspect="1"/>
        </xdr:cNvPicPr>
      </xdr:nvPicPr>
      <xdr:blipFill>
        <a:blip xmlns:r="http://schemas.openxmlformats.org/officeDocument/2006/relationships" r:embed="rId1" cstate="print"/>
        <a:srcRect/>
        <a:stretch>
          <a:fillRect/>
        </a:stretch>
      </xdr:blipFill>
      <xdr:spPr bwMode="auto">
        <a:xfrm>
          <a:off x="13639800" y="0"/>
          <a:ext cx="609600" cy="939613"/>
        </a:xfrm>
        <a:prstGeom prst="rect">
          <a:avLst/>
        </a:prstGeom>
        <a:noFill/>
        <a:ln w="9525">
          <a:noFill/>
          <a:miter lim="800000"/>
          <a:headEnd/>
          <a:tailEnd/>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609600</xdr:colOff>
      <xdr:row>5</xdr:row>
      <xdr:rowOff>153520</xdr:rowOff>
    </xdr:to>
    <xdr:pic>
      <xdr:nvPicPr>
        <xdr:cNvPr id="2" name="Picture 1" descr="Pearmund Logo.jpg">
          <a:extLst>
            <a:ext uri="{FF2B5EF4-FFF2-40B4-BE49-F238E27FC236}">
              <a16:creationId xmlns:a16="http://schemas.microsoft.com/office/drawing/2014/main" id="{9E01A48C-C71E-4BEE-8B56-91EC60A6D3F1}"/>
            </a:ext>
          </a:extLst>
        </xdr:cNvPr>
        <xdr:cNvPicPr>
          <a:picLocks noChangeAspect="1"/>
        </xdr:cNvPicPr>
      </xdr:nvPicPr>
      <xdr:blipFill>
        <a:blip xmlns:r="http://schemas.openxmlformats.org/officeDocument/2006/relationships" r:embed="rId1" cstate="print"/>
        <a:srcRect/>
        <a:stretch>
          <a:fillRect/>
        </a:stretch>
      </xdr:blipFill>
      <xdr:spPr bwMode="auto">
        <a:xfrm>
          <a:off x="1219200" y="0"/>
          <a:ext cx="609600" cy="963145"/>
        </a:xfrm>
        <a:prstGeom prst="rect">
          <a:avLst/>
        </a:prstGeom>
        <a:noFill/>
        <a:ln w="9525">
          <a:noFill/>
          <a:miter lim="800000"/>
          <a:headEnd/>
          <a:tailEnd/>
        </a:ln>
      </xdr:spPr>
    </xdr:pic>
    <xdr:clientData/>
  </xdr:twoCellAnchor>
  <xdr:oneCellAnchor>
    <xdr:from>
      <xdr:col>21</xdr:col>
      <xdr:colOff>0</xdr:colOff>
      <xdr:row>0</xdr:row>
      <xdr:rowOff>0</xdr:rowOff>
    </xdr:from>
    <xdr:ext cx="609600" cy="939613"/>
    <xdr:pic>
      <xdr:nvPicPr>
        <xdr:cNvPr id="3" name="Picture 2" descr="Pearmund Logo.jpg">
          <a:extLst>
            <a:ext uri="{FF2B5EF4-FFF2-40B4-BE49-F238E27FC236}">
              <a16:creationId xmlns:a16="http://schemas.microsoft.com/office/drawing/2014/main" id="{A59B4AE7-07B1-43C7-91D2-B2F7BD799EFB}"/>
            </a:ext>
          </a:extLst>
        </xdr:cNvPr>
        <xdr:cNvPicPr>
          <a:picLocks noChangeAspect="1"/>
        </xdr:cNvPicPr>
      </xdr:nvPicPr>
      <xdr:blipFill>
        <a:blip xmlns:r="http://schemas.openxmlformats.org/officeDocument/2006/relationships" r:embed="rId1" cstate="print"/>
        <a:srcRect/>
        <a:stretch>
          <a:fillRect/>
        </a:stretch>
      </xdr:blipFill>
      <xdr:spPr bwMode="auto">
        <a:xfrm>
          <a:off x="13792200" y="0"/>
          <a:ext cx="609600" cy="939613"/>
        </a:xfrm>
        <a:prstGeom prst="rect">
          <a:avLst/>
        </a:prstGeom>
        <a:noFill/>
        <a:ln w="9525">
          <a:noFill/>
          <a:miter lim="800000"/>
          <a:headEnd/>
          <a:tailEnd/>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21</xdr:col>
      <xdr:colOff>0</xdr:colOff>
      <xdr:row>0</xdr:row>
      <xdr:rowOff>0</xdr:rowOff>
    </xdr:from>
    <xdr:ext cx="609600" cy="939613"/>
    <xdr:pic>
      <xdr:nvPicPr>
        <xdr:cNvPr id="3" name="Picture 2" descr="Pearmund Logo.jpg">
          <a:extLst>
            <a:ext uri="{FF2B5EF4-FFF2-40B4-BE49-F238E27FC236}">
              <a16:creationId xmlns:a16="http://schemas.microsoft.com/office/drawing/2014/main" id="{56D4F121-A154-4A45-B766-D81DE1D5D3DB}"/>
            </a:ext>
          </a:extLst>
        </xdr:cNvPr>
        <xdr:cNvPicPr>
          <a:picLocks noChangeAspect="1"/>
        </xdr:cNvPicPr>
      </xdr:nvPicPr>
      <xdr:blipFill>
        <a:blip xmlns:r="http://schemas.openxmlformats.org/officeDocument/2006/relationships" r:embed="rId1" cstate="print"/>
        <a:srcRect/>
        <a:stretch>
          <a:fillRect/>
        </a:stretch>
      </xdr:blipFill>
      <xdr:spPr bwMode="auto">
        <a:xfrm>
          <a:off x="13211175" y="0"/>
          <a:ext cx="609600" cy="939613"/>
        </a:xfrm>
        <a:prstGeom prst="rect">
          <a:avLst/>
        </a:prstGeom>
        <a:noFill/>
        <a:ln w="9525">
          <a:noFill/>
          <a:miter lim="800000"/>
          <a:headEnd/>
          <a:tailEnd/>
        </a:ln>
      </xdr:spPr>
    </xdr:pic>
    <xdr:clientData/>
  </xdr:oneCellAnchor>
  <xdr:twoCellAnchor editAs="oneCell">
    <xdr:from>
      <xdr:col>3</xdr:col>
      <xdr:colOff>1</xdr:colOff>
      <xdr:row>2</xdr:row>
      <xdr:rowOff>1</xdr:rowOff>
    </xdr:from>
    <xdr:to>
      <xdr:col>5</xdr:col>
      <xdr:colOff>230718</xdr:colOff>
      <xdr:row>4</xdr:row>
      <xdr:rowOff>90707</xdr:rowOff>
    </xdr:to>
    <xdr:pic>
      <xdr:nvPicPr>
        <xdr:cNvPr id="9" name="Picture 8">
          <a:extLst>
            <a:ext uri="{FF2B5EF4-FFF2-40B4-BE49-F238E27FC236}">
              <a16:creationId xmlns:a16="http://schemas.microsoft.com/office/drawing/2014/main" id="{13874032-6076-42F5-A7CB-389078E94978}"/>
            </a:ext>
          </a:extLst>
        </xdr:cNvPr>
        <xdr:cNvPicPr>
          <a:picLocks noChangeAspect="1"/>
        </xdr:cNvPicPr>
      </xdr:nvPicPr>
      <xdr:blipFill>
        <a:blip xmlns:r="http://schemas.openxmlformats.org/officeDocument/2006/relationships" r:embed="rId2"/>
        <a:stretch>
          <a:fillRect/>
        </a:stretch>
      </xdr:blipFill>
      <xdr:spPr>
        <a:xfrm>
          <a:off x="4191001" y="196851"/>
          <a:ext cx="1424517" cy="484406"/>
        </a:xfrm>
        <a:prstGeom prst="rect">
          <a:avLst/>
        </a:prstGeom>
      </xdr:spPr>
    </xdr:pic>
    <xdr:clientData/>
  </xdr:twoCellAnchor>
  <xdr:twoCellAnchor editAs="oneCell">
    <xdr:from>
      <xdr:col>3</xdr:col>
      <xdr:colOff>1</xdr:colOff>
      <xdr:row>2</xdr:row>
      <xdr:rowOff>1</xdr:rowOff>
    </xdr:from>
    <xdr:to>
      <xdr:col>5</xdr:col>
      <xdr:colOff>230718</xdr:colOff>
      <xdr:row>4</xdr:row>
      <xdr:rowOff>90707</xdr:rowOff>
    </xdr:to>
    <xdr:pic>
      <xdr:nvPicPr>
        <xdr:cNvPr id="10" name="Picture 9">
          <a:extLst>
            <a:ext uri="{FF2B5EF4-FFF2-40B4-BE49-F238E27FC236}">
              <a16:creationId xmlns:a16="http://schemas.microsoft.com/office/drawing/2014/main" id="{D451FC0C-1376-4907-80C7-353506AAE2FB}"/>
            </a:ext>
          </a:extLst>
        </xdr:cNvPr>
        <xdr:cNvPicPr>
          <a:picLocks noChangeAspect="1"/>
        </xdr:cNvPicPr>
      </xdr:nvPicPr>
      <xdr:blipFill>
        <a:blip xmlns:r="http://schemas.openxmlformats.org/officeDocument/2006/relationships" r:embed="rId2"/>
        <a:stretch>
          <a:fillRect/>
        </a:stretch>
      </xdr:blipFill>
      <xdr:spPr>
        <a:xfrm>
          <a:off x="4191001" y="196851"/>
          <a:ext cx="1424517" cy="484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22</xdr:col>
      <xdr:colOff>0</xdr:colOff>
      <xdr:row>0</xdr:row>
      <xdr:rowOff>0</xdr:rowOff>
    </xdr:from>
    <xdr:ext cx="609600" cy="939613"/>
    <xdr:pic>
      <xdr:nvPicPr>
        <xdr:cNvPr id="2" name="Picture 1" descr="Pearmund Logo.jpg">
          <a:extLst>
            <a:ext uri="{FF2B5EF4-FFF2-40B4-BE49-F238E27FC236}">
              <a16:creationId xmlns:a16="http://schemas.microsoft.com/office/drawing/2014/main" id="{C1E30EB7-8FD9-492A-84E3-EF182AB69F0D}"/>
            </a:ext>
          </a:extLst>
        </xdr:cNvPr>
        <xdr:cNvPicPr>
          <a:picLocks noChangeAspect="1"/>
        </xdr:cNvPicPr>
      </xdr:nvPicPr>
      <xdr:blipFill>
        <a:blip xmlns:r="http://schemas.openxmlformats.org/officeDocument/2006/relationships" r:embed="rId1" cstate="print"/>
        <a:srcRect/>
        <a:stretch>
          <a:fillRect/>
        </a:stretch>
      </xdr:blipFill>
      <xdr:spPr bwMode="auto">
        <a:xfrm>
          <a:off x="14916150" y="0"/>
          <a:ext cx="609600" cy="939613"/>
        </a:xfrm>
        <a:prstGeom prst="rect">
          <a:avLst/>
        </a:prstGeom>
        <a:noFill/>
        <a:ln w="9525">
          <a:noFill/>
          <a:miter lim="800000"/>
          <a:headEnd/>
          <a:tailEnd/>
        </a:ln>
      </xdr:spPr>
    </xdr:pic>
    <xdr:clientData/>
  </xdr:oneCellAnchor>
  <xdr:twoCellAnchor editAs="oneCell">
    <xdr:from>
      <xdr:col>4</xdr:col>
      <xdr:colOff>1</xdr:colOff>
      <xdr:row>2</xdr:row>
      <xdr:rowOff>1</xdr:rowOff>
    </xdr:from>
    <xdr:to>
      <xdr:col>6</xdr:col>
      <xdr:colOff>156105</xdr:colOff>
      <xdr:row>4</xdr:row>
      <xdr:rowOff>195393</xdr:rowOff>
    </xdr:to>
    <xdr:pic>
      <xdr:nvPicPr>
        <xdr:cNvPr id="3" name="Picture 2">
          <a:extLst>
            <a:ext uri="{FF2B5EF4-FFF2-40B4-BE49-F238E27FC236}">
              <a16:creationId xmlns:a16="http://schemas.microsoft.com/office/drawing/2014/main" id="{78F5B96D-4011-42DE-B33D-325A2AD99A59}"/>
            </a:ext>
          </a:extLst>
        </xdr:cNvPr>
        <xdr:cNvPicPr>
          <a:picLocks noChangeAspect="1"/>
        </xdr:cNvPicPr>
      </xdr:nvPicPr>
      <xdr:blipFill>
        <a:blip xmlns:r="http://schemas.openxmlformats.org/officeDocument/2006/relationships" r:embed="rId2"/>
        <a:stretch>
          <a:fillRect/>
        </a:stretch>
      </xdr:blipFill>
      <xdr:spPr>
        <a:xfrm>
          <a:off x="3308351" y="393701"/>
          <a:ext cx="1424517" cy="4844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1"/>
  <sheetViews>
    <sheetView workbookViewId="0">
      <selection activeCell="S3" sqref="S3:S34"/>
    </sheetView>
  </sheetViews>
  <sheetFormatPr defaultRowHeight="12.75" x14ac:dyDescent="0.2"/>
  <cols>
    <col min="1" max="1" width="16.42578125" customWidth="1"/>
    <col min="2" max="2" width="5.7109375" customWidth="1"/>
    <col min="3" max="3" width="5" customWidth="1"/>
    <col min="4" max="4" width="5.42578125" customWidth="1"/>
    <col min="5" max="5" width="5" customWidth="1"/>
    <col min="6" max="6" width="5.28515625" customWidth="1"/>
    <col min="7" max="7" width="5.42578125" customWidth="1"/>
    <col min="8" max="8" width="4.7109375" customWidth="1"/>
    <col min="9" max="9" width="4.42578125" customWidth="1"/>
    <col min="10" max="11" width="5.42578125" customWidth="1"/>
    <col min="12" max="12" width="5" customWidth="1"/>
    <col min="13" max="13" width="5.5703125" customWidth="1"/>
    <col min="14" max="14" width="5.7109375" customWidth="1"/>
    <col min="15" max="15" width="7.5703125" customWidth="1"/>
    <col min="16" max="16" width="8.7109375" customWidth="1"/>
    <col min="17" max="17" width="16.7109375" customWidth="1"/>
    <col min="18" max="18" width="14.42578125" customWidth="1"/>
    <col min="19" max="19" width="14.7109375" customWidth="1"/>
  </cols>
  <sheetData>
    <row r="1" spans="1:19" ht="21" thickBot="1" x14ac:dyDescent="0.35">
      <c r="A1" s="440" t="s">
        <v>0</v>
      </c>
      <c r="B1" s="441"/>
      <c r="C1" s="441"/>
      <c r="D1" s="441"/>
      <c r="E1" s="441"/>
      <c r="F1" s="441"/>
      <c r="G1" s="441"/>
      <c r="H1" s="441"/>
      <c r="I1" s="441"/>
      <c r="J1" s="441"/>
      <c r="K1" s="441"/>
      <c r="L1" s="441"/>
      <c r="M1" s="441"/>
      <c r="N1" s="441"/>
      <c r="O1" s="442"/>
      <c r="P1" s="5"/>
      <c r="Q1" s="13" t="s">
        <v>1</v>
      </c>
      <c r="R1" s="5"/>
      <c r="S1" s="6"/>
    </row>
    <row r="2" spans="1:19" s="1" customFormat="1" ht="15.75" x14ac:dyDescent="0.25">
      <c r="A2" s="7" t="s">
        <v>2</v>
      </c>
      <c r="B2" s="1" t="s">
        <v>3</v>
      </c>
      <c r="C2" s="7" t="s">
        <v>4</v>
      </c>
      <c r="D2" s="1" t="s">
        <v>5</v>
      </c>
      <c r="E2" s="7" t="s">
        <v>6</v>
      </c>
      <c r="F2" s="8" t="s">
        <v>7</v>
      </c>
      <c r="G2" s="8" t="s">
        <v>8</v>
      </c>
      <c r="H2" s="8" t="s">
        <v>9</v>
      </c>
      <c r="I2" s="8" t="s">
        <v>10</v>
      </c>
      <c r="J2" s="8" t="s">
        <v>11</v>
      </c>
      <c r="K2" s="8" t="s">
        <v>12</v>
      </c>
      <c r="L2" s="8" t="s">
        <v>13</v>
      </c>
      <c r="M2" s="8" t="s">
        <v>14</v>
      </c>
      <c r="N2" s="1" t="s">
        <v>15</v>
      </c>
      <c r="O2" s="9" t="s">
        <v>16</v>
      </c>
      <c r="P2" s="1" t="s">
        <v>17</v>
      </c>
      <c r="Q2" s="1" t="s">
        <v>18</v>
      </c>
      <c r="R2" s="1" t="s">
        <v>19</v>
      </c>
      <c r="S2" s="8" t="s">
        <v>20</v>
      </c>
    </row>
    <row r="3" spans="1:19" x14ac:dyDescent="0.2">
      <c r="A3" s="2" t="s">
        <v>21</v>
      </c>
      <c r="B3" s="2">
        <v>2006</v>
      </c>
      <c r="C3" s="2">
        <v>15</v>
      </c>
      <c r="D3" s="29">
        <v>14</v>
      </c>
      <c r="E3" s="2">
        <v>15</v>
      </c>
      <c r="F3" s="2">
        <v>16</v>
      </c>
      <c r="G3" s="33"/>
      <c r="H3" s="33"/>
      <c r="I3" s="33"/>
      <c r="J3" s="33"/>
      <c r="K3" s="33"/>
      <c r="L3" s="33"/>
      <c r="M3" s="33"/>
      <c r="N3" s="33"/>
      <c r="O3" s="3">
        <f t="shared" ref="O3:O9" si="0">SUM(C3:N3)</f>
        <v>60</v>
      </c>
      <c r="P3" s="11">
        <f t="shared" ref="P3:P9" si="1">AVERAGE(C3:N3)</f>
        <v>15</v>
      </c>
      <c r="Q3" s="199">
        <v>60</v>
      </c>
      <c r="R3" s="34">
        <f t="shared" ref="R3:R19" si="2">S3/P3</f>
        <v>0</v>
      </c>
      <c r="S3" s="35">
        <f t="shared" ref="S3:S9" si="3">SUM(Q3-O3)</f>
        <v>0</v>
      </c>
    </row>
    <row r="4" spans="1:19" x14ac:dyDescent="0.2">
      <c r="A4" s="2" t="s">
        <v>22</v>
      </c>
      <c r="B4" s="2">
        <v>2006</v>
      </c>
      <c r="C4" s="29">
        <v>29</v>
      </c>
      <c r="D4" s="2">
        <v>32</v>
      </c>
      <c r="E4" s="2">
        <v>32</v>
      </c>
      <c r="F4" s="2">
        <v>15</v>
      </c>
      <c r="G4" s="2">
        <v>44</v>
      </c>
      <c r="H4" s="2">
        <v>48</v>
      </c>
      <c r="I4" s="2">
        <v>9</v>
      </c>
      <c r="J4" s="2">
        <v>46</v>
      </c>
      <c r="K4" s="2">
        <v>29</v>
      </c>
      <c r="L4" s="2">
        <v>20</v>
      </c>
      <c r="M4" s="2">
        <v>59</v>
      </c>
      <c r="N4" s="2">
        <v>28</v>
      </c>
      <c r="O4" s="3">
        <f t="shared" si="0"/>
        <v>391</v>
      </c>
      <c r="P4" s="11">
        <f t="shared" si="1"/>
        <v>32.583333333333336</v>
      </c>
      <c r="Q4" s="2">
        <v>418</v>
      </c>
      <c r="R4" s="10">
        <f t="shared" si="2"/>
        <v>0.82864450127877232</v>
      </c>
      <c r="S4" s="14">
        <f t="shared" si="3"/>
        <v>27</v>
      </c>
    </row>
    <row r="5" spans="1:19" x14ac:dyDescent="0.2">
      <c r="A5" s="2" t="s">
        <v>23</v>
      </c>
      <c r="B5" s="2">
        <v>2006</v>
      </c>
      <c r="C5" s="2">
        <v>13</v>
      </c>
      <c r="D5" s="2">
        <v>22</v>
      </c>
      <c r="E5" s="2">
        <v>20</v>
      </c>
      <c r="F5" s="2">
        <v>24</v>
      </c>
      <c r="G5" s="2">
        <v>25</v>
      </c>
      <c r="H5" s="33"/>
      <c r="I5" s="33"/>
      <c r="J5" s="33"/>
      <c r="K5" s="33"/>
      <c r="L5" s="33"/>
      <c r="M5" s="33"/>
      <c r="N5" s="33"/>
      <c r="O5" s="3">
        <f t="shared" si="0"/>
        <v>104</v>
      </c>
      <c r="P5" s="11">
        <f t="shared" si="1"/>
        <v>20.8</v>
      </c>
      <c r="Q5" s="2">
        <v>104</v>
      </c>
      <c r="R5" s="34">
        <f t="shared" si="2"/>
        <v>0</v>
      </c>
      <c r="S5" s="35">
        <f t="shared" si="3"/>
        <v>0</v>
      </c>
    </row>
    <row r="6" spans="1:19" x14ac:dyDescent="0.2">
      <c r="A6" s="2" t="s">
        <v>24</v>
      </c>
      <c r="B6" s="2">
        <v>2006</v>
      </c>
      <c r="C6" s="2">
        <v>11</v>
      </c>
      <c r="D6" s="2">
        <v>13</v>
      </c>
      <c r="E6" s="2">
        <v>17</v>
      </c>
      <c r="F6" s="2">
        <v>14</v>
      </c>
      <c r="G6" s="2">
        <v>28</v>
      </c>
      <c r="H6" s="2">
        <v>24</v>
      </c>
      <c r="I6" s="2">
        <v>6</v>
      </c>
      <c r="J6" s="2">
        <v>22</v>
      </c>
      <c r="K6" s="33"/>
      <c r="L6" s="33"/>
      <c r="M6" s="33"/>
      <c r="N6" s="33"/>
      <c r="O6" s="3">
        <f t="shared" si="0"/>
        <v>135</v>
      </c>
      <c r="P6" s="11">
        <f t="shared" si="1"/>
        <v>16.875</v>
      </c>
      <c r="Q6" s="2">
        <v>135</v>
      </c>
      <c r="R6" s="10">
        <f t="shared" si="2"/>
        <v>0</v>
      </c>
      <c r="S6" s="14">
        <f t="shared" si="3"/>
        <v>0</v>
      </c>
    </row>
    <row r="7" spans="1:19" x14ac:dyDescent="0.2">
      <c r="A7" s="2" t="s">
        <v>25</v>
      </c>
      <c r="B7" s="2">
        <v>2006</v>
      </c>
      <c r="C7" s="2">
        <v>22</v>
      </c>
      <c r="D7" s="2">
        <v>25</v>
      </c>
      <c r="E7" s="2">
        <v>27</v>
      </c>
      <c r="F7" s="2">
        <v>33</v>
      </c>
      <c r="G7" s="2">
        <v>48</v>
      </c>
      <c r="H7" s="2">
        <v>31</v>
      </c>
      <c r="I7" s="33"/>
      <c r="J7" s="33"/>
      <c r="K7" s="33"/>
      <c r="L7" s="33"/>
      <c r="M7" s="33"/>
      <c r="N7" s="33"/>
      <c r="O7" s="3">
        <f t="shared" si="0"/>
        <v>186</v>
      </c>
      <c r="P7" s="11">
        <f t="shared" si="1"/>
        <v>31</v>
      </c>
      <c r="Q7" s="2">
        <v>186</v>
      </c>
      <c r="R7" s="34">
        <f t="shared" si="2"/>
        <v>0</v>
      </c>
      <c r="S7" s="35">
        <f t="shared" si="3"/>
        <v>0</v>
      </c>
    </row>
    <row r="8" spans="1:19" x14ac:dyDescent="0.2">
      <c r="A8" s="2" t="s">
        <v>26</v>
      </c>
      <c r="B8" s="2">
        <v>2006</v>
      </c>
      <c r="C8" s="2">
        <v>16</v>
      </c>
      <c r="D8" s="2">
        <v>16</v>
      </c>
      <c r="E8" s="2">
        <v>24</v>
      </c>
      <c r="F8" s="2">
        <v>25</v>
      </c>
      <c r="G8" s="2">
        <v>32</v>
      </c>
      <c r="H8" s="2">
        <v>29</v>
      </c>
      <c r="I8" s="33"/>
      <c r="J8" s="33"/>
      <c r="K8" s="33"/>
      <c r="L8" s="33"/>
      <c r="M8" s="33"/>
      <c r="N8" s="33"/>
      <c r="O8" s="3">
        <f t="shared" si="0"/>
        <v>142</v>
      </c>
      <c r="P8" s="11">
        <f t="shared" si="1"/>
        <v>23.666666666666668</v>
      </c>
      <c r="Q8" s="12">
        <v>142</v>
      </c>
      <c r="R8" s="34">
        <f t="shared" si="2"/>
        <v>0</v>
      </c>
      <c r="S8" s="35">
        <f t="shared" si="3"/>
        <v>0</v>
      </c>
    </row>
    <row r="9" spans="1:19" x14ac:dyDescent="0.2">
      <c r="A9" s="2" t="s">
        <v>27</v>
      </c>
      <c r="B9" s="2">
        <v>2006</v>
      </c>
      <c r="C9" s="2">
        <v>13</v>
      </c>
      <c r="D9" s="2">
        <v>11</v>
      </c>
      <c r="E9" s="2">
        <v>12</v>
      </c>
      <c r="F9" s="2">
        <v>16</v>
      </c>
      <c r="G9" s="33"/>
      <c r="H9" s="33"/>
      <c r="I9" s="33"/>
      <c r="J9" s="33"/>
      <c r="K9" s="33"/>
      <c r="L9" s="33"/>
      <c r="M9" s="33"/>
      <c r="N9" s="33"/>
      <c r="O9" s="3">
        <f t="shared" si="0"/>
        <v>52</v>
      </c>
      <c r="P9" s="11">
        <f t="shared" si="1"/>
        <v>13</v>
      </c>
      <c r="Q9" s="2">
        <v>52</v>
      </c>
      <c r="R9" s="34">
        <f t="shared" si="2"/>
        <v>0</v>
      </c>
      <c r="S9" s="35">
        <f t="shared" si="3"/>
        <v>0</v>
      </c>
    </row>
    <row r="10" spans="1:19" x14ac:dyDescent="0.2">
      <c r="A10" s="2" t="s">
        <v>22</v>
      </c>
      <c r="B10" s="2">
        <v>2007</v>
      </c>
      <c r="C10" s="2">
        <v>7</v>
      </c>
      <c r="D10" s="2">
        <v>13</v>
      </c>
      <c r="E10" s="30"/>
      <c r="F10" s="30"/>
      <c r="G10" s="2">
        <v>7</v>
      </c>
      <c r="H10" s="2">
        <v>11</v>
      </c>
      <c r="I10" s="2">
        <v>16</v>
      </c>
      <c r="J10" s="2">
        <v>4</v>
      </c>
      <c r="K10" s="30"/>
      <c r="L10" s="2">
        <v>2</v>
      </c>
      <c r="M10" s="2">
        <v>6</v>
      </c>
      <c r="N10" s="2">
        <v>0</v>
      </c>
      <c r="O10" s="3">
        <f>SUM(C10:N10)</f>
        <v>66</v>
      </c>
      <c r="P10" s="11">
        <f>AVERAGE(C10:N10)</f>
        <v>7.333333333333333</v>
      </c>
      <c r="Q10" s="2">
        <v>580</v>
      </c>
      <c r="R10" s="10">
        <f t="shared" ref="R10:R18" si="4">S10/P10</f>
        <v>70.090909090909093</v>
      </c>
      <c r="S10" s="14">
        <f>SUM(Q10-O10)</f>
        <v>514</v>
      </c>
    </row>
    <row r="11" spans="1:19" x14ac:dyDescent="0.2">
      <c r="A11" s="2" t="s">
        <v>21</v>
      </c>
      <c r="B11" s="2">
        <v>2007</v>
      </c>
      <c r="C11" s="2">
        <v>18</v>
      </c>
      <c r="D11" s="30"/>
      <c r="E11" s="30"/>
      <c r="F11" s="2">
        <v>11</v>
      </c>
      <c r="G11" s="2">
        <v>32</v>
      </c>
      <c r="H11" s="2">
        <v>40</v>
      </c>
      <c r="I11" s="2">
        <v>11</v>
      </c>
      <c r="J11" s="2">
        <v>31</v>
      </c>
      <c r="K11" s="2">
        <v>32</v>
      </c>
      <c r="L11" s="2">
        <v>34</v>
      </c>
      <c r="M11" s="2">
        <v>44</v>
      </c>
      <c r="N11" s="2">
        <v>0</v>
      </c>
      <c r="O11" s="3">
        <f>SUM(C11:N11)</f>
        <v>253</v>
      </c>
      <c r="P11" s="11">
        <f>AVERAGE(C11:N11)</f>
        <v>25.3</v>
      </c>
      <c r="Q11" s="2">
        <v>277</v>
      </c>
      <c r="R11" s="10">
        <f t="shared" si="4"/>
        <v>0.9486166007905138</v>
      </c>
      <c r="S11" s="14">
        <f>SUM(Q11-O11)</f>
        <v>24</v>
      </c>
    </row>
    <row r="12" spans="1:19" x14ac:dyDescent="0.2">
      <c r="A12" s="2" t="s">
        <v>23</v>
      </c>
      <c r="B12" s="2">
        <v>2007</v>
      </c>
      <c r="C12" s="2">
        <v>5</v>
      </c>
      <c r="D12" s="2">
        <v>17</v>
      </c>
      <c r="E12" s="30"/>
      <c r="F12" s="2">
        <v>15</v>
      </c>
      <c r="G12" s="2">
        <v>22</v>
      </c>
      <c r="H12" s="2">
        <v>43</v>
      </c>
      <c r="I12" s="2">
        <v>14</v>
      </c>
      <c r="J12" s="2">
        <v>11</v>
      </c>
      <c r="K12" s="147"/>
      <c r="L12" s="147"/>
      <c r="M12" s="147"/>
      <c r="N12" s="147"/>
      <c r="O12" s="3">
        <f>SUM(C12:N12)</f>
        <v>127</v>
      </c>
      <c r="P12" s="11">
        <f>AVERAGE(C12:N12)</f>
        <v>18.142857142857142</v>
      </c>
      <c r="Q12" s="4">
        <v>127</v>
      </c>
      <c r="R12" s="34">
        <f t="shared" si="4"/>
        <v>0</v>
      </c>
      <c r="S12" s="35">
        <f>SUM(Q12-O12)</f>
        <v>0</v>
      </c>
    </row>
    <row r="13" spans="1:19" x14ac:dyDescent="0.2">
      <c r="A13" s="2" t="s">
        <v>24</v>
      </c>
      <c r="B13" s="2">
        <v>2007</v>
      </c>
      <c r="C13" s="2">
        <v>4</v>
      </c>
      <c r="D13" s="2">
        <v>9</v>
      </c>
      <c r="E13" s="30"/>
      <c r="F13" s="2">
        <v>14</v>
      </c>
      <c r="G13" s="30"/>
      <c r="H13" s="2">
        <v>10</v>
      </c>
      <c r="I13" s="2">
        <v>8</v>
      </c>
      <c r="J13" s="2">
        <v>3</v>
      </c>
      <c r="K13" s="2">
        <v>30</v>
      </c>
      <c r="L13" s="2">
        <v>27</v>
      </c>
      <c r="M13" s="2">
        <v>36</v>
      </c>
      <c r="N13" s="2">
        <v>40</v>
      </c>
      <c r="O13" s="3">
        <f>SUM(C13:N13)</f>
        <v>181</v>
      </c>
      <c r="P13" s="11">
        <f>AVERAGE(C13:N13)</f>
        <v>18.100000000000001</v>
      </c>
      <c r="Q13" s="4">
        <v>484</v>
      </c>
      <c r="R13" s="10">
        <f t="shared" si="4"/>
        <v>16.740331491712706</v>
      </c>
      <c r="S13" s="14">
        <f>SUM(Q13-O13)</f>
        <v>303</v>
      </c>
    </row>
    <row r="14" spans="1:19" x14ac:dyDescent="0.2">
      <c r="A14" s="2" t="s">
        <v>25</v>
      </c>
      <c r="B14" s="2">
        <v>2007</v>
      </c>
      <c r="C14" s="2">
        <v>13</v>
      </c>
      <c r="D14" s="2">
        <v>18</v>
      </c>
      <c r="E14" s="2">
        <v>21</v>
      </c>
      <c r="F14" s="2">
        <v>8</v>
      </c>
      <c r="G14" s="2">
        <v>25</v>
      </c>
      <c r="H14" s="2">
        <v>50</v>
      </c>
      <c r="I14" s="2">
        <v>38</v>
      </c>
      <c r="J14" s="2">
        <v>61</v>
      </c>
      <c r="K14" s="2">
        <v>58</v>
      </c>
      <c r="L14" s="2">
        <v>43</v>
      </c>
      <c r="M14" s="2">
        <v>28</v>
      </c>
      <c r="N14" s="33"/>
      <c r="O14" s="3">
        <f t="shared" ref="O14:O19" si="5">SUM(C14:N14)</f>
        <v>363</v>
      </c>
      <c r="P14" s="11">
        <f t="shared" ref="P14:P19" si="6">AVERAGE(C14:N14)</f>
        <v>33</v>
      </c>
      <c r="Q14" s="4">
        <v>363</v>
      </c>
      <c r="R14" s="34">
        <f t="shared" si="4"/>
        <v>0</v>
      </c>
      <c r="S14" s="35">
        <f t="shared" ref="S14:S19" si="7">SUM(Q14-O14)</f>
        <v>0</v>
      </c>
    </row>
    <row r="15" spans="1:19" x14ac:dyDescent="0.2">
      <c r="A15" s="2" t="s">
        <v>28</v>
      </c>
      <c r="B15" s="2">
        <v>2007</v>
      </c>
      <c r="C15" s="2">
        <v>11</v>
      </c>
      <c r="D15" s="2">
        <v>19</v>
      </c>
      <c r="E15" s="2">
        <v>19</v>
      </c>
      <c r="F15" s="2">
        <v>24</v>
      </c>
      <c r="G15" s="2">
        <v>12</v>
      </c>
      <c r="H15" s="33"/>
      <c r="I15" s="33"/>
      <c r="J15" s="33"/>
      <c r="K15" s="33"/>
      <c r="L15" s="33"/>
      <c r="M15" s="33"/>
      <c r="N15" s="33"/>
      <c r="O15" s="3">
        <f t="shared" si="5"/>
        <v>85</v>
      </c>
      <c r="P15" s="11">
        <f t="shared" si="6"/>
        <v>17</v>
      </c>
      <c r="Q15" s="4">
        <v>85</v>
      </c>
      <c r="R15" s="34">
        <f t="shared" si="4"/>
        <v>0</v>
      </c>
      <c r="S15" s="35">
        <f t="shared" si="7"/>
        <v>0</v>
      </c>
    </row>
    <row r="16" spans="1:19" x14ac:dyDescent="0.2">
      <c r="A16" s="2" t="s">
        <v>29</v>
      </c>
      <c r="B16" s="2">
        <v>2007</v>
      </c>
      <c r="C16" s="2">
        <v>6</v>
      </c>
      <c r="D16" s="2">
        <v>17</v>
      </c>
      <c r="E16" s="2">
        <v>13</v>
      </c>
      <c r="F16" s="2">
        <v>15</v>
      </c>
      <c r="G16" s="2">
        <v>10</v>
      </c>
      <c r="H16" s="33"/>
      <c r="I16" s="33"/>
      <c r="J16" s="33"/>
      <c r="K16" s="33"/>
      <c r="L16" s="33"/>
      <c r="M16" s="33"/>
      <c r="N16" s="33"/>
      <c r="O16" s="3">
        <f t="shared" si="5"/>
        <v>61</v>
      </c>
      <c r="P16" s="11">
        <f t="shared" si="6"/>
        <v>12.2</v>
      </c>
      <c r="Q16" s="4">
        <v>61</v>
      </c>
      <c r="R16" s="34">
        <f t="shared" si="4"/>
        <v>0</v>
      </c>
      <c r="S16" s="35">
        <f t="shared" si="7"/>
        <v>0</v>
      </c>
    </row>
    <row r="17" spans="1:19" x14ac:dyDescent="0.2">
      <c r="A17" s="2" t="s">
        <v>26</v>
      </c>
      <c r="B17" s="2">
        <v>2007</v>
      </c>
      <c r="C17" s="2">
        <v>3</v>
      </c>
      <c r="D17" s="2">
        <v>2</v>
      </c>
      <c r="E17" s="30"/>
      <c r="F17" s="30"/>
      <c r="G17" s="30"/>
      <c r="H17" s="2">
        <v>24</v>
      </c>
      <c r="I17" s="2">
        <v>21</v>
      </c>
      <c r="J17" s="2">
        <v>33</v>
      </c>
      <c r="K17" s="2">
        <v>27</v>
      </c>
      <c r="L17" s="33"/>
      <c r="M17" s="33"/>
      <c r="N17" s="33"/>
      <c r="O17" s="3">
        <f t="shared" si="5"/>
        <v>110</v>
      </c>
      <c r="P17" s="11">
        <f t="shared" si="6"/>
        <v>18.333333333333332</v>
      </c>
      <c r="Q17" s="4">
        <v>110</v>
      </c>
      <c r="R17" s="34">
        <f t="shared" si="4"/>
        <v>0</v>
      </c>
      <c r="S17" s="35">
        <f t="shared" si="7"/>
        <v>0</v>
      </c>
    </row>
    <row r="18" spans="1:19" x14ac:dyDescent="0.2">
      <c r="A18" s="2" t="s">
        <v>27</v>
      </c>
      <c r="B18" s="2">
        <v>2007</v>
      </c>
      <c r="C18" s="2">
        <v>3</v>
      </c>
      <c r="D18" s="2">
        <v>8</v>
      </c>
      <c r="E18" s="30"/>
      <c r="F18" s="2">
        <v>16</v>
      </c>
      <c r="G18" s="2">
        <v>24</v>
      </c>
      <c r="H18" s="2">
        <v>38</v>
      </c>
      <c r="I18" s="2">
        <v>13</v>
      </c>
      <c r="J18" s="2">
        <v>35</v>
      </c>
      <c r="K18" s="2">
        <v>24</v>
      </c>
      <c r="L18" s="2">
        <v>23</v>
      </c>
      <c r="M18" s="2">
        <v>79</v>
      </c>
      <c r="N18" s="2">
        <v>0</v>
      </c>
      <c r="O18" s="3">
        <f t="shared" si="5"/>
        <v>263</v>
      </c>
      <c r="P18" s="11">
        <f t="shared" si="6"/>
        <v>23.90909090909091</v>
      </c>
      <c r="Q18" s="4">
        <v>319</v>
      </c>
      <c r="R18" s="10">
        <f t="shared" si="4"/>
        <v>2.3422053231939164</v>
      </c>
      <c r="S18" s="14">
        <f t="shared" si="7"/>
        <v>56</v>
      </c>
    </row>
    <row r="19" spans="1:19" x14ac:dyDescent="0.2">
      <c r="A19" s="2" t="s">
        <v>30</v>
      </c>
      <c r="B19" s="2">
        <v>2007</v>
      </c>
      <c r="C19" s="2">
        <v>24</v>
      </c>
      <c r="D19" s="2">
        <v>11</v>
      </c>
      <c r="E19" s="29">
        <v>18</v>
      </c>
      <c r="F19" s="29">
        <v>33</v>
      </c>
      <c r="G19" s="36"/>
      <c r="H19" s="36"/>
      <c r="I19" s="36"/>
      <c r="J19" s="36"/>
      <c r="K19" s="36"/>
      <c r="L19" s="36"/>
      <c r="M19" s="36"/>
      <c r="N19" s="33"/>
      <c r="O19" s="3">
        <f t="shared" si="5"/>
        <v>86</v>
      </c>
      <c r="P19" s="11">
        <f t="shared" si="6"/>
        <v>21.5</v>
      </c>
      <c r="Q19" s="4">
        <v>86</v>
      </c>
      <c r="R19" s="34">
        <f t="shared" si="2"/>
        <v>0</v>
      </c>
      <c r="S19" s="35">
        <f t="shared" si="7"/>
        <v>0</v>
      </c>
    </row>
    <row r="20" spans="1:19" x14ac:dyDescent="0.2">
      <c r="A20" s="2" t="s">
        <v>31</v>
      </c>
      <c r="B20" s="16">
        <v>2007</v>
      </c>
      <c r="C20" s="16">
        <v>29</v>
      </c>
      <c r="D20" s="16">
        <v>48</v>
      </c>
      <c r="E20" s="16">
        <v>38</v>
      </c>
      <c r="F20" s="16">
        <v>16</v>
      </c>
      <c r="G20" s="37"/>
      <c r="H20" s="37"/>
      <c r="I20" s="37"/>
      <c r="J20" s="37"/>
      <c r="K20" s="37"/>
      <c r="L20" s="37"/>
      <c r="M20" s="37"/>
      <c r="N20" s="37"/>
      <c r="O20" s="17">
        <f>SUM(C20:N20)</f>
        <v>131</v>
      </c>
      <c r="P20" s="18">
        <f>AVERAGE(C20:N20)</f>
        <v>32.75</v>
      </c>
      <c r="Q20" s="19">
        <v>131</v>
      </c>
      <c r="R20" s="38">
        <f t="shared" ref="R20:R33" si="8">S20/P20</f>
        <v>0</v>
      </c>
      <c r="S20" s="39">
        <f t="shared" ref="S20:S34" si="9">SUM(Q20-O20)</f>
        <v>0</v>
      </c>
    </row>
    <row r="21" spans="1:19" x14ac:dyDescent="0.2">
      <c r="A21" s="2" t="s">
        <v>22</v>
      </c>
      <c r="B21" s="16">
        <v>2008</v>
      </c>
      <c r="C21" s="32"/>
      <c r="D21" s="32"/>
      <c r="E21" s="32"/>
      <c r="F21" s="32"/>
      <c r="G21" s="32"/>
      <c r="H21" s="32"/>
      <c r="I21" s="32"/>
      <c r="J21" s="32"/>
      <c r="K21" s="32"/>
      <c r="L21" s="32"/>
      <c r="M21" s="32"/>
      <c r="N21" s="16">
        <v>0</v>
      </c>
      <c r="O21" s="17">
        <f>SUM(C21:N21)</f>
        <v>0</v>
      </c>
      <c r="P21" s="18">
        <f>AVERAGE(C21:N21)</f>
        <v>0</v>
      </c>
      <c r="Q21" s="16">
        <v>827</v>
      </c>
      <c r="R21" s="20" t="e">
        <f t="shared" si="8"/>
        <v>#DIV/0!</v>
      </c>
      <c r="S21" s="21">
        <f t="shared" si="9"/>
        <v>827</v>
      </c>
    </row>
    <row r="22" spans="1:19" x14ac:dyDescent="0.2">
      <c r="A22" s="2" t="s">
        <v>21</v>
      </c>
      <c r="B22" s="16">
        <v>2008</v>
      </c>
      <c r="C22" s="32"/>
      <c r="D22" s="32"/>
      <c r="E22" s="32"/>
      <c r="F22" s="32"/>
      <c r="G22" s="32"/>
      <c r="H22" s="32"/>
      <c r="I22" s="32"/>
      <c r="J22" s="32"/>
      <c r="K22" s="32"/>
      <c r="L22" s="32"/>
      <c r="M22" s="32"/>
      <c r="N22" s="16">
        <v>0</v>
      </c>
      <c r="O22" s="17">
        <f>SUM(C22:N22)</f>
        <v>0</v>
      </c>
      <c r="P22" s="18">
        <f>AVERAGE(C22:N22)</f>
        <v>0</v>
      </c>
      <c r="Q22" s="16">
        <v>342</v>
      </c>
      <c r="R22" s="20" t="e">
        <f t="shared" si="8"/>
        <v>#DIV/0!</v>
      </c>
      <c r="S22" s="21">
        <f t="shared" si="9"/>
        <v>342</v>
      </c>
    </row>
    <row r="23" spans="1:19" x14ac:dyDescent="0.2">
      <c r="A23" s="2" t="s">
        <v>23</v>
      </c>
      <c r="B23" s="16">
        <v>2008</v>
      </c>
      <c r="C23" s="32"/>
      <c r="D23" s="32"/>
      <c r="E23" s="32"/>
      <c r="F23" s="32"/>
      <c r="G23" s="32"/>
      <c r="H23" s="32"/>
      <c r="I23" s="16">
        <v>5</v>
      </c>
      <c r="J23" s="16">
        <v>30</v>
      </c>
      <c r="K23" s="16">
        <v>30</v>
      </c>
      <c r="L23" s="16">
        <v>37</v>
      </c>
      <c r="M23" s="16">
        <v>52</v>
      </c>
      <c r="N23" s="16">
        <v>21</v>
      </c>
      <c r="O23" s="17">
        <f t="shared" ref="O23:O33" si="10">SUM(C23:N23)</f>
        <v>175</v>
      </c>
      <c r="P23" s="18">
        <f t="shared" ref="P23:P33" si="11">AVERAGE(C23:N23)</f>
        <v>29.166666666666668</v>
      </c>
      <c r="Q23" s="19">
        <v>524</v>
      </c>
      <c r="R23" s="20">
        <f t="shared" si="8"/>
        <v>11.965714285714284</v>
      </c>
      <c r="S23" s="21">
        <f t="shared" si="9"/>
        <v>349</v>
      </c>
    </row>
    <row r="24" spans="1:19" x14ac:dyDescent="0.2">
      <c r="A24" s="2" t="s">
        <v>24</v>
      </c>
      <c r="B24" s="16">
        <v>2008</v>
      </c>
      <c r="C24" s="32"/>
      <c r="D24" s="32"/>
      <c r="E24" s="32"/>
      <c r="F24" s="32"/>
      <c r="G24" s="32"/>
      <c r="H24" s="32"/>
      <c r="I24" s="32"/>
      <c r="J24" s="32"/>
      <c r="K24" s="32"/>
      <c r="L24" s="32"/>
      <c r="M24" s="32"/>
      <c r="N24" s="16">
        <v>0</v>
      </c>
      <c r="O24" s="17">
        <f>SUM(C24:N24)</f>
        <v>0</v>
      </c>
      <c r="P24" s="18">
        <f>AVERAGE(C24:N24)</f>
        <v>0</v>
      </c>
      <c r="Q24" s="19">
        <v>230</v>
      </c>
      <c r="R24" s="20" t="e">
        <f t="shared" si="8"/>
        <v>#DIV/0!</v>
      </c>
      <c r="S24" s="21">
        <f t="shared" si="9"/>
        <v>230</v>
      </c>
    </row>
    <row r="25" spans="1:19" x14ac:dyDescent="0.2">
      <c r="A25" s="2" t="s">
        <v>25</v>
      </c>
      <c r="B25" s="16">
        <v>2008</v>
      </c>
      <c r="C25" s="32"/>
      <c r="D25" s="32"/>
      <c r="E25" s="32"/>
      <c r="F25" s="32"/>
      <c r="G25" s="32"/>
      <c r="H25" s="16">
        <v>48</v>
      </c>
      <c r="I25" s="32"/>
      <c r="J25" s="32"/>
      <c r="K25" s="32"/>
      <c r="L25" s="200"/>
      <c r="M25" s="16">
        <v>50</v>
      </c>
      <c r="N25" s="16">
        <v>48</v>
      </c>
      <c r="O25" s="17">
        <f t="shared" si="10"/>
        <v>146</v>
      </c>
      <c r="P25" s="18">
        <f t="shared" si="11"/>
        <v>48.666666666666664</v>
      </c>
      <c r="Q25" s="19">
        <v>700</v>
      </c>
      <c r="R25" s="41">
        <f t="shared" si="8"/>
        <v>11.383561643835616</v>
      </c>
      <c r="S25" s="21">
        <f t="shared" si="9"/>
        <v>554</v>
      </c>
    </row>
    <row r="26" spans="1:19" x14ac:dyDescent="0.2">
      <c r="A26" s="2" t="s">
        <v>28</v>
      </c>
      <c r="B26" s="16">
        <v>2008</v>
      </c>
      <c r="C26" s="32"/>
      <c r="D26" s="32"/>
      <c r="E26" s="32"/>
      <c r="F26" s="32"/>
      <c r="G26" s="32"/>
      <c r="H26" s="16">
        <v>32</v>
      </c>
      <c r="I26" s="16">
        <v>33</v>
      </c>
      <c r="J26" s="16">
        <v>24</v>
      </c>
      <c r="K26" s="16">
        <v>23</v>
      </c>
      <c r="L26" s="16">
        <v>22</v>
      </c>
      <c r="M26" s="16">
        <v>27</v>
      </c>
      <c r="N26" s="16">
        <v>16</v>
      </c>
      <c r="O26" s="17">
        <f t="shared" si="10"/>
        <v>177</v>
      </c>
      <c r="P26" s="18">
        <f t="shared" si="11"/>
        <v>25.285714285714285</v>
      </c>
      <c r="Q26" s="19">
        <v>350</v>
      </c>
      <c r="R26" s="20">
        <f t="shared" si="8"/>
        <v>6.8418079096045199</v>
      </c>
      <c r="S26" s="21">
        <f t="shared" si="9"/>
        <v>173</v>
      </c>
    </row>
    <row r="27" spans="1:19" x14ac:dyDescent="0.2">
      <c r="A27" s="2" t="s">
        <v>29</v>
      </c>
      <c r="B27" s="16">
        <v>2008</v>
      </c>
      <c r="C27" s="32"/>
      <c r="D27" s="32"/>
      <c r="E27" s="32"/>
      <c r="F27" s="32"/>
      <c r="G27" s="32"/>
      <c r="H27" s="32"/>
      <c r="I27" s="32"/>
      <c r="J27" s="32"/>
      <c r="K27" s="32"/>
      <c r="L27" s="16">
        <v>45</v>
      </c>
      <c r="M27" s="16">
        <v>16</v>
      </c>
      <c r="N27" s="16">
        <v>17</v>
      </c>
      <c r="O27" s="17">
        <f>SUM(C27:N27)</f>
        <v>78</v>
      </c>
      <c r="P27" s="18">
        <f>AVERAGE(C27:N27)</f>
        <v>26</v>
      </c>
      <c r="Q27" s="19">
        <v>154</v>
      </c>
      <c r="R27" s="20">
        <f t="shared" si="8"/>
        <v>2.9230769230769229</v>
      </c>
      <c r="S27" s="21">
        <f t="shared" si="9"/>
        <v>76</v>
      </c>
    </row>
    <row r="28" spans="1:19" x14ac:dyDescent="0.2">
      <c r="A28" s="2" t="s">
        <v>26</v>
      </c>
      <c r="B28" s="16">
        <v>2008</v>
      </c>
      <c r="C28" s="32"/>
      <c r="D28" s="32"/>
      <c r="E28" s="32"/>
      <c r="F28" s="32"/>
      <c r="G28" s="32"/>
      <c r="H28" s="32"/>
      <c r="I28" s="32"/>
      <c r="J28" s="16">
        <v>7</v>
      </c>
      <c r="K28" s="16">
        <v>10</v>
      </c>
      <c r="L28" s="16">
        <v>30</v>
      </c>
      <c r="M28" s="16">
        <v>46</v>
      </c>
      <c r="N28" s="16">
        <v>17</v>
      </c>
      <c r="O28" s="17">
        <f t="shared" si="10"/>
        <v>110</v>
      </c>
      <c r="P28" s="18">
        <f t="shared" si="11"/>
        <v>22</v>
      </c>
      <c r="Q28" s="19">
        <v>372</v>
      </c>
      <c r="R28" s="20">
        <f t="shared" si="8"/>
        <v>11.909090909090908</v>
      </c>
      <c r="S28" s="21">
        <f t="shared" si="9"/>
        <v>262</v>
      </c>
    </row>
    <row r="29" spans="1:19" x14ac:dyDescent="0.2">
      <c r="A29" s="2" t="s">
        <v>27</v>
      </c>
      <c r="B29" s="16">
        <v>2008</v>
      </c>
      <c r="C29" s="32"/>
      <c r="D29" s="32"/>
      <c r="E29" s="32"/>
      <c r="F29" s="32"/>
      <c r="G29" s="32"/>
      <c r="H29" s="32"/>
      <c r="I29" s="32"/>
      <c r="J29" s="32"/>
      <c r="K29" s="16">
        <v>4</v>
      </c>
      <c r="L29" s="16">
        <v>8</v>
      </c>
      <c r="M29" s="16">
        <v>2</v>
      </c>
      <c r="N29" s="16">
        <v>0</v>
      </c>
      <c r="O29" s="17">
        <f>SUM(C29:N29)</f>
        <v>14</v>
      </c>
      <c r="P29" s="18">
        <f>AVERAGE(C29:N29)</f>
        <v>3.5</v>
      </c>
      <c r="Q29" s="19">
        <v>247</v>
      </c>
      <c r="R29" s="20">
        <f>S29/P29</f>
        <v>66.571428571428569</v>
      </c>
      <c r="S29" s="21">
        <f t="shared" si="9"/>
        <v>233</v>
      </c>
    </row>
    <row r="30" spans="1:19" x14ac:dyDescent="0.2">
      <c r="A30" s="2" t="s">
        <v>32</v>
      </c>
      <c r="B30" s="16">
        <v>2008</v>
      </c>
      <c r="C30" s="32"/>
      <c r="D30" s="32"/>
      <c r="E30" s="32"/>
      <c r="F30" s="32"/>
      <c r="G30" s="32"/>
      <c r="H30" s="16">
        <v>20</v>
      </c>
      <c r="I30" s="16">
        <v>2</v>
      </c>
      <c r="J30" s="16">
        <v>10</v>
      </c>
      <c r="K30" s="16">
        <v>7</v>
      </c>
      <c r="L30" s="16">
        <v>9</v>
      </c>
      <c r="M30" s="16">
        <v>7</v>
      </c>
      <c r="N30" s="16">
        <v>4</v>
      </c>
      <c r="O30" s="17">
        <f t="shared" si="10"/>
        <v>59</v>
      </c>
      <c r="P30" s="18">
        <f t="shared" si="11"/>
        <v>8.4285714285714288</v>
      </c>
      <c r="Q30" s="19">
        <v>180</v>
      </c>
      <c r="R30" s="20">
        <f t="shared" si="8"/>
        <v>14.35593220338983</v>
      </c>
      <c r="S30" s="21">
        <f t="shared" si="9"/>
        <v>121</v>
      </c>
    </row>
    <row r="31" spans="1:19" x14ac:dyDescent="0.2">
      <c r="A31" s="2" t="s">
        <v>33</v>
      </c>
      <c r="B31" s="16">
        <v>2008</v>
      </c>
      <c r="C31" s="32"/>
      <c r="D31" s="32"/>
      <c r="E31" s="31">
        <v>101</v>
      </c>
      <c r="F31" s="31">
        <v>42</v>
      </c>
      <c r="G31" s="31">
        <v>53</v>
      </c>
      <c r="H31" s="31">
        <v>57</v>
      </c>
      <c r="I31" s="31">
        <v>38</v>
      </c>
      <c r="J31" s="31">
        <v>21</v>
      </c>
      <c r="K31" s="31">
        <v>36</v>
      </c>
      <c r="L31" s="31">
        <v>34</v>
      </c>
      <c r="M31" s="31">
        <v>38</v>
      </c>
      <c r="N31" s="16">
        <v>24</v>
      </c>
      <c r="O31" s="17">
        <f t="shared" si="10"/>
        <v>444</v>
      </c>
      <c r="P31" s="18">
        <f t="shared" si="11"/>
        <v>44.4</v>
      </c>
      <c r="Q31" s="19">
        <v>515</v>
      </c>
      <c r="R31" s="20">
        <f t="shared" si="8"/>
        <v>1.5990990990990992</v>
      </c>
      <c r="S31" s="21">
        <f t="shared" si="9"/>
        <v>71</v>
      </c>
    </row>
    <row r="32" spans="1:19" x14ac:dyDescent="0.2">
      <c r="A32" s="2" t="s">
        <v>30</v>
      </c>
      <c r="B32" s="16">
        <v>2008</v>
      </c>
      <c r="C32" s="32"/>
      <c r="D32" s="32"/>
      <c r="E32" s="31">
        <v>8</v>
      </c>
      <c r="F32" s="40"/>
      <c r="G32" s="31">
        <v>41</v>
      </c>
      <c r="H32" s="31">
        <v>25</v>
      </c>
      <c r="I32" s="31">
        <v>24</v>
      </c>
      <c r="J32" s="31">
        <v>29</v>
      </c>
      <c r="K32" s="31">
        <v>24</v>
      </c>
      <c r="L32" s="31">
        <v>182</v>
      </c>
      <c r="M32" s="31">
        <v>25</v>
      </c>
      <c r="N32" s="16">
        <v>16</v>
      </c>
      <c r="O32" s="17">
        <f t="shared" si="10"/>
        <v>374</v>
      </c>
      <c r="P32" s="18">
        <f t="shared" si="11"/>
        <v>41.555555555555557</v>
      </c>
      <c r="Q32" s="19">
        <v>449</v>
      </c>
      <c r="R32" s="20">
        <f t="shared" si="8"/>
        <v>1.8048128342245988</v>
      </c>
      <c r="S32" s="21">
        <f t="shared" si="9"/>
        <v>75</v>
      </c>
    </row>
    <row r="33" spans="1:19" x14ac:dyDescent="0.2">
      <c r="A33" s="2" t="s">
        <v>34</v>
      </c>
      <c r="B33" s="16">
        <v>2008</v>
      </c>
      <c r="C33" s="32"/>
      <c r="D33" s="32"/>
      <c r="E33" s="40"/>
      <c r="F33" s="40"/>
      <c r="G33" s="40"/>
      <c r="H33" s="31">
        <v>75</v>
      </c>
      <c r="I33" s="31">
        <v>10</v>
      </c>
      <c r="J33" s="31">
        <v>26</v>
      </c>
      <c r="K33" s="31">
        <v>28</v>
      </c>
      <c r="L33" s="31">
        <v>19</v>
      </c>
      <c r="M33" s="31">
        <v>36</v>
      </c>
      <c r="N33" s="16">
        <v>16</v>
      </c>
      <c r="O33" s="17">
        <f t="shared" si="10"/>
        <v>210</v>
      </c>
      <c r="P33" s="18">
        <f t="shared" si="11"/>
        <v>30</v>
      </c>
      <c r="Q33" s="19">
        <v>340</v>
      </c>
      <c r="R33" s="20">
        <f t="shared" si="8"/>
        <v>4.333333333333333</v>
      </c>
      <c r="S33" s="21">
        <f t="shared" si="9"/>
        <v>130</v>
      </c>
    </row>
    <row r="34" spans="1:19" x14ac:dyDescent="0.2">
      <c r="A34" s="2" t="s">
        <v>31</v>
      </c>
      <c r="B34" s="16">
        <v>2008</v>
      </c>
      <c r="C34" s="32"/>
      <c r="D34" s="32"/>
      <c r="E34" s="40"/>
      <c r="F34" s="40"/>
      <c r="G34" s="31">
        <v>69</v>
      </c>
      <c r="H34" s="31">
        <v>64</v>
      </c>
      <c r="I34" s="31">
        <v>17</v>
      </c>
      <c r="J34" s="31">
        <v>52</v>
      </c>
      <c r="K34" s="31">
        <v>53</v>
      </c>
      <c r="L34" s="31">
        <v>45</v>
      </c>
      <c r="M34" s="31">
        <v>52</v>
      </c>
      <c r="N34" s="16">
        <v>29</v>
      </c>
      <c r="O34" s="17">
        <f>SUM(C34:N34)</f>
        <v>381</v>
      </c>
      <c r="P34" s="18">
        <f>AVERAGE(C34:N34)</f>
        <v>47.625</v>
      </c>
      <c r="Q34" s="19">
        <v>653</v>
      </c>
      <c r="R34" s="20">
        <f>S34/P34</f>
        <v>5.7112860892388451</v>
      </c>
      <c r="S34" s="21">
        <f t="shared" si="9"/>
        <v>272</v>
      </c>
    </row>
    <row r="35" spans="1:19" x14ac:dyDescent="0.2">
      <c r="A35" s="15"/>
      <c r="B35" s="26"/>
      <c r="C35" s="26"/>
      <c r="D35" s="26"/>
      <c r="E35" s="26"/>
      <c r="F35" s="26"/>
      <c r="G35" s="26"/>
      <c r="H35" s="26"/>
      <c r="I35" s="26"/>
      <c r="J35" s="26"/>
      <c r="K35" s="26"/>
      <c r="L35" s="26"/>
      <c r="M35" s="26"/>
      <c r="N35" s="26"/>
      <c r="O35" s="26"/>
      <c r="P35" s="27"/>
      <c r="Q35" s="26"/>
      <c r="R35" s="201" t="s">
        <v>35</v>
      </c>
      <c r="S35" s="28"/>
    </row>
    <row r="36" spans="1:19" x14ac:dyDescent="0.2">
      <c r="A36" s="2" t="s">
        <v>16</v>
      </c>
      <c r="B36" s="2">
        <v>2006</v>
      </c>
      <c r="C36" s="2">
        <f>SUM(C3:C34)</f>
        <v>242</v>
      </c>
      <c r="D36" s="2">
        <f>SUM(D3:D10)</f>
        <v>146</v>
      </c>
      <c r="E36" s="2">
        <f>SUM(E3:E9)</f>
        <v>147</v>
      </c>
      <c r="F36" s="2">
        <f>SUM(F3:F16)</f>
        <v>230</v>
      </c>
      <c r="G36" s="2">
        <f>SUM(G3:G12)</f>
        <v>238</v>
      </c>
      <c r="H36" s="2">
        <f>SUM(H3:H14)</f>
        <v>286</v>
      </c>
      <c r="I36" s="2">
        <f t="shared" ref="I36:N36" si="12">SUM(I3:I9)</f>
        <v>15</v>
      </c>
      <c r="J36" s="2">
        <f t="shared" si="12"/>
        <v>68</v>
      </c>
      <c r="K36" s="2">
        <f t="shared" si="12"/>
        <v>29</v>
      </c>
      <c r="L36" s="2">
        <f t="shared" si="12"/>
        <v>20</v>
      </c>
      <c r="M36" s="2">
        <f t="shared" si="12"/>
        <v>59</v>
      </c>
      <c r="N36" s="2">
        <f t="shared" si="12"/>
        <v>28</v>
      </c>
      <c r="O36" s="3">
        <f>SUM(C36:N36)</f>
        <v>1508</v>
      </c>
      <c r="P36" s="11">
        <f>O36/4</f>
        <v>377</v>
      </c>
      <c r="Q36" s="2">
        <f>SUM(Q3:Q9)</f>
        <v>1097</v>
      </c>
      <c r="R36" s="10">
        <f>Q36/P36</f>
        <v>2.909814323607427</v>
      </c>
      <c r="S36" s="2"/>
    </row>
    <row r="37" spans="1:19" x14ac:dyDescent="0.2">
      <c r="A37" s="16"/>
      <c r="B37" s="16">
        <v>2007</v>
      </c>
      <c r="C37" s="16">
        <f>SUM(C10:C20)</f>
        <v>123</v>
      </c>
      <c r="D37" s="16">
        <f t="shared" ref="D37:N37" si="13">SUM(D10:D20)</f>
        <v>162</v>
      </c>
      <c r="E37" s="16">
        <f t="shared" si="13"/>
        <v>109</v>
      </c>
      <c r="F37" s="16">
        <f t="shared" si="13"/>
        <v>152</v>
      </c>
      <c r="G37" s="16">
        <f t="shared" si="13"/>
        <v>132</v>
      </c>
      <c r="H37" s="16">
        <f t="shared" si="13"/>
        <v>216</v>
      </c>
      <c r="I37" s="16">
        <f t="shared" si="13"/>
        <v>121</v>
      </c>
      <c r="J37" s="16">
        <f t="shared" si="13"/>
        <v>178</v>
      </c>
      <c r="K37" s="16">
        <f t="shared" si="13"/>
        <v>171</v>
      </c>
      <c r="L37" s="16">
        <f t="shared" si="13"/>
        <v>129</v>
      </c>
      <c r="M37" s="16">
        <f t="shared" si="13"/>
        <v>193</v>
      </c>
      <c r="N37" s="16">
        <f t="shared" si="13"/>
        <v>40</v>
      </c>
      <c r="O37" s="17">
        <f>SUM(C37:N37)</f>
        <v>1726</v>
      </c>
      <c r="P37" s="18">
        <f>O37/4</f>
        <v>431.5</v>
      </c>
      <c r="Q37" s="16">
        <f>SUM(Q12:Q34)</f>
        <v>7649</v>
      </c>
      <c r="R37" s="20">
        <f>Q37/P37</f>
        <v>17.726535341830822</v>
      </c>
      <c r="S37" s="16"/>
    </row>
    <row r="38" spans="1:19" x14ac:dyDescent="0.2">
      <c r="A38" s="2"/>
      <c r="B38" s="2">
        <v>2008</v>
      </c>
      <c r="C38" s="16">
        <f>SUM(C31:C34)</f>
        <v>0</v>
      </c>
      <c r="D38" s="16">
        <f t="shared" ref="D38:N38" si="14">SUM(D31:D34)</f>
        <v>0</v>
      </c>
      <c r="E38" s="16">
        <f t="shared" si="14"/>
        <v>109</v>
      </c>
      <c r="F38" s="16">
        <f t="shared" si="14"/>
        <v>42</v>
      </c>
      <c r="G38" s="16">
        <f t="shared" si="14"/>
        <v>163</v>
      </c>
      <c r="H38" s="16">
        <f t="shared" si="14"/>
        <v>221</v>
      </c>
      <c r="I38" s="16">
        <f t="shared" si="14"/>
        <v>89</v>
      </c>
      <c r="J38" s="16">
        <f t="shared" si="14"/>
        <v>128</v>
      </c>
      <c r="K38" s="16">
        <f t="shared" si="14"/>
        <v>141</v>
      </c>
      <c r="L38" s="16">
        <f t="shared" si="14"/>
        <v>280</v>
      </c>
      <c r="M38" s="16">
        <f t="shared" si="14"/>
        <v>151</v>
      </c>
      <c r="N38" s="16">
        <f t="shared" si="14"/>
        <v>85</v>
      </c>
      <c r="O38" s="17">
        <f>SUM(C38:N38)</f>
        <v>1409</v>
      </c>
      <c r="P38" s="18">
        <f>O38/4</f>
        <v>352.25</v>
      </c>
      <c r="Q38" s="16">
        <f>SUM(Q31:Q34)</f>
        <v>1957</v>
      </c>
      <c r="R38" s="20">
        <f>Q38/P38</f>
        <v>5.555713271823989</v>
      </c>
      <c r="S38" s="2"/>
    </row>
    <row r="39" spans="1:19" x14ac:dyDescent="0.2">
      <c r="A39" s="26"/>
      <c r="B39" s="26"/>
      <c r="C39" s="26"/>
      <c r="D39" s="26"/>
      <c r="E39" s="26"/>
      <c r="F39" s="26"/>
      <c r="G39" s="26"/>
      <c r="H39" s="26"/>
      <c r="I39" s="26"/>
      <c r="J39" s="26"/>
      <c r="K39" s="26"/>
      <c r="L39" s="26"/>
      <c r="M39" s="26"/>
      <c r="N39" s="26"/>
      <c r="O39" s="26"/>
      <c r="P39" s="27"/>
      <c r="Q39" s="26"/>
      <c r="R39" s="201"/>
      <c r="S39" s="26"/>
    </row>
    <row r="40" spans="1:19" x14ac:dyDescent="0.2">
      <c r="A40" s="22" t="s">
        <v>36</v>
      </c>
      <c r="B40" s="22"/>
      <c r="C40" s="22">
        <f>SUM(C3:C6,C8:C13, C16:C18)</f>
        <v>143</v>
      </c>
      <c r="D40" s="22">
        <f t="shared" ref="D40:N40" si="15">SUM(D3:D6,D8:D13, D16:D18)</f>
        <v>174</v>
      </c>
      <c r="E40" s="22">
        <f t="shared" si="15"/>
        <v>133</v>
      </c>
      <c r="F40" s="22">
        <f t="shared" si="15"/>
        <v>181</v>
      </c>
      <c r="G40" s="22">
        <f t="shared" si="15"/>
        <v>224</v>
      </c>
      <c r="H40" s="22">
        <f t="shared" si="15"/>
        <v>267</v>
      </c>
      <c r="I40" s="22">
        <f t="shared" si="15"/>
        <v>98</v>
      </c>
      <c r="J40" s="22">
        <f t="shared" si="15"/>
        <v>185</v>
      </c>
      <c r="K40" s="22">
        <f t="shared" si="15"/>
        <v>142</v>
      </c>
      <c r="L40" s="22">
        <f t="shared" si="15"/>
        <v>106</v>
      </c>
      <c r="M40" s="22">
        <f t="shared" si="15"/>
        <v>224</v>
      </c>
      <c r="N40" s="22">
        <f t="shared" si="15"/>
        <v>68</v>
      </c>
      <c r="O40" s="23">
        <f>SUM(C40:N40)</f>
        <v>1945</v>
      </c>
      <c r="P40" s="24">
        <f>O40/4</f>
        <v>486.25</v>
      </c>
      <c r="Q40" s="22">
        <f>SUM(Q3:Q6, Q8:Q13, Q16:Q18)</f>
        <v>2869</v>
      </c>
      <c r="R40" s="25">
        <f>Q40/P40</f>
        <v>5.90025706940874</v>
      </c>
      <c r="S40" s="22"/>
    </row>
    <row r="41" spans="1:19" x14ac:dyDescent="0.2">
      <c r="A41" s="2" t="s">
        <v>37</v>
      </c>
      <c r="B41" s="2"/>
      <c r="C41" s="2">
        <f t="shared" ref="C41:N41" si="16">SUM(C7, C14:C15, C19:C34)</f>
        <v>99</v>
      </c>
      <c r="D41" s="2">
        <f t="shared" si="16"/>
        <v>121</v>
      </c>
      <c r="E41" s="2">
        <f t="shared" si="16"/>
        <v>232</v>
      </c>
      <c r="F41" s="2">
        <f t="shared" si="16"/>
        <v>156</v>
      </c>
      <c r="G41" s="2">
        <f t="shared" si="16"/>
        <v>248</v>
      </c>
      <c r="H41" s="2">
        <f t="shared" si="16"/>
        <v>402</v>
      </c>
      <c r="I41" s="2">
        <f t="shared" si="16"/>
        <v>167</v>
      </c>
      <c r="J41" s="2">
        <f t="shared" si="16"/>
        <v>260</v>
      </c>
      <c r="K41" s="2">
        <f t="shared" si="16"/>
        <v>273</v>
      </c>
      <c r="L41" s="2">
        <f t="shared" si="16"/>
        <v>474</v>
      </c>
      <c r="M41" s="2">
        <f t="shared" si="16"/>
        <v>379</v>
      </c>
      <c r="N41" s="2">
        <f t="shared" si="16"/>
        <v>208</v>
      </c>
      <c r="O41" s="3">
        <f>SUM(C41:N41)</f>
        <v>3019</v>
      </c>
      <c r="P41" s="11">
        <f>O41/4</f>
        <v>754.75</v>
      </c>
      <c r="Q41" s="2">
        <f>SUM(Q7,Q14:Q15, Q19:Q34)</f>
        <v>6734</v>
      </c>
      <c r="R41" s="10">
        <f>Q41/P41</f>
        <v>8.9221596555150704</v>
      </c>
      <c r="S41" s="2"/>
    </row>
  </sheetData>
  <mergeCells count="1">
    <mergeCell ref="A1:O1"/>
  </mergeCells>
  <phoneticPr fontId="0" type="noConversion"/>
  <pageMargins left="0.75" right="0.75" top="1" bottom="1" header="0.5" footer="0.5"/>
  <pageSetup scale="83"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X126"/>
  <sheetViews>
    <sheetView topLeftCell="A17" zoomScale="90" zoomScaleNormal="90" workbookViewId="0">
      <selection activeCell="A33" sqref="A33"/>
    </sheetView>
  </sheetViews>
  <sheetFormatPr defaultColWidth="9.28515625" defaultRowHeight="15" x14ac:dyDescent="0.2"/>
  <cols>
    <col min="1" max="2" width="9.28515625" style="297"/>
    <col min="3" max="3" width="29" style="297" customWidth="1"/>
    <col min="4" max="4" width="9.42578125" style="297" customWidth="1"/>
    <col min="5" max="6" width="8.5703125" style="297" customWidth="1"/>
    <col min="7" max="7" width="7.42578125" style="297" customWidth="1"/>
    <col min="8" max="8" width="6.42578125" style="297" customWidth="1"/>
    <col min="9" max="10" width="7.42578125" style="297" customWidth="1"/>
    <col min="11" max="11" width="8.42578125" style="297" customWidth="1"/>
    <col min="12" max="12" width="6.7109375" style="297" customWidth="1"/>
    <col min="13" max="13" width="8.42578125" style="297" customWidth="1"/>
    <col min="14" max="18" width="8.7109375" style="297" customWidth="1"/>
    <col min="19" max="19" width="10.28515625" style="297" customWidth="1"/>
    <col min="20" max="20" width="8.7109375" style="297" customWidth="1"/>
    <col min="21" max="21" width="8.7109375" style="298" customWidth="1"/>
    <col min="22" max="22" width="9.28515625" style="297"/>
    <col min="23" max="23" width="15.5703125" style="297" customWidth="1"/>
    <col min="24" max="27" width="9.28515625" style="297"/>
    <col min="28" max="28" width="22.5703125" style="301" customWidth="1"/>
    <col min="29" max="29" width="10.28515625" style="297" customWidth="1"/>
    <col min="30" max="30" width="46.28515625" style="297" customWidth="1"/>
    <col min="31" max="32" width="19.42578125" style="297" customWidth="1"/>
    <col min="33" max="37" width="9.28515625" style="297"/>
    <col min="38" max="38" width="14.42578125" style="297" customWidth="1"/>
    <col min="39" max="39" width="8.5703125" style="297" customWidth="1"/>
    <col min="40" max="40" width="74.7109375" style="297" customWidth="1"/>
    <col min="41" max="45" width="9.28515625" style="297"/>
    <col min="46" max="53" width="24.42578125" style="297" customWidth="1"/>
    <col min="54" max="16384" width="9.28515625" style="297"/>
  </cols>
  <sheetData>
    <row r="1" spans="1:50" x14ac:dyDescent="0.2">
      <c r="A1" s="220"/>
      <c r="B1" s="220"/>
      <c r="C1" s="220"/>
      <c r="D1" s="220"/>
      <c r="E1" s="221"/>
      <c r="F1" s="221"/>
      <c r="G1" s="221"/>
      <c r="H1" s="221"/>
      <c r="I1" s="221"/>
      <c r="J1" s="221"/>
      <c r="K1" s="221"/>
      <c r="L1" s="221"/>
      <c r="M1" s="221"/>
      <c r="N1" s="221"/>
      <c r="O1" s="221"/>
      <c r="P1" s="221"/>
      <c r="Q1" s="221"/>
      <c r="R1" s="220"/>
      <c r="S1" s="220"/>
      <c r="T1" s="220"/>
      <c r="U1" s="221"/>
      <c r="V1" s="220"/>
      <c r="W1" s="220"/>
      <c r="X1" s="220"/>
      <c r="Y1" s="220"/>
      <c r="Z1" s="220"/>
      <c r="AA1" s="220"/>
      <c r="AB1" s="310"/>
      <c r="AC1" s="220"/>
      <c r="AD1" s="220"/>
      <c r="AE1" s="220"/>
      <c r="AF1" s="220"/>
      <c r="AG1" s="220"/>
      <c r="AH1" s="220"/>
      <c r="AI1" s="220"/>
      <c r="AJ1" s="220"/>
      <c r="AK1" s="220"/>
      <c r="AL1" s="220"/>
      <c r="AM1" s="220"/>
      <c r="AN1" s="220"/>
      <c r="AO1" s="220"/>
      <c r="AP1" s="220"/>
      <c r="AQ1" s="220"/>
      <c r="AR1" s="220"/>
      <c r="AS1" s="220"/>
      <c r="AT1" s="220"/>
      <c r="AU1" s="220"/>
      <c r="AV1" s="220"/>
      <c r="AW1" s="220"/>
      <c r="AX1" s="220"/>
    </row>
    <row r="2" spans="1:50" ht="15.75" x14ac:dyDescent="0.2">
      <c r="A2" s="220"/>
      <c r="B2" s="220"/>
      <c r="C2" s="220"/>
      <c r="D2" s="220"/>
      <c r="E2" s="169"/>
      <c r="F2" s="221"/>
      <c r="G2" s="221"/>
      <c r="H2" s="221"/>
      <c r="I2" s="221"/>
      <c r="J2" s="221"/>
      <c r="K2" s="221"/>
      <c r="L2" s="221"/>
      <c r="M2" s="221"/>
      <c r="N2" s="221"/>
      <c r="O2" s="221"/>
      <c r="P2" s="221"/>
      <c r="Q2" s="221"/>
      <c r="R2" s="220"/>
      <c r="S2" s="220"/>
      <c r="T2" s="220"/>
      <c r="U2" s="221"/>
      <c r="V2" s="220"/>
      <c r="W2" s="220"/>
      <c r="X2" s="220"/>
      <c r="Y2" s="220"/>
      <c r="Z2" s="220"/>
      <c r="AA2" s="220"/>
      <c r="AB2" s="310"/>
      <c r="AC2" s="220"/>
      <c r="AD2" s="220"/>
      <c r="AE2" s="220"/>
      <c r="AF2" s="220"/>
      <c r="AG2" s="220"/>
      <c r="AH2" s="220"/>
      <c r="AI2" s="220"/>
      <c r="AJ2" s="220"/>
      <c r="AK2" s="220"/>
      <c r="AL2" s="220"/>
      <c r="AM2" s="220"/>
      <c r="AN2" s="220"/>
      <c r="AO2" s="220"/>
      <c r="AP2" s="220"/>
      <c r="AQ2" s="220"/>
      <c r="AR2" s="220"/>
      <c r="AS2" s="220"/>
      <c r="AT2" s="220"/>
      <c r="AU2" s="220"/>
      <c r="AV2" s="220"/>
      <c r="AW2" s="220"/>
      <c r="AX2" s="220"/>
    </row>
    <row r="3" spans="1:50" ht="15.75" x14ac:dyDescent="0.2">
      <c r="A3" s="220"/>
      <c r="B3" s="220"/>
      <c r="C3" s="220"/>
      <c r="D3" s="220"/>
      <c r="E3" s="169"/>
      <c r="F3" s="221"/>
      <c r="G3" s="221"/>
      <c r="H3" s="221"/>
      <c r="I3" s="221"/>
      <c r="J3" s="221"/>
      <c r="K3" s="221"/>
      <c r="L3" s="221"/>
      <c r="M3" s="221"/>
      <c r="N3" s="221"/>
      <c r="O3" s="221"/>
      <c r="P3" s="221"/>
      <c r="Q3" s="221"/>
      <c r="R3" s="220"/>
      <c r="S3" s="220"/>
      <c r="T3" s="220"/>
      <c r="U3" s="221"/>
      <c r="V3" s="220"/>
      <c r="W3" s="220"/>
      <c r="X3" s="220"/>
      <c r="Y3" s="220"/>
      <c r="Z3" s="220"/>
      <c r="AA3" s="220"/>
      <c r="AB3" s="310"/>
      <c r="AC3" s="220"/>
      <c r="AD3" s="220"/>
      <c r="AE3" s="220"/>
      <c r="AF3" s="220"/>
      <c r="AG3" s="220"/>
      <c r="AH3" s="220"/>
      <c r="AI3" s="220"/>
      <c r="AJ3" s="220"/>
      <c r="AK3" s="220"/>
      <c r="AL3" s="220"/>
      <c r="AM3" s="220"/>
      <c r="AN3" s="220"/>
      <c r="AO3" s="220"/>
      <c r="AP3" s="220"/>
      <c r="AQ3" s="220"/>
      <c r="AR3" s="220"/>
      <c r="AS3" s="220"/>
      <c r="AT3" s="220"/>
      <c r="AU3" s="220"/>
      <c r="AV3" s="220"/>
      <c r="AW3" s="220"/>
      <c r="AX3" s="220"/>
    </row>
    <row r="4" spans="1:50" ht="15.75" x14ac:dyDescent="0.2">
      <c r="A4" s="220"/>
      <c r="B4" s="220"/>
      <c r="C4" s="220"/>
      <c r="D4" s="220"/>
      <c r="E4" s="169"/>
      <c r="F4" s="221"/>
      <c r="G4" s="221"/>
      <c r="H4" s="221"/>
      <c r="I4" s="221"/>
      <c r="J4" s="221"/>
      <c r="K4" s="221"/>
      <c r="L4" s="221"/>
      <c r="M4" s="221"/>
      <c r="N4" s="221"/>
      <c r="O4" s="221"/>
      <c r="P4" s="221"/>
      <c r="Q4" s="221"/>
      <c r="R4" s="220"/>
      <c r="S4" s="220"/>
      <c r="T4" s="220"/>
      <c r="U4" s="221"/>
      <c r="V4" s="220"/>
      <c r="W4" s="220"/>
      <c r="X4" s="220"/>
      <c r="Y4" s="220"/>
      <c r="Z4" s="220"/>
      <c r="AA4" s="220"/>
      <c r="AB4" s="310"/>
      <c r="AC4" s="220"/>
      <c r="AD4" s="220"/>
      <c r="AE4" s="220"/>
      <c r="AF4" s="220"/>
      <c r="AG4" s="220"/>
      <c r="AH4" s="220"/>
      <c r="AI4" s="220"/>
      <c r="AJ4" s="220"/>
      <c r="AK4" s="220"/>
      <c r="AL4" s="220"/>
      <c r="AM4" s="220"/>
      <c r="AN4" s="220"/>
      <c r="AO4" s="220"/>
      <c r="AP4" s="220"/>
      <c r="AQ4" s="220"/>
      <c r="AR4" s="220"/>
      <c r="AS4" s="220"/>
      <c r="AT4" s="220"/>
      <c r="AU4" s="220"/>
      <c r="AV4" s="220"/>
      <c r="AW4" s="220"/>
      <c r="AX4" s="220"/>
    </row>
    <row r="5" spans="1:50" x14ac:dyDescent="0.2">
      <c r="A5" s="220"/>
      <c r="B5" s="220"/>
      <c r="C5" s="220"/>
      <c r="D5" s="220"/>
      <c r="E5" s="221"/>
      <c r="F5" s="221"/>
      <c r="G5" s="221"/>
      <c r="H5" s="221"/>
      <c r="I5" s="221"/>
      <c r="J5" s="221"/>
      <c r="K5" s="221"/>
      <c r="L5" s="221"/>
      <c r="M5" s="221"/>
      <c r="N5" s="221"/>
      <c r="O5" s="221"/>
      <c r="P5" s="221"/>
      <c r="Q5" s="221"/>
      <c r="R5" s="220"/>
      <c r="S5" s="220"/>
      <c r="T5" s="220"/>
      <c r="U5" s="221"/>
      <c r="V5" s="220"/>
      <c r="W5" s="220"/>
      <c r="X5" s="220"/>
      <c r="Y5" s="220"/>
      <c r="Z5" s="220"/>
      <c r="AA5" s="220"/>
      <c r="AB5" s="310"/>
      <c r="AC5" s="220"/>
      <c r="AD5" s="220"/>
      <c r="AE5" s="220"/>
      <c r="AF5" s="220"/>
      <c r="AG5" s="220"/>
      <c r="AH5" s="220"/>
      <c r="AI5" s="220"/>
      <c r="AJ5" s="220"/>
      <c r="AK5" s="220"/>
      <c r="AL5" s="220"/>
      <c r="AM5" s="220"/>
      <c r="AN5" s="220"/>
      <c r="AO5" s="220"/>
      <c r="AP5" s="220"/>
      <c r="AQ5" s="220"/>
      <c r="AR5" s="220"/>
      <c r="AS5" s="220"/>
      <c r="AT5" s="220"/>
      <c r="AU5" s="220"/>
      <c r="AV5" s="220"/>
      <c r="AW5" s="220"/>
      <c r="AX5" s="220"/>
    </row>
    <row r="6" spans="1:50" ht="15.75" thickBot="1" x14ac:dyDescent="0.25">
      <c r="A6" s="220"/>
      <c r="B6" s="220"/>
      <c r="C6" s="220"/>
      <c r="D6" s="220"/>
      <c r="E6" s="221"/>
      <c r="F6" s="221"/>
      <c r="G6" s="221"/>
      <c r="H6" s="221"/>
      <c r="I6" s="221"/>
      <c r="J6" s="221"/>
      <c r="K6" s="221"/>
      <c r="L6" s="221"/>
      <c r="M6" s="221"/>
      <c r="N6" s="221"/>
      <c r="O6" s="221"/>
      <c r="P6" s="221"/>
      <c r="Q6" s="221"/>
      <c r="R6" s="220"/>
      <c r="S6" s="220"/>
      <c r="T6" s="220"/>
      <c r="U6" s="221"/>
      <c r="V6" s="220"/>
      <c r="W6" s="220"/>
      <c r="X6" s="220"/>
      <c r="Y6" s="220"/>
      <c r="Z6" s="220"/>
      <c r="AA6" s="220"/>
      <c r="AB6" s="310"/>
      <c r="AC6" s="220"/>
      <c r="AD6" s="220"/>
      <c r="AE6" s="220"/>
      <c r="AF6" s="220"/>
      <c r="AG6" s="220"/>
      <c r="AH6" s="220"/>
      <c r="AI6" s="220"/>
      <c r="AJ6" s="220"/>
      <c r="AK6" s="220"/>
      <c r="AL6" s="220"/>
      <c r="AM6" s="220"/>
      <c r="AN6" s="220"/>
      <c r="AO6" s="220"/>
      <c r="AP6" s="220"/>
      <c r="AQ6" s="220"/>
      <c r="AR6" s="220"/>
      <c r="AS6" s="220"/>
      <c r="AT6" s="220"/>
      <c r="AU6" s="220"/>
      <c r="AV6" s="220"/>
      <c r="AW6" s="220"/>
      <c r="AX6" s="220"/>
    </row>
    <row r="7" spans="1:50" ht="16.5" thickBot="1" x14ac:dyDescent="0.3">
      <c r="A7" s="222"/>
      <c r="B7" s="223" t="s">
        <v>0</v>
      </c>
      <c r="C7" s="224"/>
      <c r="D7" s="224"/>
      <c r="E7" s="349"/>
      <c r="F7" s="349"/>
      <c r="G7" s="349"/>
      <c r="H7" s="349"/>
      <c r="I7" s="349"/>
      <c r="J7" s="349"/>
      <c r="K7" s="349"/>
      <c r="L7" s="349"/>
      <c r="M7" s="349"/>
      <c r="N7" s="349"/>
      <c r="O7" s="349"/>
      <c r="P7" s="349"/>
      <c r="Q7" s="349"/>
      <c r="R7" s="224"/>
      <c r="S7" s="224"/>
      <c r="T7" s="224"/>
      <c r="U7" s="311"/>
      <c r="V7" s="223" t="s">
        <v>0</v>
      </c>
      <c r="W7" s="224"/>
      <c r="X7" s="220"/>
      <c r="Y7" s="220"/>
      <c r="Z7" s="220"/>
      <c r="AA7" s="220"/>
      <c r="AB7" s="310"/>
      <c r="AC7" s="220"/>
      <c r="AD7" s="220"/>
      <c r="AE7" s="220"/>
      <c r="AF7" s="220"/>
      <c r="AG7" s="220"/>
      <c r="AH7" s="220"/>
      <c r="AI7" s="220"/>
      <c r="AJ7" s="220"/>
      <c r="AK7" s="220"/>
      <c r="AL7" s="220"/>
      <c r="AM7" s="220"/>
      <c r="AN7" s="220"/>
      <c r="AO7" s="220"/>
      <c r="AP7" s="220"/>
      <c r="AQ7" s="220"/>
      <c r="AR7" s="220"/>
      <c r="AS7" s="220"/>
      <c r="AT7" s="220"/>
      <c r="AU7" s="220"/>
      <c r="AV7" s="220"/>
      <c r="AW7" s="220"/>
      <c r="AX7" s="220"/>
    </row>
    <row r="8" spans="1:50" ht="63.75" thickBot="1" x14ac:dyDescent="0.3">
      <c r="A8" s="160" t="s">
        <v>79</v>
      </c>
      <c r="B8" s="156" t="s">
        <v>3</v>
      </c>
      <c r="C8" s="107" t="s">
        <v>2</v>
      </c>
      <c r="D8" s="108" t="s">
        <v>125</v>
      </c>
      <c r="E8" s="109" t="s">
        <v>141</v>
      </c>
      <c r="F8" s="219" t="s">
        <v>4</v>
      </c>
      <c r="G8" s="110" t="s">
        <v>5</v>
      </c>
      <c r="H8" s="110" t="s">
        <v>6</v>
      </c>
      <c r="I8" s="110" t="s">
        <v>7</v>
      </c>
      <c r="J8" s="110" t="s">
        <v>8</v>
      </c>
      <c r="K8" s="110" t="s">
        <v>9</v>
      </c>
      <c r="L8" s="110" t="s">
        <v>10</v>
      </c>
      <c r="M8" s="110" t="s">
        <v>11</v>
      </c>
      <c r="N8" s="110" t="s">
        <v>12</v>
      </c>
      <c r="O8" s="110" t="s">
        <v>13</v>
      </c>
      <c r="P8" s="110" t="s">
        <v>14</v>
      </c>
      <c r="Q8" s="110" t="s">
        <v>15</v>
      </c>
      <c r="R8" s="111" t="s">
        <v>16</v>
      </c>
      <c r="S8" s="112" t="s">
        <v>125</v>
      </c>
      <c r="T8" s="109" t="s">
        <v>19</v>
      </c>
      <c r="U8" s="113" t="s">
        <v>41</v>
      </c>
      <c r="V8" s="156" t="s">
        <v>3</v>
      </c>
      <c r="W8" s="107" t="s">
        <v>2</v>
      </c>
      <c r="X8" s="220"/>
      <c r="Y8" s="220"/>
      <c r="Z8" s="220"/>
      <c r="AA8" s="220"/>
      <c r="AB8" s="312" t="s">
        <v>142</v>
      </c>
      <c r="AC8" s="306"/>
      <c r="AD8" s="306" t="s">
        <v>143</v>
      </c>
      <c r="AE8" s="306"/>
      <c r="AF8" s="220"/>
      <c r="AG8" s="220"/>
      <c r="AH8" s="220"/>
      <c r="AI8" s="220"/>
      <c r="AJ8" s="220"/>
      <c r="AK8" s="220"/>
      <c r="AL8" s="300" t="s">
        <v>144</v>
      </c>
      <c r="AM8" s="300"/>
      <c r="AN8" s="305" t="s">
        <v>145</v>
      </c>
      <c r="AO8" s="300"/>
      <c r="AP8" s="220"/>
      <c r="AQ8" s="220"/>
      <c r="AR8" s="220"/>
      <c r="AS8" s="220"/>
      <c r="AT8" s="220"/>
      <c r="AU8" s="220"/>
      <c r="AV8" s="220"/>
      <c r="AW8" s="220"/>
      <c r="AX8" s="220"/>
    </row>
    <row r="9" spans="1:50" ht="15.75" x14ac:dyDescent="0.25">
      <c r="A9" s="226"/>
      <c r="B9" s="227"/>
      <c r="C9" s="228"/>
      <c r="D9" s="228"/>
      <c r="E9" s="229"/>
      <c r="F9" s="229">
        <v>1</v>
      </c>
      <c r="G9" s="229"/>
      <c r="H9" s="229"/>
      <c r="I9" s="229"/>
      <c r="J9" s="229"/>
      <c r="K9" s="229"/>
      <c r="L9" s="229"/>
      <c r="M9" s="229"/>
      <c r="N9" s="229"/>
      <c r="O9" s="229"/>
      <c r="P9" s="229"/>
      <c r="Q9" s="229"/>
      <c r="R9" s="228"/>
      <c r="S9" s="230"/>
      <c r="T9" s="231"/>
      <c r="U9" s="313"/>
      <c r="V9" s="227"/>
      <c r="W9" s="228"/>
      <c r="X9" s="220"/>
      <c r="Y9" s="220"/>
      <c r="Z9" s="220"/>
      <c r="AA9" s="220"/>
      <c r="AB9" s="302" t="s">
        <v>146</v>
      </c>
      <c r="AC9" s="303" t="s">
        <v>147</v>
      </c>
      <c r="AD9" s="303" t="s">
        <v>148</v>
      </c>
      <c r="AE9" s="303" t="s">
        <v>149</v>
      </c>
      <c r="AF9" s="220"/>
      <c r="AG9" s="220"/>
      <c r="AH9" s="220"/>
      <c r="AI9" s="220"/>
      <c r="AJ9" s="220"/>
      <c r="AK9" s="220"/>
      <c r="AL9" s="300"/>
      <c r="AM9" s="300"/>
      <c r="AN9" s="305"/>
      <c r="AO9" s="300"/>
      <c r="AP9" s="220"/>
      <c r="AQ9" s="220"/>
      <c r="AR9" s="220"/>
      <c r="AS9" s="220"/>
      <c r="AT9" s="220"/>
      <c r="AU9" s="220"/>
      <c r="AV9" s="220"/>
      <c r="AW9" s="220"/>
      <c r="AX9" s="220"/>
    </row>
    <row r="10" spans="1:50" ht="15.75" x14ac:dyDescent="0.25">
      <c r="A10" s="234">
        <v>22384</v>
      </c>
      <c r="B10" s="233">
        <v>2013</v>
      </c>
      <c r="C10" s="234" t="s">
        <v>26</v>
      </c>
      <c r="D10" s="235"/>
      <c r="E10" s="236">
        <v>204</v>
      </c>
      <c r="F10" s="246">
        <v>17</v>
      </c>
      <c r="G10" s="236">
        <v>23</v>
      </c>
      <c r="H10" s="236">
        <v>0</v>
      </c>
      <c r="I10" s="236">
        <v>14</v>
      </c>
      <c r="J10" s="236">
        <v>21</v>
      </c>
      <c r="K10" s="236">
        <v>21</v>
      </c>
      <c r="L10" s="236">
        <v>62</v>
      </c>
      <c r="M10" s="236">
        <v>18</v>
      </c>
      <c r="N10" s="236"/>
      <c r="O10" s="299"/>
      <c r="P10" s="299"/>
      <c r="Q10" s="299"/>
      <c r="R10" s="238">
        <f t="shared" ref="R10:R55" si="0">SUM(F10:Q10)</f>
        <v>176</v>
      </c>
      <c r="S10" s="239">
        <f>IFERROR((AVERAGE(F10:Q10)),0)</f>
        <v>22</v>
      </c>
      <c r="T10" s="240">
        <f>IFERROR((U10/S10),0)</f>
        <v>1.2727272727272727</v>
      </c>
      <c r="U10" s="314">
        <f>SUM(E10-R10)</f>
        <v>28</v>
      </c>
      <c r="V10" s="233">
        <v>2013</v>
      </c>
      <c r="W10" s="234" t="s">
        <v>26</v>
      </c>
      <c r="X10" s="220"/>
      <c r="Y10" s="220"/>
      <c r="Z10" s="220"/>
      <c r="AA10" s="220"/>
      <c r="AB10" s="302"/>
      <c r="AC10" s="303"/>
      <c r="AD10" s="303"/>
      <c r="AE10" s="303"/>
      <c r="AF10" s="220"/>
      <c r="AG10" s="220"/>
      <c r="AH10" s="220"/>
      <c r="AI10" s="220"/>
      <c r="AJ10" s="220"/>
      <c r="AK10" s="220"/>
      <c r="AL10" s="300"/>
      <c r="AM10" s="300"/>
      <c r="AN10" s="305"/>
      <c r="AO10" s="300"/>
      <c r="AP10" s="220"/>
      <c r="AQ10" s="220"/>
      <c r="AR10" s="220"/>
      <c r="AS10" s="220"/>
      <c r="AT10" s="220"/>
      <c r="AU10" s="220"/>
      <c r="AV10" s="220"/>
      <c r="AW10" s="220"/>
      <c r="AX10" s="220"/>
    </row>
    <row r="11" spans="1:50" x14ac:dyDescent="0.2">
      <c r="A11" s="234">
        <v>28361</v>
      </c>
      <c r="B11" s="233">
        <v>2013</v>
      </c>
      <c r="C11" s="234" t="s">
        <v>24</v>
      </c>
      <c r="D11" s="235"/>
      <c r="E11" s="236">
        <v>87</v>
      </c>
      <c r="F11" s="246">
        <v>18</v>
      </c>
      <c r="G11" s="246">
        <v>12</v>
      </c>
      <c r="H11" s="246">
        <v>31</v>
      </c>
      <c r="I11" s="246">
        <v>23</v>
      </c>
      <c r="J11" s="246">
        <v>3</v>
      </c>
      <c r="K11" s="242" t="s">
        <v>35</v>
      </c>
      <c r="L11" s="242"/>
      <c r="M11" s="242"/>
      <c r="N11" s="242"/>
      <c r="O11" s="242"/>
      <c r="P11" s="242"/>
      <c r="Q11" s="242"/>
      <c r="R11" s="238">
        <f t="shared" si="0"/>
        <v>87</v>
      </c>
      <c r="S11" s="239">
        <f>IFERROR((AVERAGE(F11:Q11)),0)</f>
        <v>17.399999999999999</v>
      </c>
      <c r="T11" s="240">
        <f>IFERROR((U11/S11),0)</f>
        <v>0</v>
      </c>
      <c r="U11" s="314">
        <f>SUM(E11-R11)</f>
        <v>0</v>
      </c>
      <c r="V11" s="233">
        <v>2013</v>
      </c>
      <c r="W11" s="234" t="s">
        <v>24</v>
      </c>
      <c r="X11" s="220"/>
      <c r="Y11" s="220"/>
      <c r="Z11" s="220"/>
      <c r="AA11" s="220"/>
      <c r="AB11" s="302">
        <v>42772</v>
      </c>
      <c r="AC11" s="303">
        <v>2016</v>
      </c>
      <c r="AD11" s="303" t="s">
        <v>150</v>
      </c>
      <c r="AE11" s="303">
        <v>394</v>
      </c>
      <c r="AF11" s="220"/>
      <c r="AG11" s="220"/>
      <c r="AH11" s="220"/>
      <c r="AI11" s="220"/>
      <c r="AJ11" s="220"/>
      <c r="AK11" s="220"/>
      <c r="AL11" s="300"/>
      <c r="AM11" s="300"/>
      <c r="AN11" s="300"/>
      <c r="AO11" s="300"/>
      <c r="AP11" s="220"/>
      <c r="AQ11" s="220"/>
      <c r="AR11" s="220"/>
      <c r="AS11" s="220"/>
      <c r="AT11" s="315"/>
      <c r="AU11" s="221"/>
      <c r="AV11" s="221"/>
      <c r="AW11" s="221"/>
      <c r="AX11" s="220"/>
    </row>
    <row r="12" spans="1:50" x14ac:dyDescent="0.2">
      <c r="A12" s="226"/>
      <c r="B12" s="227"/>
      <c r="C12" s="228"/>
      <c r="D12" s="230"/>
      <c r="E12" s="229"/>
      <c r="F12" s="229"/>
      <c r="G12" s="229"/>
      <c r="H12" s="229"/>
      <c r="I12" s="229"/>
      <c r="J12" s="229"/>
      <c r="K12" s="229"/>
      <c r="L12" s="229"/>
      <c r="M12" s="229"/>
      <c r="N12" s="229"/>
      <c r="O12" s="229"/>
      <c r="P12" s="229"/>
      <c r="Q12" s="229"/>
      <c r="R12" s="228"/>
      <c r="S12" s="230"/>
      <c r="T12" s="231"/>
      <c r="U12" s="316"/>
      <c r="V12" s="227"/>
      <c r="W12" s="228"/>
      <c r="X12" s="220"/>
      <c r="Y12" s="220"/>
      <c r="Z12" s="220"/>
      <c r="AA12" s="220"/>
      <c r="AB12" s="302">
        <v>42772</v>
      </c>
      <c r="AC12" s="303">
        <v>2016</v>
      </c>
      <c r="AD12" s="303" t="s">
        <v>151</v>
      </c>
      <c r="AE12" s="303">
        <v>442</v>
      </c>
      <c r="AF12" s="220"/>
      <c r="AG12" s="220"/>
      <c r="AH12" s="220"/>
      <c r="AI12" s="220"/>
      <c r="AJ12" s="220"/>
      <c r="AK12" s="220"/>
      <c r="AL12" s="317">
        <v>42750</v>
      </c>
      <c r="AM12" s="300"/>
      <c r="AN12" s="300" t="s">
        <v>152</v>
      </c>
      <c r="AO12" s="300"/>
      <c r="AP12" s="220"/>
      <c r="AQ12" s="220"/>
      <c r="AR12" s="220"/>
      <c r="AS12" s="220"/>
      <c r="AT12" s="315"/>
      <c r="AU12" s="221"/>
      <c r="AV12" s="221"/>
      <c r="AW12" s="221"/>
      <c r="AX12" s="220"/>
    </row>
    <row r="13" spans="1:50" x14ac:dyDescent="0.2">
      <c r="A13" s="234">
        <v>57632</v>
      </c>
      <c r="B13" s="248">
        <v>2014</v>
      </c>
      <c r="C13" s="234" t="s">
        <v>31</v>
      </c>
      <c r="D13" s="235"/>
      <c r="E13" s="236">
        <v>54</v>
      </c>
      <c r="F13" s="246">
        <v>0</v>
      </c>
      <c r="G13" s="246">
        <v>31</v>
      </c>
      <c r="H13" s="246">
        <v>23</v>
      </c>
      <c r="I13" s="242" t="s">
        <v>35</v>
      </c>
      <c r="J13" s="242" t="s">
        <v>35</v>
      </c>
      <c r="K13" s="242" t="s">
        <v>35</v>
      </c>
      <c r="L13" s="242"/>
      <c r="M13" s="242"/>
      <c r="N13" s="242"/>
      <c r="O13" s="242"/>
      <c r="P13" s="242"/>
      <c r="Q13" s="242"/>
      <c r="R13" s="238">
        <f t="shared" si="0"/>
        <v>54</v>
      </c>
      <c r="S13" s="239">
        <f t="shared" ref="S13:S22" si="1">IFERROR((AVERAGE(F13:Q13)),0)</f>
        <v>18</v>
      </c>
      <c r="T13" s="240">
        <f t="shared" ref="T13:T22" si="2">IFERROR((U13/S13),0)</f>
        <v>0</v>
      </c>
      <c r="U13" s="314">
        <f t="shared" ref="U13:U20" si="3">SUM(E13-R13)</f>
        <v>0</v>
      </c>
      <c r="V13" s="248">
        <v>2014</v>
      </c>
      <c r="W13" s="234" t="s">
        <v>31</v>
      </c>
      <c r="X13" s="220"/>
      <c r="Y13" s="220"/>
      <c r="Z13" s="220"/>
      <c r="AA13" s="220"/>
      <c r="AB13" s="302">
        <v>42772</v>
      </c>
      <c r="AC13" s="303">
        <v>2016</v>
      </c>
      <c r="AD13" s="303" t="s">
        <v>153</v>
      </c>
      <c r="AE13" s="303">
        <v>2227</v>
      </c>
      <c r="AF13" s="220"/>
      <c r="AG13" s="220"/>
      <c r="AH13" s="220"/>
      <c r="AI13" s="220"/>
      <c r="AJ13" s="220"/>
      <c r="AK13" s="220"/>
      <c r="AL13" s="317">
        <v>42769</v>
      </c>
      <c r="AM13" s="300"/>
      <c r="AN13" s="300" t="s">
        <v>154</v>
      </c>
      <c r="AO13" s="300"/>
      <c r="AP13" s="220"/>
      <c r="AQ13" s="220"/>
      <c r="AR13" s="220"/>
      <c r="AS13" s="220"/>
      <c r="AT13" s="315"/>
      <c r="AU13" s="221"/>
      <c r="AV13" s="221"/>
      <c r="AW13" s="221"/>
      <c r="AX13" s="220"/>
    </row>
    <row r="14" spans="1:50" x14ac:dyDescent="0.2">
      <c r="A14" s="234">
        <v>57630</v>
      </c>
      <c r="B14" s="248">
        <v>2014</v>
      </c>
      <c r="C14" s="234" t="s">
        <v>25</v>
      </c>
      <c r="D14" s="235"/>
      <c r="E14" s="236">
        <v>257</v>
      </c>
      <c r="F14" s="246">
        <v>7</v>
      </c>
      <c r="G14" s="246">
        <v>100</v>
      </c>
      <c r="H14" s="246">
        <v>29</v>
      </c>
      <c r="I14" s="246">
        <v>39</v>
      </c>
      <c r="J14" s="246">
        <v>37</v>
      </c>
      <c r="K14" s="246">
        <v>41</v>
      </c>
      <c r="L14" s="246">
        <v>4</v>
      </c>
      <c r="M14" s="242"/>
      <c r="N14" s="242"/>
      <c r="O14" s="242"/>
      <c r="P14" s="242"/>
      <c r="Q14" s="242"/>
      <c r="R14" s="238">
        <f t="shared" si="0"/>
        <v>257</v>
      </c>
      <c r="S14" s="239">
        <f t="shared" si="1"/>
        <v>36.714285714285715</v>
      </c>
      <c r="T14" s="240">
        <f t="shared" si="2"/>
        <v>0</v>
      </c>
      <c r="U14" s="314">
        <f t="shared" si="3"/>
        <v>0</v>
      </c>
      <c r="V14" s="248">
        <v>2014</v>
      </c>
      <c r="W14" s="234" t="s">
        <v>25</v>
      </c>
      <c r="X14" s="220"/>
      <c r="Y14" s="220"/>
      <c r="Z14" s="220"/>
      <c r="AA14" s="220"/>
      <c r="AB14" s="302">
        <v>42772</v>
      </c>
      <c r="AC14" s="303">
        <v>2016</v>
      </c>
      <c r="AD14" s="303" t="s">
        <v>155</v>
      </c>
      <c r="AE14" s="303">
        <v>33</v>
      </c>
      <c r="AF14" s="220"/>
      <c r="AG14" s="220"/>
      <c r="AH14" s="220"/>
      <c r="AI14" s="220"/>
      <c r="AJ14" s="220"/>
      <c r="AK14" s="220"/>
      <c r="AL14" s="317"/>
      <c r="AM14" s="300"/>
      <c r="AN14" s="300"/>
      <c r="AO14" s="300"/>
      <c r="AP14" s="220"/>
      <c r="AQ14" s="220"/>
      <c r="AR14" s="220"/>
      <c r="AS14" s="220"/>
      <c r="AT14" s="315"/>
      <c r="AU14" s="221"/>
      <c r="AV14" s="221"/>
      <c r="AW14" s="221"/>
      <c r="AX14" s="220"/>
    </row>
    <row r="15" spans="1:50" x14ac:dyDescent="0.2">
      <c r="A15" s="234">
        <v>22382</v>
      </c>
      <c r="B15" s="248">
        <v>2014</v>
      </c>
      <c r="C15" s="234" t="s">
        <v>23</v>
      </c>
      <c r="D15" s="235"/>
      <c r="E15" s="236">
        <v>75</v>
      </c>
      <c r="F15" s="246">
        <v>42</v>
      </c>
      <c r="G15" s="246">
        <v>33</v>
      </c>
      <c r="H15" s="242" t="s">
        <v>35</v>
      </c>
      <c r="I15" s="242" t="s">
        <v>35</v>
      </c>
      <c r="J15" s="242" t="s">
        <v>35</v>
      </c>
      <c r="K15" s="242" t="s">
        <v>35</v>
      </c>
      <c r="L15" s="242"/>
      <c r="M15" s="242"/>
      <c r="N15" s="242"/>
      <c r="O15" s="242"/>
      <c r="P15" s="242"/>
      <c r="Q15" s="242"/>
      <c r="R15" s="238">
        <f t="shared" si="0"/>
        <v>75</v>
      </c>
      <c r="S15" s="239">
        <f t="shared" si="1"/>
        <v>37.5</v>
      </c>
      <c r="T15" s="240">
        <f t="shared" si="2"/>
        <v>0</v>
      </c>
      <c r="U15" s="314">
        <f t="shared" si="3"/>
        <v>0</v>
      </c>
      <c r="V15" s="248">
        <v>2014</v>
      </c>
      <c r="W15" s="234" t="s">
        <v>23</v>
      </c>
      <c r="X15" s="220"/>
      <c r="Y15" s="220"/>
      <c r="Z15" s="220"/>
      <c r="AA15" s="220"/>
      <c r="AB15" s="302">
        <v>42800</v>
      </c>
      <c r="AC15" s="303">
        <v>2016</v>
      </c>
      <c r="AD15" s="303" t="s">
        <v>156</v>
      </c>
      <c r="AE15" s="303">
        <v>518</v>
      </c>
      <c r="AF15" s="220" t="s">
        <v>157</v>
      </c>
      <c r="AG15" s="220"/>
      <c r="AH15" s="220"/>
      <c r="AI15" s="220"/>
      <c r="AJ15" s="220"/>
      <c r="AK15" s="220"/>
      <c r="AL15" s="317">
        <v>42782</v>
      </c>
      <c r="AM15" s="300"/>
      <c r="AN15" s="300" t="s">
        <v>158</v>
      </c>
      <c r="AO15" s="300"/>
      <c r="AP15" s="220"/>
      <c r="AQ15" s="220"/>
      <c r="AR15" s="220"/>
      <c r="AS15" s="220"/>
      <c r="AT15" s="315"/>
      <c r="AU15" s="221"/>
      <c r="AV15" s="221"/>
      <c r="AW15" s="221"/>
      <c r="AX15" s="220"/>
    </row>
    <row r="16" spans="1:50" x14ac:dyDescent="0.2">
      <c r="A16" s="234">
        <v>84802</v>
      </c>
      <c r="B16" s="248">
        <v>2014</v>
      </c>
      <c r="C16" s="234" t="s">
        <v>93</v>
      </c>
      <c r="D16" s="235"/>
      <c r="E16" s="236">
        <v>205</v>
      </c>
      <c r="F16" s="246">
        <v>0</v>
      </c>
      <c r="G16" s="246">
        <v>5</v>
      </c>
      <c r="H16" s="246">
        <v>17</v>
      </c>
      <c r="I16" s="246">
        <v>7</v>
      </c>
      <c r="J16" s="246">
        <v>0</v>
      </c>
      <c r="K16" s="246">
        <v>4</v>
      </c>
      <c r="L16" s="246">
        <v>8</v>
      </c>
      <c r="M16" s="246">
        <v>8</v>
      </c>
      <c r="N16" s="246">
        <v>12</v>
      </c>
      <c r="O16" s="246">
        <v>16</v>
      </c>
      <c r="P16" s="246">
        <v>22</v>
      </c>
      <c r="Q16" s="246">
        <v>51</v>
      </c>
      <c r="R16" s="238">
        <f t="shared" si="0"/>
        <v>150</v>
      </c>
      <c r="S16" s="239">
        <f t="shared" si="1"/>
        <v>12.5</v>
      </c>
      <c r="T16" s="240">
        <f t="shared" si="2"/>
        <v>4.4000000000000004</v>
      </c>
      <c r="U16" s="314">
        <f t="shared" si="3"/>
        <v>55</v>
      </c>
      <c r="V16" s="248">
        <v>2014</v>
      </c>
      <c r="W16" s="234" t="s">
        <v>93</v>
      </c>
      <c r="X16" s="220"/>
      <c r="Y16" s="220"/>
      <c r="Z16" s="220"/>
      <c r="AA16" s="220"/>
      <c r="AB16" s="302">
        <v>42800</v>
      </c>
      <c r="AC16" s="303">
        <v>2016</v>
      </c>
      <c r="AD16" s="303" t="s">
        <v>159</v>
      </c>
      <c r="AE16" s="303">
        <v>50</v>
      </c>
      <c r="AF16" s="220" t="s">
        <v>157</v>
      </c>
      <c r="AG16" s="220"/>
      <c r="AH16" s="220"/>
      <c r="AI16" s="220"/>
      <c r="AJ16" s="220"/>
      <c r="AK16" s="220"/>
      <c r="AL16" s="317">
        <v>42769</v>
      </c>
      <c r="AM16" s="300"/>
      <c r="AN16" s="300" t="s">
        <v>160</v>
      </c>
      <c r="AO16" s="300"/>
      <c r="AP16" s="220"/>
      <c r="AQ16" s="220"/>
      <c r="AR16" s="220"/>
      <c r="AS16" s="220"/>
      <c r="AT16" s="315"/>
      <c r="AU16" s="221"/>
      <c r="AV16" s="221"/>
      <c r="AW16" s="221"/>
      <c r="AX16" s="220"/>
    </row>
    <row r="17" spans="1:50" x14ac:dyDescent="0.2">
      <c r="A17" s="234">
        <v>22384</v>
      </c>
      <c r="B17" s="248">
        <v>2014</v>
      </c>
      <c r="C17" s="234" t="s">
        <v>26</v>
      </c>
      <c r="D17" s="235"/>
      <c r="E17" s="236">
        <v>196</v>
      </c>
      <c r="F17" s="246">
        <v>0</v>
      </c>
      <c r="G17" s="246">
        <v>0</v>
      </c>
      <c r="H17" s="246">
        <v>20</v>
      </c>
      <c r="I17" s="246">
        <v>0</v>
      </c>
      <c r="J17" s="246">
        <v>0</v>
      </c>
      <c r="K17" s="246">
        <v>0</v>
      </c>
      <c r="L17" s="246">
        <v>9</v>
      </c>
      <c r="M17" s="246">
        <v>0</v>
      </c>
      <c r="N17" s="246">
        <v>0</v>
      </c>
      <c r="O17" s="246">
        <v>20</v>
      </c>
      <c r="P17" s="246">
        <v>14</v>
      </c>
      <c r="Q17" s="246">
        <v>14</v>
      </c>
      <c r="R17" s="238">
        <f t="shared" si="0"/>
        <v>77</v>
      </c>
      <c r="S17" s="239">
        <f t="shared" si="1"/>
        <v>6.416666666666667</v>
      </c>
      <c r="T17" s="240">
        <f t="shared" si="2"/>
        <v>18.545454545454543</v>
      </c>
      <c r="U17" s="314">
        <f t="shared" si="3"/>
        <v>119</v>
      </c>
      <c r="V17" s="248">
        <v>2014</v>
      </c>
      <c r="W17" s="234" t="s">
        <v>26</v>
      </c>
      <c r="X17" s="220"/>
      <c r="Y17" s="220"/>
      <c r="Z17" s="220"/>
      <c r="AA17" s="220"/>
      <c r="AB17" s="302">
        <v>42800</v>
      </c>
      <c r="AC17" s="303">
        <v>2016</v>
      </c>
      <c r="AD17" s="303" t="s">
        <v>161</v>
      </c>
      <c r="AE17" s="303">
        <v>253</v>
      </c>
      <c r="AF17" s="220" t="s">
        <v>157</v>
      </c>
      <c r="AG17" s="220"/>
      <c r="AH17" s="220"/>
      <c r="AI17" s="220"/>
      <c r="AJ17" s="220"/>
      <c r="AK17" s="220"/>
      <c r="AL17" s="318">
        <v>42851</v>
      </c>
      <c r="AM17" s="300"/>
      <c r="AN17" s="300" t="s">
        <v>162</v>
      </c>
      <c r="AO17" s="300"/>
      <c r="AP17" s="220"/>
      <c r="AQ17" s="220"/>
      <c r="AR17" s="220"/>
      <c r="AS17" s="220"/>
      <c r="AT17" s="315"/>
      <c r="AU17" s="221"/>
      <c r="AV17" s="221"/>
      <c r="AW17" s="221"/>
      <c r="AX17" s="220"/>
    </row>
    <row r="18" spans="1:50" x14ac:dyDescent="0.2">
      <c r="A18" s="234">
        <v>27736</v>
      </c>
      <c r="B18" s="248">
        <v>2014</v>
      </c>
      <c r="C18" s="234" t="s">
        <v>56</v>
      </c>
      <c r="D18" s="235"/>
      <c r="E18" s="236">
        <v>179</v>
      </c>
      <c r="F18" s="246">
        <v>31</v>
      </c>
      <c r="G18" s="246">
        <v>25</v>
      </c>
      <c r="H18" s="246">
        <v>42</v>
      </c>
      <c r="I18" s="246">
        <v>74</v>
      </c>
      <c r="J18" s="246">
        <v>7</v>
      </c>
      <c r="K18" s="242" t="s">
        <v>35</v>
      </c>
      <c r="L18" s="242"/>
      <c r="M18" s="242"/>
      <c r="N18" s="242"/>
      <c r="O18" s="242"/>
      <c r="P18" s="242"/>
      <c r="Q18" s="242"/>
      <c r="R18" s="238">
        <f t="shared" si="0"/>
        <v>179</v>
      </c>
      <c r="S18" s="239">
        <f t="shared" si="1"/>
        <v>35.799999999999997</v>
      </c>
      <c r="T18" s="240">
        <f t="shared" si="2"/>
        <v>0</v>
      </c>
      <c r="U18" s="314">
        <f t="shared" si="3"/>
        <v>0</v>
      </c>
      <c r="V18" s="248">
        <v>2014</v>
      </c>
      <c r="W18" s="234" t="s">
        <v>56</v>
      </c>
      <c r="X18" s="220"/>
      <c r="Y18" s="220"/>
      <c r="Z18" s="220"/>
      <c r="AA18" s="220"/>
      <c r="AB18" s="302">
        <v>42800</v>
      </c>
      <c r="AC18" s="303">
        <v>2016</v>
      </c>
      <c r="AD18" s="303" t="s">
        <v>163</v>
      </c>
      <c r="AE18" s="303">
        <v>456</v>
      </c>
      <c r="AF18" s="220"/>
      <c r="AG18" s="220"/>
      <c r="AH18" s="220"/>
      <c r="AI18" s="220"/>
      <c r="AJ18" s="220"/>
      <c r="AK18" s="220"/>
      <c r="AL18" s="310">
        <v>42872</v>
      </c>
      <c r="AM18" s="220"/>
      <c r="AN18" s="220" t="s">
        <v>164</v>
      </c>
      <c r="AO18" s="300"/>
      <c r="AP18" s="220"/>
      <c r="AQ18" s="220"/>
      <c r="AR18" s="220"/>
      <c r="AS18" s="220"/>
      <c r="AT18" s="315"/>
      <c r="AU18" s="221"/>
      <c r="AV18" s="221"/>
      <c r="AW18" s="221"/>
      <c r="AX18" s="220"/>
    </row>
    <row r="19" spans="1:50" x14ac:dyDescent="0.2">
      <c r="A19" s="234">
        <v>28361</v>
      </c>
      <c r="B19" s="248">
        <v>2014</v>
      </c>
      <c r="C19" s="234" t="s">
        <v>24</v>
      </c>
      <c r="D19" s="235"/>
      <c r="E19" s="236">
        <v>101</v>
      </c>
      <c r="F19" s="246">
        <v>3</v>
      </c>
      <c r="G19" s="246">
        <v>0</v>
      </c>
      <c r="H19" s="246">
        <v>2</v>
      </c>
      <c r="I19" s="246">
        <v>0</v>
      </c>
      <c r="J19" s="246">
        <v>42</v>
      </c>
      <c r="K19" s="246">
        <v>20</v>
      </c>
      <c r="L19" s="246">
        <v>0</v>
      </c>
      <c r="M19" s="246">
        <v>34</v>
      </c>
      <c r="N19" s="242"/>
      <c r="O19" s="242"/>
      <c r="P19" s="242"/>
      <c r="Q19" s="242"/>
      <c r="R19" s="238">
        <f t="shared" si="0"/>
        <v>101</v>
      </c>
      <c r="S19" s="239">
        <f t="shared" si="1"/>
        <v>12.625</v>
      </c>
      <c r="T19" s="240">
        <f t="shared" si="2"/>
        <v>0</v>
      </c>
      <c r="U19" s="314">
        <f t="shared" si="3"/>
        <v>0</v>
      </c>
      <c r="V19" s="248">
        <v>2014</v>
      </c>
      <c r="W19" s="234" t="s">
        <v>24</v>
      </c>
      <c r="X19" s="220"/>
      <c r="Y19" s="220"/>
      <c r="Z19" s="220"/>
      <c r="AA19" s="220"/>
      <c r="AB19" s="302" t="s">
        <v>165</v>
      </c>
      <c r="AC19" s="303">
        <v>2016</v>
      </c>
      <c r="AD19" s="303" t="s">
        <v>166</v>
      </c>
      <c r="AE19" s="303">
        <v>147</v>
      </c>
      <c r="AF19" s="220" t="s">
        <v>167</v>
      </c>
      <c r="AG19" s="220"/>
      <c r="AH19" s="220"/>
      <c r="AI19" s="220" t="s">
        <v>168</v>
      </c>
      <c r="AJ19" s="220"/>
      <c r="AK19" s="220"/>
      <c r="AL19" s="318">
        <v>42895</v>
      </c>
      <c r="AM19" s="300"/>
      <c r="AN19" s="300" t="s">
        <v>169</v>
      </c>
      <c r="AO19" s="300"/>
      <c r="AP19" s="220"/>
      <c r="AQ19" s="220"/>
      <c r="AR19" s="220"/>
      <c r="AS19" s="220"/>
      <c r="AT19" s="315"/>
      <c r="AU19" s="221"/>
      <c r="AV19" s="221"/>
      <c r="AW19" s="221"/>
      <c r="AX19" s="220"/>
    </row>
    <row r="20" spans="1:50" x14ac:dyDescent="0.2">
      <c r="A20" s="234">
        <v>22921</v>
      </c>
      <c r="B20" s="248">
        <v>2014</v>
      </c>
      <c r="C20" s="234" t="s">
        <v>22</v>
      </c>
      <c r="D20" s="235"/>
      <c r="E20" s="236">
        <v>513</v>
      </c>
      <c r="F20" s="246">
        <v>52</v>
      </c>
      <c r="G20" s="246">
        <v>96</v>
      </c>
      <c r="H20" s="246">
        <v>52</v>
      </c>
      <c r="I20" s="246">
        <v>50</v>
      </c>
      <c r="J20" s="246">
        <v>69</v>
      </c>
      <c r="K20" s="246">
        <v>50</v>
      </c>
      <c r="L20" s="246">
        <v>62</v>
      </c>
      <c r="M20" s="246">
        <v>51</v>
      </c>
      <c r="N20" s="246">
        <v>31</v>
      </c>
      <c r="O20" s="242"/>
      <c r="P20" s="242"/>
      <c r="Q20" s="242"/>
      <c r="R20" s="238">
        <f t="shared" si="0"/>
        <v>513</v>
      </c>
      <c r="S20" s="239">
        <f t="shared" si="1"/>
        <v>57</v>
      </c>
      <c r="T20" s="240">
        <f t="shared" si="2"/>
        <v>0</v>
      </c>
      <c r="U20" s="314">
        <f t="shared" si="3"/>
        <v>0</v>
      </c>
      <c r="V20" s="248">
        <v>2014</v>
      </c>
      <c r="W20" s="234" t="s">
        <v>22</v>
      </c>
      <c r="X20" s="220"/>
      <c r="Y20" s="220"/>
      <c r="Z20" s="220"/>
      <c r="AA20" s="220"/>
      <c r="AB20" s="302">
        <v>42863</v>
      </c>
      <c r="AC20" s="303">
        <v>2016</v>
      </c>
      <c r="AD20" s="303" t="s">
        <v>170</v>
      </c>
      <c r="AE20" s="303">
        <v>521</v>
      </c>
      <c r="AF20" s="220" t="s">
        <v>171</v>
      </c>
      <c r="AG20" s="220"/>
      <c r="AH20" s="220"/>
      <c r="AI20" s="220"/>
      <c r="AJ20" s="220"/>
      <c r="AK20" s="220"/>
      <c r="AL20" s="318">
        <v>42557</v>
      </c>
      <c r="AM20" s="300"/>
      <c r="AN20" s="300" t="s">
        <v>172</v>
      </c>
      <c r="AO20" s="300"/>
      <c r="AP20" s="220"/>
      <c r="AQ20" s="220"/>
      <c r="AR20" s="220"/>
      <c r="AS20" s="220"/>
      <c r="AT20" s="315"/>
      <c r="AU20" s="221"/>
      <c r="AV20" s="221"/>
      <c r="AW20" s="221"/>
      <c r="AX20" s="220"/>
    </row>
    <row r="21" spans="1:50" x14ac:dyDescent="0.2">
      <c r="A21" s="250">
        <v>34641</v>
      </c>
      <c r="B21" s="248">
        <v>2014</v>
      </c>
      <c r="C21" s="250" t="s">
        <v>52</v>
      </c>
      <c r="D21" s="251"/>
      <c r="E21" s="252">
        <v>357</v>
      </c>
      <c r="F21" s="253">
        <v>39</v>
      </c>
      <c r="G21" s="253">
        <v>11</v>
      </c>
      <c r="H21" s="253">
        <v>42</v>
      </c>
      <c r="I21" s="253">
        <v>41</v>
      </c>
      <c r="J21" s="253">
        <v>3</v>
      </c>
      <c r="K21" s="253">
        <v>55</v>
      </c>
      <c r="L21" s="253">
        <v>35</v>
      </c>
      <c r="M21" s="253">
        <v>32</v>
      </c>
      <c r="N21" s="253">
        <v>35</v>
      </c>
      <c r="O21" s="253">
        <v>25</v>
      </c>
      <c r="P21" s="253">
        <v>39</v>
      </c>
      <c r="Q21" s="319"/>
      <c r="R21" s="238">
        <f t="shared" si="0"/>
        <v>357</v>
      </c>
      <c r="S21" s="239">
        <f t="shared" si="1"/>
        <v>32.454545454545453</v>
      </c>
      <c r="T21" s="240">
        <f t="shared" si="2"/>
        <v>0</v>
      </c>
      <c r="U21" s="307">
        <f>SUM(E21-R21)</f>
        <v>0</v>
      </c>
      <c r="V21" s="248">
        <v>2014</v>
      </c>
      <c r="W21" s="250" t="s">
        <v>52</v>
      </c>
      <c r="X21" s="220"/>
      <c r="Y21" s="220"/>
      <c r="Z21" s="220"/>
      <c r="AA21" s="220"/>
      <c r="AB21" s="302">
        <v>42863</v>
      </c>
      <c r="AC21" s="303">
        <v>2016</v>
      </c>
      <c r="AD21" s="303" t="s">
        <v>173</v>
      </c>
      <c r="AE21" s="303">
        <v>450</v>
      </c>
      <c r="AF21" s="220"/>
      <c r="AG21" s="220"/>
      <c r="AH21" s="220"/>
      <c r="AI21" s="220"/>
      <c r="AJ21" s="220"/>
      <c r="AK21" s="220"/>
      <c r="AL21" s="318">
        <v>42989</v>
      </c>
      <c r="AM21" s="300"/>
      <c r="AN21" s="300" t="s">
        <v>174</v>
      </c>
      <c r="AO21" s="300"/>
      <c r="AP21" s="220"/>
      <c r="AQ21" s="220"/>
      <c r="AR21" s="220"/>
      <c r="AS21" s="220"/>
      <c r="AT21" s="315"/>
      <c r="AU21" s="221"/>
      <c r="AV21" s="221"/>
      <c r="AW21" s="221"/>
      <c r="AX21" s="220"/>
    </row>
    <row r="22" spans="1:50" x14ac:dyDescent="0.2">
      <c r="A22" s="234">
        <v>18004</v>
      </c>
      <c r="B22" s="255">
        <v>2014</v>
      </c>
      <c r="C22" s="234" t="s">
        <v>126</v>
      </c>
      <c r="D22" s="235"/>
      <c r="E22" s="236">
        <v>82</v>
      </c>
      <c r="F22" s="246">
        <v>14</v>
      </c>
      <c r="G22" s="246">
        <v>4</v>
      </c>
      <c r="H22" s="246">
        <v>20</v>
      </c>
      <c r="I22" s="246">
        <v>12</v>
      </c>
      <c r="J22" s="246">
        <v>8</v>
      </c>
      <c r="K22" s="246">
        <v>0</v>
      </c>
      <c r="L22" s="246">
        <v>15</v>
      </c>
      <c r="M22" s="246">
        <v>9</v>
      </c>
      <c r="N22" s="242"/>
      <c r="O22" s="242"/>
      <c r="P22" s="242"/>
      <c r="Q22" s="242"/>
      <c r="R22" s="238">
        <f t="shared" si="0"/>
        <v>82</v>
      </c>
      <c r="S22" s="239">
        <f t="shared" si="1"/>
        <v>10.25</v>
      </c>
      <c r="T22" s="240">
        <f t="shared" si="2"/>
        <v>0</v>
      </c>
      <c r="U22" s="307">
        <f>SUM(E22-R22)</f>
        <v>0</v>
      </c>
      <c r="V22" s="255">
        <v>2014</v>
      </c>
      <c r="W22" s="234" t="s">
        <v>126</v>
      </c>
      <c r="X22" s="220"/>
      <c r="Y22" s="220"/>
      <c r="Z22" s="220"/>
      <c r="AA22" s="220"/>
      <c r="AB22" s="302">
        <v>42863</v>
      </c>
      <c r="AC22" s="303">
        <v>2016</v>
      </c>
      <c r="AD22" s="303" t="s">
        <v>175</v>
      </c>
      <c r="AE22" s="303">
        <v>670</v>
      </c>
      <c r="AF22" s="220"/>
      <c r="AG22" s="220"/>
      <c r="AH22" s="220"/>
      <c r="AI22" s="220"/>
      <c r="AJ22" s="220"/>
      <c r="AK22" s="220"/>
      <c r="AL22" s="318">
        <v>42989</v>
      </c>
      <c r="AM22" s="300"/>
      <c r="AN22" s="300" t="s">
        <v>176</v>
      </c>
      <c r="AO22" s="300"/>
      <c r="AP22" s="220"/>
      <c r="AQ22" s="220"/>
      <c r="AR22" s="220"/>
      <c r="AS22" s="220"/>
      <c r="AT22" s="315"/>
      <c r="AU22" s="221"/>
      <c r="AV22" s="221"/>
      <c r="AW22" s="221"/>
      <c r="AX22" s="220"/>
    </row>
    <row r="23" spans="1:50" x14ac:dyDescent="0.2">
      <c r="A23" s="234">
        <v>28381</v>
      </c>
      <c r="B23" s="255">
        <v>2014</v>
      </c>
      <c r="C23" s="234" t="s">
        <v>100</v>
      </c>
      <c r="D23" s="256"/>
      <c r="E23" s="236">
        <v>138</v>
      </c>
      <c r="F23" s="246">
        <v>0</v>
      </c>
      <c r="G23" s="246">
        <v>9</v>
      </c>
      <c r="H23" s="246">
        <v>1</v>
      </c>
      <c r="I23" s="246">
        <v>7</v>
      </c>
      <c r="J23" s="246">
        <v>9</v>
      </c>
      <c r="K23" s="246">
        <v>9</v>
      </c>
      <c r="L23" s="246">
        <v>0</v>
      </c>
      <c r="M23" s="246">
        <v>30</v>
      </c>
      <c r="N23" s="246">
        <v>5</v>
      </c>
      <c r="O23" s="246">
        <v>6</v>
      </c>
      <c r="P23" s="246">
        <v>13</v>
      </c>
      <c r="Q23" s="246">
        <v>16</v>
      </c>
      <c r="R23" s="238">
        <f t="shared" si="0"/>
        <v>105</v>
      </c>
      <c r="S23" s="239">
        <f>IFERROR((AVERAGE(F23:Q23)),0)</f>
        <v>8.75</v>
      </c>
      <c r="T23" s="240">
        <f>IFERROR((U23/S23),0)</f>
        <v>3.7714285714285714</v>
      </c>
      <c r="U23" s="307">
        <f>SUM(E23-R23)</f>
        <v>33</v>
      </c>
      <c r="V23" s="255">
        <v>2014</v>
      </c>
      <c r="W23" s="234" t="s">
        <v>100</v>
      </c>
      <c r="X23" s="220"/>
      <c r="Y23" s="220"/>
      <c r="Z23" s="220"/>
      <c r="AA23" s="220"/>
      <c r="AB23" s="302">
        <v>42870</v>
      </c>
      <c r="AC23" s="303">
        <v>2016</v>
      </c>
      <c r="AD23" s="303" t="s">
        <v>177</v>
      </c>
      <c r="AE23" s="303">
        <v>90</v>
      </c>
      <c r="AF23" s="220" t="s">
        <v>178</v>
      </c>
      <c r="AG23" s="220" t="s">
        <v>179</v>
      </c>
      <c r="AH23" s="220"/>
      <c r="AI23" s="220"/>
      <c r="AJ23" s="220"/>
      <c r="AK23" s="220"/>
      <c r="AL23" s="318">
        <v>42989</v>
      </c>
      <c r="AM23" s="300"/>
      <c r="AN23" s="300" t="s">
        <v>180</v>
      </c>
      <c r="AO23" s="300"/>
      <c r="AP23" s="220"/>
      <c r="AQ23" s="220"/>
      <c r="AR23" s="220"/>
      <c r="AS23" s="220"/>
      <c r="AT23" s="315"/>
      <c r="AU23" s="221"/>
      <c r="AV23" s="221"/>
      <c r="AW23" s="221"/>
      <c r="AX23" s="220"/>
    </row>
    <row r="24" spans="1:50" x14ac:dyDescent="0.2">
      <c r="A24" s="226"/>
      <c r="B24" s="226"/>
      <c r="C24" s="226"/>
      <c r="D24" s="226"/>
      <c r="E24" s="243"/>
      <c r="F24" s="226"/>
      <c r="G24" s="226"/>
      <c r="H24" s="226"/>
      <c r="I24" s="226"/>
      <c r="J24" s="226"/>
      <c r="K24" s="226"/>
      <c r="L24" s="226"/>
      <c r="M24" s="226"/>
      <c r="N24" s="226"/>
      <c r="O24" s="243"/>
      <c r="P24" s="243"/>
      <c r="Q24" s="243"/>
      <c r="R24" s="257"/>
      <c r="S24" s="258"/>
      <c r="T24" s="259"/>
      <c r="U24" s="320"/>
      <c r="V24" s="226"/>
      <c r="W24" s="226"/>
      <c r="X24" s="220"/>
      <c r="Y24" s="220"/>
      <c r="Z24" s="220"/>
      <c r="AA24" s="220"/>
      <c r="AB24" s="302">
        <v>42874</v>
      </c>
      <c r="AC24" s="303">
        <v>2016</v>
      </c>
      <c r="AD24" s="303" t="s">
        <v>181</v>
      </c>
      <c r="AE24" s="303">
        <v>249</v>
      </c>
      <c r="AF24" s="220" t="s">
        <v>182</v>
      </c>
      <c r="AG24" s="220"/>
      <c r="AH24" s="220"/>
      <c r="AI24" s="220"/>
      <c r="AJ24" s="220"/>
      <c r="AK24" s="220"/>
      <c r="AL24" s="318">
        <v>42989</v>
      </c>
      <c r="AM24" s="300"/>
      <c r="AN24" s="300" t="s">
        <v>183</v>
      </c>
      <c r="AO24" s="300"/>
      <c r="AP24" s="220"/>
      <c r="AQ24" s="220"/>
      <c r="AR24" s="220"/>
      <c r="AS24" s="220"/>
      <c r="AT24" s="315"/>
      <c r="AU24" s="221"/>
      <c r="AV24" s="221"/>
      <c r="AW24" s="221"/>
      <c r="AX24" s="220"/>
    </row>
    <row r="25" spans="1:50" x14ac:dyDescent="0.2">
      <c r="A25" s="234">
        <v>57632</v>
      </c>
      <c r="B25" s="255">
        <v>2015</v>
      </c>
      <c r="C25" s="234" t="s">
        <v>31</v>
      </c>
      <c r="D25" s="256"/>
      <c r="E25" s="236">
        <v>342</v>
      </c>
      <c r="F25" s="246">
        <v>19</v>
      </c>
      <c r="G25" s="246">
        <v>0</v>
      </c>
      <c r="H25" s="246">
        <v>11</v>
      </c>
      <c r="I25" s="246">
        <v>57</v>
      </c>
      <c r="J25" s="246">
        <v>59</v>
      </c>
      <c r="K25" s="246">
        <v>53</v>
      </c>
      <c r="L25" s="246">
        <v>55</v>
      </c>
      <c r="M25" s="246">
        <v>33</v>
      </c>
      <c r="N25" s="246">
        <v>49</v>
      </c>
      <c r="O25" s="242"/>
      <c r="P25" s="242"/>
      <c r="Q25" s="242"/>
      <c r="R25" s="238">
        <f t="shared" si="0"/>
        <v>336</v>
      </c>
      <c r="S25" s="239">
        <f>IFERROR((AVERAGE(F25:Q25)),0)</f>
        <v>37.333333333333336</v>
      </c>
      <c r="T25" s="240">
        <f>IFERROR((U25/S25),0)</f>
        <v>0.1607142857142857</v>
      </c>
      <c r="U25" s="307">
        <f t="shared" ref="U25:U36" si="4">SUM(E25-R25)</f>
        <v>6</v>
      </c>
      <c r="V25" s="255">
        <v>2015</v>
      </c>
      <c r="W25" s="234" t="s">
        <v>31</v>
      </c>
      <c r="X25" s="220"/>
      <c r="Y25" s="220"/>
      <c r="Z25" s="220"/>
      <c r="AA25" s="220"/>
      <c r="AB25" s="302">
        <v>42877</v>
      </c>
      <c r="AC25" s="303">
        <v>2016</v>
      </c>
      <c r="AD25" s="303" t="s">
        <v>184</v>
      </c>
      <c r="AE25" s="303">
        <v>288</v>
      </c>
      <c r="AF25" s="220"/>
      <c r="AG25" s="220"/>
      <c r="AH25" s="220"/>
      <c r="AI25" s="220"/>
      <c r="AJ25" s="220"/>
      <c r="AK25" s="220"/>
      <c r="AL25" s="318">
        <v>42989</v>
      </c>
      <c r="AM25" s="300"/>
      <c r="AN25" s="300" t="s">
        <v>185</v>
      </c>
      <c r="AO25" s="300"/>
      <c r="AP25" s="220"/>
      <c r="AQ25" s="220"/>
      <c r="AR25" s="220"/>
      <c r="AS25" s="220"/>
      <c r="AT25" s="315"/>
      <c r="AU25" s="221"/>
      <c r="AV25" s="221"/>
      <c r="AW25" s="221"/>
      <c r="AX25" s="220"/>
    </row>
    <row r="26" spans="1:50" x14ac:dyDescent="0.2">
      <c r="A26" s="234">
        <v>57630</v>
      </c>
      <c r="B26" s="255">
        <v>2015</v>
      </c>
      <c r="C26" s="234" t="s">
        <v>25</v>
      </c>
      <c r="D26" s="256"/>
      <c r="E26" s="236">
        <v>462</v>
      </c>
      <c r="F26" s="246">
        <v>20</v>
      </c>
      <c r="G26" s="246">
        <v>0</v>
      </c>
      <c r="H26" s="246">
        <v>32</v>
      </c>
      <c r="I26" s="246">
        <v>18</v>
      </c>
      <c r="J26" s="246">
        <v>15</v>
      </c>
      <c r="K26" s="246">
        <v>1</v>
      </c>
      <c r="L26" s="246">
        <v>48</v>
      </c>
      <c r="M26" s="246">
        <v>39</v>
      </c>
      <c r="N26" s="246">
        <v>40</v>
      </c>
      <c r="O26" s="246">
        <v>35</v>
      </c>
      <c r="P26" s="246">
        <v>40</v>
      </c>
      <c r="Q26" s="246">
        <v>36</v>
      </c>
      <c r="R26" s="238">
        <f t="shared" si="0"/>
        <v>324</v>
      </c>
      <c r="S26" s="239">
        <f t="shared" ref="S26:S42" si="5">IFERROR((AVERAGE(F26:Q26)),0)</f>
        <v>27</v>
      </c>
      <c r="T26" s="240">
        <f t="shared" ref="T26:T42" si="6">IFERROR((U26/S26),0)</f>
        <v>5.1111111111111107</v>
      </c>
      <c r="U26" s="307">
        <f t="shared" si="4"/>
        <v>138</v>
      </c>
      <c r="V26" s="255">
        <v>2015</v>
      </c>
      <c r="W26" s="234" t="s">
        <v>25</v>
      </c>
      <c r="X26" s="220"/>
      <c r="Y26" s="220"/>
      <c r="Z26" s="220"/>
      <c r="AA26" s="220"/>
      <c r="AB26" s="302">
        <v>42900</v>
      </c>
      <c r="AC26" s="303">
        <v>2016</v>
      </c>
      <c r="AD26" s="303" t="s">
        <v>186</v>
      </c>
      <c r="AE26" s="303">
        <v>30</v>
      </c>
      <c r="AF26" s="220"/>
      <c r="AG26" s="220"/>
      <c r="AH26" s="220"/>
      <c r="AI26" s="220"/>
      <c r="AJ26" s="220"/>
      <c r="AK26" s="220"/>
      <c r="AL26" s="318">
        <v>42989</v>
      </c>
      <c r="AM26" s="300"/>
      <c r="AN26" s="300" t="s">
        <v>187</v>
      </c>
      <c r="AO26" s="300"/>
      <c r="AP26" s="220"/>
      <c r="AQ26" s="220"/>
      <c r="AR26" s="220"/>
      <c r="AS26" s="220"/>
      <c r="AT26" s="321"/>
      <c r="AU26" s="221"/>
      <c r="AV26" s="221"/>
      <c r="AW26" s="221"/>
      <c r="AX26" s="220"/>
    </row>
    <row r="27" spans="1:50" x14ac:dyDescent="0.2">
      <c r="A27" s="234">
        <v>22382</v>
      </c>
      <c r="B27" s="255">
        <v>2015</v>
      </c>
      <c r="C27" s="234" t="s">
        <v>23</v>
      </c>
      <c r="D27" s="256"/>
      <c r="E27" s="236">
        <v>373</v>
      </c>
      <c r="F27" s="246">
        <v>0</v>
      </c>
      <c r="G27" s="246">
        <v>7</v>
      </c>
      <c r="H27" s="246">
        <v>31</v>
      </c>
      <c r="I27" s="246">
        <v>23</v>
      </c>
      <c r="J27" s="246">
        <v>67</v>
      </c>
      <c r="K27" s="246">
        <v>36</v>
      </c>
      <c r="L27" s="246">
        <v>36</v>
      </c>
      <c r="M27" s="246">
        <v>30</v>
      </c>
      <c r="N27" s="246">
        <v>0</v>
      </c>
      <c r="O27" s="246">
        <v>18</v>
      </c>
      <c r="P27" s="246">
        <v>20</v>
      </c>
      <c r="Q27" s="246">
        <v>35</v>
      </c>
      <c r="R27" s="238">
        <f t="shared" si="0"/>
        <v>303</v>
      </c>
      <c r="S27" s="239">
        <f t="shared" si="5"/>
        <v>25.25</v>
      </c>
      <c r="T27" s="240">
        <f t="shared" si="6"/>
        <v>2.7722772277227721</v>
      </c>
      <c r="U27" s="307">
        <f t="shared" si="4"/>
        <v>70</v>
      </c>
      <c r="V27" s="255">
        <v>2015</v>
      </c>
      <c r="W27" s="234" t="s">
        <v>23</v>
      </c>
      <c r="X27" s="220"/>
      <c r="Y27" s="220"/>
      <c r="Z27" s="220"/>
      <c r="AA27" s="220"/>
      <c r="AB27" s="302">
        <v>42900</v>
      </c>
      <c r="AC27" s="303">
        <v>2016</v>
      </c>
      <c r="AD27" s="303" t="s">
        <v>188</v>
      </c>
      <c r="AE27" s="303">
        <v>30</v>
      </c>
      <c r="AF27" s="220"/>
      <c r="AG27" s="220"/>
      <c r="AH27" s="220"/>
      <c r="AI27" s="220"/>
      <c r="AJ27" s="220"/>
      <c r="AK27" s="220"/>
      <c r="AL27" s="318">
        <v>42989</v>
      </c>
      <c r="AM27" s="300"/>
      <c r="AN27" s="300" t="s">
        <v>189</v>
      </c>
      <c r="AO27" s="300"/>
      <c r="AP27" s="220"/>
      <c r="AQ27" s="220"/>
      <c r="AR27" s="220"/>
      <c r="AS27" s="220"/>
      <c r="AT27" s="315"/>
      <c r="AU27" s="221"/>
      <c r="AV27" s="221"/>
      <c r="AW27" s="221"/>
      <c r="AX27" s="220"/>
    </row>
    <row r="28" spans="1:50" x14ac:dyDescent="0.2">
      <c r="A28" s="234">
        <v>84802</v>
      </c>
      <c r="B28" s="255">
        <v>2015</v>
      </c>
      <c r="C28" s="234" t="s">
        <v>93</v>
      </c>
      <c r="D28" s="256"/>
      <c r="E28" s="236">
        <v>224</v>
      </c>
      <c r="F28" s="246">
        <v>6</v>
      </c>
      <c r="G28" s="246">
        <v>0</v>
      </c>
      <c r="H28" s="246">
        <v>0</v>
      </c>
      <c r="I28" s="246">
        <v>0</v>
      </c>
      <c r="J28" s="246">
        <v>0</v>
      </c>
      <c r="K28" s="246">
        <v>2</v>
      </c>
      <c r="L28" s="246">
        <v>5</v>
      </c>
      <c r="M28" s="246">
        <v>0</v>
      </c>
      <c r="N28" s="246">
        <v>0</v>
      </c>
      <c r="O28" s="246">
        <v>1</v>
      </c>
      <c r="P28" s="246">
        <v>0</v>
      </c>
      <c r="Q28" s="246">
        <v>0</v>
      </c>
      <c r="R28" s="238">
        <f t="shared" si="0"/>
        <v>14</v>
      </c>
      <c r="S28" s="239">
        <f t="shared" si="5"/>
        <v>1.1666666666666667</v>
      </c>
      <c r="T28" s="240">
        <f t="shared" si="6"/>
        <v>180</v>
      </c>
      <c r="U28" s="307">
        <f t="shared" si="4"/>
        <v>210</v>
      </c>
      <c r="V28" s="255">
        <v>2015</v>
      </c>
      <c r="W28" s="234" t="s">
        <v>93</v>
      </c>
      <c r="X28" s="220"/>
      <c r="Y28" s="220"/>
      <c r="Z28" s="220"/>
      <c r="AA28" s="220"/>
      <c r="AB28" s="302">
        <v>42900</v>
      </c>
      <c r="AC28" s="303">
        <v>2016</v>
      </c>
      <c r="AD28" s="303" t="s">
        <v>190</v>
      </c>
      <c r="AE28" s="303">
        <v>659</v>
      </c>
      <c r="AF28" s="220"/>
      <c r="AG28" s="220"/>
      <c r="AH28" s="220"/>
      <c r="AI28" s="220"/>
      <c r="AJ28" s="220"/>
      <c r="AK28" s="220"/>
      <c r="AL28" s="318">
        <v>42989</v>
      </c>
      <c r="AM28" s="300"/>
      <c r="AN28" s="300" t="s">
        <v>191</v>
      </c>
      <c r="AO28" s="300"/>
      <c r="AP28" s="220"/>
      <c r="AQ28" s="220"/>
      <c r="AR28" s="220"/>
      <c r="AS28" s="220"/>
      <c r="AT28" s="315"/>
      <c r="AU28" s="221"/>
      <c r="AV28" s="221"/>
      <c r="AW28" s="221"/>
      <c r="AX28" s="220"/>
    </row>
    <row r="29" spans="1:50" x14ac:dyDescent="0.2">
      <c r="A29" s="234">
        <v>22384</v>
      </c>
      <c r="B29" s="255">
        <v>2015</v>
      </c>
      <c r="C29" s="234" t="s">
        <v>26</v>
      </c>
      <c r="D29" s="256"/>
      <c r="E29" s="236">
        <v>0</v>
      </c>
      <c r="F29" s="237" t="s">
        <v>35</v>
      </c>
      <c r="G29" s="237" t="s">
        <v>35</v>
      </c>
      <c r="H29" s="237" t="s">
        <v>35</v>
      </c>
      <c r="I29" s="237" t="s">
        <v>35</v>
      </c>
      <c r="J29" s="237" t="s">
        <v>35</v>
      </c>
      <c r="K29" s="237" t="s">
        <v>35</v>
      </c>
      <c r="L29" s="237"/>
      <c r="M29" s="237"/>
      <c r="N29" s="237"/>
      <c r="O29" s="237"/>
      <c r="P29" s="237"/>
      <c r="Q29" s="237"/>
      <c r="R29" s="238">
        <f t="shared" si="0"/>
        <v>0</v>
      </c>
      <c r="S29" s="239">
        <f t="shared" si="5"/>
        <v>0</v>
      </c>
      <c r="T29" s="240">
        <f t="shared" si="6"/>
        <v>0</v>
      </c>
      <c r="U29" s="307">
        <f t="shared" si="4"/>
        <v>0</v>
      </c>
      <c r="V29" s="255">
        <v>2015</v>
      </c>
      <c r="W29" s="234" t="s">
        <v>26</v>
      </c>
      <c r="X29" s="220"/>
      <c r="Y29" s="220"/>
      <c r="Z29" s="220"/>
      <c r="AA29" s="220"/>
      <c r="AB29" s="302">
        <v>42900</v>
      </c>
      <c r="AC29" s="303">
        <v>2016</v>
      </c>
      <c r="AD29" s="303" t="s">
        <v>192</v>
      </c>
      <c r="AE29" s="303">
        <v>594</v>
      </c>
      <c r="AF29" s="220"/>
      <c r="AG29" s="220"/>
      <c r="AH29" s="220"/>
      <c r="AI29" s="220"/>
      <c r="AJ29" s="220"/>
      <c r="AK29" s="220"/>
      <c r="AL29" s="318">
        <v>43125</v>
      </c>
      <c r="AM29" s="300"/>
      <c r="AN29" s="300" t="s">
        <v>193</v>
      </c>
      <c r="AO29" s="300"/>
      <c r="AP29" s="220"/>
      <c r="AQ29" s="220"/>
      <c r="AR29" s="220"/>
      <c r="AS29" s="220"/>
      <c r="AT29" s="315"/>
      <c r="AU29" s="221"/>
      <c r="AV29" s="221"/>
      <c r="AW29" s="221"/>
      <c r="AX29" s="220"/>
    </row>
    <row r="30" spans="1:50" x14ac:dyDescent="0.2">
      <c r="A30" s="234">
        <v>27736</v>
      </c>
      <c r="B30" s="255">
        <v>2015</v>
      </c>
      <c r="C30" s="234" t="s">
        <v>56</v>
      </c>
      <c r="D30" s="256"/>
      <c r="E30" s="236">
        <v>309</v>
      </c>
      <c r="F30" s="246">
        <v>0</v>
      </c>
      <c r="G30" s="246">
        <v>0</v>
      </c>
      <c r="H30" s="246">
        <v>15</v>
      </c>
      <c r="I30" s="246">
        <v>2</v>
      </c>
      <c r="J30" s="246">
        <v>41</v>
      </c>
      <c r="K30" s="246">
        <v>24</v>
      </c>
      <c r="L30" s="246">
        <v>26</v>
      </c>
      <c r="M30" s="246">
        <v>26</v>
      </c>
      <c r="N30" s="246">
        <v>39</v>
      </c>
      <c r="O30" s="246">
        <v>29</v>
      </c>
      <c r="P30" s="246">
        <v>39</v>
      </c>
      <c r="Q30" s="246">
        <v>41</v>
      </c>
      <c r="R30" s="238">
        <f t="shared" si="0"/>
        <v>282</v>
      </c>
      <c r="S30" s="239">
        <f t="shared" si="5"/>
        <v>23.5</v>
      </c>
      <c r="T30" s="240">
        <f t="shared" si="6"/>
        <v>1.1489361702127661</v>
      </c>
      <c r="U30" s="307">
        <f t="shared" si="4"/>
        <v>27</v>
      </c>
      <c r="V30" s="255">
        <v>2015</v>
      </c>
      <c r="W30" s="234" t="s">
        <v>56</v>
      </c>
      <c r="X30" s="220"/>
      <c r="Y30" s="220"/>
      <c r="Z30" s="220"/>
      <c r="AA30" s="220"/>
      <c r="AB30" s="302">
        <v>42927</v>
      </c>
      <c r="AC30" s="303">
        <v>2016</v>
      </c>
      <c r="AD30" s="303" t="s">
        <v>194</v>
      </c>
      <c r="AE30" s="303">
        <v>663</v>
      </c>
      <c r="AF30" s="220" t="s">
        <v>157</v>
      </c>
      <c r="AG30" s="220"/>
      <c r="AH30" s="220"/>
      <c r="AI30" s="220"/>
      <c r="AJ30" s="220"/>
      <c r="AK30" s="220"/>
      <c r="AL30" s="300"/>
      <c r="AM30" s="300"/>
      <c r="AN30" s="300"/>
      <c r="AO30" s="300"/>
      <c r="AP30" s="220"/>
      <c r="AQ30" s="220"/>
      <c r="AR30" s="220"/>
      <c r="AS30" s="220"/>
      <c r="AT30" s="315"/>
      <c r="AU30" s="221"/>
      <c r="AV30" s="221"/>
      <c r="AW30" s="221"/>
      <c r="AX30" s="220"/>
    </row>
    <row r="31" spans="1:50" x14ac:dyDescent="0.2">
      <c r="A31" s="234">
        <v>28361</v>
      </c>
      <c r="B31" s="255">
        <v>2015</v>
      </c>
      <c r="C31" s="234" t="s">
        <v>24</v>
      </c>
      <c r="D31" s="256"/>
      <c r="E31" s="236">
        <v>115</v>
      </c>
      <c r="F31" s="246">
        <v>0</v>
      </c>
      <c r="G31" s="246">
        <v>0</v>
      </c>
      <c r="H31" s="246">
        <v>3</v>
      </c>
      <c r="I31" s="246">
        <v>0</v>
      </c>
      <c r="J31" s="246">
        <v>0</v>
      </c>
      <c r="K31" s="246">
        <v>0</v>
      </c>
      <c r="L31" s="246">
        <v>43</v>
      </c>
      <c r="M31" s="246">
        <v>11</v>
      </c>
      <c r="N31" s="246">
        <v>25</v>
      </c>
      <c r="O31" s="246">
        <v>18</v>
      </c>
      <c r="P31" s="246">
        <v>15</v>
      </c>
      <c r="Q31" s="242"/>
      <c r="R31" s="238">
        <f t="shared" si="0"/>
        <v>115</v>
      </c>
      <c r="S31" s="239">
        <f t="shared" si="5"/>
        <v>10.454545454545455</v>
      </c>
      <c r="T31" s="240">
        <f t="shared" si="6"/>
        <v>0</v>
      </c>
      <c r="U31" s="307">
        <f t="shared" si="4"/>
        <v>0</v>
      </c>
      <c r="V31" s="255">
        <v>2015</v>
      </c>
      <c r="W31" s="234" t="s">
        <v>24</v>
      </c>
      <c r="X31" s="220"/>
      <c r="Y31" s="220"/>
      <c r="Z31" s="220"/>
      <c r="AA31" s="220"/>
      <c r="AB31" s="302">
        <v>42927</v>
      </c>
      <c r="AC31" s="303">
        <v>2016</v>
      </c>
      <c r="AD31" s="303" t="s">
        <v>195</v>
      </c>
      <c r="AE31" s="303">
        <v>733</v>
      </c>
      <c r="AF31" s="220" t="s">
        <v>157</v>
      </c>
      <c r="AG31" s="220"/>
      <c r="AH31" s="220"/>
      <c r="AI31" s="220"/>
      <c r="AJ31" s="220"/>
      <c r="AK31" s="220"/>
      <c r="AL31" s="300"/>
      <c r="AM31" s="300"/>
      <c r="AN31" s="300"/>
      <c r="AO31" s="300"/>
      <c r="AP31" s="220"/>
      <c r="AQ31" s="220"/>
      <c r="AR31" s="220"/>
      <c r="AS31" s="220"/>
      <c r="AT31" s="315"/>
      <c r="AU31" s="221"/>
      <c r="AV31" s="221"/>
      <c r="AW31" s="221"/>
      <c r="AX31" s="220"/>
    </row>
    <row r="32" spans="1:50" x14ac:dyDescent="0.2">
      <c r="A32" s="234">
        <v>22921</v>
      </c>
      <c r="B32" s="255">
        <v>2015</v>
      </c>
      <c r="C32" s="234" t="s">
        <v>196</v>
      </c>
      <c r="D32" s="256"/>
      <c r="E32" s="236">
        <v>560</v>
      </c>
      <c r="F32" s="246">
        <v>13</v>
      </c>
      <c r="G32" s="246">
        <v>0</v>
      </c>
      <c r="H32" s="246">
        <v>33</v>
      </c>
      <c r="I32" s="246">
        <v>4</v>
      </c>
      <c r="J32" s="246">
        <v>1</v>
      </c>
      <c r="K32" s="246">
        <v>2</v>
      </c>
      <c r="L32" s="246">
        <v>0</v>
      </c>
      <c r="M32" s="246">
        <v>2</v>
      </c>
      <c r="N32" s="246">
        <v>41</v>
      </c>
      <c r="O32" s="246">
        <v>61</v>
      </c>
      <c r="P32" s="246">
        <v>66</v>
      </c>
      <c r="Q32" s="246">
        <v>73</v>
      </c>
      <c r="R32" s="238">
        <f t="shared" si="0"/>
        <v>296</v>
      </c>
      <c r="S32" s="239">
        <f t="shared" si="5"/>
        <v>24.666666666666668</v>
      </c>
      <c r="T32" s="240">
        <f t="shared" si="6"/>
        <v>10.702702702702702</v>
      </c>
      <c r="U32" s="307">
        <f t="shared" si="4"/>
        <v>264</v>
      </c>
      <c r="V32" s="255">
        <v>2015</v>
      </c>
      <c r="W32" s="234" t="s">
        <v>22</v>
      </c>
      <c r="X32" s="220"/>
      <c r="Y32" s="220"/>
      <c r="Z32" s="220"/>
      <c r="AA32" s="220"/>
      <c r="AB32" s="302">
        <v>42927</v>
      </c>
      <c r="AC32" s="303">
        <v>2016</v>
      </c>
      <c r="AD32" s="303" t="s">
        <v>197</v>
      </c>
      <c r="AE32" s="303">
        <v>30</v>
      </c>
      <c r="AF32" s="220" t="s">
        <v>178</v>
      </c>
      <c r="AG32" s="220"/>
      <c r="AH32" s="220"/>
      <c r="AI32" s="220"/>
      <c r="AJ32" s="220"/>
      <c r="AK32" s="220"/>
      <c r="AL32" s="300"/>
      <c r="AM32" s="300"/>
      <c r="AN32" s="300"/>
      <c r="AO32" s="300"/>
      <c r="AP32" s="220"/>
      <c r="AQ32" s="220"/>
      <c r="AR32" s="220"/>
      <c r="AS32" s="220"/>
      <c r="AT32" s="315"/>
      <c r="AU32" s="221"/>
      <c r="AV32" s="221"/>
      <c r="AW32" s="221"/>
      <c r="AX32" s="220"/>
    </row>
    <row r="33" spans="1:50" x14ac:dyDescent="0.2">
      <c r="A33" s="250">
        <v>34641</v>
      </c>
      <c r="B33" s="255">
        <v>2015</v>
      </c>
      <c r="C33" s="250" t="s">
        <v>52</v>
      </c>
      <c r="D33" s="256"/>
      <c r="E33" s="236">
        <v>269</v>
      </c>
      <c r="F33" s="246">
        <v>0</v>
      </c>
      <c r="G33" s="246">
        <v>0</v>
      </c>
      <c r="H33" s="246">
        <v>0</v>
      </c>
      <c r="I33" s="246">
        <v>3</v>
      </c>
      <c r="J33" s="246">
        <v>10</v>
      </c>
      <c r="K33" s="246">
        <v>0</v>
      </c>
      <c r="L33" s="246">
        <v>46</v>
      </c>
      <c r="M33" s="246">
        <v>0</v>
      </c>
      <c r="N33" s="246">
        <v>0</v>
      </c>
      <c r="O33" s="246">
        <v>0</v>
      </c>
      <c r="P33" s="246">
        <v>0</v>
      </c>
      <c r="Q33" s="246">
        <v>0</v>
      </c>
      <c r="R33" s="238">
        <f t="shared" si="0"/>
        <v>59</v>
      </c>
      <c r="S33" s="239">
        <f t="shared" si="5"/>
        <v>4.916666666666667</v>
      </c>
      <c r="T33" s="240">
        <f t="shared" si="6"/>
        <v>42.711864406779661</v>
      </c>
      <c r="U33" s="307">
        <f t="shared" si="4"/>
        <v>210</v>
      </c>
      <c r="V33" s="255">
        <v>2015</v>
      </c>
      <c r="W33" s="250" t="s">
        <v>52</v>
      </c>
      <c r="X33" s="220"/>
      <c r="Y33" s="220"/>
      <c r="Z33" s="220"/>
      <c r="AA33" s="220"/>
      <c r="AB33" s="302">
        <v>42927</v>
      </c>
      <c r="AC33" s="303">
        <v>2016</v>
      </c>
      <c r="AD33" s="303" t="s">
        <v>198</v>
      </c>
      <c r="AE33" s="303">
        <v>310</v>
      </c>
      <c r="AF33" s="220" t="s">
        <v>157</v>
      </c>
      <c r="AG33" s="220"/>
      <c r="AH33" s="220"/>
      <c r="AI33" s="220"/>
      <c r="AJ33" s="220"/>
      <c r="AK33" s="220"/>
      <c r="AL33" s="300"/>
      <c r="AM33" s="300"/>
      <c r="AN33" s="300"/>
      <c r="AO33" s="300"/>
      <c r="AP33" s="220"/>
      <c r="AQ33" s="220"/>
      <c r="AR33" s="220"/>
      <c r="AS33" s="220"/>
      <c r="AT33" s="315"/>
      <c r="AU33" s="221"/>
      <c r="AV33" s="221"/>
      <c r="AW33" s="221"/>
      <c r="AX33" s="220"/>
    </row>
    <row r="34" spans="1:50" x14ac:dyDescent="0.2">
      <c r="A34" s="234">
        <v>18004</v>
      </c>
      <c r="B34" s="255">
        <v>2015</v>
      </c>
      <c r="C34" s="234" t="s">
        <v>29</v>
      </c>
      <c r="D34" s="256"/>
      <c r="E34" s="236">
        <v>220</v>
      </c>
      <c r="F34" s="246">
        <v>0</v>
      </c>
      <c r="G34" s="246">
        <v>0</v>
      </c>
      <c r="H34" s="246">
        <v>0</v>
      </c>
      <c r="I34" s="246">
        <v>0</v>
      </c>
      <c r="J34" s="246">
        <v>0</v>
      </c>
      <c r="K34" s="246">
        <v>0</v>
      </c>
      <c r="L34" s="246">
        <v>0</v>
      </c>
      <c r="M34" s="246">
        <v>0</v>
      </c>
      <c r="N34" s="246">
        <v>0</v>
      </c>
      <c r="O34" s="246">
        <v>20</v>
      </c>
      <c r="P34" s="246">
        <v>0</v>
      </c>
      <c r="Q34" s="246">
        <v>5</v>
      </c>
      <c r="R34" s="238">
        <f t="shared" si="0"/>
        <v>25</v>
      </c>
      <c r="S34" s="239">
        <f t="shared" si="5"/>
        <v>2.0833333333333335</v>
      </c>
      <c r="T34" s="240">
        <f t="shared" si="6"/>
        <v>93.6</v>
      </c>
      <c r="U34" s="307">
        <f t="shared" si="4"/>
        <v>195</v>
      </c>
      <c r="V34" s="255">
        <v>2015</v>
      </c>
      <c r="W34" s="234" t="s">
        <v>29</v>
      </c>
      <c r="X34" s="220"/>
      <c r="Y34" s="220"/>
      <c r="Z34" s="220"/>
      <c r="AA34" s="220"/>
      <c r="AB34" s="302">
        <v>42927</v>
      </c>
      <c r="AC34" s="303">
        <v>2016</v>
      </c>
      <c r="AD34" s="303" t="s">
        <v>199</v>
      </c>
      <c r="AE34" s="303">
        <v>141</v>
      </c>
      <c r="AF34" s="220" t="s">
        <v>178</v>
      </c>
      <c r="AG34" s="220"/>
      <c r="AH34" s="220"/>
      <c r="AI34" s="220"/>
      <c r="AJ34" s="220"/>
      <c r="AK34" s="220"/>
      <c r="AL34" s="300"/>
      <c r="AM34" s="300"/>
      <c r="AN34" s="300"/>
      <c r="AO34" s="300"/>
      <c r="AP34" s="220"/>
      <c r="AQ34" s="220"/>
      <c r="AR34" s="220"/>
      <c r="AS34" s="220"/>
      <c r="AT34" s="315"/>
      <c r="AU34" s="221"/>
      <c r="AV34" s="221"/>
      <c r="AW34" s="221"/>
      <c r="AX34" s="220"/>
    </row>
    <row r="35" spans="1:50" x14ac:dyDescent="0.2">
      <c r="A35" s="234">
        <v>86051</v>
      </c>
      <c r="B35" s="255">
        <v>2015</v>
      </c>
      <c r="C35" s="234" t="s">
        <v>94</v>
      </c>
      <c r="D35" s="256"/>
      <c r="E35" s="236">
        <v>392</v>
      </c>
      <c r="F35" s="246">
        <v>6</v>
      </c>
      <c r="G35" s="246">
        <v>13</v>
      </c>
      <c r="H35" s="246">
        <v>22</v>
      </c>
      <c r="I35" s="246">
        <v>16</v>
      </c>
      <c r="J35" s="246">
        <v>79</v>
      </c>
      <c r="K35" s="246">
        <v>0</v>
      </c>
      <c r="L35" s="246">
        <v>0</v>
      </c>
      <c r="M35" s="246">
        <v>21</v>
      </c>
      <c r="N35" s="246">
        <v>27</v>
      </c>
      <c r="O35" s="246">
        <v>18</v>
      </c>
      <c r="P35" s="246">
        <v>28</v>
      </c>
      <c r="Q35" s="246">
        <v>36</v>
      </c>
      <c r="R35" s="238">
        <f t="shared" si="0"/>
        <v>266</v>
      </c>
      <c r="S35" s="239">
        <f t="shared" si="5"/>
        <v>22.166666666666668</v>
      </c>
      <c r="T35" s="240">
        <f t="shared" si="6"/>
        <v>5.6842105263157894</v>
      </c>
      <c r="U35" s="307">
        <f t="shared" si="4"/>
        <v>126</v>
      </c>
      <c r="V35" s="255">
        <v>2015</v>
      </c>
      <c r="W35" s="234" t="s">
        <v>94</v>
      </c>
      <c r="X35" s="220"/>
      <c r="Y35" s="220"/>
      <c r="Z35" s="220"/>
      <c r="AA35" s="220"/>
      <c r="AB35" s="302">
        <v>42928</v>
      </c>
      <c r="AC35" s="303">
        <v>2016</v>
      </c>
      <c r="AD35" s="303" t="s">
        <v>200</v>
      </c>
      <c r="AE35" s="303">
        <v>307</v>
      </c>
      <c r="AF35" s="220"/>
      <c r="AG35" s="220"/>
      <c r="AH35" s="220"/>
      <c r="AI35" s="220"/>
      <c r="AJ35" s="220"/>
      <c r="AK35" s="220"/>
      <c r="AL35" s="300"/>
      <c r="AM35" s="300"/>
      <c r="AN35" s="300"/>
      <c r="AO35" s="300"/>
      <c r="AP35" s="220"/>
      <c r="AQ35" s="220"/>
      <c r="AR35" s="220"/>
      <c r="AS35" s="220"/>
      <c r="AT35" s="315"/>
      <c r="AU35" s="221"/>
      <c r="AV35" s="221"/>
      <c r="AW35" s="221"/>
      <c r="AX35" s="220"/>
    </row>
    <row r="36" spans="1:50" x14ac:dyDescent="0.2">
      <c r="A36" s="234">
        <v>28381</v>
      </c>
      <c r="B36" s="255">
        <v>2015</v>
      </c>
      <c r="C36" s="234" t="s">
        <v>100</v>
      </c>
      <c r="D36" s="256"/>
      <c r="E36" s="236">
        <v>0</v>
      </c>
      <c r="F36" s="236" t="s">
        <v>35</v>
      </c>
      <c r="G36" s="236" t="s">
        <v>35</v>
      </c>
      <c r="H36" s="236" t="s">
        <v>35</v>
      </c>
      <c r="I36" s="236" t="s">
        <v>35</v>
      </c>
      <c r="J36" s="236" t="s">
        <v>35</v>
      </c>
      <c r="K36" s="236" t="s">
        <v>35</v>
      </c>
      <c r="L36" s="236"/>
      <c r="M36" s="236"/>
      <c r="N36" s="236"/>
      <c r="O36" s="236"/>
      <c r="P36" s="236"/>
      <c r="Q36" s="236"/>
      <c r="R36" s="238">
        <f t="shared" si="0"/>
        <v>0</v>
      </c>
      <c r="S36" s="239">
        <f t="shared" si="5"/>
        <v>0</v>
      </c>
      <c r="T36" s="240">
        <f t="shared" si="6"/>
        <v>0</v>
      </c>
      <c r="U36" s="307">
        <f t="shared" si="4"/>
        <v>0</v>
      </c>
      <c r="V36" s="255">
        <v>2015</v>
      </c>
      <c r="W36" s="234" t="s">
        <v>100</v>
      </c>
      <c r="X36" s="220"/>
      <c r="Y36" s="220"/>
      <c r="Z36" s="220"/>
      <c r="AA36" s="220"/>
      <c r="AB36" s="302">
        <v>42928</v>
      </c>
      <c r="AC36" s="303">
        <v>2016</v>
      </c>
      <c r="AD36" s="303" t="s">
        <v>201</v>
      </c>
      <c r="AE36" s="303">
        <v>149</v>
      </c>
      <c r="AF36" s="220" t="s">
        <v>35</v>
      </c>
      <c r="AG36" s="220"/>
      <c r="AH36" s="220"/>
      <c r="AI36" s="220"/>
      <c r="AJ36" s="220"/>
      <c r="AK36" s="220"/>
      <c r="AL36" s="300"/>
      <c r="AM36" s="300"/>
      <c r="AN36" s="300"/>
      <c r="AO36" s="300"/>
      <c r="AP36" s="220"/>
      <c r="AQ36" s="220"/>
      <c r="AR36" s="220"/>
      <c r="AS36" s="220"/>
      <c r="AT36" s="315"/>
      <c r="AU36" s="221"/>
      <c r="AV36" s="221"/>
      <c r="AW36" s="221"/>
      <c r="AX36" s="220"/>
    </row>
    <row r="37" spans="1:50" x14ac:dyDescent="0.2">
      <c r="A37" s="226"/>
      <c r="B37" s="226"/>
      <c r="C37" s="226"/>
      <c r="D37" s="226"/>
      <c r="E37" s="226"/>
      <c r="F37" s="226"/>
      <c r="G37" s="226"/>
      <c r="H37" s="226"/>
      <c r="I37" s="226"/>
      <c r="J37" s="226"/>
      <c r="K37" s="226"/>
      <c r="L37" s="226"/>
      <c r="M37" s="226"/>
      <c r="N37" s="226"/>
      <c r="O37" s="243"/>
      <c r="P37" s="243"/>
      <c r="Q37" s="226"/>
      <c r="R37" s="226"/>
      <c r="S37" s="226"/>
      <c r="T37" s="226"/>
      <c r="U37" s="243"/>
      <c r="V37" s="226"/>
      <c r="W37" s="226"/>
      <c r="X37" s="220"/>
      <c r="Y37" s="220"/>
      <c r="Z37" s="220"/>
      <c r="AA37" s="220"/>
      <c r="AB37" s="302">
        <v>42928</v>
      </c>
      <c r="AC37" s="303">
        <v>2016</v>
      </c>
      <c r="AD37" s="303" t="s">
        <v>202</v>
      </c>
      <c r="AE37" s="303">
        <v>58</v>
      </c>
      <c r="AF37" s="220" t="s">
        <v>157</v>
      </c>
      <c r="AG37" s="220"/>
      <c r="AH37" s="220"/>
      <c r="AI37" s="220"/>
      <c r="AJ37" s="220"/>
      <c r="AK37" s="220"/>
      <c r="AL37" s="300"/>
      <c r="AM37" s="300"/>
      <c r="AN37" s="300"/>
      <c r="AO37" s="300"/>
      <c r="AP37" s="220"/>
      <c r="AQ37" s="220"/>
      <c r="AR37" s="220"/>
      <c r="AS37" s="220"/>
      <c r="AT37" s="315"/>
      <c r="AU37" s="221"/>
      <c r="AV37" s="221"/>
      <c r="AW37" s="221"/>
      <c r="AX37" s="220"/>
    </row>
    <row r="38" spans="1:50" x14ac:dyDescent="0.2">
      <c r="A38" s="234">
        <v>111575</v>
      </c>
      <c r="B38" s="233">
        <v>2016</v>
      </c>
      <c r="C38" s="234" t="s">
        <v>159</v>
      </c>
      <c r="D38" s="322" t="s">
        <v>35</v>
      </c>
      <c r="E38" s="323">
        <v>50</v>
      </c>
      <c r="F38" s="324" t="s">
        <v>35</v>
      </c>
      <c r="G38" s="324" t="s">
        <v>35</v>
      </c>
      <c r="H38" s="324" t="s">
        <v>35</v>
      </c>
      <c r="I38" s="324" t="s">
        <v>35</v>
      </c>
      <c r="J38" s="325">
        <v>31</v>
      </c>
      <c r="K38" s="325">
        <v>10</v>
      </c>
      <c r="L38" s="325">
        <v>9</v>
      </c>
      <c r="M38" s="326"/>
      <c r="N38" s="326"/>
      <c r="O38" s="326"/>
      <c r="P38" s="326"/>
      <c r="Q38" s="326"/>
      <c r="R38" s="238">
        <f t="shared" si="0"/>
        <v>50</v>
      </c>
      <c r="S38" s="239">
        <f t="shared" si="5"/>
        <v>16.666666666666668</v>
      </c>
      <c r="T38" s="240">
        <f t="shared" si="6"/>
        <v>0</v>
      </c>
      <c r="U38" s="307">
        <f>SUM(E38-R38)</f>
        <v>0</v>
      </c>
      <c r="V38" s="233">
        <v>2016</v>
      </c>
      <c r="W38" s="234" t="s">
        <v>159</v>
      </c>
      <c r="X38" s="220"/>
      <c r="Y38" s="220"/>
      <c r="Z38" s="220"/>
      <c r="AA38" s="220"/>
      <c r="AB38" s="302">
        <v>42977</v>
      </c>
      <c r="AC38" s="303">
        <v>2016</v>
      </c>
      <c r="AD38" s="303" t="s">
        <v>203</v>
      </c>
      <c r="AE38" s="303">
        <v>400</v>
      </c>
      <c r="AF38" s="220" t="s">
        <v>204</v>
      </c>
      <c r="AG38" s="220"/>
      <c r="AH38" s="220"/>
      <c r="AI38" s="220"/>
      <c r="AJ38" s="220"/>
      <c r="AK38" s="220"/>
      <c r="AL38" s="220"/>
      <c r="AM38" s="220"/>
      <c r="AN38" s="220"/>
      <c r="AO38" s="220"/>
      <c r="AP38" s="220"/>
      <c r="AQ38" s="220"/>
      <c r="AR38" s="220"/>
      <c r="AS38" s="220"/>
      <c r="AT38" s="315"/>
      <c r="AU38" s="221"/>
      <c r="AV38" s="221"/>
      <c r="AW38" s="221"/>
      <c r="AX38" s="220"/>
    </row>
    <row r="39" spans="1:50" x14ac:dyDescent="0.2">
      <c r="A39" s="234">
        <v>111574</v>
      </c>
      <c r="B39" s="233">
        <v>2016</v>
      </c>
      <c r="C39" s="234" t="s">
        <v>205</v>
      </c>
      <c r="D39" s="322"/>
      <c r="E39" s="323">
        <v>518</v>
      </c>
      <c r="F39" s="324" t="s">
        <v>35</v>
      </c>
      <c r="G39" s="324" t="s">
        <v>35</v>
      </c>
      <c r="H39" s="324" t="s">
        <v>35</v>
      </c>
      <c r="I39" s="325">
        <v>55</v>
      </c>
      <c r="J39" s="325">
        <v>35</v>
      </c>
      <c r="K39" s="325">
        <v>31</v>
      </c>
      <c r="L39" s="325">
        <v>28</v>
      </c>
      <c r="M39" s="325">
        <v>34</v>
      </c>
      <c r="N39" s="325">
        <v>27</v>
      </c>
      <c r="O39" s="325">
        <v>24</v>
      </c>
      <c r="P39" s="325">
        <v>33</v>
      </c>
      <c r="Q39" s="325">
        <v>55</v>
      </c>
      <c r="R39" s="238">
        <f t="shared" si="0"/>
        <v>322</v>
      </c>
      <c r="S39" s="239">
        <f t="shared" si="5"/>
        <v>35.777777777777779</v>
      </c>
      <c r="T39" s="240">
        <f t="shared" si="6"/>
        <v>5.4782608695652169</v>
      </c>
      <c r="U39" s="307">
        <f>SUM(E39-R39)</f>
        <v>196</v>
      </c>
      <c r="V39" s="233">
        <v>2016</v>
      </c>
      <c r="W39" s="234" t="s">
        <v>205</v>
      </c>
      <c r="X39" s="220"/>
      <c r="Y39" s="220"/>
      <c r="Z39" s="220"/>
      <c r="AA39" s="220"/>
      <c r="AB39" s="302">
        <v>42977</v>
      </c>
      <c r="AC39" s="303">
        <v>2016</v>
      </c>
      <c r="AD39" s="303" t="s">
        <v>206</v>
      </c>
      <c r="AE39" s="303">
        <v>432</v>
      </c>
      <c r="AF39" s="220" t="s">
        <v>204</v>
      </c>
      <c r="AG39" s="220"/>
      <c r="AH39" s="220"/>
      <c r="AI39" s="220"/>
      <c r="AJ39" s="220"/>
      <c r="AK39" s="220"/>
      <c r="AL39" s="220"/>
      <c r="AM39" s="220"/>
      <c r="AN39" s="220"/>
      <c r="AO39" s="220"/>
      <c r="AP39" s="220"/>
      <c r="AQ39" s="220"/>
      <c r="AR39" s="220"/>
      <c r="AS39" s="220"/>
      <c r="AT39" s="315"/>
      <c r="AU39" s="221"/>
      <c r="AV39" s="221"/>
      <c r="AW39" s="221"/>
      <c r="AX39" s="220"/>
    </row>
    <row r="40" spans="1:50" x14ac:dyDescent="0.2">
      <c r="A40" s="234">
        <v>116506</v>
      </c>
      <c r="B40" s="233">
        <v>2016</v>
      </c>
      <c r="C40" s="234" t="s">
        <v>207</v>
      </c>
      <c r="D40" s="322"/>
      <c r="E40" s="323">
        <v>90</v>
      </c>
      <c r="F40" s="324" t="s">
        <v>35</v>
      </c>
      <c r="G40" s="324" t="s">
        <v>35</v>
      </c>
      <c r="H40" s="324" t="s">
        <v>35</v>
      </c>
      <c r="I40" s="324" t="s">
        <v>35</v>
      </c>
      <c r="J40" s="324" t="s">
        <v>35</v>
      </c>
      <c r="K40" s="324" t="s">
        <v>35</v>
      </c>
      <c r="L40" s="325">
        <v>4</v>
      </c>
      <c r="M40" s="325">
        <v>46</v>
      </c>
      <c r="N40" s="325">
        <v>27</v>
      </c>
      <c r="O40" s="325">
        <v>5</v>
      </c>
      <c r="P40" s="325">
        <v>4</v>
      </c>
      <c r="Q40" s="325">
        <v>0</v>
      </c>
      <c r="R40" s="238">
        <f>SUM(F40:Q40)</f>
        <v>86</v>
      </c>
      <c r="S40" s="239">
        <f>IFERROR((AVERAGE(F40:Q40)),0)</f>
        <v>14.333333333333334</v>
      </c>
      <c r="T40" s="240">
        <f>IFERROR((U40/S40),0)</f>
        <v>0.27906976744186046</v>
      </c>
      <c r="U40" s="307">
        <f>SUM(E40-R40)</f>
        <v>4</v>
      </c>
      <c r="V40" s="233">
        <v>2016</v>
      </c>
      <c r="W40" s="234" t="s">
        <v>207</v>
      </c>
      <c r="X40" s="220"/>
      <c r="Y40" s="220"/>
      <c r="Z40" s="220"/>
      <c r="AA40" s="220"/>
      <c r="AB40" s="302">
        <v>42977</v>
      </c>
      <c r="AC40" s="303">
        <v>2015</v>
      </c>
      <c r="AD40" s="303" t="s">
        <v>208</v>
      </c>
      <c r="AE40" s="303">
        <v>864</v>
      </c>
      <c r="AF40" s="220" t="s">
        <v>204</v>
      </c>
      <c r="AG40" s="220"/>
      <c r="AH40" s="220"/>
      <c r="AI40" s="220"/>
      <c r="AJ40" s="220"/>
      <c r="AK40" s="220"/>
      <c r="AL40" s="220"/>
      <c r="AM40" s="220"/>
      <c r="AN40" s="220"/>
      <c r="AO40" s="220"/>
      <c r="AP40" s="220"/>
      <c r="AQ40" s="220"/>
      <c r="AR40" s="220"/>
      <c r="AS40" s="220"/>
      <c r="AT40" s="315"/>
      <c r="AU40" s="221"/>
      <c r="AV40" s="221"/>
      <c r="AW40" s="221"/>
      <c r="AX40" s="220"/>
    </row>
    <row r="41" spans="1:50" x14ac:dyDescent="0.2">
      <c r="A41" s="234">
        <v>22385</v>
      </c>
      <c r="B41" s="233">
        <v>2016</v>
      </c>
      <c r="C41" s="234" t="s">
        <v>33</v>
      </c>
      <c r="D41" s="322"/>
      <c r="E41" s="323">
        <v>249</v>
      </c>
      <c r="F41" s="324" t="s">
        <v>35</v>
      </c>
      <c r="G41" s="324" t="s">
        <v>35</v>
      </c>
      <c r="H41" s="324" t="s">
        <v>35</v>
      </c>
      <c r="I41" s="324" t="s">
        <v>35</v>
      </c>
      <c r="J41" s="325">
        <v>16</v>
      </c>
      <c r="K41" s="325">
        <v>56</v>
      </c>
      <c r="L41" s="325">
        <v>31</v>
      </c>
      <c r="M41" s="325">
        <v>28</v>
      </c>
      <c r="N41" s="325">
        <v>31</v>
      </c>
      <c r="O41" s="325">
        <v>18</v>
      </c>
      <c r="P41" s="325">
        <v>69</v>
      </c>
      <c r="Q41" s="326"/>
      <c r="R41" s="238">
        <f>SUM(F41:Q41)</f>
        <v>249</v>
      </c>
      <c r="S41" s="239">
        <f>IFERROR((AVERAGE(F41:Q41)),0)</f>
        <v>35.571428571428569</v>
      </c>
      <c r="T41" s="240">
        <f>IFERROR((U41/S41),0)</f>
        <v>0</v>
      </c>
      <c r="U41" s="307">
        <f>SUM(E41-R41)</f>
        <v>0</v>
      </c>
      <c r="V41" s="233">
        <v>2016</v>
      </c>
      <c r="W41" s="234" t="s">
        <v>33</v>
      </c>
      <c r="X41" s="220"/>
      <c r="Y41" s="220"/>
      <c r="Z41" s="220"/>
      <c r="AA41" s="220"/>
      <c r="AB41" s="302">
        <v>42978</v>
      </c>
      <c r="AC41" s="303">
        <v>2016</v>
      </c>
      <c r="AD41" s="303" t="s">
        <v>209</v>
      </c>
      <c r="AE41" s="303">
        <v>57</v>
      </c>
      <c r="AF41" s="220" t="s">
        <v>210</v>
      </c>
      <c r="AG41" s="220"/>
      <c r="AH41" s="220"/>
      <c r="AI41" s="220"/>
      <c r="AJ41" s="220"/>
      <c r="AK41" s="220"/>
      <c r="AL41" s="220"/>
      <c r="AM41" s="220"/>
      <c r="AN41" s="220"/>
      <c r="AO41" s="220"/>
      <c r="AP41" s="220"/>
      <c r="AQ41" s="220"/>
      <c r="AR41" s="220"/>
      <c r="AS41" s="220"/>
      <c r="AT41" s="315"/>
      <c r="AU41" s="221"/>
      <c r="AV41" s="221"/>
      <c r="AW41" s="221"/>
      <c r="AX41" s="220"/>
    </row>
    <row r="42" spans="1:50" x14ac:dyDescent="0.2">
      <c r="A42" s="234">
        <v>11198</v>
      </c>
      <c r="B42" s="233">
        <v>2016</v>
      </c>
      <c r="C42" s="234" t="s">
        <v>46</v>
      </c>
      <c r="D42" s="322"/>
      <c r="E42" s="323">
        <v>521</v>
      </c>
      <c r="F42" s="324" t="s">
        <v>35</v>
      </c>
      <c r="G42" s="324" t="s">
        <v>35</v>
      </c>
      <c r="H42" s="324" t="s">
        <v>35</v>
      </c>
      <c r="I42" s="324" t="s">
        <v>35</v>
      </c>
      <c r="J42" s="325">
        <v>65</v>
      </c>
      <c r="K42" s="325">
        <v>44</v>
      </c>
      <c r="L42" s="325">
        <v>40</v>
      </c>
      <c r="M42" s="325">
        <v>48</v>
      </c>
      <c r="N42" s="325">
        <v>48</v>
      </c>
      <c r="O42" s="325">
        <v>66</v>
      </c>
      <c r="P42" s="325">
        <v>6</v>
      </c>
      <c r="Q42" s="325">
        <v>31</v>
      </c>
      <c r="R42" s="238">
        <f t="shared" si="0"/>
        <v>348</v>
      </c>
      <c r="S42" s="239">
        <f t="shared" si="5"/>
        <v>43.5</v>
      </c>
      <c r="T42" s="240">
        <f t="shared" si="6"/>
        <v>3.9770114942528734</v>
      </c>
      <c r="U42" s="307">
        <f>SUM(E42-R42)</f>
        <v>173</v>
      </c>
      <c r="V42" s="233">
        <v>2016</v>
      </c>
      <c r="W42" s="234" t="s">
        <v>46</v>
      </c>
      <c r="X42" s="220"/>
      <c r="Y42" s="220"/>
      <c r="Z42" s="220"/>
      <c r="AA42" s="220"/>
      <c r="AB42" s="302">
        <v>42978</v>
      </c>
      <c r="AC42" s="303">
        <v>2016</v>
      </c>
      <c r="AD42" s="303" t="s">
        <v>211</v>
      </c>
      <c r="AE42" s="303">
        <v>56</v>
      </c>
      <c r="AF42" s="220" t="s">
        <v>178</v>
      </c>
      <c r="AG42" s="220"/>
      <c r="AH42" s="220"/>
      <c r="AI42" s="220"/>
      <c r="AJ42" s="220"/>
      <c r="AK42" s="220"/>
      <c r="AL42" s="220"/>
      <c r="AM42" s="220"/>
      <c r="AN42" s="220"/>
      <c r="AO42" s="220"/>
      <c r="AP42" s="220"/>
      <c r="AQ42" s="220"/>
      <c r="AR42" s="220"/>
      <c r="AS42" s="220"/>
      <c r="AT42" s="315"/>
      <c r="AU42" s="221"/>
      <c r="AV42" s="221"/>
      <c r="AW42" s="221"/>
      <c r="AX42" s="220"/>
    </row>
    <row r="43" spans="1:50" x14ac:dyDescent="0.2">
      <c r="A43" s="234">
        <v>57632</v>
      </c>
      <c r="B43" s="255">
        <v>2016</v>
      </c>
      <c r="C43" s="234" t="s">
        <v>31</v>
      </c>
      <c r="D43" s="327"/>
      <c r="E43" s="236">
        <v>663</v>
      </c>
      <c r="F43" s="237"/>
      <c r="G43" s="237"/>
      <c r="H43" s="237"/>
      <c r="I43" s="237"/>
      <c r="J43" s="237"/>
      <c r="K43" s="237"/>
      <c r="L43" s="246">
        <v>6</v>
      </c>
      <c r="M43" s="246">
        <v>41</v>
      </c>
      <c r="N43" s="246">
        <v>18</v>
      </c>
      <c r="O43" s="246">
        <v>46</v>
      </c>
      <c r="P43" s="246">
        <v>52</v>
      </c>
      <c r="Q43" s="246">
        <v>40</v>
      </c>
      <c r="R43" s="238">
        <f t="shared" si="0"/>
        <v>203</v>
      </c>
      <c r="S43" s="239">
        <f>IFERROR((AVERAGE(F43:Q43)),0)</f>
        <v>33.833333333333336</v>
      </c>
      <c r="T43" s="240">
        <f>IFERROR((U43/S43),0)</f>
        <v>13.596059113300491</v>
      </c>
      <c r="U43" s="307">
        <f t="shared" ref="U43:U54" si="7">SUM(E43-R43)</f>
        <v>460</v>
      </c>
      <c r="V43" s="233">
        <v>2016</v>
      </c>
      <c r="W43" s="234" t="s">
        <v>31</v>
      </c>
      <c r="X43" s="220"/>
      <c r="Y43" s="220"/>
      <c r="Z43" s="220"/>
      <c r="AA43" s="220"/>
      <c r="AB43" s="302">
        <v>42978</v>
      </c>
      <c r="AC43" s="303">
        <v>2016</v>
      </c>
      <c r="AD43" s="303" t="s">
        <v>212</v>
      </c>
      <c r="AE43" s="303">
        <v>200</v>
      </c>
      <c r="AF43" s="220" t="s">
        <v>157</v>
      </c>
      <c r="AG43" s="220"/>
      <c r="AH43" s="220"/>
      <c r="AI43" s="220"/>
      <c r="AJ43" s="220"/>
      <c r="AK43" s="220"/>
      <c r="AL43" s="220"/>
      <c r="AM43" s="220"/>
      <c r="AN43" s="220"/>
      <c r="AO43" s="220"/>
      <c r="AP43" s="220"/>
      <c r="AQ43" s="220"/>
      <c r="AR43" s="220"/>
      <c r="AS43" s="220"/>
      <c r="AT43" s="315"/>
      <c r="AU43" s="221"/>
      <c r="AV43" s="221"/>
      <c r="AW43" s="221"/>
      <c r="AX43" s="220"/>
    </row>
    <row r="44" spans="1:50" ht="16.350000000000001" customHeight="1" x14ac:dyDescent="0.2">
      <c r="A44" s="234">
        <v>57630</v>
      </c>
      <c r="B44" s="255">
        <v>2016</v>
      </c>
      <c r="C44" s="234" t="s">
        <v>25</v>
      </c>
      <c r="D44" s="327"/>
      <c r="E44" s="236">
        <v>733</v>
      </c>
      <c r="F44" s="237"/>
      <c r="G44" s="237"/>
      <c r="H44" s="237"/>
      <c r="I44" s="237"/>
      <c r="J44" s="237"/>
      <c r="K44" s="237"/>
      <c r="L44" s="246">
        <v>3</v>
      </c>
      <c r="M44" s="246">
        <v>3</v>
      </c>
      <c r="N44" s="246">
        <v>8</v>
      </c>
      <c r="O44" s="246">
        <v>0</v>
      </c>
      <c r="P44" s="246">
        <v>0</v>
      </c>
      <c r="Q44" s="246">
        <v>0</v>
      </c>
      <c r="R44" s="238">
        <f t="shared" si="0"/>
        <v>14</v>
      </c>
      <c r="S44" s="239">
        <f t="shared" ref="S44:S55" si="8">IFERROR((AVERAGE(F44:Q44)),0)</f>
        <v>2.3333333333333335</v>
      </c>
      <c r="T44" s="240">
        <f t="shared" ref="T44:T55" si="9">IFERROR((U44/S44),0)</f>
        <v>308.14285714285711</v>
      </c>
      <c r="U44" s="307">
        <f t="shared" si="7"/>
        <v>719</v>
      </c>
      <c r="V44" s="233">
        <v>2016</v>
      </c>
      <c r="W44" s="234" t="s">
        <v>25</v>
      </c>
      <c r="X44" s="220"/>
      <c r="Y44" s="220"/>
      <c r="Z44" s="220"/>
      <c r="AA44" s="220"/>
      <c r="AB44" s="302">
        <v>42978</v>
      </c>
      <c r="AC44" s="303">
        <v>2016</v>
      </c>
      <c r="AD44" s="303" t="s">
        <v>213</v>
      </c>
      <c r="AE44" s="303">
        <v>299</v>
      </c>
      <c r="AF44" s="220" t="s">
        <v>157</v>
      </c>
      <c r="AG44" s="220"/>
      <c r="AH44" s="220"/>
      <c r="AI44" s="220"/>
      <c r="AJ44" s="220"/>
      <c r="AK44" s="220"/>
      <c r="AL44" s="220"/>
      <c r="AM44" s="220"/>
      <c r="AN44" s="220"/>
      <c r="AO44" s="220"/>
      <c r="AP44" s="220"/>
      <c r="AQ44" s="220"/>
      <c r="AR44" s="220"/>
      <c r="AS44" s="220"/>
      <c r="AT44" s="315"/>
      <c r="AU44" s="221"/>
      <c r="AV44" s="221"/>
      <c r="AW44" s="221"/>
      <c r="AX44" s="220"/>
    </row>
    <row r="45" spans="1:50" ht="16.350000000000001" customHeight="1" x14ac:dyDescent="0.2">
      <c r="A45" s="234">
        <v>38269</v>
      </c>
      <c r="B45" s="255">
        <v>2016</v>
      </c>
      <c r="C45" s="234" t="s">
        <v>28</v>
      </c>
      <c r="D45" s="327"/>
      <c r="E45" s="236">
        <v>58</v>
      </c>
      <c r="F45" s="237"/>
      <c r="G45" s="237"/>
      <c r="H45" s="237"/>
      <c r="I45" s="237"/>
      <c r="J45" s="237"/>
      <c r="K45" s="237"/>
      <c r="L45" s="246">
        <v>0</v>
      </c>
      <c r="M45" s="246">
        <v>0</v>
      </c>
      <c r="N45" s="246">
        <v>16</v>
      </c>
      <c r="O45" s="246">
        <v>0</v>
      </c>
      <c r="P45" s="246">
        <v>7</v>
      </c>
      <c r="Q45" s="246">
        <v>11</v>
      </c>
      <c r="R45" s="238">
        <f t="shared" si="0"/>
        <v>34</v>
      </c>
      <c r="S45" s="239">
        <f t="shared" si="8"/>
        <v>5.666666666666667</v>
      </c>
      <c r="T45" s="240">
        <f t="shared" si="9"/>
        <v>4.2352941176470589</v>
      </c>
      <c r="U45" s="307">
        <f t="shared" si="7"/>
        <v>24</v>
      </c>
      <c r="V45" s="233">
        <v>2016</v>
      </c>
      <c r="W45" s="234" t="s">
        <v>28</v>
      </c>
      <c r="X45" s="220"/>
      <c r="Y45" s="220"/>
      <c r="Z45" s="220"/>
      <c r="AA45" s="220"/>
      <c r="AB45" s="302">
        <v>42978</v>
      </c>
      <c r="AC45" s="303">
        <v>2016</v>
      </c>
      <c r="AD45" s="303" t="s">
        <v>214</v>
      </c>
      <c r="AE45" s="303">
        <v>800</v>
      </c>
      <c r="AF45" s="220" t="s">
        <v>157</v>
      </c>
      <c r="AG45" s="220"/>
      <c r="AH45" s="220"/>
      <c r="AI45" s="220"/>
      <c r="AJ45" s="220"/>
      <c r="AK45" s="220"/>
      <c r="AL45" s="220"/>
      <c r="AM45" s="220"/>
      <c r="AN45" s="220"/>
      <c r="AO45" s="220"/>
      <c r="AP45" s="220"/>
      <c r="AQ45" s="220"/>
      <c r="AR45" s="220"/>
      <c r="AS45" s="220"/>
      <c r="AT45" s="315"/>
      <c r="AU45" s="221"/>
      <c r="AV45" s="221"/>
      <c r="AW45" s="221"/>
      <c r="AX45" s="220"/>
    </row>
    <row r="46" spans="1:50" x14ac:dyDescent="0.2">
      <c r="A46" s="234">
        <v>22382</v>
      </c>
      <c r="B46" s="255">
        <v>2016</v>
      </c>
      <c r="C46" s="234" t="s">
        <v>23</v>
      </c>
      <c r="D46" s="327"/>
      <c r="E46" s="236">
        <v>714</v>
      </c>
      <c r="F46" s="237"/>
      <c r="G46" s="237" t="s">
        <v>35</v>
      </c>
      <c r="H46" s="237"/>
      <c r="I46" s="237"/>
      <c r="J46" s="237"/>
      <c r="K46" s="237"/>
      <c r="L46" s="237"/>
      <c r="M46" s="237"/>
      <c r="N46" s="246">
        <v>14</v>
      </c>
      <c r="O46" s="246">
        <v>6</v>
      </c>
      <c r="P46" s="246">
        <v>0</v>
      </c>
      <c r="Q46" s="246">
        <v>0</v>
      </c>
      <c r="R46" s="238">
        <f t="shared" si="0"/>
        <v>20</v>
      </c>
      <c r="S46" s="239">
        <f t="shared" si="8"/>
        <v>5</v>
      </c>
      <c r="T46" s="240">
        <f t="shared" si="9"/>
        <v>138.80000000000001</v>
      </c>
      <c r="U46" s="307">
        <f t="shared" si="7"/>
        <v>694</v>
      </c>
      <c r="V46" s="233">
        <v>2016</v>
      </c>
      <c r="W46" s="234" t="s">
        <v>23</v>
      </c>
      <c r="X46" s="220"/>
      <c r="Y46" s="220"/>
      <c r="Z46" s="220"/>
      <c r="AA46" s="220"/>
      <c r="AB46" s="302">
        <v>42978</v>
      </c>
      <c r="AC46" s="303">
        <v>2016</v>
      </c>
      <c r="AD46" s="303" t="s">
        <v>215</v>
      </c>
      <c r="AE46" s="303">
        <v>714</v>
      </c>
      <c r="AF46" s="220" t="s">
        <v>157</v>
      </c>
      <c r="AG46" s="220"/>
      <c r="AH46" s="220"/>
      <c r="AI46" s="220"/>
      <c r="AJ46" s="220"/>
      <c r="AK46" s="220"/>
      <c r="AL46" s="220"/>
      <c r="AM46" s="220"/>
      <c r="AN46" s="220"/>
      <c r="AO46" s="220"/>
      <c r="AP46" s="220"/>
      <c r="AQ46" s="220"/>
      <c r="AR46" s="220"/>
      <c r="AS46" s="220"/>
      <c r="AT46" s="315"/>
      <c r="AU46" s="221"/>
      <c r="AV46" s="221"/>
      <c r="AW46" s="221"/>
      <c r="AX46" s="220"/>
    </row>
    <row r="47" spans="1:50" x14ac:dyDescent="0.2">
      <c r="A47" s="234">
        <v>84802</v>
      </c>
      <c r="B47" s="255">
        <v>2016</v>
      </c>
      <c r="C47" s="234" t="s">
        <v>93</v>
      </c>
      <c r="D47" s="327"/>
      <c r="E47" s="236">
        <v>139</v>
      </c>
      <c r="F47" s="237"/>
      <c r="G47" s="237"/>
      <c r="H47" s="237"/>
      <c r="I47" s="237"/>
      <c r="J47" s="237"/>
      <c r="K47" s="237"/>
      <c r="L47" s="237"/>
      <c r="M47" s="237"/>
      <c r="N47" s="237"/>
      <c r="O47" s="237"/>
      <c r="P47" s="237"/>
      <c r="Q47" s="246">
        <v>6</v>
      </c>
      <c r="R47" s="238">
        <f t="shared" si="0"/>
        <v>6</v>
      </c>
      <c r="S47" s="239">
        <f t="shared" si="8"/>
        <v>6</v>
      </c>
      <c r="T47" s="240">
        <f t="shared" si="9"/>
        <v>22.166666666666668</v>
      </c>
      <c r="U47" s="307">
        <f t="shared" si="7"/>
        <v>133</v>
      </c>
      <c r="V47" s="233">
        <v>2016</v>
      </c>
      <c r="W47" s="234" t="s">
        <v>93</v>
      </c>
      <c r="X47" s="220"/>
      <c r="Y47" s="220"/>
      <c r="Z47" s="220"/>
      <c r="AA47" s="220"/>
      <c r="AB47" s="302">
        <v>42986</v>
      </c>
      <c r="AC47" s="303">
        <v>2016</v>
      </c>
      <c r="AD47" s="303" t="s">
        <v>216</v>
      </c>
      <c r="AE47" s="303">
        <v>50</v>
      </c>
      <c r="AF47" s="220"/>
      <c r="AG47" s="220"/>
      <c r="AH47" s="220"/>
      <c r="AI47" s="220"/>
      <c r="AJ47" s="220"/>
      <c r="AK47" s="220"/>
      <c r="AL47" s="220"/>
      <c r="AM47" s="220"/>
      <c r="AN47" s="220"/>
      <c r="AO47" s="220"/>
      <c r="AP47" s="220"/>
      <c r="AQ47" s="220"/>
      <c r="AR47" s="220"/>
      <c r="AS47" s="220"/>
      <c r="AT47" s="315"/>
      <c r="AU47" s="221"/>
      <c r="AV47" s="221"/>
      <c r="AW47" s="221"/>
      <c r="AX47" s="220"/>
    </row>
    <row r="48" spans="1:50" x14ac:dyDescent="0.2">
      <c r="A48" s="234" t="s">
        <v>35</v>
      </c>
      <c r="B48" s="255">
        <v>2016</v>
      </c>
      <c r="C48" s="234" t="s">
        <v>217</v>
      </c>
      <c r="D48" s="327"/>
      <c r="E48" s="236">
        <v>454</v>
      </c>
      <c r="F48" s="237"/>
      <c r="G48" s="237"/>
      <c r="H48" s="237"/>
      <c r="I48" s="237"/>
      <c r="J48" s="237"/>
      <c r="K48" s="237"/>
      <c r="L48" s="237"/>
      <c r="M48" s="237"/>
      <c r="N48" s="237"/>
      <c r="O48" s="237"/>
      <c r="P48" s="237"/>
      <c r="Q48" s="237"/>
      <c r="R48" s="238">
        <f t="shared" si="0"/>
        <v>0</v>
      </c>
      <c r="S48" s="239">
        <f t="shared" si="8"/>
        <v>0</v>
      </c>
      <c r="T48" s="240">
        <f t="shared" si="9"/>
        <v>0</v>
      </c>
      <c r="U48" s="307">
        <f t="shared" si="7"/>
        <v>454</v>
      </c>
      <c r="V48" s="233">
        <v>2016</v>
      </c>
      <c r="W48" s="234" t="s">
        <v>26</v>
      </c>
      <c r="X48" s="220"/>
      <c r="Y48" s="220"/>
      <c r="Z48" s="220"/>
      <c r="AA48" s="220"/>
      <c r="AB48" s="302">
        <v>43056</v>
      </c>
      <c r="AC48" s="303">
        <v>2015</v>
      </c>
      <c r="AD48" s="303" t="s">
        <v>218</v>
      </c>
      <c r="AE48" s="303">
        <v>49.5</v>
      </c>
      <c r="AF48" s="220"/>
      <c r="AG48" s="220"/>
      <c r="AH48" s="220"/>
      <c r="AI48" s="220"/>
      <c r="AJ48" s="220"/>
      <c r="AK48" s="220"/>
      <c r="AL48" s="220"/>
      <c r="AM48" s="220"/>
      <c r="AN48" s="220"/>
      <c r="AO48" s="220"/>
      <c r="AP48" s="220"/>
      <c r="AQ48" s="220"/>
      <c r="AR48" s="220"/>
      <c r="AS48" s="220"/>
      <c r="AT48" s="220"/>
      <c r="AU48" s="220"/>
      <c r="AV48" s="220"/>
      <c r="AW48" s="220"/>
      <c r="AX48" s="220"/>
    </row>
    <row r="49" spans="1:32" x14ac:dyDescent="0.2">
      <c r="A49" s="234">
        <v>27736</v>
      </c>
      <c r="B49" s="255">
        <v>2016</v>
      </c>
      <c r="C49" s="234" t="s">
        <v>56</v>
      </c>
      <c r="D49" s="327"/>
      <c r="E49" s="236">
        <v>800</v>
      </c>
      <c r="F49" s="237"/>
      <c r="G49" s="237"/>
      <c r="H49" s="237"/>
      <c r="I49" s="237"/>
      <c r="J49" s="237"/>
      <c r="K49" s="237"/>
      <c r="L49" s="237"/>
      <c r="M49" s="237"/>
      <c r="N49" s="246">
        <v>16</v>
      </c>
      <c r="O49" s="246">
        <v>0</v>
      </c>
      <c r="P49" s="246">
        <v>34</v>
      </c>
      <c r="Q49" s="246">
        <v>23</v>
      </c>
      <c r="R49" s="238">
        <f t="shared" si="0"/>
        <v>73</v>
      </c>
      <c r="S49" s="239">
        <f t="shared" si="8"/>
        <v>18.25</v>
      </c>
      <c r="T49" s="240">
        <f t="shared" si="9"/>
        <v>39.835616438356162</v>
      </c>
      <c r="U49" s="307">
        <f t="shared" si="7"/>
        <v>727</v>
      </c>
      <c r="V49" s="233">
        <v>2016</v>
      </c>
      <c r="W49" s="234" t="s">
        <v>56</v>
      </c>
      <c r="X49" s="220"/>
      <c r="Y49" s="220"/>
      <c r="Z49" s="220"/>
      <c r="AA49" s="220"/>
      <c r="AB49" s="302">
        <v>43074</v>
      </c>
      <c r="AC49" s="303">
        <v>2016</v>
      </c>
      <c r="AD49" s="303" t="s">
        <v>219</v>
      </c>
      <c r="AE49" s="303">
        <v>194</v>
      </c>
      <c r="AF49" s="220" t="s">
        <v>157</v>
      </c>
    </row>
    <row r="50" spans="1:32" x14ac:dyDescent="0.2">
      <c r="A50" s="234">
        <v>28361</v>
      </c>
      <c r="B50" s="255">
        <v>2016</v>
      </c>
      <c r="C50" s="234" t="s">
        <v>24</v>
      </c>
      <c r="D50" s="327"/>
      <c r="E50" s="236">
        <v>194</v>
      </c>
      <c r="F50" s="237"/>
      <c r="G50" s="237"/>
      <c r="H50" s="237"/>
      <c r="I50" s="237"/>
      <c r="J50" s="237"/>
      <c r="K50" s="237"/>
      <c r="L50" s="237"/>
      <c r="M50" s="237"/>
      <c r="N50" s="237"/>
      <c r="O50" s="237"/>
      <c r="P50" s="237"/>
      <c r="Q50" s="246">
        <v>19</v>
      </c>
      <c r="R50" s="238">
        <f t="shared" si="0"/>
        <v>19</v>
      </c>
      <c r="S50" s="239">
        <f t="shared" si="8"/>
        <v>19</v>
      </c>
      <c r="T50" s="240">
        <f t="shared" si="9"/>
        <v>9.2105263157894743</v>
      </c>
      <c r="U50" s="307">
        <f t="shared" si="7"/>
        <v>175</v>
      </c>
      <c r="V50" s="233">
        <v>2016</v>
      </c>
      <c r="W50" s="234" t="s">
        <v>24</v>
      </c>
      <c r="X50" s="220"/>
      <c r="Y50" s="220"/>
      <c r="Z50" s="220"/>
      <c r="AA50" s="220"/>
      <c r="AB50" s="302">
        <v>43074</v>
      </c>
      <c r="AC50" s="303">
        <v>2016</v>
      </c>
      <c r="AD50" s="303" t="s">
        <v>220</v>
      </c>
      <c r="AE50" s="303">
        <v>904</v>
      </c>
      <c r="AF50" s="220" t="s">
        <v>157</v>
      </c>
    </row>
    <row r="51" spans="1:32" x14ac:dyDescent="0.2">
      <c r="A51" s="234">
        <v>22921</v>
      </c>
      <c r="B51" s="255">
        <v>2016</v>
      </c>
      <c r="C51" s="234" t="s">
        <v>221</v>
      </c>
      <c r="D51" s="327"/>
      <c r="E51" s="236">
        <v>1015</v>
      </c>
      <c r="F51" s="237"/>
      <c r="G51" s="237"/>
      <c r="H51" s="237"/>
      <c r="I51" s="237"/>
      <c r="J51" s="237"/>
      <c r="K51" s="237"/>
      <c r="L51" s="237"/>
      <c r="M51" s="237"/>
      <c r="N51" s="237"/>
      <c r="O51" s="237"/>
      <c r="P51" s="237"/>
      <c r="Q51" s="246">
        <v>0</v>
      </c>
      <c r="R51" s="238">
        <f t="shared" si="0"/>
        <v>0</v>
      </c>
      <c r="S51" s="239">
        <f t="shared" si="8"/>
        <v>0</v>
      </c>
      <c r="T51" s="240">
        <f t="shared" si="9"/>
        <v>0</v>
      </c>
      <c r="U51" s="307">
        <f t="shared" si="7"/>
        <v>1015</v>
      </c>
      <c r="V51" s="233">
        <v>2016</v>
      </c>
      <c r="W51" s="234" t="s">
        <v>22</v>
      </c>
      <c r="X51" s="220"/>
      <c r="Y51" s="220"/>
      <c r="Z51" s="220"/>
      <c r="AA51" s="220"/>
      <c r="AB51" s="302">
        <v>43074</v>
      </c>
      <c r="AC51" s="303">
        <v>2016</v>
      </c>
      <c r="AD51" s="303" t="s">
        <v>222</v>
      </c>
      <c r="AE51" s="303">
        <v>167</v>
      </c>
      <c r="AF51" s="220" t="s">
        <v>223</v>
      </c>
    </row>
    <row r="52" spans="1:32" x14ac:dyDescent="0.2">
      <c r="A52" s="250">
        <v>34641</v>
      </c>
      <c r="B52" s="255">
        <v>2016</v>
      </c>
      <c r="C52" s="250" t="s">
        <v>52</v>
      </c>
      <c r="D52" s="327"/>
      <c r="E52" s="236">
        <v>620</v>
      </c>
      <c r="F52" s="237"/>
      <c r="G52" s="237"/>
      <c r="H52" s="237"/>
      <c r="I52" s="237"/>
      <c r="J52" s="237"/>
      <c r="K52" s="237"/>
      <c r="L52" s="237"/>
      <c r="M52" s="237"/>
      <c r="N52" s="237"/>
      <c r="O52" s="237"/>
      <c r="P52" s="237"/>
      <c r="Q52" s="246">
        <v>8</v>
      </c>
      <c r="R52" s="238">
        <f t="shared" si="0"/>
        <v>8</v>
      </c>
      <c r="S52" s="239">
        <f t="shared" si="8"/>
        <v>8</v>
      </c>
      <c r="T52" s="240">
        <f t="shared" si="9"/>
        <v>76.5</v>
      </c>
      <c r="U52" s="307">
        <f t="shared" si="7"/>
        <v>612</v>
      </c>
      <c r="V52" s="233">
        <v>2016</v>
      </c>
      <c r="W52" s="250" t="s">
        <v>52</v>
      </c>
      <c r="X52" s="220"/>
      <c r="Y52" s="220"/>
      <c r="Z52" s="220"/>
      <c r="AA52" s="220"/>
      <c r="AB52" s="302">
        <v>43075</v>
      </c>
      <c r="AC52" s="303">
        <v>2016</v>
      </c>
      <c r="AD52" s="303" t="s">
        <v>224</v>
      </c>
      <c r="AE52" s="303">
        <v>274</v>
      </c>
      <c r="AF52" s="220"/>
    </row>
    <row r="53" spans="1:32" x14ac:dyDescent="0.2">
      <c r="A53" s="234">
        <v>115264</v>
      </c>
      <c r="B53" s="255">
        <v>2016</v>
      </c>
      <c r="C53" s="234" t="s">
        <v>225</v>
      </c>
      <c r="D53" s="327"/>
      <c r="E53" s="236">
        <v>344</v>
      </c>
      <c r="F53" s="237"/>
      <c r="G53" s="237"/>
      <c r="H53" s="237"/>
      <c r="I53" s="237"/>
      <c r="J53" s="237"/>
      <c r="K53" s="237"/>
      <c r="L53" s="237"/>
      <c r="M53" s="237"/>
      <c r="N53" s="237"/>
      <c r="O53" s="237"/>
      <c r="P53" s="237"/>
      <c r="Q53" s="246">
        <v>5</v>
      </c>
      <c r="R53" s="238">
        <f t="shared" si="0"/>
        <v>5</v>
      </c>
      <c r="S53" s="239">
        <f t="shared" si="8"/>
        <v>5</v>
      </c>
      <c r="T53" s="240">
        <f t="shared" si="9"/>
        <v>67.8</v>
      </c>
      <c r="U53" s="307">
        <f t="shared" si="7"/>
        <v>339</v>
      </c>
      <c r="V53" s="233">
        <v>2016</v>
      </c>
      <c r="W53" s="234" t="s">
        <v>225</v>
      </c>
      <c r="X53" s="220"/>
      <c r="Y53" s="220"/>
      <c r="Z53" s="220"/>
      <c r="AA53" s="220"/>
      <c r="AB53" s="302">
        <v>43075</v>
      </c>
      <c r="AC53" s="303">
        <v>2015</v>
      </c>
      <c r="AD53" s="303" t="s">
        <v>226</v>
      </c>
      <c r="AE53" s="303">
        <v>213</v>
      </c>
      <c r="AF53" s="220"/>
    </row>
    <row r="54" spans="1:32" x14ac:dyDescent="0.2">
      <c r="A54" s="234">
        <v>86051</v>
      </c>
      <c r="B54" s="255">
        <v>2016</v>
      </c>
      <c r="C54" s="234" t="s">
        <v>94</v>
      </c>
      <c r="D54" s="327"/>
      <c r="E54" s="236">
        <v>116</v>
      </c>
      <c r="F54" s="237"/>
      <c r="G54" s="237"/>
      <c r="H54" s="237"/>
      <c r="I54" s="237"/>
      <c r="J54" s="237"/>
      <c r="K54" s="237"/>
      <c r="L54" s="237"/>
      <c r="M54" s="237"/>
      <c r="N54" s="237"/>
      <c r="O54" s="237"/>
      <c r="P54" s="237"/>
      <c r="Q54" s="246">
        <v>14</v>
      </c>
      <c r="R54" s="238">
        <f t="shared" si="0"/>
        <v>14</v>
      </c>
      <c r="S54" s="239">
        <f t="shared" si="8"/>
        <v>14</v>
      </c>
      <c r="T54" s="240">
        <f t="shared" si="9"/>
        <v>7.2857142857142856</v>
      </c>
      <c r="U54" s="307">
        <f t="shared" si="7"/>
        <v>102</v>
      </c>
      <c r="V54" s="233">
        <v>2016</v>
      </c>
      <c r="W54" s="234" t="s">
        <v>94</v>
      </c>
      <c r="X54" s="220"/>
      <c r="Y54" s="220"/>
      <c r="Z54" s="220"/>
      <c r="AA54" s="220"/>
      <c r="AB54" s="302">
        <v>43076</v>
      </c>
      <c r="AC54" s="303">
        <v>2016</v>
      </c>
      <c r="AD54" s="303" t="s">
        <v>227</v>
      </c>
      <c r="AE54" s="303">
        <v>139</v>
      </c>
      <c r="AF54" s="220" t="s">
        <v>157</v>
      </c>
    </row>
    <row r="55" spans="1:32" x14ac:dyDescent="0.2">
      <c r="A55" s="234">
        <v>28381</v>
      </c>
      <c r="B55" s="255">
        <v>2016</v>
      </c>
      <c r="C55" s="234" t="s">
        <v>100</v>
      </c>
      <c r="D55" s="327"/>
      <c r="E55" s="236"/>
      <c r="F55" s="237"/>
      <c r="G55" s="237"/>
      <c r="H55" s="237"/>
      <c r="I55" s="237"/>
      <c r="J55" s="237"/>
      <c r="K55" s="237"/>
      <c r="L55" s="237"/>
      <c r="M55" s="237"/>
      <c r="N55" s="237"/>
      <c r="O55" s="237"/>
      <c r="P55" s="237"/>
      <c r="Q55" s="237"/>
      <c r="R55" s="238">
        <f t="shared" si="0"/>
        <v>0</v>
      </c>
      <c r="S55" s="239">
        <f t="shared" si="8"/>
        <v>0</v>
      </c>
      <c r="T55" s="240">
        <f t="shared" si="9"/>
        <v>0</v>
      </c>
      <c r="U55" s="307">
        <f>SUM(E55-R55)</f>
        <v>0</v>
      </c>
      <c r="V55" s="233">
        <v>2016</v>
      </c>
      <c r="W55" s="234" t="s">
        <v>100</v>
      </c>
      <c r="X55" s="220"/>
      <c r="Y55" s="220"/>
      <c r="Z55" s="220"/>
      <c r="AA55" s="220"/>
      <c r="AB55" s="302">
        <v>43076</v>
      </c>
      <c r="AC55" s="303">
        <v>2016</v>
      </c>
      <c r="AD55" s="303" t="s">
        <v>228</v>
      </c>
      <c r="AE55" s="303">
        <v>620</v>
      </c>
      <c r="AF55" s="220" t="s">
        <v>157</v>
      </c>
    </row>
    <row r="56" spans="1:32" x14ac:dyDescent="0.2">
      <c r="A56" s="226"/>
      <c r="B56" s="226"/>
      <c r="C56" s="226"/>
      <c r="D56" s="226"/>
      <c r="E56" s="226"/>
      <c r="F56" s="226"/>
      <c r="G56" s="226"/>
      <c r="H56" s="226"/>
      <c r="I56" s="226"/>
      <c r="J56" s="226"/>
      <c r="K56" s="226"/>
      <c r="L56" s="226"/>
      <c r="M56" s="226"/>
      <c r="N56" s="226"/>
      <c r="O56" s="243"/>
      <c r="P56" s="243"/>
      <c r="Q56" s="226"/>
      <c r="R56" s="226"/>
      <c r="S56" s="226"/>
      <c r="T56" s="226"/>
      <c r="U56" s="243"/>
      <c r="V56" s="226"/>
      <c r="W56" s="226"/>
      <c r="X56" s="220"/>
      <c r="Y56" s="220"/>
      <c r="Z56" s="220"/>
      <c r="AA56" s="220"/>
      <c r="AB56" s="302">
        <v>43076</v>
      </c>
      <c r="AC56" s="303">
        <v>2016</v>
      </c>
      <c r="AD56" s="303" t="s">
        <v>229</v>
      </c>
      <c r="AE56" s="303">
        <v>503</v>
      </c>
      <c r="AF56" s="220" t="s">
        <v>223</v>
      </c>
    </row>
    <row r="57" spans="1:32" x14ac:dyDescent="0.2">
      <c r="A57" s="234"/>
      <c r="B57" s="233">
        <v>2013</v>
      </c>
      <c r="C57" s="234"/>
      <c r="D57" s="262"/>
      <c r="E57" s="263">
        <f t="shared" ref="E57:R57" si="10">SUM(E10:E11)</f>
        <v>291</v>
      </c>
      <c r="F57" s="263">
        <f t="shared" si="10"/>
        <v>35</v>
      </c>
      <c r="G57" s="263">
        <f t="shared" si="10"/>
        <v>35</v>
      </c>
      <c r="H57" s="263">
        <f t="shared" si="10"/>
        <v>31</v>
      </c>
      <c r="I57" s="263">
        <f t="shared" si="10"/>
        <v>37</v>
      </c>
      <c r="J57" s="263">
        <f t="shared" si="10"/>
        <v>24</v>
      </c>
      <c r="K57" s="263">
        <f t="shared" si="10"/>
        <v>21</v>
      </c>
      <c r="L57" s="263">
        <f t="shared" si="10"/>
        <v>62</v>
      </c>
      <c r="M57" s="263">
        <f t="shared" si="10"/>
        <v>18</v>
      </c>
      <c r="N57" s="263">
        <f t="shared" si="10"/>
        <v>0</v>
      </c>
      <c r="O57" s="263">
        <f t="shared" si="10"/>
        <v>0</v>
      </c>
      <c r="P57" s="263">
        <f t="shared" si="10"/>
        <v>0</v>
      </c>
      <c r="Q57" s="263">
        <f t="shared" si="10"/>
        <v>0</v>
      </c>
      <c r="R57" s="238">
        <f t="shared" si="10"/>
        <v>263</v>
      </c>
      <c r="S57" s="264">
        <f>AVERAGE(F57:Q57)</f>
        <v>21.916666666666668</v>
      </c>
      <c r="T57" s="265">
        <f>U57/S57</f>
        <v>1.2775665399239544</v>
      </c>
      <c r="U57" s="307">
        <f>SUM(E57-R57)</f>
        <v>28</v>
      </c>
      <c r="V57" s="233">
        <v>2013</v>
      </c>
      <c r="W57" s="234"/>
      <c r="X57" s="220"/>
      <c r="Y57" s="220"/>
      <c r="Z57" s="220"/>
      <c r="AA57" s="220"/>
      <c r="AB57" s="302">
        <v>43076</v>
      </c>
      <c r="AC57" s="303">
        <v>2016</v>
      </c>
      <c r="AD57" s="303" t="s">
        <v>230</v>
      </c>
      <c r="AE57" s="303">
        <v>116</v>
      </c>
      <c r="AF57" s="220" t="s">
        <v>157</v>
      </c>
    </row>
    <row r="58" spans="1:32" x14ac:dyDescent="0.2">
      <c r="A58" s="234"/>
      <c r="B58" s="233">
        <v>2014</v>
      </c>
      <c r="C58" s="234"/>
      <c r="D58" s="262"/>
      <c r="E58" s="263">
        <f t="shared" ref="E58:R58" si="11">SUM(E13:E23)</f>
        <v>2157</v>
      </c>
      <c r="F58" s="263">
        <f t="shared" si="11"/>
        <v>188</v>
      </c>
      <c r="G58" s="263">
        <f t="shared" si="11"/>
        <v>314</v>
      </c>
      <c r="H58" s="263">
        <f t="shared" si="11"/>
        <v>248</v>
      </c>
      <c r="I58" s="263">
        <f t="shared" si="11"/>
        <v>230</v>
      </c>
      <c r="J58" s="263">
        <f t="shared" si="11"/>
        <v>175</v>
      </c>
      <c r="K58" s="263">
        <f t="shared" si="11"/>
        <v>179</v>
      </c>
      <c r="L58" s="263">
        <f t="shared" si="11"/>
        <v>133</v>
      </c>
      <c r="M58" s="263">
        <f t="shared" si="11"/>
        <v>164</v>
      </c>
      <c r="N58" s="263">
        <f t="shared" si="11"/>
        <v>83</v>
      </c>
      <c r="O58" s="263">
        <f t="shared" si="11"/>
        <v>67</v>
      </c>
      <c r="P58" s="263">
        <f t="shared" si="11"/>
        <v>88</v>
      </c>
      <c r="Q58" s="263">
        <f t="shared" si="11"/>
        <v>81</v>
      </c>
      <c r="R58" s="238">
        <f t="shared" si="11"/>
        <v>1950</v>
      </c>
      <c r="S58" s="264">
        <f>AVERAGE(F58:Q58)</f>
        <v>162.5</v>
      </c>
      <c r="T58" s="265">
        <f>U58/S58</f>
        <v>1.2738461538461539</v>
      </c>
      <c r="U58" s="307">
        <f>SUM(E58-R58)</f>
        <v>207</v>
      </c>
      <c r="V58" s="233">
        <v>2014</v>
      </c>
      <c r="W58" s="234"/>
      <c r="X58" s="220"/>
      <c r="Y58" s="220"/>
      <c r="Z58" s="220"/>
      <c r="AA58" s="220"/>
      <c r="AB58" s="302">
        <v>43089</v>
      </c>
      <c r="AC58" s="303">
        <v>2014</v>
      </c>
      <c r="AD58" s="303" t="s">
        <v>231</v>
      </c>
      <c r="AE58" s="303">
        <v>344</v>
      </c>
      <c r="AF58" s="220" t="s">
        <v>157</v>
      </c>
    </row>
    <row r="59" spans="1:32" x14ac:dyDescent="0.2">
      <c r="A59" s="234"/>
      <c r="B59" s="233">
        <v>2015</v>
      </c>
      <c r="C59" s="234"/>
      <c r="D59" s="262"/>
      <c r="E59" s="263">
        <f t="shared" ref="E59:Q59" si="12">SUM(E25:E36)</f>
        <v>3266</v>
      </c>
      <c r="F59" s="263">
        <f t="shared" si="12"/>
        <v>64</v>
      </c>
      <c r="G59" s="263">
        <f t="shared" si="12"/>
        <v>20</v>
      </c>
      <c r="H59" s="263">
        <f t="shared" si="12"/>
        <v>147</v>
      </c>
      <c r="I59" s="263">
        <f t="shared" si="12"/>
        <v>123</v>
      </c>
      <c r="J59" s="263">
        <f t="shared" si="12"/>
        <v>272</v>
      </c>
      <c r="K59" s="263">
        <f t="shared" si="12"/>
        <v>118</v>
      </c>
      <c r="L59" s="263">
        <f t="shared" si="12"/>
        <v>259</v>
      </c>
      <c r="M59" s="263">
        <f t="shared" si="12"/>
        <v>162</v>
      </c>
      <c r="N59" s="263">
        <f t="shared" si="12"/>
        <v>221</v>
      </c>
      <c r="O59" s="263">
        <f t="shared" si="12"/>
        <v>200</v>
      </c>
      <c r="P59" s="263">
        <f t="shared" si="12"/>
        <v>208</v>
      </c>
      <c r="Q59" s="263">
        <f t="shared" si="12"/>
        <v>226</v>
      </c>
      <c r="R59" s="238">
        <f>SUM(R13:R22)</f>
        <v>1845</v>
      </c>
      <c r="S59" s="264">
        <f>AVERAGE(F59:Q59)</f>
        <v>168.33333333333334</v>
      </c>
      <c r="T59" s="265">
        <f>U59/S59</f>
        <v>8.4415841584158411</v>
      </c>
      <c r="U59" s="307">
        <f>SUM(E59-R59)</f>
        <v>1421</v>
      </c>
      <c r="V59" s="233">
        <v>2015</v>
      </c>
      <c r="W59" s="234"/>
      <c r="X59" s="220"/>
      <c r="Y59" s="220"/>
      <c r="Z59" s="220"/>
      <c r="AA59" s="220"/>
      <c r="AB59" s="302">
        <v>43111</v>
      </c>
      <c r="AC59" s="303">
        <v>2016</v>
      </c>
      <c r="AD59" s="303" t="s">
        <v>217</v>
      </c>
      <c r="AE59" s="303">
        <v>454</v>
      </c>
      <c r="AF59" s="220"/>
    </row>
    <row r="60" spans="1:32" x14ac:dyDescent="0.2">
      <c r="A60" s="234"/>
      <c r="B60" s="233">
        <v>2016</v>
      </c>
      <c r="C60" s="234"/>
      <c r="D60" s="262"/>
      <c r="E60" s="263">
        <f>SUM(E38:E55)</f>
        <v>7278</v>
      </c>
      <c r="F60" s="263">
        <f t="shared" ref="F60:Q60" si="13">SUM(F38:F55)</f>
        <v>0</v>
      </c>
      <c r="G60" s="263">
        <f t="shared" si="13"/>
        <v>0</v>
      </c>
      <c r="H60" s="263">
        <f t="shared" si="13"/>
        <v>0</v>
      </c>
      <c r="I60" s="263">
        <f t="shared" si="13"/>
        <v>55</v>
      </c>
      <c r="J60" s="263">
        <f t="shared" si="13"/>
        <v>147</v>
      </c>
      <c r="K60" s="263">
        <f t="shared" si="13"/>
        <v>141</v>
      </c>
      <c r="L60" s="263">
        <f t="shared" si="13"/>
        <v>121</v>
      </c>
      <c r="M60" s="263">
        <f t="shared" si="13"/>
        <v>200</v>
      </c>
      <c r="N60" s="263">
        <f t="shared" si="13"/>
        <v>205</v>
      </c>
      <c r="O60" s="263">
        <f t="shared" si="13"/>
        <v>165</v>
      </c>
      <c r="P60" s="263">
        <f t="shared" si="13"/>
        <v>205</v>
      </c>
      <c r="Q60" s="263">
        <f t="shared" si="13"/>
        <v>212</v>
      </c>
      <c r="R60" s="238"/>
      <c r="S60" s="264"/>
      <c r="T60" s="265"/>
      <c r="U60" s="307"/>
      <c r="V60" s="233"/>
      <c r="W60" s="234"/>
      <c r="X60" s="220"/>
      <c r="Y60" s="220"/>
      <c r="Z60" s="220"/>
      <c r="AA60" s="220"/>
      <c r="AB60" s="302">
        <v>43111</v>
      </c>
      <c r="AC60" s="303">
        <v>2016</v>
      </c>
      <c r="AD60" s="303" t="s">
        <v>232</v>
      </c>
      <c r="AE60" s="303">
        <v>384</v>
      </c>
      <c r="AF60" s="220"/>
    </row>
    <row r="61" spans="1:32" x14ac:dyDescent="0.2">
      <c r="A61" s="234"/>
      <c r="B61" s="266" t="s">
        <v>59</v>
      </c>
      <c r="C61" s="234"/>
      <c r="D61" s="262"/>
      <c r="E61" s="267">
        <f t="shared" ref="E61:S61" si="14">SUM(E38:E59)</f>
        <v>12992</v>
      </c>
      <c r="F61" s="267">
        <f t="shared" si="14"/>
        <v>287</v>
      </c>
      <c r="G61" s="267">
        <f t="shared" si="14"/>
        <v>369</v>
      </c>
      <c r="H61" s="267">
        <f t="shared" si="14"/>
        <v>426</v>
      </c>
      <c r="I61" s="267">
        <f t="shared" si="14"/>
        <v>445</v>
      </c>
      <c r="J61" s="267">
        <f t="shared" si="14"/>
        <v>618</v>
      </c>
      <c r="K61" s="267">
        <f t="shared" si="14"/>
        <v>459</v>
      </c>
      <c r="L61" s="267">
        <f t="shared" si="14"/>
        <v>575</v>
      </c>
      <c r="M61" s="267">
        <f t="shared" si="14"/>
        <v>544</v>
      </c>
      <c r="N61" s="267">
        <f t="shared" si="14"/>
        <v>509</v>
      </c>
      <c r="O61" s="267">
        <f t="shared" si="14"/>
        <v>432</v>
      </c>
      <c r="P61" s="267">
        <f t="shared" si="14"/>
        <v>501</v>
      </c>
      <c r="Q61" s="267">
        <f t="shared" si="14"/>
        <v>519</v>
      </c>
      <c r="R61" s="238">
        <f t="shared" si="14"/>
        <v>5509</v>
      </c>
      <c r="S61" s="268">
        <f t="shared" si="14"/>
        <v>615.68253968253964</v>
      </c>
      <c r="T61" s="240">
        <f>U61/S61</f>
        <v>12.15399092502836</v>
      </c>
      <c r="U61" s="307">
        <f>SUM(E61-R61)</f>
        <v>7483</v>
      </c>
      <c r="V61" s="266" t="s">
        <v>59</v>
      </c>
      <c r="W61" s="234"/>
      <c r="X61" s="220"/>
      <c r="Y61" s="220"/>
      <c r="Z61" s="220"/>
      <c r="AA61" s="220"/>
      <c r="AB61" s="302"/>
      <c r="AC61" s="303"/>
      <c r="AD61" s="303"/>
      <c r="AE61" s="303"/>
      <c r="AF61" s="220"/>
    </row>
    <row r="62" spans="1:32" x14ac:dyDescent="0.2">
      <c r="A62" s="226"/>
      <c r="B62" s="269"/>
      <c r="C62" s="269"/>
      <c r="D62" s="270"/>
      <c r="E62" s="271"/>
      <c r="F62" s="271"/>
      <c r="G62" s="271"/>
      <c r="H62" s="271"/>
      <c r="I62" s="271"/>
      <c r="J62" s="271"/>
      <c r="K62" s="272"/>
      <c r="L62" s="272"/>
      <c r="M62" s="272"/>
      <c r="N62" s="272"/>
      <c r="O62" s="272"/>
      <c r="P62" s="272"/>
      <c r="Q62" s="272"/>
      <c r="R62" s="269"/>
      <c r="S62" s="270"/>
      <c r="T62" s="273"/>
      <c r="U62" s="328"/>
      <c r="V62" s="269"/>
      <c r="W62" s="269"/>
      <c r="X62" s="220"/>
      <c r="Y62" s="220"/>
      <c r="Z62" s="220"/>
      <c r="AA62" s="220"/>
      <c r="AB62" s="302"/>
      <c r="AC62" s="303"/>
      <c r="AD62" s="303"/>
      <c r="AE62" s="303"/>
      <c r="AF62" s="220"/>
    </row>
    <row r="63" spans="1:32" x14ac:dyDescent="0.2">
      <c r="A63" s="220"/>
      <c r="B63" s="220"/>
      <c r="C63" s="220"/>
      <c r="D63" s="275"/>
      <c r="E63" s="276"/>
      <c r="F63" s="276"/>
      <c r="G63" s="276"/>
      <c r="H63" s="276"/>
      <c r="I63" s="276"/>
      <c r="J63" s="276"/>
      <c r="K63" s="221"/>
      <c r="L63" s="221"/>
      <c r="M63" s="221"/>
      <c r="N63" s="221"/>
      <c r="O63" s="221"/>
      <c r="P63" s="221"/>
      <c r="Q63" s="221"/>
      <c r="R63" s="220"/>
      <c r="S63" s="275"/>
      <c r="T63" s="277"/>
      <c r="U63" s="221"/>
      <c r="V63" s="220"/>
      <c r="W63" s="220"/>
      <c r="X63" s="220"/>
      <c r="Y63" s="220"/>
      <c r="Z63" s="220"/>
      <c r="AA63" s="220"/>
      <c r="AB63" s="302"/>
      <c r="AC63" s="303"/>
      <c r="AD63" s="303"/>
      <c r="AE63" s="303"/>
      <c r="AF63" s="220"/>
    </row>
    <row r="64" spans="1:32" ht="15.75" x14ac:dyDescent="0.25">
      <c r="A64" s="220"/>
      <c r="B64" s="278" t="s">
        <v>129</v>
      </c>
      <c r="C64" s="278"/>
      <c r="D64" s="275"/>
      <c r="E64" s="221"/>
      <c r="F64" s="221"/>
      <c r="G64" s="221"/>
      <c r="H64" s="221"/>
      <c r="I64" s="221"/>
      <c r="J64" s="221"/>
      <c r="K64" s="221"/>
      <c r="L64" s="221"/>
      <c r="M64" s="221"/>
      <c r="N64" s="221"/>
      <c r="O64" s="221"/>
      <c r="P64" s="221"/>
      <c r="Q64" s="221"/>
      <c r="R64" s="220"/>
      <c r="S64" s="275"/>
      <c r="T64" s="277"/>
      <c r="U64" s="221"/>
      <c r="V64" s="278" t="s">
        <v>129</v>
      </c>
      <c r="W64" s="278"/>
      <c r="X64" s="220"/>
      <c r="Y64" s="220"/>
      <c r="Z64" s="220"/>
      <c r="AA64" s="220"/>
      <c r="AB64" s="302"/>
      <c r="AC64" s="303"/>
      <c r="AD64" s="303"/>
      <c r="AE64" s="303"/>
      <c r="AF64" s="220"/>
    </row>
    <row r="65" spans="1:32" x14ac:dyDescent="0.2">
      <c r="A65" s="220"/>
      <c r="B65" s="220"/>
      <c r="C65" s="220"/>
      <c r="D65" s="275"/>
      <c r="E65" s="221"/>
      <c r="F65" s="221"/>
      <c r="G65" s="221"/>
      <c r="H65" s="221"/>
      <c r="I65" s="221"/>
      <c r="J65" s="221"/>
      <c r="K65" s="221"/>
      <c r="L65" s="221"/>
      <c r="M65" s="221"/>
      <c r="N65" s="221"/>
      <c r="O65" s="221"/>
      <c r="P65" s="221"/>
      <c r="Q65" s="221"/>
      <c r="R65" s="220"/>
      <c r="S65" s="275"/>
      <c r="T65" s="277"/>
      <c r="U65" s="221"/>
      <c r="V65" s="220"/>
      <c r="W65" s="220"/>
      <c r="X65" s="220"/>
      <c r="Y65" s="220"/>
      <c r="Z65" s="220"/>
      <c r="AA65" s="220"/>
      <c r="AB65" s="302"/>
      <c r="AC65" s="303"/>
      <c r="AD65" s="303"/>
      <c r="AE65" s="303"/>
      <c r="AF65" s="220"/>
    </row>
    <row r="66" spans="1:32" x14ac:dyDescent="0.2">
      <c r="A66" s="226"/>
      <c r="B66" s="226"/>
      <c r="C66" s="226"/>
      <c r="D66" s="226"/>
      <c r="E66" s="226"/>
      <c r="F66" s="226"/>
      <c r="G66" s="226"/>
      <c r="H66" s="226"/>
      <c r="I66" s="226"/>
      <c r="J66" s="226"/>
      <c r="K66" s="226"/>
      <c r="L66" s="226"/>
      <c r="M66" s="226"/>
      <c r="N66" s="226"/>
      <c r="O66" s="243"/>
      <c r="P66" s="243"/>
      <c r="Q66" s="226"/>
      <c r="R66" s="226"/>
      <c r="S66" s="226"/>
      <c r="T66" s="226"/>
      <c r="U66" s="243"/>
      <c r="V66" s="226"/>
      <c r="W66" s="226"/>
      <c r="X66" s="220"/>
      <c r="Y66" s="220"/>
      <c r="Z66" s="220"/>
      <c r="AA66" s="220"/>
      <c r="AB66" s="302"/>
      <c r="AC66" s="303"/>
      <c r="AD66" s="303"/>
      <c r="AE66" s="303"/>
      <c r="AF66" s="220"/>
    </row>
    <row r="67" spans="1:32" x14ac:dyDescent="0.2">
      <c r="A67" s="234">
        <v>100465</v>
      </c>
      <c r="B67" s="255">
        <v>2014</v>
      </c>
      <c r="C67" s="234" t="s">
        <v>135</v>
      </c>
      <c r="D67" s="256"/>
      <c r="E67" s="237">
        <v>284</v>
      </c>
      <c r="F67" s="246">
        <v>0</v>
      </c>
      <c r="G67" s="246">
        <v>0</v>
      </c>
      <c r="H67" s="246">
        <v>0</v>
      </c>
      <c r="I67" s="246">
        <v>0</v>
      </c>
      <c r="J67" s="246">
        <v>0</v>
      </c>
      <c r="K67" s="246">
        <v>0</v>
      </c>
      <c r="L67" s="246">
        <v>0</v>
      </c>
      <c r="M67" s="246">
        <v>0</v>
      </c>
      <c r="N67" s="246"/>
      <c r="O67" s="246"/>
      <c r="P67" s="246"/>
      <c r="Q67" s="246"/>
      <c r="R67" s="238">
        <f>SUM(F67:Q67)</f>
        <v>0</v>
      </c>
      <c r="S67" s="239">
        <f>IFERROR((AVERAGE(F67:Q67)),0)</f>
        <v>0</v>
      </c>
      <c r="T67" s="240">
        <f>IFERROR((U67/S67),0)</f>
        <v>0</v>
      </c>
      <c r="U67" s="307">
        <f>SUM(E67-R67)</f>
        <v>284</v>
      </c>
      <c r="V67" s="255">
        <v>2014</v>
      </c>
      <c r="W67" s="234" t="s">
        <v>130</v>
      </c>
      <c r="X67" s="220"/>
      <c r="Y67" s="220"/>
      <c r="Z67" s="220"/>
      <c r="AA67" s="220"/>
      <c r="AB67" s="302"/>
      <c r="AC67" s="303"/>
      <c r="AD67" s="303"/>
      <c r="AE67" s="303"/>
      <c r="AF67" s="220"/>
    </row>
    <row r="68" spans="1:32" x14ac:dyDescent="0.2">
      <c r="A68" s="234">
        <v>97511</v>
      </c>
      <c r="B68" s="248">
        <v>2014</v>
      </c>
      <c r="C68" s="234" t="s">
        <v>25</v>
      </c>
      <c r="D68" s="235"/>
      <c r="E68" s="236">
        <v>338</v>
      </c>
      <c r="F68" s="246">
        <v>0</v>
      </c>
      <c r="G68" s="246">
        <v>2</v>
      </c>
      <c r="H68" s="246">
        <v>0</v>
      </c>
      <c r="I68" s="246">
        <v>15</v>
      </c>
      <c r="J68" s="246">
        <v>0</v>
      </c>
      <c r="K68" s="246">
        <v>0</v>
      </c>
      <c r="L68" s="246">
        <v>0</v>
      </c>
      <c r="M68" s="246">
        <v>0</v>
      </c>
      <c r="N68" s="246"/>
      <c r="O68" s="246"/>
      <c r="P68" s="246"/>
      <c r="Q68" s="246"/>
      <c r="R68" s="238">
        <f>SUM(F68:Q68)</f>
        <v>17</v>
      </c>
      <c r="S68" s="239">
        <f>IFERROR((AVERAGE(F68:Q68)),0)</f>
        <v>2.125</v>
      </c>
      <c r="T68" s="240">
        <f>IFERROR((U68/S68),0)</f>
        <v>151.05882352941177</v>
      </c>
      <c r="U68" s="307">
        <f>SUM(E68-R68)</f>
        <v>321</v>
      </c>
      <c r="V68" s="248">
        <v>2014</v>
      </c>
      <c r="W68" s="234" t="s">
        <v>25</v>
      </c>
      <c r="X68" s="220"/>
      <c r="Y68" s="220"/>
      <c r="Z68" s="220"/>
      <c r="AA68" s="220"/>
      <c r="AB68" s="302"/>
      <c r="AC68" s="303"/>
      <c r="AD68" s="303"/>
      <c r="AE68" s="303"/>
      <c r="AF68" s="220"/>
    </row>
    <row r="69" spans="1:32" x14ac:dyDescent="0.2">
      <c r="A69" s="234">
        <v>102768</v>
      </c>
      <c r="B69" s="255">
        <v>2014</v>
      </c>
      <c r="C69" s="234" t="s">
        <v>131</v>
      </c>
      <c r="D69" s="256"/>
      <c r="E69" s="236">
        <v>116</v>
      </c>
      <c r="F69" s="246">
        <v>0</v>
      </c>
      <c r="G69" s="246">
        <v>6</v>
      </c>
      <c r="H69" s="246">
        <v>7</v>
      </c>
      <c r="I69" s="246">
        <v>0</v>
      </c>
      <c r="J69" s="246">
        <v>0</v>
      </c>
      <c r="K69" s="246">
        <v>16</v>
      </c>
      <c r="L69" s="246">
        <v>0</v>
      </c>
      <c r="M69" s="246">
        <v>0</v>
      </c>
      <c r="N69" s="246"/>
      <c r="O69" s="246"/>
      <c r="P69" s="246"/>
      <c r="Q69" s="246"/>
      <c r="R69" s="238">
        <f>SUM(F69:Q69)</f>
        <v>29</v>
      </c>
      <c r="S69" s="239">
        <f>IFERROR((AVERAGE(F69:Q69)),0)</f>
        <v>3.625</v>
      </c>
      <c r="T69" s="240">
        <f>IFERROR((U69/S69),0)</f>
        <v>24</v>
      </c>
      <c r="U69" s="307">
        <f>SUM(E69-R69)</f>
        <v>87</v>
      </c>
      <c r="V69" s="255">
        <v>2014</v>
      </c>
      <c r="W69" s="234" t="s">
        <v>131</v>
      </c>
      <c r="X69" s="220"/>
      <c r="Y69" s="220"/>
      <c r="Z69" s="220"/>
      <c r="AA69" s="220"/>
      <c r="AB69" s="302"/>
      <c r="AC69" s="303"/>
      <c r="AD69" s="303"/>
      <c r="AE69" s="303"/>
      <c r="AF69" s="220"/>
    </row>
    <row r="70" spans="1:32" x14ac:dyDescent="0.2">
      <c r="A70" s="234">
        <v>101639</v>
      </c>
      <c r="B70" s="255">
        <v>2014</v>
      </c>
      <c r="C70" s="234" t="s">
        <v>120</v>
      </c>
      <c r="D70" s="256"/>
      <c r="E70" s="236">
        <v>400</v>
      </c>
      <c r="F70" s="246">
        <v>0</v>
      </c>
      <c r="G70" s="246">
        <v>0</v>
      </c>
      <c r="H70" s="246">
        <v>0</v>
      </c>
      <c r="I70" s="246">
        <v>0</v>
      </c>
      <c r="J70" s="246">
        <v>0</v>
      </c>
      <c r="K70" s="246">
        <v>0</v>
      </c>
      <c r="L70" s="246">
        <v>0</v>
      </c>
      <c r="M70" s="246">
        <v>0</v>
      </c>
      <c r="N70" s="246"/>
      <c r="O70" s="246"/>
      <c r="P70" s="246"/>
      <c r="Q70" s="246"/>
      <c r="R70" s="238">
        <f>SUM(F70:Q70)</f>
        <v>0</v>
      </c>
      <c r="S70" s="239">
        <f>IFERROR((AVERAGE(F70:Q70)),0)</f>
        <v>0</v>
      </c>
      <c r="T70" s="240">
        <f>IFERROR((U70/S70),0)</f>
        <v>0</v>
      </c>
      <c r="U70" s="307">
        <f>SUM(E70-R70)</f>
        <v>400</v>
      </c>
      <c r="V70" s="255">
        <v>2014</v>
      </c>
      <c r="W70" s="234" t="s">
        <v>120</v>
      </c>
      <c r="X70" s="220"/>
      <c r="Y70" s="220"/>
      <c r="Z70" s="220"/>
      <c r="AA70" s="220"/>
      <c r="AB70" s="302"/>
      <c r="AC70" s="303"/>
      <c r="AD70" s="303"/>
      <c r="AE70" s="303"/>
      <c r="AF70" s="220"/>
    </row>
    <row r="71" spans="1:32" x14ac:dyDescent="0.2">
      <c r="A71" s="234">
        <v>100463</v>
      </c>
      <c r="B71" s="255">
        <v>2014</v>
      </c>
      <c r="C71" s="234" t="s">
        <v>233</v>
      </c>
      <c r="D71" s="256"/>
      <c r="E71" s="236">
        <v>65</v>
      </c>
      <c r="F71" s="246">
        <v>0</v>
      </c>
      <c r="G71" s="246">
        <v>1</v>
      </c>
      <c r="H71" s="246">
        <v>22</v>
      </c>
      <c r="I71" s="246">
        <v>0</v>
      </c>
      <c r="J71" s="246">
        <v>0</v>
      </c>
      <c r="K71" s="246">
        <v>0</v>
      </c>
      <c r="L71" s="246">
        <v>0</v>
      </c>
      <c r="M71" s="246">
        <v>0</v>
      </c>
      <c r="N71" s="246"/>
      <c r="O71" s="246"/>
      <c r="P71" s="246"/>
      <c r="Q71" s="246"/>
      <c r="R71" s="238">
        <f>SUM(F71:Q71)</f>
        <v>23</v>
      </c>
      <c r="S71" s="239">
        <f>IFERROR((AVERAGE(F71:Q71)),0)</f>
        <v>2.875</v>
      </c>
      <c r="T71" s="240">
        <f>IFERROR((U71/S71),0)</f>
        <v>14.608695652173912</v>
      </c>
      <c r="U71" s="307">
        <f>SUM(E71-R71)</f>
        <v>42</v>
      </c>
      <c r="V71" s="255">
        <v>2014</v>
      </c>
      <c r="W71" s="234" t="s">
        <v>132</v>
      </c>
      <c r="X71" s="220"/>
      <c r="Y71" s="220"/>
      <c r="Z71" s="220"/>
      <c r="AA71" s="220"/>
      <c r="AB71" s="302"/>
      <c r="AC71" s="303"/>
      <c r="AD71" s="303"/>
      <c r="AE71" s="303"/>
      <c r="AF71" s="220"/>
    </row>
    <row r="72" spans="1:32" ht="14.25" customHeight="1" x14ac:dyDescent="0.2">
      <c r="A72" s="226"/>
      <c r="B72" s="226"/>
      <c r="C72" s="226"/>
      <c r="D72" s="226"/>
      <c r="E72" s="226"/>
      <c r="F72" s="226"/>
      <c r="G72" s="226"/>
      <c r="H72" s="226"/>
      <c r="I72" s="226"/>
      <c r="J72" s="226"/>
      <c r="K72" s="226"/>
      <c r="L72" s="226"/>
      <c r="M72" s="226"/>
      <c r="N72" s="226"/>
      <c r="O72" s="243"/>
      <c r="P72" s="243"/>
      <c r="Q72" s="226"/>
      <c r="R72" s="226"/>
      <c r="S72" s="226"/>
      <c r="T72" s="226"/>
      <c r="U72" s="243"/>
      <c r="V72" s="226"/>
      <c r="W72" s="226"/>
      <c r="X72" s="220"/>
      <c r="Y72" s="220"/>
      <c r="Z72" s="220"/>
      <c r="AA72" s="220"/>
      <c r="AB72" s="302"/>
      <c r="AC72" s="303"/>
      <c r="AD72" s="303"/>
      <c r="AE72" s="303"/>
      <c r="AF72" s="220"/>
    </row>
    <row r="73" spans="1:32" x14ac:dyDescent="0.2">
      <c r="A73" s="234">
        <v>97509</v>
      </c>
      <c r="B73" s="255">
        <v>2015</v>
      </c>
      <c r="C73" s="234" t="s">
        <v>107</v>
      </c>
      <c r="D73" s="256"/>
      <c r="E73" s="236">
        <v>287</v>
      </c>
      <c r="F73" s="246">
        <v>2</v>
      </c>
      <c r="G73" s="246">
        <v>14</v>
      </c>
      <c r="H73" s="246">
        <v>46</v>
      </c>
      <c r="I73" s="246">
        <v>0</v>
      </c>
      <c r="J73" s="246">
        <v>3</v>
      </c>
      <c r="K73" s="246">
        <v>3</v>
      </c>
      <c r="L73" s="246">
        <v>4</v>
      </c>
      <c r="M73" s="246">
        <v>0</v>
      </c>
      <c r="N73" s="246"/>
      <c r="O73" s="246"/>
      <c r="P73" s="246"/>
      <c r="Q73" s="246"/>
      <c r="R73" s="238">
        <f t="shared" ref="R73:R80" si="15">SUM(F73:Q73)</f>
        <v>72</v>
      </c>
      <c r="S73" s="239">
        <f t="shared" ref="S73:S80" si="16">IFERROR((AVERAGE(F73:Q73)),0)</f>
        <v>9</v>
      </c>
      <c r="T73" s="240">
        <f>IFERROR((U73/S73),0)</f>
        <v>23.888888888888889</v>
      </c>
      <c r="U73" s="307">
        <f t="shared" ref="U73:U80" si="17">SUM(E73-R73)</f>
        <v>215</v>
      </c>
      <c r="V73" s="255">
        <v>2015</v>
      </c>
      <c r="W73" s="234" t="s">
        <v>107</v>
      </c>
      <c r="X73" s="220"/>
      <c r="Y73" s="220"/>
      <c r="Z73" s="220"/>
      <c r="AA73" s="220"/>
      <c r="AB73" s="302"/>
      <c r="AC73" s="303"/>
      <c r="AD73" s="303"/>
      <c r="AE73" s="303"/>
      <c r="AF73" s="220"/>
    </row>
    <row r="74" spans="1:32" x14ac:dyDescent="0.2">
      <c r="A74" s="234">
        <v>101636</v>
      </c>
      <c r="B74" s="248">
        <v>2015</v>
      </c>
      <c r="C74" s="234" t="s">
        <v>31</v>
      </c>
      <c r="D74" s="256"/>
      <c r="E74" s="236">
        <v>173</v>
      </c>
      <c r="F74" s="246">
        <v>0</v>
      </c>
      <c r="G74" s="246">
        <v>3</v>
      </c>
      <c r="H74" s="246">
        <v>0</v>
      </c>
      <c r="I74" s="246">
        <v>0</v>
      </c>
      <c r="J74" s="246">
        <v>0</v>
      </c>
      <c r="K74" s="246">
        <v>0</v>
      </c>
      <c r="L74" s="246">
        <v>0</v>
      </c>
      <c r="M74" s="246">
        <v>0</v>
      </c>
      <c r="N74" s="246"/>
      <c r="O74" s="246"/>
      <c r="P74" s="246"/>
      <c r="Q74" s="246"/>
      <c r="R74" s="238">
        <f t="shared" si="15"/>
        <v>3</v>
      </c>
      <c r="S74" s="239">
        <f t="shared" si="16"/>
        <v>0.375</v>
      </c>
      <c r="T74" s="240">
        <f>IFERROR((U74/S74),0)</f>
        <v>453.33333333333331</v>
      </c>
      <c r="U74" s="307">
        <f t="shared" si="17"/>
        <v>170</v>
      </c>
      <c r="V74" s="248">
        <v>2015</v>
      </c>
      <c r="W74" s="234" t="s">
        <v>31</v>
      </c>
      <c r="X74" s="220"/>
      <c r="Y74" s="220"/>
      <c r="Z74" s="220"/>
      <c r="AA74" s="220"/>
      <c r="AB74" s="302"/>
      <c r="AC74" s="303"/>
      <c r="AD74" s="303"/>
      <c r="AE74" s="303"/>
      <c r="AF74" s="220"/>
    </row>
    <row r="75" spans="1:32" x14ac:dyDescent="0.2">
      <c r="A75" s="234">
        <v>101819</v>
      </c>
      <c r="B75" s="295" t="s">
        <v>133</v>
      </c>
      <c r="C75" s="234" t="s">
        <v>134</v>
      </c>
      <c r="D75" s="235"/>
      <c r="E75" s="236">
        <v>82</v>
      </c>
      <c r="F75" s="246">
        <v>2</v>
      </c>
      <c r="G75" s="246">
        <v>4</v>
      </c>
      <c r="H75" s="246">
        <v>2</v>
      </c>
      <c r="I75" s="246">
        <v>0</v>
      </c>
      <c r="J75" s="246">
        <v>8</v>
      </c>
      <c r="K75" s="246">
        <v>0</v>
      </c>
      <c r="L75" s="246">
        <v>0</v>
      </c>
      <c r="M75" s="246">
        <v>0</v>
      </c>
      <c r="N75" s="246"/>
      <c r="O75" s="246"/>
      <c r="P75" s="246"/>
      <c r="Q75" s="246"/>
      <c r="R75" s="238">
        <f t="shared" si="15"/>
        <v>16</v>
      </c>
      <c r="S75" s="239">
        <f t="shared" si="16"/>
        <v>2</v>
      </c>
      <c r="T75" s="240">
        <f>IFERROR((U75/S75),0)</f>
        <v>33</v>
      </c>
      <c r="U75" s="307">
        <f>SUM(E75-R75)</f>
        <v>66</v>
      </c>
      <c r="V75" s="248" t="s">
        <v>35</v>
      </c>
      <c r="W75" s="234" t="s">
        <v>134</v>
      </c>
      <c r="X75" s="220"/>
      <c r="Y75" s="220"/>
      <c r="Z75" s="220"/>
      <c r="AA75" s="220"/>
      <c r="AB75" s="302"/>
      <c r="AC75" s="303"/>
      <c r="AD75" s="303"/>
      <c r="AE75" s="303"/>
      <c r="AF75" s="220"/>
    </row>
    <row r="76" spans="1:32" x14ac:dyDescent="0.2">
      <c r="A76" s="234">
        <v>101638</v>
      </c>
      <c r="B76" s="248">
        <v>2015</v>
      </c>
      <c r="C76" s="234" t="s">
        <v>26</v>
      </c>
      <c r="D76" s="235"/>
      <c r="E76" s="236">
        <v>299</v>
      </c>
      <c r="F76" s="246">
        <v>0</v>
      </c>
      <c r="G76" s="246">
        <v>0</v>
      </c>
      <c r="H76" s="246">
        <v>0</v>
      </c>
      <c r="I76" s="246">
        <v>0</v>
      </c>
      <c r="J76" s="246">
        <v>0</v>
      </c>
      <c r="K76" s="246">
        <v>0</v>
      </c>
      <c r="L76" s="246">
        <v>0</v>
      </c>
      <c r="M76" s="246">
        <v>0</v>
      </c>
      <c r="N76" s="246"/>
      <c r="O76" s="246"/>
      <c r="P76" s="246"/>
      <c r="Q76" s="246"/>
      <c r="R76" s="238">
        <f t="shared" si="15"/>
        <v>0</v>
      </c>
      <c r="S76" s="239">
        <f t="shared" si="16"/>
        <v>0</v>
      </c>
      <c r="T76" s="240">
        <f>IFERROR((U76/S76),0)</f>
        <v>0</v>
      </c>
      <c r="U76" s="307">
        <f>SUM(E76-R76)</f>
        <v>299</v>
      </c>
      <c r="V76" s="248">
        <v>2015</v>
      </c>
      <c r="W76" s="234" t="s">
        <v>26</v>
      </c>
      <c r="X76" s="220"/>
      <c r="Y76" s="220"/>
      <c r="Z76" s="220"/>
      <c r="AA76" s="220"/>
      <c r="AB76" s="302"/>
      <c r="AC76" s="303"/>
      <c r="AD76" s="303"/>
      <c r="AE76" s="303"/>
      <c r="AF76" s="220"/>
    </row>
    <row r="77" spans="1:32" x14ac:dyDescent="0.2">
      <c r="A77" s="234">
        <v>100464</v>
      </c>
      <c r="B77" s="248">
        <v>2015</v>
      </c>
      <c r="C77" s="234" t="s">
        <v>110</v>
      </c>
      <c r="D77" s="235"/>
      <c r="E77" s="236">
        <v>261</v>
      </c>
      <c r="F77" s="246">
        <v>13</v>
      </c>
      <c r="G77" s="246">
        <v>33</v>
      </c>
      <c r="H77" s="246">
        <v>68</v>
      </c>
      <c r="I77" s="246">
        <v>0</v>
      </c>
      <c r="J77" s="246">
        <v>5</v>
      </c>
      <c r="K77" s="246">
        <v>20</v>
      </c>
      <c r="L77" s="246">
        <v>5</v>
      </c>
      <c r="M77" s="246">
        <v>12</v>
      </c>
      <c r="N77" s="246">
        <v>5</v>
      </c>
      <c r="O77" s="246"/>
      <c r="P77" s="246"/>
      <c r="Q77" s="246"/>
      <c r="R77" s="238">
        <f t="shared" si="15"/>
        <v>161</v>
      </c>
      <c r="S77" s="239">
        <f t="shared" si="16"/>
        <v>17.888888888888889</v>
      </c>
      <c r="T77" s="240">
        <f>IFERROR((U77/S77),0)</f>
        <v>5.5900621118012417</v>
      </c>
      <c r="U77" s="307">
        <f t="shared" si="17"/>
        <v>100</v>
      </c>
      <c r="V77" s="248">
        <v>2015</v>
      </c>
      <c r="W77" s="234" t="s">
        <v>110</v>
      </c>
      <c r="X77" s="220"/>
      <c r="Y77" s="220"/>
      <c r="Z77" s="220"/>
      <c r="AA77" s="220"/>
      <c r="AB77" s="302"/>
      <c r="AC77" s="303"/>
      <c r="AD77" s="303"/>
      <c r="AE77" s="303"/>
      <c r="AF77" s="220"/>
    </row>
    <row r="78" spans="1:32" x14ac:dyDescent="0.2">
      <c r="A78" s="234">
        <v>100465</v>
      </c>
      <c r="B78" s="248">
        <v>2015</v>
      </c>
      <c r="C78" s="234" t="s">
        <v>135</v>
      </c>
      <c r="D78" s="235"/>
      <c r="E78" s="236">
        <v>183</v>
      </c>
      <c r="F78" s="246">
        <v>0</v>
      </c>
      <c r="G78" s="246">
        <v>2</v>
      </c>
      <c r="H78" s="246">
        <v>3</v>
      </c>
      <c r="I78" s="246">
        <v>1</v>
      </c>
      <c r="J78" s="246">
        <v>1</v>
      </c>
      <c r="K78" s="246">
        <v>23</v>
      </c>
      <c r="L78" s="246">
        <v>0</v>
      </c>
      <c r="M78" s="246">
        <v>0</v>
      </c>
      <c r="N78" s="246"/>
      <c r="O78" s="246"/>
      <c r="P78" s="246"/>
      <c r="Q78" s="246"/>
      <c r="R78" s="238">
        <f t="shared" si="15"/>
        <v>30</v>
      </c>
      <c r="S78" s="239">
        <f t="shared" si="16"/>
        <v>3.75</v>
      </c>
      <c r="T78" s="240"/>
      <c r="U78" s="307">
        <f t="shared" si="17"/>
        <v>153</v>
      </c>
      <c r="V78" s="248">
        <v>2015</v>
      </c>
      <c r="W78" s="234" t="s">
        <v>135</v>
      </c>
      <c r="X78" s="220"/>
      <c r="Y78" s="220"/>
      <c r="Z78" s="220"/>
      <c r="AA78" s="220"/>
      <c r="AB78" s="302"/>
      <c r="AC78" s="303"/>
      <c r="AD78" s="303"/>
      <c r="AE78" s="303"/>
      <c r="AF78" s="220"/>
    </row>
    <row r="79" spans="1:32" x14ac:dyDescent="0.2">
      <c r="A79" s="234">
        <v>100463</v>
      </c>
      <c r="B79" s="248">
        <v>2015</v>
      </c>
      <c r="C79" s="234" t="s">
        <v>136</v>
      </c>
      <c r="D79" s="235"/>
      <c r="E79" s="236">
        <v>153</v>
      </c>
      <c r="F79" s="246">
        <v>1</v>
      </c>
      <c r="G79" s="246">
        <v>0</v>
      </c>
      <c r="H79" s="246">
        <v>0</v>
      </c>
      <c r="I79" s="246">
        <v>0</v>
      </c>
      <c r="J79" s="246">
        <v>0</v>
      </c>
      <c r="K79" s="246">
        <v>0</v>
      </c>
      <c r="L79" s="246">
        <v>0</v>
      </c>
      <c r="M79" s="246">
        <v>0</v>
      </c>
      <c r="N79" s="246"/>
      <c r="O79" s="246"/>
      <c r="P79" s="246"/>
      <c r="Q79" s="246"/>
      <c r="R79" s="238">
        <f t="shared" si="15"/>
        <v>1</v>
      </c>
      <c r="S79" s="239">
        <f t="shared" si="16"/>
        <v>0.125</v>
      </c>
      <c r="T79" s="240"/>
      <c r="U79" s="307">
        <f t="shared" si="17"/>
        <v>152</v>
      </c>
      <c r="V79" s="248">
        <v>2015</v>
      </c>
      <c r="W79" s="234" t="s">
        <v>136</v>
      </c>
      <c r="X79" s="220"/>
      <c r="Y79" s="220"/>
      <c r="Z79" s="220"/>
      <c r="AA79" s="220"/>
      <c r="AB79" s="302"/>
      <c r="AC79" s="303"/>
      <c r="AD79" s="303"/>
      <c r="AE79" s="303"/>
      <c r="AF79" s="220"/>
    </row>
    <row r="80" spans="1:32" x14ac:dyDescent="0.2">
      <c r="A80" s="234">
        <v>97510</v>
      </c>
      <c r="B80" s="255">
        <v>2015</v>
      </c>
      <c r="C80" s="234" t="s">
        <v>23</v>
      </c>
      <c r="D80" s="256"/>
      <c r="E80" s="236">
        <v>0</v>
      </c>
      <c r="F80" s="246"/>
      <c r="G80" s="246"/>
      <c r="H80" s="246"/>
      <c r="I80" s="246"/>
      <c r="J80" s="246"/>
      <c r="K80" s="246" t="s">
        <v>35</v>
      </c>
      <c r="L80" s="246"/>
      <c r="M80" s="246"/>
      <c r="N80" s="246"/>
      <c r="O80" s="246"/>
      <c r="P80" s="246"/>
      <c r="Q80" s="246"/>
      <c r="R80" s="238">
        <f t="shared" si="15"/>
        <v>0</v>
      </c>
      <c r="S80" s="239">
        <f t="shared" si="16"/>
        <v>0</v>
      </c>
      <c r="T80" s="240">
        <f>IFERROR((U80/S80),0)</f>
        <v>0</v>
      </c>
      <c r="U80" s="307">
        <f t="shared" si="17"/>
        <v>0</v>
      </c>
      <c r="V80" s="255">
        <v>2015</v>
      </c>
      <c r="W80" s="234" t="s">
        <v>23</v>
      </c>
      <c r="X80" s="220"/>
      <c r="Y80" s="220"/>
      <c r="Z80" s="220"/>
      <c r="AA80" s="220"/>
      <c r="AB80" s="302"/>
      <c r="AC80" s="303"/>
      <c r="AD80" s="303"/>
      <c r="AE80" s="303"/>
      <c r="AF80" s="220"/>
    </row>
    <row r="81" spans="1:32" x14ac:dyDescent="0.2">
      <c r="A81" s="226"/>
      <c r="B81" s="269"/>
      <c r="C81" s="269"/>
      <c r="D81" s="270"/>
      <c r="E81" s="272"/>
      <c r="F81" s="272"/>
      <c r="G81" s="272"/>
      <c r="H81" s="272"/>
      <c r="I81" s="272"/>
      <c r="J81" s="272"/>
      <c r="K81" s="272"/>
      <c r="L81" s="272"/>
      <c r="M81" s="272"/>
      <c r="N81" s="272"/>
      <c r="O81" s="272"/>
      <c r="P81" s="272"/>
      <c r="Q81" s="272"/>
      <c r="R81" s="269"/>
      <c r="S81" s="270"/>
      <c r="T81" s="273"/>
      <c r="U81" s="328"/>
      <c r="V81" s="269"/>
      <c r="W81" s="269"/>
      <c r="X81" s="220"/>
      <c r="Y81" s="220"/>
      <c r="Z81" s="220"/>
      <c r="AA81" s="220"/>
      <c r="AB81" s="302"/>
      <c r="AC81" s="303"/>
      <c r="AD81" s="303"/>
      <c r="AE81" s="303"/>
      <c r="AF81" s="220"/>
    </row>
    <row r="82" spans="1:32" x14ac:dyDescent="0.2">
      <c r="A82" s="234">
        <v>100464</v>
      </c>
      <c r="B82" s="329">
        <v>2016</v>
      </c>
      <c r="C82" s="329" t="s">
        <v>110</v>
      </c>
      <c r="D82" s="256"/>
      <c r="E82" s="330">
        <v>253</v>
      </c>
      <c r="F82" s="246"/>
      <c r="G82" s="246"/>
      <c r="H82" s="246"/>
      <c r="I82" s="246">
        <v>1</v>
      </c>
      <c r="J82" s="246">
        <v>2</v>
      </c>
      <c r="K82" s="246">
        <v>15</v>
      </c>
      <c r="L82" s="246">
        <v>0</v>
      </c>
      <c r="M82" s="246">
        <v>18</v>
      </c>
      <c r="N82" s="246"/>
      <c r="O82" s="246"/>
      <c r="P82" s="246"/>
      <c r="Q82" s="246"/>
      <c r="R82" s="238">
        <f t="shared" ref="R82:R87" si="18">SUM(F82:Q82)</f>
        <v>36</v>
      </c>
      <c r="S82" s="239">
        <f t="shared" ref="S82:S87" si="19">IFERROR((AVERAGE(F82:Q82)),0)</f>
        <v>7.2</v>
      </c>
      <c r="T82" s="240">
        <f t="shared" ref="T82:T87" si="20">IFERROR((U82/S82),0)</f>
        <v>30.138888888888889</v>
      </c>
      <c r="U82" s="307">
        <f t="shared" ref="U82:U87" si="21">SUM(E82-R82)</f>
        <v>217</v>
      </c>
      <c r="V82" s="329">
        <v>2016</v>
      </c>
      <c r="W82" s="329" t="s">
        <v>234</v>
      </c>
      <c r="X82" s="220"/>
      <c r="Y82" s="220"/>
      <c r="Z82" s="220"/>
      <c r="AA82" s="220"/>
      <c r="AB82" s="302"/>
      <c r="AC82" s="303"/>
      <c r="AD82" s="303"/>
      <c r="AE82" s="303"/>
      <c r="AF82" s="220"/>
    </row>
    <row r="83" spans="1:32" x14ac:dyDescent="0.2">
      <c r="A83" s="234">
        <v>97509</v>
      </c>
      <c r="B83" s="329">
        <v>2016</v>
      </c>
      <c r="C83" s="329" t="s">
        <v>107</v>
      </c>
      <c r="D83" s="256"/>
      <c r="E83" s="330">
        <v>147</v>
      </c>
      <c r="F83" s="246">
        <v>0</v>
      </c>
      <c r="G83" s="246">
        <v>0</v>
      </c>
      <c r="H83" s="246">
        <v>2</v>
      </c>
      <c r="I83" s="246">
        <v>0</v>
      </c>
      <c r="J83" s="246">
        <v>1</v>
      </c>
      <c r="K83" s="246">
        <v>0</v>
      </c>
      <c r="L83" s="246">
        <v>0</v>
      </c>
      <c r="M83" s="246">
        <v>5</v>
      </c>
      <c r="N83" s="246"/>
      <c r="O83" s="246"/>
      <c r="P83" s="246"/>
      <c r="Q83" s="246"/>
      <c r="R83" s="238">
        <f t="shared" si="18"/>
        <v>8</v>
      </c>
      <c r="S83" s="239">
        <f t="shared" si="19"/>
        <v>1</v>
      </c>
      <c r="T83" s="240">
        <f t="shared" si="20"/>
        <v>139</v>
      </c>
      <c r="U83" s="307">
        <f t="shared" si="21"/>
        <v>139</v>
      </c>
      <c r="V83" s="329">
        <v>2016</v>
      </c>
      <c r="W83" s="329" t="s">
        <v>107</v>
      </c>
      <c r="X83" s="220"/>
      <c r="Y83" s="220"/>
      <c r="Z83" s="220"/>
      <c r="AA83" s="220"/>
      <c r="AB83" s="302"/>
      <c r="AC83" s="303"/>
      <c r="AD83" s="303"/>
      <c r="AE83" s="303"/>
      <c r="AF83" s="220"/>
    </row>
    <row r="84" spans="1:32" x14ac:dyDescent="0.2">
      <c r="A84" s="234">
        <v>97511</v>
      </c>
      <c r="B84" s="329">
        <v>2016</v>
      </c>
      <c r="C84" s="329" t="s">
        <v>25</v>
      </c>
      <c r="D84" s="256"/>
      <c r="E84" s="330">
        <v>310</v>
      </c>
      <c r="F84" s="237"/>
      <c r="G84" s="237"/>
      <c r="H84" s="237"/>
      <c r="I84" s="237"/>
      <c r="J84" s="237"/>
      <c r="K84" s="237"/>
      <c r="L84" s="246">
        <v>0</v>
      </c>
      <c r="M84" s="246">
        <v>0</v>
      </c>
      <c r="N84" s="246"/>
      <c r="O84" s="246"/>
      <c r="P84" s="246"/>
      <c r="Q84" s="246"/>
      <c r="R84" s="238">
        <f t="shared" si="18"/>
        <v>0</v>
      </c>
      <c r="S84" s="239">
        <f t="shared" si="19"/>
        <v>0</v>
      </c>
      <c r="T84" s="240">
        <f t="shared" si="20"/>
        <v>0</v>
      </c>
      <c r="U84" s="307">
        <f t="shared" si="21"/>
        <v>310</v>
      </c>
      <c r="V84" s="329">
        <v>2016</v>
      </c>
      <c r="W84" s="329" t="s">
        <v>25</v>
      </c>
      <c r="X84" s="220"/>
      <c r="Y84" s="220"/>
      <c r="Z84" s="220"/>
      <c r="AA84" s="220"/>
      <c r="AB84" s="302"/>
      <c r="AC84" s="303"/>
      <c r="AD84" s="303"/>
      <c r="AE84" s="303"/>
      <c r="AF84" s="220"/>
    </row>
    <row r="85" spans="1:32" x14ac:dyDescent="0.2">
      <c r="A85" s="234">
        <v>100465</v>
      </c>
      <c r="B85" s="329">
        <v>2016</v>
      </c>
      <c r="C85" s="329" t="s">
        <v>135</v>
      </c>
      <c r="D85" s="256"/>
      <c r="E85" s="330">
        <v>299</v>
      </c>
      <c r="F85" s="237"/>
      <c r="G85" s="237"/>
      <c r="H85" s="237"/>
      <c r="I85" s="237"/>
      <c r="J85" s="237"/>
      <c r="K85" s="237"/>
      <c r="L85" s="237"/>
      <c r="M85" s="237"/>
      <c r="N85" s="246"/>
      <c r="O85" s="246"/>
      <c r="P85" s="246"/>
      <c r="Q85" s="246"/>
      <c r="R85" s="238">
        <f t="shared" si="18"/>
        <v>0</v>
      </c>
      <c r="S85" s="239">
        <f t="shared" si="19"/>
        <v>0</v>
      </c>
      <c r="T85" s="240">
        <f t="shared" si="20"/>
        <v>0</v>
      </c>
      <c r="U85" s="307">
        <f t="shared" si="21"/>
        <v>299</v>
      </c>
      <c r="V85" s="329">
        <v>2016</v>
      </c>
      <c r="W85" s="329" t="s">
        <v>135</v>
      </c>
      <c r="X85" s="220"/>
      <c r="Y85" s="220"/>
      <c r="Z85" s="220"/>
      <c r="AA85" s="220"/>
      <c r="AB85" s="302"/>
      <c r="AC85" s="303"/>
      <c r="AD85" s="303"/>
      <c r="AE85" s="303"/>
      <c r="AF85" s="220"/>
    </row>
    <row r="86" spans="1:32" x14ac:dyDescent="0.2">
      <c r="A86" s="234">
        <v>101638</v>
      </c>
      <c r="B86" s="329">
        <v>2016</v>
      </c>
      <c r="C86" s="329" t="s">
        <v>26</v>
      </c>
      <c r="D86" s="256"/>
      <c r="E86" s="330">
        <v>200</v>
      </c>
      <c r="F86" s="237"/>
      <c r="G86" s="237"/>
      <c r="H86" s="237"/>
      <c r="I86" s="237"/>
      <c r="J86" s="237"/>
      <c r="K86" s="237"/>
      <c r="L86" s="237"/>
      <c r="M86" s="237"/>
      <c r="N86" s="246"/>
      <c r="O86" s="246"/>
      <c r="P86" s="246"/>
      <c r="Q86" s="246"/>
      <c r="R86" s="238">
        <f t="shared" si="18"/>
        <v>0</v>
      </c>
      <c r="S86" s="239">
        <f t="shared" si="19"/>
        <v>0</v>
      </c>
      <c r="T86" s="240">
        <f t="shared" si="20"/>
        <v>0</v>
      </c>
      <c r="U86" s="307">
        <f t="shared" si="21"/>
        <v>200</v>
      </c>
      <c r="V86" s="329">
        <v>2016</v>
      </c>
      <c r="W86" s="329" t="s">
        <v>26</v>
      </c>
      <c r="X86" s="220"/>
      <c r="Y86" s="220"/>
      <c r="Z86" s="220"/>
      <c r="AA86" s="220"/>
      <c r="AB86" s="302"/>
      <c r="AC86" s="303"/>
      <c r="AD86" s="303"/>
      <c r="AE86" s="303"/>
      <c r="AF86" s="220"/>
    </row>
    <row r="87" spans="1:32" x14ac:dyDescent="0.2">
      <c r="A87" s="234"/>
      <c r="B87" s="329"/>
      <c r="C87" s="329"/>
      <c r="D87" s="256"/>
      <c r="E87" s="330"/>
      <c r="F87" s="246"/>
      <c r="G87" s="246"/>
      <c r="H87" s="246"/>
      <c r="I87" s="246"/>
      <c r="J87" s="246"/>
      <c r="K87" s="246"/>
      <c r="L87" s="246"/>
      <c r="M87" s="246"/>
      <c r="N87" s="246"/>
      <c r="O87" s="246"/>
      <c r="P87" s="246"/>
      <c r="Q87" s="246"/>
      <c r="R87" s="238">
        <f t="shared" si="18"/>
        <v>0</v>
      </c>
      <c r="S87" s="239">
        <f t="shared" si="19"/>
        <v>0</v>
      </c>
      <c r="T87" s="240">
        <f t="shared" si="20"/>
        <v>0</v>
      </c>
      <c r="U87" s="307">
        <f t="shared" si="21"/>
        <v>0</v>
      </c>
      <c r="V87" s="329"/>
      <c r="W87" s="329"/>
      <c r="X87" s="220"/>
      <c r="Y87" s="220"/>
      <c r="Z87" s="220"/>
      <c r="AA87" s="220"/>
      <c r="AB87" s="302"/>
      <c r="AC87" s="303"/>
      <c r="AD87" s="303"/>
      <c r="AE87" s="303"/>
      <c r="AF87" s="220"/>
    </row>
    <row r="88" spans="1:32" x14ac:dyDescent="0.2">
      <c r="A88" s="226"/>
      <c r="B88" s="269"/>
      <c r="C88" s="269"/>
      <c r="D88" s="270"/>
      <c r="E88" s="272"/>
      <c r="F88" s="272"/>
      <c r="G88" s="272"/>
      <c r="H88" s="272"/>
      <c r="I88" s="272"/>
      <c r="J88" s="272"/>
      <c r="K88" s="272"/>
      <c r="L88" s="272"/>
      <c r="M88" s="272"/>
      <c r="N88" s="272"/>
      <c r="O88" s="272"/>
      <c r="P88" s="272"/>
      <c r="Q88" s="272"/>
      <c r="R88" s="269"/>
      <c r="S88" s="283"/>
      <c r="T88" s="284"/>
      <c r="U88" s="271"/>
      <c r="V88" s="269"/>
      <c r="W88" s="269"/>
      <c r="X88" s="220"/>
      <c r="Y88" s="220"/>
      <c r="Z88" s="220"/>
      <c r="AA88" s="220"/>
      <c r="AB88" s="302"/>
      <c r="AC88" s="303"/>
      <c r="AD88" s="303"/>
      <c r="AE88" s="303"/>
      <c r="AF88" s="220"/>
    </row>
    <row r="89" spans="1:32" x14ac:dyDescent="0.2">
      <c r="A89" s="234"/>
      <c r="B89" s="234">
        <v>2014</v>
      </c>
      <c r="C89" s="234"/>
      <c r="D89" s="262"/>
      <c r="E89" s="267">
        <f t="shared" ref="E89:R89" si="22">SUM(E67:E71)</f>
        <v>1203</v>
      </c>
      <c r="F89" s="267">
        <f t="shared" si="22"/>
        <v>0</v>
      </c>
      <c r="G89" s="267">
        <f t="shared" si="22"/>
        <v>9</v>
      </c>
      <c r="H89" s="267">
        <f t="shared" si="22"/>
        <v>29</v>
      </c>
      <c r="I89" s="267">
        <f t="shared" si="22"/>
        <v>15</v>
      </c>
      <c r="J89" s="267">
        <f t="shared" si="22"/>
        <v>0</v>
      </c>
      <c r="K89" s="267">
        <f t="shared" si="22"/>
        <v>16</v>
      </c>
      <c r="L89" s="267">
        <f t="shared" si="22"/>
        <v>0</v>
      </c>
      <c r="M89" s="267">
        <f t="shared" si="22"/>
        <v>0</v>
      </c>
      <c r="N89" s="267">
        <f t="shared" si="22"/>
        <v>0</v>
      </c>
      <c r="O89" s="267">
        <f t="shared" si="22"/>
        <v>0</v>
      </c>
      <c r="P89" s="267">
        <f t="shared" si="22"/>
        <v>0</v>
      </c>
      <c r="Q89" s="267">
        <f t="shared" si="22"/>
        <v>0</v>
      </c>
      <c r="R89" s="238">
        <f t="shared" si="22"/>
        <v>69</v>
      </c>
      <c r="S89" s="239">
        <f>IFERROR((AVERAGE(F89:Q89)),0)</f>
        <v>5.75</v>
      </c>
      <c r="T89" s="240">
        <f>IFERROR((U89/S89),0)</f>
        <v>197.21739130434781</v>
      </c>
      <c r="U89" s="307">
        <f>SUM(E89-R89)</f>
        <v>1134</v>
      </c>
      <c r="V89" s="234">
        <v>2014</v>
      </c>
      <c r="W89" s="234"/>
      <c r="X89" s="220"/>
      <c r="Y89" s="220"/>
      <c r="Z89" s="220"/>
      <c r="AA89" s="220"/>
      <c r="AB89" s="302"/>
      <c r="AC89" s="303"/>
      <c r="AD89" s="303"/>
      <c r="AE89" s="303"/>
      <c r="AF89" s="220"/>
    </row>
    <row r="90" spans="1:32" x14ac:dyDescent="0.2">
      <c r="A90" s="234"/>
      <c r="B90" s="234">
        <v>2015</v>
      </c>
      <c r="C90" s="234"/>
      <c r="D90" s="262"/>
      <c r="E90" s="267">
        <f t="shared" ref="E90:R90" si="23">SUM(E73:E80)</f>
        <v>1438</v>
      </c>
      <c r="F90" s="267">
        <f t="shared" si="23"/>
        <v>18</v>
      </c>
      <c r="G90" s="267">
        <f t="shared" si="23"/>
        <v>56</v>
      </c>
      <c r="H90" s="267">
        <f t="shared" si="23"/>
        <v>119</v>
      </c>
      <c r="I90" s="267">
        <f t="shared" si="23"/>
        <v>1</v>
      </c>
      <c r="J90" s="267">
        <f t="shared" si="23"/>
        <v>17</v>
      </c>
      <c r="K90" s="267">
        <f t="shared" si="23"/>
        <v>46</v>
      </c>
      <c r="L90" s="267">
        <f t="shared" si="23"/>
        <v>9</v>
      </c>
      <c r="M90" s="267">
        <f t="shared" si="23"/>
        <v>12</v>
      </c>
      <c r="N90" s="267">
        <f t="shared" si="23"/>
        <v>5</v>
      </c>
      <c r="O90" s="267">
        <f t="shared" si="23"/>
        <v>0</v>
      </c>
      <c r="P90" s="267">
        <f t="shared" si="23"/>
        <v>0</v>
      </c>
      <c r="Q90" s="267">
        <f t="shared" si="23"/>
        <v>0</v>
      </c>
      <c r="R90" s="238">
        <f t="shared" si="23"/>
        <v>283</v>
      </c>
      <c r="S90" s="239">
        <f>IFERROR((AVERAGE(F90:Q90)),0)</f>
        <v>23.583333333333332</v>
      </c>
      <c r="T90" s="240">
        <f>IFERROR((U90/S90),0)</f>
        <v>48.975265017667844</v>
      </c>
      <c r="U90" s="307">
        <f>SUM(E90-R90)</f>
        <v>1155</v>
      </c>
      <c r="V90" s="234">
        <v>2015</v>
      </c>
      <c r="W90" s="234"/>
      <c r="X90" s="220"/>
      <c r="Y90" s="220"/>
      <c r="Z90" s="220"/>
      <c r="AA90" s="220"/>
      <c r="AB90" s="302"/>
      <c r="AC90" s="303"/>
      <c r="AD90" s="303"/>
      <c r="AE90" s="303"/>
      <c r="AF90" s="220"/>
    </row>
    <row r="91" spans="1:32" x14ac:dyDescent="0.2">
      <c r="A91" s="220"/>
      <c r="B91" s="266" t="s">
        <v>59</v>
      </c>
      <c r="C91" s="234"/>
      <c r="D91" s="234"/>
      <c r="E91" s="279">
        <f>SUM(E89:E90)</f>
        <v>2641</v>
      </c>
      <c r="F91" s="279">
        <f>SUM(F89:F90)</f>
        <v>18</v>
      </c>
      <c r="G91" s="279">
        <f t="shared" ref="G91:Q91" si="24">SUM(G89:G90)</f>
        <v>65</v>
      </c>
      <c r="H91" s="279">
        <f t="shared" si="24"/>
        <v>148</v>
      </c>
      <c r="I91" s="279">
        <f t="shared" si="24"/>
        <v>16</v>
      </c>
      <c r="J91" s="279">
        <f t="shared" si="24"/>
        <v>17</v>
      </c>
      <c r="K91" s="279">
        <f t="shared" si="24"/>
        <v>62</v>
      </c>
      <c r="L91" s="279">
        <f t="shared" si="24"/>
        <v>9</v>
      </c>
      <c r="M91" s="279">
        <f t="shared" si="24"/>
        <v>12</v>
      </c>
      <c r="N91" s="279">
        <f t="shared" si="24"/>
        <v>5</v>
      </c>
      <c r="O91" s="279">
        <f t="shared" si="24"/>
        <v>0</v>
      </c>
      <c r="P91" s="279">
        <f t="shared" si="24"/>
        <v>0</v>
      </c>
      <c r="Q91" s="279">
        <f t="shared" si="24"/>
        <v>0</v>
      </c>
      <c r="R91" s="234">
        <f>SUM(R89:R90)</f>
        <v>352</v>
      </c>
      <c r="S91" s="234">
        <f>SUM(S89:S90)</f>
        <v>29.333333333333332</v>
      </c>
      <c r="T91" s="234">
        <f>SUM(T89:T90)</f>
        <v>246.19265632201567</v>
      </c>
      <c r="U91" s="279">
        <f>SUM(U89:U90)</f>
        <v>2289</v>
      </c>
      <c r="V91" s="266" t="s">
        <v>59</v>
      </c>
      <c r="W91" s="234"/>
      <c r="X91" s="220"/>
      <c r="Y91" s="220"/>
      <c r="Z91" s="220"/>
      <c r="AA91" s="220"/>
      <c r="AB91" s="302"/>
      <c r="AC91" s="303"/>
      <c r="AD91" s="303"/>
      <c r="AE91" s="303"/>
      <c r="AF91" s="220"/>
    </row>
    <row r="92" spans="1:32" x14ac:dyDescent="0.2">
      <c r="A92" s="226"/>
      <c r="B92" s="269"/>
      <c r="C92" s="269"/>
      <c r="D92" s="270"/>
      <c r="E92" s="272"/>
      <c r="F92" s="272"/>
      <c r="G92" s="272"/>
      <c r="H92" s="272"/>
      <c r="I92" s="272"/>
      <c r="J92" s="272"/>
      <c r="K92" s="272"/>
      <c r="L92" s="272"/>
      <c r="M92" s="272"/>
      <c r="N92" s="272"/>
      <c r="O92" s="272"/>
      <c r="P92" s="272"/>
      <c r="Q92" s="272"/>
      <c r="R92" s="269"/>
      <c r="S92" s="270"/>
      <c r="T92" s="273"/>
      <c r="U92" s="328"/>
      <c r="V92" s="269"/>
      <c r="W92" s="269"/>
      <c r="X92" s="220"/>
      <c r="Y92" s="220"/>
      <c r="Z92" s="220"/>
      <c r="AA92" s="220"/>
      <c r="AB92" s="302"/>
      <c r="AC92" s="303"/>
      <c r="AD92" s="303"/>
      <c r="AE92" s="303"/>
      <c r="AF92" s="220"/>
    </row>
    <row r="93" spans="1:32" x14ac:dyDescent="0.2">
      <c r="A93" s="220"/>
      <c r="B93" s="220"/>
      <c r="C93" s="220"/>
      <c r="D93" s="220"/>
      <c r="E93" s="220"/>
      <c r="F93" s="220"/>
      <c r="G93" s="220"/>
      <c r="H93" s="220"/>
      <c r="I93" s="220"/>
      <c r="J93" s="220"/>
      <c r="K93" s="220"/>
      <c r="L93" s="220"/>
      <c r="M93" s="220"/>
      <c r="N93" s="220"/>
      <c r="O93" s="220"/>
      <c r="P93" s="220"/>
      <c r="Q93" s="220"/>
      <c r="R93" s="220"/>
      <c r="S93" s="220"/>
      <c r="T93" s="220"/>
      <c r="U93" s="221"/>
      <c r="V93" s="220"/>
      <c r="W93" s="220"/>
      <c r="X93" s="220"/>
      <c r="Y93" s="220"/>
      <c r="Z93" s="220"/>
      <c r="AA93" s="220"/>
      <c r="AB93" s="302"/>
      <c r="AC93" s="303"/>
      <c r="AD93" s="303"/>
      <c r="AE93" s="303"/>
      <c r="AF93" s="220"/>
    </row>
    <row r="94" spans="1:32" x14ac:dyDescent="0.2">
      <c r="A94" s="281"/>
      <c r="B94" s="282"/>
      <c r="C94" s="282"/>
      <c r="D94" s="283"/>
      <c r="E94" s="271"/>
      <c r="F94" s="271"/>
      <c r="G94" s="271"/>
      <c r="H94" s="271"/>
      <c r="I94" s="271"/>
      <c r="J94" s="271"/>
      <c r="K94" s="271"/>
      <c r="L94" s="271"/>
      <c r="M94" s="271"/>
      <c r="N94" s="271"/>
      <c r="O94" s="271"/>
      <c r="P94" s="271"/>
      <c r="Q94" s="271"/>
      <c r="R94" s="282"/>
      <c r="S94" s="283"/>
      <c r="T94" s="284"/>
      <c r="U94" s="271"/>
      <c r="V94" s="282"/>
      <c r="W94" s="282"/>
      <c r="X94" s="220"/>
      <c r="Y94" s="220"/>
      <c r="Z94" s="220"/>
      <c r="AA94" s="220"/>
      <c r="AB94" s="302"/>
      <c r="AC94" s="303"/>
      <c r="AD94" s="303"/>
      <c r="AE94" s="303"/>
      <c r="AF94" s="220"/>
    </row>
    <row r="95" spans="1:32" ht="15.75" x14ac:dyDescent="0.25">
      <c r="A95" s="220"/>
      <c r="B95" s="278" t="s">
        <v>137</v>
      </c>
      <c r="C95" s="220"/>
      <c r="D95" s="275"/>
      <c r="E95" s="221"/>
      <c r="F95" s="221"/>
      <c r="G95" s="221"/>
      <c r="H95" s="221"/>
      <c r="I95" s="221"/>
      <c r="J95" s="221"/>
      <c r="K95" s="221"/>
      <c r="L95" s="221"/>
      <c r="M95" s="221"/>
      <c r="N95" s="221"/>
      <c r="O95" s="221"/>
      <c r="P95" s="221"/>
      <c r="Q95" s="221"/>
      <c r="R95" s="220"/>
      <c r="S95" s="275"/>
      <c r="T95" s="277"/>
      <c r="U95" s="221"/>
      <c r="V95" s="278" t="s">
        <v>137</v>
      </c>
      <c r="W95" s="220"/>
      <c r="X95" s="220"/>
      <c r="Y95" s="220"/>
      <c r="Z95" s="220"/>
      <c r="AA95" s="220"/>
      <c r="AB95" s="302"/>
      <c r="AC95" s="303"/>
      <c r="AD95" s="303"/>
      <c r="AE95" s="303"/>
      <c r="AF95" s="220"/>
    </row>
    <row r="96" spans="1:32" x14ac:dyDescent="0.2">
      <c r="A96" s="234"/>
      <c r="B96" s="233">
        <v>2012</v>
      </c>
      <c r="C96" s="234"/>
      <c r="D96" s="262"/>
      <c r="E96" s="263" t="e">
        <f>#REF!</f>
        <v>#REF!</v>
      </c>
      <c r="F96" s="263" t="e">
        <f>#REF!</f>
        <v>#REF!</v>
      </c>
      <c r="G96" s="263" t="e">
        <f>#REF!</f>
        <v>#REF!</v>
      </c>
      <c r="H96" s="263" t="e">
        <f>#REF!</f>
        <v>#REF!</v>
      </c>
      <c r="I96" s="263" t="e">
        <f>#REF!</f>
        <v>#REF!</v>
      </c>
      <c r="J96" s="263" t="e">
        <f>#REF!</f>
        <v>#REF!</v>
      </c>
      <c r="K96" s="263" t="e">
        <f>#REF!</f>
        <v>#REF!</v>
      </c>
      <c r="L96" s="263" t="e">
        <f>#REF!</f>
        <v>#REF!</v>
      </c>
      <c r="M96" s="263" t="e">
        <f>#REF!</f>
        <v>#REF!</v>
      </c>
      <c r="N96" s="263" t="e">
        <f>#REF!</f>
        <v>#REF!</v>
      </c>
      <c r="O96" s="263" t="e">
        <f>#REF!</f>
        <v>#REF!</v>
      </c>
      <c r="P96" s="263" t="e">
        <f>#REF!</f>
        <v>#REF!</v>
      </c>
      <c r="Q96" s="263" t="e">
        <f>#REF!</f>
        <v>#REF!</v>
      </c>
      <c r="R96" s="238" t="e">
        <f>#REF!</f>
        <v>#REF!</v>
      </c>
      <c r="S96" s="239" t="e">
        <f>AVERAGE(F96:Q96)</f>
        <v>#REF!</v>
      </c>
      <c r="T96" s="240" t="e">
        <f>U96/S96</f>
        <v>#REF!</v>
      </c>
      <c r="U96" s="307" t="e">
        <f>SUM(E96-R96)</f>
        <v>#REF!</v>
      </c>
      <c r="V96" s="233">
        <v>2012</v>
      </c>
      <c r="W96" s="234"/>
      <c r="X96" s="220"/>
      <c r="Y96" s="220"/>
      <c r="Z96" s="220"/>
      <c r="AA96" s="220"/>
      <c r="AB96" s="302"/>
      <c r="AC96" s="303"/>
      <c r="AD96" s="303"/>
      <c r="AE96" s="303"/>
      <c r="AF96" s="220"/>
    </row>
    <row r="97" spans="1:32" x14ac:dyDescent="0.2">
      <c r="A97" s="234"/>
      <c r="B97" s="233">
        <v>2013</v>
      </c>
      <c r="C97" s="234"/>
      <c r="D97" s="262"/>
      <c r="E97" s="263">
        <f t="shared" ref="E97:R97" si="25">E57</f>
        <v>291</v>
      </c>
      <c r="F97" s="263">
        <f t="shared" si="25"/>
        <v>35</v>
      </c>
      <c r="G97" s="263">
        <f t="shared" si="25"/>
        <v>35</v>
      </c>
      <c r="H97" s="263">
        <f t="shared" si="25"/>
        <v>31</v>
      </c>
      <c r="I97" s="263">
        <f t="shared" si="25"/>
        <v>37</v>
      </c>
      <c r="J97" s="263">
        <f t="shared" si="25"/>
        <v>24</v>
      </c>
      <c r="K97" s="263">
        <f t="shared" si="25"/>
        <v>21</v>
      </c>
      <c r="L97" s="263">
        <f t="shared" si="25"/>
        <v>62</v>
      </c>
      <c r="M97" s="263">
        <f t="shared" si="25"/>
        <v>18</v>
      </c>
      <c r="N97" s="263">
        <f t="shared" si="25"/>
        <v>0</v>
      </c>
      <c r="O97" s="263">
        <f t="shared" si="25"/>
        <v>0</v>
      </c>
      <c r="P97" s="263">
        <f t="shared" si="25"/>
        <v>0</v>
      </c>
      <c r="Q97" s="263">
        <f t="shared" si="25"/>
        <v>0</v>
      </c>
      <c r="R97" s="238">
        <f t="shared" si="25"/>
        <v>263</v>
      </c>
      <c r="S97" s="264">
        <f>AVERAGE(F97:Q97)</f>
        <v>21.916666666666668</v>
      </c>
      <c r="T97" s="265">
        <f>U97/S97</f>
        <v>1.2775665399239544</v>
      </c>
      <c r="U97" s="307">
        <f>SUM(E97-R97)</f>
        <v>28</v>
      </c>
      <c r="V97" s="233">
        <v>2013</v>
      </c>
      <c r="W97" s="234"/>
      <c r="X97" s="220"/>
      <c r="Y97" s="220"/>
      <c r="Z97" s="220"/>
      <c r="AA97" s="220"/>
      <c r="AB97" s="302"/>
      <c r="AC97" s="303"/>
      <c r="AD97" s="303"/>
      <c r="AE97" s="303"/>
      <c r="AF97" s="220"/>
    </row>
    <row r="98" spans="1:32" x14ac:dyDescent="0.2">
      <c r="A98" s="234"/>
      <c r="B98" s="233">
        <v>2014</v>
      </c>
      <c r="C98" s="234"/>
      <c r="D98" s="262"/>
      <c r="E98" s="263">
        <f t="shared" ref="E98:Q98" si="26">E89+E58</f>
        <v>3360</v>
      </c>
      <c r="F98" s="263">
        <f t="shared" si="26"/>
        <v>188</v>
      </c>
      <c r="G98" s="263">
        <f t="shared" si="26"/>
        <v>323</v>
      </c>
      <c r="H98" s="263">
        <f t="shared" si="26"/>
        <v>277</v>
      </c>
      <c r="I98" s="263">
        <f t="shared" si="26"/>
        <v>245</v>
      </c>
      <c r="J98" s="263">
        <f t="shared" si="26"/>
        <v>175</v>
      </c>
      <c r="K98" s="263">
        <f t="shared" si="26"/>
        <v>195</v>
      </c>
      <c r="L98" s="263">
        <f t="shared" si="26"/>
        <v>133</v>
      </c>
      <c r="M98" s="263">
        <f t="shared" si="26"/>
        <v>164</v>
      </c>
      <c r="N98" s="263">
        <f t="shared" si="26"/>
        <v>83</v>
      </c>
      <c r="O98" s="263">
        <f t="shared" si="26"/>
        <v>67</v>
      </c>
      <c r="P98" s="263">
        <f t="shared" si="26"/>
        <v>88</v>
      </c>
      <c r="Q98" s="263">
        <f t="shared" si="26"/>
        <v>81</v>
      </c>
      <c r="R98" s="238">
        <f>R58+R89</f>
        <v>2019</v>
      </c>
      <c r="S98" s="264">
        <f>AVERAGE(F98:Q98)</f>
        <v>168.25</v>
      </c>
      <c r="T98" s="265">
        <f>U98/S98</f>
        <v>7.9702823179791977</v>
      </c>
      <c r="U98" s="307">
        <f>SUM(E98-R98)</f>
        <v>1341</v>
      </c>
      <c r="V98" s="233">
        <v>2014</v>
      </c>
      <c r="W98" s="234"/>
      <c r="X98" s="220"/>
      <c r="Y98" s="220"/>
      <c r="Z98" s="220"/>
      <c r="AA98" s="220"/>
      <c r="AB98" s="302"/>
      <c r="AC98" s="303"/>
      <c r="AD98" s="303"/>
      <c r="AE98" s="303"/>
      <c r="AF98" s="220"/>
    </row>
    <row r="99" spans="1:32" x14ac:dyDescent="0.2">
      <c r="A99" s="234"/>
      <c r="B99" s="233">
        <v>2015</v>
      </c>
      <c r="C99" s="234"/>
      <c r="D99" s="262"/>
      <c r="E99" s="263">
        <f t="shared" ref="E99:Q99" si="27">E90+E59</f>
        <v>4704</v>
      </c>
      <c r="F99" s="263">
        <f t="shared" si="27"/>
        <v>82</v>
      </c>
      <c r="G99" s="263">
        <f t="shared" si="27"/>
        <v>76</v>
      </c>
      <c r="H99" s="263">
        <f t="shared" si="27"/>
        <v>266</v>
      </c>
      <c r="I99" s="263">
        <f t="shared" si="27"/>
        <v>124</v>
      </c>
      <c r="J99" s="263">
        <f t="shared" si="27"/>
        <v>289</v>
      </c>
      <c r="K99" s="263">
        <f t="shared" si="27"/>
        <v>164</v>
      </c>
      <c r="L99" s="263">
        <f t="shared" si="27"/>
        <v>268</v>
      </c>
      <c r="M99" s="263">
        <f t="shared" si="27"/>
        <v>174</v>
      </c>
      <c r="N99" s="263">
        <f t="shared" si="27"/>
        <v>226</v>
      </c>
      <c r="O99" s="263">
        <f t="shared" si="27"/>
        <v>200</v>
      </c>
      <c r="P99" s="263">
        <f t="shared" si="27"/>
        <v>208</v>
      </c>
      <c r="Q99" s="263">
        <f t="shared" si="27"/>
        <v>226</v>
      </c>
      <c r="R99" s="238">
        <f>R59+R90</f>
        <v>2128</v>
      </c>
      <c r="S99" s="264">
        <f>AVERAGE(F99:Q99)</f>
        <v>191.91666666666666</v>
      </c>
      <c r="T99" s="265">
        <f>U99/S99</f>
        <v>13.422492401215806</v>
      </c>
      <c r="U99" s="307">
        <f>SUM(E99-R99)</f>
        <v>2576</v>
      </c>
      <c r="V99" s="233">
        <v>2015</v>
      </c>
      <c r="W99" s="234"/>
      <c r="X99" s="220"/>
      <c r="Y99" s="220"/>
      <c r="Z99" s="220"/>
      <c r="AA99" s="220"/>
      <c r="AB99" s="302"/>
      <c r="AC99" s="303"/>
      <c r="AD99" s="303"/>
      <c r="AE99" s="303"/>
      <c r="AF99" s="220"/>
    </row>
    <row r="100" spans="1:32" x14ac:dyDescent="0.2">
      <c r="A100" s="234"/>
      <c r="B100" s="266" t="s">
        <v>59</v>
      </c>
      <c r="C100" s="234"/>
      <c r="D100" s="262"/>
      <c r="E100" s="267" t="e">
        <f>SUM(E96:E99)</f>
        <v>#REF!</v>
      </c>
      <c r="F100" s="267" t="e">
        <f t="shared" ref="F100:Q100" si="28">SUM(F96:F99)</f>
        <v>#REF!</v>
      </c>
      <c r="G100" s="267" t="e">
        <f t="shared" si="28"/>
        <v>#REF!</v>
      </c>
      <c r="H100" s="267" t="e">
        <f t="shared" si="28"/>
        <v>#REF!</v>
      </c>
      <c r="I100" s="267" t="e">
        <f t="shared" si="28"/>
        <v>#REF!</v>
      </c>
      <c r="J100" s="267" t="e">
        <f t="shared" si="28"/>
        <v>#REF!</v>
      </c>
      <c r="K100" s="267" t="e">
        <f t="shared" si="28"/>
        <v>#REF!</v>
      </c>
      <c r="L100" s="267" t="e">
        <f t="shared" si="28"/>
        <v>#REF!</v>
      </c>
      <c r="M100" s="267" t="e">
        <f t="shared" si="28"/>
        <v>#REF!</v>
      </c>
      <c r="N100" s="267" t="e">
        <f t="shared" si="28"/>
        <v>#REF!</v>
      </c>
      <c r="O100" s="267" t="e">
        <f t="shared" si="28"/>
        <v>#REF!</v>
      </c>
      <c r="P100" s="267" t="e">
        <f t="shared" si="28"/>
        <v>#REF!</v>
      </c>
      <c r="Q100" s="267" t="e">
        <f t="shared" si="28"/>
        <v>#REF!</v>
      </c>
      <c r="R100" s="238" t="e">
        <f>SUM(R96:R99)</f>
        <v>#REF!</v>
      </c>
      <c r="S100" s="268" t="e">
        <f>SUM(S96:S99)</f>
        <v>#REF!</v>
      </c>
      <c r="T100" s="240" t="e">
        <f>U100/S100</f>
        <v>#REF!</v>
      </c>
      <c r="U100" s="307" t="e">
        <f>SUM(E100-R100)</f>
        <v>#REF!</v>
      </c>
      <c r="V100" s="266" t="s">
        <v>59</v>
      </c>
      <c r="W100" s="234"/>
      <c r="X100" s="220"/>
      <c r="Y100" s="220"/>
      <c r="Z100" s="220"/>
      <c r="AA100" s="220"/>
      <c r="AB100" s="302"/>
      <c r="AC100" s="303"/>
      <c r="AD100" s="303"/>
      <c r="AE100" s="303"/>
      <c r="AF100" s="220"/>
    </row>
    <row r="101" spans="1:32" x14ac:dyDescent="0.2">
      <c r="A101" s="226"/>
      <c r="B101" s="269"/>
      <c r="C101" s="269"/>
      <c r="D101" s="270"/>
      <c r="E101" s="272"/>
      <c r="F101" s="272"/>
      <c r="G101" s="272"/>
      <c r="H101" s="272"/>
      <c r="I101" s="272"/>
      <c r="J101" s="272"/>
      <c r="K101" s="272"/>
      <c r="L101" s="272"/>
      <c r="M101" s="272"/>
      <c r="N101" s="272"/>
      <c r="O101" s="272"/>
      <c r="P101" s="272"/>
      <c r="Q101" s="272"/>
      <c r="R101" s="269"/>
      <c r="S101" s="270"/>
      <c r="T101" s="273"/>
      <c r="U101" s="328"/>
      <c r="V101" s="269"/>
      <c r="W101" s="269"/>
      <c r="X101" s="220"/>
      <c r="Y101" s="220"/>
      <c r="Z101" s="220"/>
      <c r="AA101" s="220"/>
      <c r="AB101" s="302"/>
      <c r="AC101" s="303"/>
      <c r="AD101" s="303"/>
      <c r="AE101" s="303"/>
      <c r="AF101" s="220"/>
    </row>
    <row r="102" spans="1:32" ht="15.75" thickBot="1" x14ac:dyDescent="0.25">
      <c r="A102" s="220"/>
      <c r="B102" s="220"/>
      <c r="C102" s="220"/>
      <c r="D102" s="220"/>
      <c r="E102" s="221"/>
      <c r="F102" s="221"/>
      <c r="G102" s="221"/>
      <c r="H102" s="221"/>
      <c r="I102" s="221"/>
      <c r="J102" s="221"/>
      <c r="K102" s="221"/>
      <c r="L102" s="221"/>
      <c r="M102" s="221"/>
      <c r="N102" s="221"/>
      <c r="O102" s="221"/>
      <c r="P102" s="221"/>
      <c r="Q102" s="221"/>
      <c r="R102" s="220"/>
      <c r="S102" s="275"/>
      <c r="T102" s="277"/>
      <c r="U102" s="276"/>
      <c r="V102" s="220"/>
      <c r="W102" s="220"/>
      <c r="X102" s="220"/>
      <c r="Y102" s="220"/>
      <c r="Z102" s="220"/>
      <c r="AA102" s="220"/>
      <c r="AB102" s="302"/>
      <c r="AC102" s="303"/>
      <c r="AD102" s="303"/>
      <c r="AE102" s="303"/>
      <c r="AF102" s="220"/>
    </row>
    <row r="103" spans="1:32" ht="48" thickBot="1" x14ac:dyDescent="0.3">
      <c r="A103" s="220"/>
      <c r="B103" s="286" t="s">
        <v>60</v>
      </c>
      <c r="C103" s="287"/>
      <c r="D103" s="287"/>
      <c r="E103" s="127" t="s">
        <v>138</v>
      </c>
      <c r="F103" s="452" t="s">
        <v>139</v>
      </c>
      <c r="G103" s="453"/>
      <c r="H103" s="453"/>
      <c r="I103" s="453"/>
      <c r="J103" s="453"/>
      <c r="K103" s="453"/>
      <c r="L103" s="453"/>
      <c r="M103" s="453"/>
      <c r="N103" s="453"/>
      <c r="O103" s="453"/>
      <c r="P103" s="453"/>
      <c r="Q103" s="453"/>
      <c r="R103" s="119" t="s">
        <v>63</v>
      </c>
      <c r="S103" s="288"/>
      <c r="T103" s="288"/>
      <c r="U103" s="221"/>
      <c r="V103" s="286" t="s">
        <v>60</v>
      </c>
      <c r="W103" s="287"/>
      <c r="X103" s="220"/>
      <c r="Y103" s="220"/>
      <c r="Z103" s="220"/>
      <c r="AA103" s="220"/>
      <c r="AB103" s="302"/>
      <c r="AC103" s="303"/>
      <c r="AD103" s="303"/>
      <c r="AE103" s="303"/>
      <c r="AF103" s="220"/>
    </row>
    <row r="104" spans="1:32" ht="15.75" x14ac:dyDescent="0.25">
      <c r="A104" s="220"/>
      <c r="B104" s="289"/>
      <c r="C104" s="289"/>
      <c r="D104" s="289"/>
      <c r="E104" s="290"/>
      <c r="F104" s="291"/>
      <c r="G104" s="291"/>
      <c r="H104" s="291"/>
      <c r="I104" s="291"/>
      <c r="J104" s="291"/>
      <c r="K104" s="291"/>
      <c r="L104" s="291"/>
      <c r="M104" s="291"/>
      <c r="N104" s="291"/>
      <c r="O104" s="291"/>
      <c r="P104" s="291"/>
      <c r="Q104" s="292"/>
      <c r="R104" s="289"/>
      <c r="S104" s="220"/>
      <c r="T104" s="220"/>
      <c r="U104" s="331"/>
      <c r="V104" s="289"/>
      <c r="W104" s="289"/>
      <c r="X104" s="220"/>
      <c r="Y104" s="220"/>
      <c r="Z104" s="220"/>
      <c r="AA104" s="220"/>
      <c r="AB104" s="302"/>
      <c r="AC104" s="303"/>
      <c r="AD104" s="303"/>
      <c r="AE104" s="303"/>
      <c r="AF104" s="220"/>
    </row>
    <row r="105" spans="1:32" x14ac:dyDescent="0.2">
      <c r="A105" s="220"/>
      <c r="B105" s="234"/>
      <c r="C105" s="234"/>
      <c r="D105" s="234"/>
      <c r="E105" s="291"/>
      <c r="F105" s="236"/>
      <c r="G105" s="236"/>
      <c r="H105" s="236"/>
      <c r="I105" s="236"/>
      <c r="J105" s="236"/>
      <c r="K105" s="236"/>
      <c r="L105" s="236"/>
      <c r="M105" s="236"/>
      <c r="N105" s="236"/>
      <c r="O105" s="236"/>
      <c r="P105" s="236"/>
      <c r="Q105" s="293"/>
      <c r="R105" s="234"/>
      <c r="S105" s="220"/>
      <c r="T105" s="220"/>
      <c r="U105" s="221"/>
      <c r="V105" s="234"/>
      <c r="W105" s="234"/>
      <c r="X105" s="220"/>
      <c r="Y105" s="220"/>
      <c r="Z105" s="220"/>
      <c r="AA105" s="220"/>
      <c r="AB105" s="302"/>
      <c r="AC105" s="303"/>
      <c r="AD105" s="303"/>
      <c r="AE105" s="303"/>
      <c r="AF105" s="220"/>
    </row>
    <row r="106" spans="1:32" x14ac:dyDescent="0.2">
      <c r="A106" s="220"/>
      <c r="B106" s="228"/>
      <c r="C106" s="228"/>
      <c r="D106" s="228"/>
      <c r="E106" s="229"/>
      <c r="F106" s="229"/>
      <c r="G106" s="229"/>
      <c r="H106" s="229"/>
      <c r="I106" s="229"/>
      <c r="J106" s="229"/>
      <c r="K106" s="229"/>
      <c r="L106" s="229"/>
      <c r="M106" s="229"/>
      <c r="N106" s="229"/>
      <c r="O106" s="229"/>
      <c r="P106" s="229"/>
      <c r="Q106" s="294"/>
      <c r="R106" s="228"/>
      <c r="S106" s="220"/>
      <c r="T106" s="220"/>
      <c r="U106" s="221"/>
      <c r="V106" s="228"/>
      <c r="W106" s="228"/>
      <c r="X106" s="220"/>
      <c r="Y106" s="220"/>
      <c r="Z106" s="220"/>
      <c r="AA106" s="220"/>
      <c r="AB106" s="302"/>
      <c r="AC106" s="303"/>
      <c r="AD106" s="303"/>
      <c r="AE106" s="303"/>
      <c r="AF106" s="220"/>
    </row>
    <row r="107" spans="1:32" x14ac:dyDescent="0.2">
      <c r="A107" s="220"/>
      <c r="B107" s="234"/>
      <c r="C107" s="234"/>
      <c r="D107" s="234"/>
      <c r="E107" s="236"/>
      <c r="F107" s="236"/>
      <c r="G107" s="236"/>
      <c r="H107" s="236"/>
      <c r="I107" s="236"/>
      <c r="J107" s="236"/>
      <c r="K107" s="236"/>
      <c r="L107" s="236"/>
      <c r="M107" s="236"/>
      <c r="N107" s="236"/>
      <c r="O107" s="236"/>
      <c r="P107" s="236"/>
      <c r="Q107" s="293"/>
      <c r="R107" s="234"/>
      <c r="S107" s="220"/>
      <c r="T107" s="220"/>
      <c r="U107" s="221"/>
      <c r="V107" s="234"/>
      <c r="W107" s="234"/>
      <c r="X107" s="220"/>
      <c r="Y107" s="220"/>
      <c r="Z107" s="220"/>
      <c r="AA107" s="220"/>
      <c r="AB107" s="302"/>
      <c r="AC107" s="303"/>
      <c r="AD107" s="303"/>
      <c r="AE107" s="303"/>
      <c r="AF107" s="220"/>
    </row>
    <row r="108" spans="1:32" x14ac:dyDescent="0.2">
      <c r="A108" s="220"/>
      <c r="B108" s="234"/>
      <c r="C108" s="234"/>
      <c r="D108" s="234"/>
      <c r="E108" s="236"/>
      <c r="F108" s="236"/>
      <c r="G108" s="236"/>
      <c r="H108" s="236"/>
      <c r="I108" s="236"/>
      <c r="J108" s="236"/>
      <c r="K108" s="236"/>
      <c r="L108" s="236"/>
      <c r="M108" s="236"/>
      <c r="N108" s="236"/>
      <c r="O108" s="236"/>
      <c r="P108" s="236"/>
      <c r="Q108" s="293"/>
      <c r="R108" s="234"/>
      <c r="S108" s="220"/>
      <c r="T108" s="220"/>
      <c r="U108" s="221"/>
      <c r="V108" s="234"/>
      <c r="W108" s="234"/>
      <c r="X108" s="220"/>
      <c r="Y108" s="220"/>
      <c r="Z108" s="220"/>
      <c r="AA108" s="220"/>
      <c r="AB108" s="302"/>
      <c r="AC108" s="303"/>
      <c r="AD108" s="303"/>
      <c r="AE108" s="303"/>
      <c r="AF108" s="220"/>
    </row>
    <row r="109" spans="1:32" x14ac:dyDescent="0.2">
      <c r="A109" s="220"/>
      <c r="B109" s="282"/>
      <c r="C109" s="282"/>
      <c r="D109" s="282"/>
      <c r="E109" s="271"/>
      <c r="F109" s="271"/>
      <c r="G109" s="271"/>
      <c r="H109" s="271"/>
      <c r="I109" s="271"/>
      <c r="J109" s="271"/>
      <c r="K109" s="271"/>
      <c r="L109" s="271"/>
      <c r="M109" s="271"/>
      <c r="N109" s="271"/>
      <c r="O109" s="271"/>
      <c r="P109" s="271"/>
      <c r="Q109" s="271"/>
      <c r="R109" s="228"/>
      <c r="S109" s="220"/>
      <c r="T109" s="220"/>
      <c r="U109" s="221"/>
      <c r="V109" s="282"/>
      <c r="W109" s="282"/>
      <c r="X109" s="220"/>
      <c r="Y109" s="220"/>
      <c r="Z109" s="220"/>
      <c r="AA109" s="220"/>
      <c r="AB109" s="302"/>
      <c r="AC109" s="303"/>
      <c r="AD109" s="303"/>
      <c r="AE109" s="303"/>
      <c r="AF109" s="220"/>
    </row>
    <row r="110" spans="1:32" ht="15.75" thickBot="1" x14ac:dyDescent="0.25">
      <c r="A110" s="220"/>
      <c r="B110" s="220"/>
      <c r="C110" s="220"/>
      <c r="D110" s="220"/>
      <c r="E110" s="221"/>
      <c r="F110" s="221"/>
      <c r="G110" s="221"/>
      <c r="H110" s="221"/>
      <c r="I110" s="221"/>
      <c r="J110" s="221"/>
      <c r="K110" s="221"/>
      <c r="L110" s="221"/>
      <c r="M110" s="221"/>
      <c r="N110" s="221"/>
      <c r="O110" s="221"/>
      <c r="P110" s="221"/>
      <c r="Q110" s="221"/>
      <c r="R110" s="220"/>
      <c r="S110" s="220"/>
      <c r="T110" s="220"/>
      <c r="U110" s="221"/>
      <c r="V110" s="220"/>
      <c r="W110" s="220"/>
      <c r="X110" s="220"/>
      <c r="Y110" s="220"/>
      <c r="Z110" s="220"/>
      <c r="AA110" s="220"/>
      <c r="AB110" s="302"/>
      <c r="AC110" s="303"/>
      <c r="AD110" s="303"/>
      <c r="AE110" s="303"/>
      <c r="AF110" s="220"/>
    </row>
    <row r="111" spans="1:32" ht="63.75" thickBot="1" x14ac:dyDescent="0.3">
      <c r="A111" s="220"/>
      <c r="B111" s="454" t="s">
        <v>60</v>
      </c>
      <c r="C111" s="455"/>
      <c r="D111" s="456"/>
      <c r="E111" s="127" t="s">
        <v>64</v>
      </c>
      <c r="F111" s="452" t="s">
        <v>140</v>
      </c>
      <c r="G111" s="453"/>
      <c r="H111" s="453"/>
      <c r="I111" s="453"/>
      <c r="J111" s="453"/>
      <c r="K111" s="453"/>
      <c r="L111" s="453"/>
      <c r="M111" s="453"/>
      <c r="N111" s="453"/>
      <c r="O111" s="453"/>
      <c r="P111" s="453"/>
      <c r="Q111" s="457"/>
      <c r="R111" s="119" t="s">
        <v>66</v>
      </c>
      <c r="S111" s="220"/>
      <c r="T111" s="220"/>
      <c r="U111" s="221"/>
      <c r="V111" s="220"/>
      <c r="W111" s="220"/>
      <c r="X111" s="220"/>
      <c r="Y111" s="220"/>
      <c r="Z111" s="220"/>
      <c r="AA111" s="220"/>
      <c r="AB111" s="302"/>
      <c r="AC111" s="303"/>
      <c r="AD111" s="303"/>
      <c r="AE111" s="303"/>
      <c r="AF111" s="220"/>
    </row>
    <row r="112" spans="1:32" ht="15.75" x14ac:dyDescent="0.25">
      <c r="A112" s="220"/>
      <c r="B112" s="289"/>
      <c r="C112" s="289"/>
      <c r="D112" s="289"/>
      <c r="E112" s="122"/>
      <c r="F112" s="291"/>
      <c r="G112" s="291"/>
      <c r="H112" s="291"/>
      <c r="I112" s="291"/>
      <c r="J112" s="291"/>
      <c r="K112" s="291"/>
      <c r="L112" s="291"/>
      <c r="M112" s="291"/>
      <c r="N112" s="291"/>
      <c r="O112" s="291"/>
      <c r="P112" s="291"/>
      <c r="Q112" s="291"/>
      <c r="R112" s="289"/>
      <c r="S112" s="220"/>
      <c r="T112" s="220"/>
      <c r="U112" s="221"/>
      <c r="V112" s="289"/>
      <c r="W112" s="289"/>
      <c r="X112" s="220"/>
      <c r="Y112" s="220"/>
      <c r="Z112" s="220"/>
      <c r="AA112" s="220"/>
      <c r="AB112" s="302"/>
      <c r="AC112" s="303"/>
      <c r="AD112" s="303"/>
      <c r="AE112" s="303"/>
      <c r="AF112" s="220"/>
    </row>
    <row r="113" spans="2:31" x14ac:dyDescent="0.2">
      <c r="B113" s="234"/>
      <c r="C113" s="234"/>
      <c r="D113" s="234"/>
      <c r="E113" s="291"/>
      <c r="F113" s="236"/>
      <c r="G113" s="236"/>
      <c r="H113" s="236"/>
      <c r="I113" s="236"/>
      <c r="J113" s="236"/>
      <c r="K113" s="236"/>
      <c r="L113" s="236"/>
      <c r="M113" s="236"/>
      <c r="N113" s="236"/>
      <c r="O113" s="236"/>
      <c r="P113" s="236"/>
      <c r="Q113" s="236"/>
      <c r="R113" s="234"/>
      <c r="S113" s="220"/>
      <c r="T113" s="220"/>
      <c r="U113" s="221"/>
      <c r="V113" s="234"/>
      <c r="W113" s="234"/>
      <c r="X113" s="220"/>
      <c r="Y113" s="220"/>
      <c r="Z113" s="220"/>
      <c r="AA113" s="220"/>
      <c r="AB113" s="302"/>
      <c r="AC113" s="303"/>
      <c r="AD113" s="303"/>
      <c r="AE113" s="303"/>
    </row>
    <row r="114" spans="2:31" x14ac:dyDescent="0.2">
      <c r="B114" s="228"/>
      <c r="C114" s="228"/>
      <c r="D114" s="228"/>
      <c r="E114" s="229"/>
      <c r="F114" s="229"/>
      <c r="G114" s="229"/>
      <c r="H114" s="229"/>
      <c r="I114" s="229"/>
      <c r="J114" s="229"/>
      <c r="K114" s="229"/>
      <c r="L114" s="229"/>
      <c r="M114" s="229"/>
      <c r="N114" s="229"/>
      <c r="O114" s="229"/>
      <c r="P114" s="229"/>
      <c r="Q114" s="229"/>
      <c r="R114" s="228"/>
      <c r="S114" s="220"/>
      <c r="T114" s="220"/>
      <c r="U114" s="221"/>
      <c r="V114" s="228"/>
      <c r="W114" s="228"/>
      <c r="X114" s="220"/>
      <c r="Y114" s="220"/>
      <c r="Z114" s="220"/>
      <c r="AA114" s="220"/>
      <c r="AB114" s="302"/>
      <c r="AC114" s="303"/>
      <c r="AD114" s="303"/>
      <c r="AE114" s="303"/>
    </row>
    <row r="115" spans="2:31" x14ac:dyDescent="0.2">
      <c r="B115" s="234"/>
      <c r="C115" s="234"/>
      <c r="D115" s="234"/>
      <c r="E115" s="236"/>
      <c r="F115" s="236"/>
      <c r="G115" s="236"/>
      <c r="H115" s="236"/>
      <c r="I115" s="236"/>
      <c r="J115" s="236"/>
      <c r="K115" s="236"/>
      <c r="L115" s="236"/>
      <c r="M115" s="236"/>
      <c r="N115" s="236"/>
      <c r="O115" s="236"/>
      <c r="P115" s="236"/>
      <c r="Q115" s="236"/>
      <c r="R115" s="234"/>
      <c r="S115" s="220"/>
      <c r="T115" s="220"/>
      <c r="U115" s="221"/>
      <c r="V115" s="234"/>
      <c r="W115" s="234"/>
      <c r="X115" s="220"/>
      <c r="Y115" s="220"/>
      <c r="Z115" s="220"/>
      <c r="AA115" s="220"/>
      <c r="AB115" s="302"/>
      <c r="AC115" s="303"/>
      <c r="AD115" s="303"/>
      <c r="AE115" s="303"/>
    </row>
    <row r="116" spans="2:31" x14ac:dyDescent="0.2">
      <c r="B116" s="234"/>
      <c r="C116" s="234"/>
      <c r="D116" s="234"/>
      <c r="E116" s="236"/>
      <c r="F116" s="236"/>
      <c r="G116" s="236"/>
      <c r="H116" s="236"/>
      <c r="I116" s="236"/>
      <c r="J116" s="236"/>
      <c r="K116" s="236"/>
      <c r="L116" s="236"/>
      <c r="M116" s="236"/>
      <c r="N116" s="236"/>
      <c r="O116" s="236"/>
      <c r="P116" s="236"/>
      <c r="Q116" s="236"/>
      <c r="R116" s="234"/>
      <c r="S116" s="220"/>
      <c r="T116" s="220"/>
      <c r="U116" s="221"/>
      <c r="V116" s="234"/>
      <c r="W116" s="234"/>
      <c r="X116" s="220"/>
      <c r="Y116" s="220"/>
      <c r="Z116" s="220"/>
      <c r="AA116" s="220"/>
      <c r="AB116" s="302"/>
      <c r="AC116" s="303"/>
      <c r="AD116" s="303"/>
      <c r="AE116" s="303"/>
    </row>
    <row r="117" spans="2:31" x14ac:dyDescent="0.2">
      <c r="B117" s="220"/>
      <c r="C117" s="220"/>
      <c r="D117" s="220"/>
      <c r="E117" s="220"/>
      <c r="F117" s="220"/>
      <c r="G117" s="220"/>
      <c r="H117" s="220"/>
      <c r="I117" s="220"/>
      <c r="J117" s="220"/>
      <c r="K117" s="220"/>
      <c r="L117" s="220"/>
      <c r="M117" s="220"/>
      <c r="N117" s="220"/>
      <c r="O117" s="220"/>
      <c r="P117" s="220"/>
      <c r="Q117" s="220"/>
      <c r="R117" s="220"/>
      <c r="S117" s="220"/>
      <c r="T117" s="220"/>
      <c r="U117" s="221"/>
      <c r="V117" s="220"/>
      <c r="W117" s="220"/>
      <c r="X117" s="220"/>
      <c r="Y117" s="220"/>
      <c r="Z117" s="220"/>
      <c r="AA117" s="220"/>
      <c r="AB117" s="302"/>
      <c r="AC117" s="303"/>
      <c r="AD117" s="303"/>
      <c r="AE117" s="303"/>
    </row>
    <row r="118" spans="2:31" x14ac:dyDescent="0.2">
      <c r="B118" s="220"/>
      <c r="C118" s="220"/>
      <c r="D118" s="220"/>
      <c r="E118" s="220"/>
      <c r="F118" s="220"/>
      <c r="G118" s="220"/>
      <c r="H118" s="220"/>
      <c r="I118" s="220"/>
      <c r="J118" s="220"/>
      <c r="K118" s="220"/>
      <c r="L118" s="220"/>
      <c r="M118" s="220"/>
      <c r="N118" s="220"/>
      <c r="O118" s="220"/>
      <c r="P118" s="220"/>
      <c r="Q118" s="220"/>
      <c r="R118" s="220"/>
      <c r="S118" s="220"/>
      <c r="T118" s="220"/>
      <c r="U118" s="221"/>
      <c r="V118" s="220"/>
      <c r="W118" s="220"/>
      <c r="X118" s="220"/>
      <c r="Y118" s="220"/>
      <c r="Z118" s="220"/>
      <c r="AA118" s="220"/>
      <c r="AB118" s="302"/>
      <c r="AC118" s="303"/>
      <c r="AD118" s="303"/>
      <c r="AE118" s="303"/>
    </row>
    <row r="119" spans="2:31" x14ac:dyDescent="0.2">
      <c r="B119" s="220"/>
      <c r="C119" s="220"/>
      <c r="D119" s="220"/>
      <c r="E119" s="220"/>
      <c r="F119" s="220"/>
      <c r="G119" s="220"/>
      <c r="H119" s="220"/>
      <c r="I119" s="220"/>
      <c r="J119" s="220"/>
      <c r="K119" s="220"/>
      <c r="L119" s="220"/>
      <c r="M119" s="220"/>
      <c r="N119" s="220"/>
      <c r="O119" s="220"/>
      <c r="P119" s="220"/>
      <c r="Q119" s="220"/>
      <c r="R119" s="220"/>
      <c r="S119" s="220"/>
      <c r="T119" s="220"/>
      <c r="U119" s="221"/>
      <c r="V119" s="220"/>
      <c r="W119" s="220"/>
      <c r="X119" s="220"/>
      <c r="Y119" s="220"/>
      <c r="Z119" s="220"/>
      <c r="AA119" s="220"/>
      <c r="AB119" s="302"/>
      <c r="AC119" s="303"/>
      <c r="AD119" s="303"/>
      <c r="AE119" s="303"/>
    </row>
    <row r="120" spans="2:31" x14ac:dyDescent="0.2">
      <c r="B120" s="220"/>
      <c r="C120" s="220"/>
      <c r="D120" s="220"/>
      <c r="E120" s="220"/>
      <c r="F120" s="220"/>
      <c r="G120" s="220"/>
      <c r="H120" s="220"/>
      <c r="I120" s="220"/>
      <c r="J120" s="220"/>
      <c r="K120" s="220"/>
      <c r="L120" s="220"/>
      <c r="M120" s="220"/>
      <c r="N120" s="220"/>
      <c r="O120" s="220"/>
      <c r="P120" s="220"/>
      <c r="Q120" s="220"/>
      <c r="R120" s="220"/>
      <c r="S120" s="220"/>
      <c r="T120" s="220"/>
      <c r="U120" s="221"/>
      <c r="V120" s="220"/>
      <c r="W120" s="220"/>
      <c r="X120" s="220"/>
      <c r="Y120" s="220"/>
      <c r="Z120" s="220"/>
      <c r="AA120" s="220"/>
      <c r="AB120" s="302"/>
      <c r="AC120" s="303"/>
      <c r="AD120" s="303"/>
      <c r="AE120" s="303"/>
    </row>
    <row r="121" spans="2:31" x14ac:dyDescent="0.2">
      <c r="B121" s="220"/>
      <c r="C121" s="220"/>
      <c r="D121" s="220"/>
      <c r="E121" s="220"/>
      <c r="F121" s="220"/>
      <c r="G121" s="220"/>
      <c r="H121" s="220"/>
      <c r="I121" s="220"/>
      <c r="J121" s="220"/>
      <c r="K121" s="220"/>
      <c r="L121" s="220"/>
      <c r="M121" s="220"/>
      <c r="N121" s="220"/>
      <c r="O121" s="220"/>
      <c r="P121" s="220"/>
      <c r="Q121" s="220"/>
      <c r="R121" s="220"/>
      <c r="S121" s="220"/>
      <c r="T121" s="220"/>
      <c r="U121" s="221"/>
      <c r="V121" s="220"/>
      <c r="W121" s="220"/>
      <c r="X121" s="220"/>
      <c r="Y121" s="220"/>
      <c r="Z121" s="220"/>
      <c r="AA121" s="220"/>
      <c r="AB121" s="302"/>
      <c r="AC121" s="303"/>
      <c r="AD121" s="303"/>
      <c r="AE121" s="303"/>
    </row>
    <row r="122" spans="2:31" x14ac:dyDescent="0.2">
      <c r="B122" s="220"/>
      <c r="C122" s="220"/>
      <c r="D122" s="220"/>
      <c r="E122" s="220"/>
      <c r="F122" s="220"/>
      <c r="G122" s="220"/>
      <c r="H122" s="220"/>
      <c r="I122" s="220"/>
      <c r="J122" s="220"/>
      <c r="K122" s="220"/>
      <c r="L122" s="220"/>
      <c r="M122" s="220"/>
      <c r="N122" s="220"/>
      <c r="O122" s="220"/>
      <c r="P122" s="220"/>
      <c r="Q122" s="220"/>
      <c r="R122" s="220"/>
      <c r="S122" s="220"/>
      <c r="T122" s="220"/>
      <c r="U122" s="221"/>
      <c r="V122" s="220"/>
      <c r="W122" s="220"/>
      <c r="X122" s="220"/>
      <c r="Y122" s="220"/>
      <c r="Z122" s="220"/>
      <c r="AA122" s="220"/>
      <c r="AB122" s="302"/>
      <c r="AC122" s="303"/>
      <c r="AD122" s="303"/>
      <c r="AE122" s="303"/>
    </row>
    <row r="123" spans="2:31" x14ac:dyDescent="0.2">
      <c r="B123" s="220"/>
      <c r="C123" s="220"/>
      <c r="D123" s="220"/>
      <c r="E123" s="220"/>
      <c r="F123" s="220"/>
      <c r="G123" s="220"/>
      <c r="H123" s="220"/>
      <c r="I123" s="220"/>
      <c r="J123" s="220"/>
      <c r="K123" s="220"/>
      <c r="L123" s="220"/>
      <c r="M123" s="220"/>
      <c r="N123" s="220"/>
      <c r="O123" s="220"/>
      <c r="P123" s="220"/>
      <c r="Q123" s="220"/>
      <c r="R123" s="220"/>
      <c r="S123" s="220"/>
      <c r="T123" s="220"/>
      <c r="U123" s="221"/>
      <c r="V123" s="220"/>
      <c r="W123" s="220"/>
      <c r="X123" s="220"/>
      <c r="Y123" s="220"/>
      <c r="Z123" s="220"/>
      <c r="AA123" s="220"/>
      <c r="AB123" s="302"/>
      <c r="AC123" s="303"/>
      <c r="AD123" s="303"/>
      <c r="AE123" s="303"/>
    </row>
    <row r="124" spans="2:31" x14ac:dyDescent="0.2">
      <c r="B124" s="220"/>
      <c r="C124" s="220"/>
      <c r="D124" s="220"/>
      <c r="E124" s="220"/>
      <c r="F124" s="220"/>
      <c r="G124" s="220"/>
      <c r="H124" s="220"/>
      <c r="I124" s="220"/>
      <c r="J124" s="220"/>
      <c r="K124" s="220"/>
      <c r="L124" s="220"/>
      <c r="M124" s="220"/>
      <c r="N124" s="220"/>
      <c r="O124" s="220"/>
      <c r="P124" s="220"/>
      <c r="Q124" s="220"/>
      <c r="R124" s="220"/>
      <c r="S124" s="220"/>
      <c r="T124" s="220"/>
      <c r="U124" s="221"/>
      <c r="V124" s="220"/>
      <c r="W124" s="220"/>
      <c r="X124" s="220"/>
      <c r="Y124" s="220"/>
      <c r="Z124" s="220"/>
      <c r="AA124" s="220"/>
      <c r="AB124" s="302"/>
      <c r="AC124" s="303"/>
      <c r="AD124" s="303"/>
      <c r="AE124" s="303"/>
    </row>
    <row r="125" spans="2:31" x14ac:dyDescent="0.2">
      <c r="B125" s="220"/>
      <c r="C125" s="220"/>
      <c r="D125" s="220"/>
      <c r="E125" s="220"/>
      <c r="F125" s="220"/>
      <c r="G125" s="220"/>
      <c r="H125" s="220"/>
      <c r="I125" s="220"/>
      <c r="J125" s="220"/>
      <c r="K125" s="220"/>
      <c r="L125" s="220"/>
      <c r="M125" s="220"/>
      <c r="N125" s="220"/>
      <c r="O125" s="220"/>
      <c r="P125" s="220"/>
      <c r="Q125" s="220"/>
      <c r="R125" s="220"/>
      <c r="S125" s="220"/>
      <c r="T125" s="220"/>
      <c r="U125" s="221"/>
      <c r="V125" s="220"/>
      <c r="W125" s="220"/>
      <c r="X125" s="220"/>
      <c r="Y125" s="220"/>
      <c r="Z125" s="220"/>
      <c r="AA125" s="220"/>
      <c r="AB125" s="302"/>
      <c r="AC125" s="303"/>
      <c r="AD125" s="303"/>
      <c r="AE125" s="303"/>
    </row>
    <row r="126" spans="2:31" x14ac:dyDescent="0.2">
      <c r="B126" s="220"/>
      <c r="C126" s="220"/>
      <c r="D126" s="220"/>
      <c r="E126" s="220"/>
      <c r="F126" s="220"/>
      <c r="G126" s="220"/>
      <c r="H126" s="220"/>
      <c r="I126" s="220"/>
      <c r="J126" s="220"/>
      <c r="K126" s="220"/>
      <c r="L126" s="220"/>
      <c r="M126" s="220"/>
      <c r="N126" s="220"/>
      <c r="O126" s="220"/>
      <c r="P126" s="220"/>
      <c r="Q126" s="220"/>
      <c r="R126" s="220"/>
      <c r="S126" s="220"/>
      <c r="T126" s="220"/>
      <c r="U126" s="221"/>
      <c r="V126" s="220"/>
      <c r="W126" s="220"/>
      <c r="X126" s="220"/>
      <c r="Y126" s="220"/>
      <c r="Z126" s="220"/>
      <c r="AA126" s="220"/>
      <c r="AB126" s="302"/>
      <c r="AC126" s="303"/>
      <c r="AD126" s="303"/>
      <c r="AE126" s="303"/>
    </row>
  </sheetData>
  <sortState xmlns:xlrd2="http://schemas.microsoft.com/office/spreadsheetml/2017/richdata2" ref="AT11:AY47">
    <sortCondition ref="AV11:AV47"/>
  </sortState>
  <mergeCells count="3">
    <mergeCell ref="F103:Q103"/>
    <mergeCell ref="B111:D111"/>
    <mergeCell ref="F111:Q111"/>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Z132"/>
  <sheetViews>
    <sheetView topLeftCell="A26" zoomScale="88" workbookViewId="0">
      <selection activeCell="A40" sqref="A40"/>
    </sheetView>
  </sheetViews>
  <sheetFormatPr defaultColWidth="9.28515625" defaultRowHeight="15" x14ac:dyDescent="0.2"/>
  <cols>
    <col min="1" max="2" width="9.28515625" style="297"/>
    <col min="3" max="3" width="29" style="297" customWidth="1"/>
    <col min="4" max="5" width="8.5703125" style="298" customWidth="1"/>
    <col min="6" max="6" width="7.42578125" style="298" customWidth="1"/>
    <col min="7" max="7" width="6.42578125" style="298" customWidth="1"/>
    <col min="8" max="9" width="7.42578125" style="298" customWidth="1"/>
    <col min="10" max="10" width="8.42578125" style="298" customWidth="1"/>
    <col min="11" max="11" width="6.7109375" style="298" customWidth="1"/>
    <col min="12" max="12" width="8.42578125" style="298" customWidth="1"/>
    <col min="13" max="17" width="8.7109375" style="298" customWidth="1"/>
    <col min="18" max="18" width="10.28515625" style="298" customWidth="1"/>
    <col min="19" max="20" width="8.7109375" style="298" customWidth="1"/>
    <col min="21" max="21" width="9.28515625" style="297"/>
    <col min="22" max="22" width="15.5703125" style="297" customWidth="1"/>
    <col min="23" max="26" width="9.28515625" style="297"/>
    <col min="27" max="27" width="22.5703125" style="301" customWidth="1"/>
    <col min="28" max="28" width="10.28515625" style="298" customWidth="1"/>
    <col min="29" max="29" width="46.28515625" style="297" customWidth="1"/>
    <col min="30" max="31" width="19.42578125" style="297" customWidth="1"/>
    <col min="32" max="36" width="9.28515625" style="297"/>
    <col min="37" max="37" width="14.42578125" style="297" customWidth="1"/>
    <col min="38" max="38" width="8.5703125" style="297" customWidth="1"/>
    <col min="39" max="39" width="74.7109375" style="297" customWidth="1"/>
    <col min="40" max="44" width="9.28515625" style="297"/>
    <col min="45" max="52" width="24.42578125" style="297" customWidth="1"/>
    <col min="53" max="16384" width="9.28515625" style="297"/>
  </cols>
  <sheetData>
    <row r="2" spans="1:49" ht="15.75" x14ac:dyDescent="0.2">
      <c r="A2" s="220"/>
      <c r="B2" s="220"/>
      <c r="C2" s="220"/>
      <c r="D2" s="169"/>
      <c r="E2" s="221"/>
      <c r="F2" s="221"/>
      <c r="G2" s="221"/>
      <c r="H2" s="221"/>
      <c r="I2" s="221"/>
      <c r="J2" s="221"/>
      <c r="K2" s="221"/>
      <c r="L2" s="221"/>
      <c r="M2" s="221"/>
      <c r="N2" s="221"/>
      <c r="O2" s="221"/>
      <c r="P2" s="221"/>
      <c r="Q2" s="221"/>
      <c r="R2" s="221"/>
      <c r="S2" s="221"/>
      <c r="T2" s="221"/>
      <c r="U2" s="220"/>
      <c r="V2" s="220"/>
      <c r="W2" s="220"/>
      <c r="X2" s="220"/>
      <c r="Y2" s="220"/>
      <c r="Z2" s="220"/>
      <c r="AA2" s="310"/>
      <c r="AB2" s="221"/>
      <c r="AC2" s="220"/>
      <c r="AD2" s="220"/>
      <c r="AE2" s="220"/>
      <c r="AF2" s="220"/>
      <c r="AG2" s="220"/>
      <c r="AH2" s="220"/>
      <c r="AI2" s="220"/>
      <c r="AJ2" s="220"/>
      <c r="AK2" s="220"/>
      <c r="AL2" s="220"/>
      <c r="AM2" s="220"/>
      <c r="AN2" s="220"/>
      <c r="AO2" s="220"/>
      <c r="AP2" s="220"/>
      <c r="AQ2" s="220"/>
      <c r="AR2" s="220"/>
      <c r="AS2" s="220"/>
      <c r="AT2" s="220"/>
      <c r="AU2" s="220"/>
      <c r="AV2" s="220"/>
      <c r="AW2" s="220"/>
    </row>
    <row r="3" spans="1:49" ht="15.75" x14ac:dyDescent="0.2">
      <c r="A3" s="220"/>
      <c r="B3" s="220"/>
      <c r="C3" s="220"/>
      <c r="D3" s="169"/>
      <c r="E3" s="221"/>
      <c r="F3" s="221"/>
      <c r="G3" s="221"/>
      <c r="H3" s="221"/>
      <c r="I3" s="221"/>
      <c r="J3" s="221"/>
      <c r="K3" s="221"/>
      <c r="L3" s="221"/>
      <c r="M3" s="221"/>
      <c r="N3" s="221"/>
      <c r="O3" s="221"/>
      <c r="P3" s="221"/>
      <c r="Q3" s="221"/>
      <c r="R3" s="221"/>
      <c r="S3" s="221"/>
      <c r="T3" s="221"/>
      <c r="U3" s="220"/>
      <c r="V3" s="220"/>
      <c r="W3" s="220"/>
      <c r="X3" s="220"/>
      <c r="Y3" s="220"/>
      <c r="Z3" s="220"/>
      <c r="AA3" s="310"/>
      <c r="AB3" s="221"/>
      <c r="AC3" s="220"/>
      <c r="AD3" s="220"/>
      <c r="AE3" s="220"/>
      <c r="AF3" s="220"/>
      <c r="AG3" s="220"/>
      <c r="AH3" s="220"/>
      <c r="AI3" s="220"/>
      <c r="AJ3" s="220"/>
      <c r="AK3" s="220"/>
      <c r="AL3" s="220"/>
      <c r="AM3" s="220"/>
      <c r="AN3" s="220"/>
      <c r="AO3" s="220"/>
      <c r="AP3" s="220"/>
      <c r="AQ3" s="220"/>
      <c r="AR3" s="220"/>
      <c r="AS3" s="220"/>
      <c r="AT3" s="220"/>
      <c r="AU3" s="220"/>
      <c r="AV3" s="220"/>
      <c r="AW3" s="220"/>
    </row>
    <row r="4" spans="1:49" ht="15.75" x14ac:dyDescent="0.2">
      <c r="A4" s="220"/>
      <c r="B4" s="220"/>
      <c r="C4" s="220"/>
      <c r="D4" s="169"/>
      <c r="E4" s="221"/>
      <c r="F4" s="221"/>
      <c r="G4" s="221"/>
      <c r="H4" s="221"/>
      <c r="I4" s="221"/>
      <c r="J4" s="221"/>
      <c r="K4" s="221"/>
      <c r="L4" s="221"/>
      <c r="M4" s="221"/>
      <c r="N4" s="221"/>
      <c r="O4" s="221"/>
      <c r="P4" s="221"/>
      <c r="Q4" s="221"/>
      <c r="R4" s="221"/>
      <c r="S4" s="221"/>
      <c r="T4" s="221"/>
      <c r="U4" s="220"/>
      <c r="V4" s="220"/>
      <c r="W4" s="220"/>
      <c r="X4" s="220"/>
      <c r="Y4" s="220"/>
      <c r="Z4" s="220"/>
      <c r="AA4" s="310"/>
      <c r="AB4" s="221"/>
      <c r="AC4" s="220"/>
      <c r="AD4" s="220"/>
      <c r="AE4" s="220"/>
      <c r="AF4" s="220"/>
      <c r="AG4" s="220"/>
      <c r="AH4" s="220"/>
      <c r="AI4" s="220"/>
      <c r="AJ4" s="220"/>
      <c r="AK4" s="220"/>
      <c r="AL4" s="220"/>
      <c r="AM4" s="220"/>
      <c r="AN4" s="220"/>
      <c r="AO4" s="220"/>
      <c r="AP4" s="220"/>
      <c r="AQ4" s="220"/>
      <c r="AR4" s="220"/>
      <c r="AS4" s="220"/>
      <c r="AT4" s="220"/>
      <c r="AU4" s="220"/>
      <c r="AV4" s="220"/>
      <c r="AW4" s="220"/>
    </row>
    <row r="5" spans="1:49" x14ac:dyDescent="0.2">
      <c r="A5" s="220"/>
      <c r="B5" s="220"/>
      <c r="C5" s="220"/>
      <c r="D5" s="221"/>
      <c r="E5" s="221"/>
      <c r="F5" s="221"/>
      <c r="G5" s="221"/>
      <c r="H5" s="221"/>
      <c r="I5" s="221"/>
      <c r="J5" s="221"/>
      <c r="K5" s="221"/>
      <c r="L5" s="221"/>
      <c r="M5" s="221"/>
      <c r="N5" s="221"/>
      <c r="O5" s="221"/>
      <c r="P5" s="221"/>
      <c r="Q5" s="221"/>
      <c r="R5" s="221"/>
      <c r="S5" s="221"/>
      <c r="T5" s="221"/>
      <c r="U5" s="220"/>
      <c r="V5" s="220"/>
      <c r="W5" s="220"/>
      <c r="X5" s="220"/>
      <c r="Y5" s="220"/>
      <c r="Z5" s="220"/>
      <c r="AA5" s="310"/>
      <c r="AB5" s="221"/>
      <c r="AC5" s="220"/>
      <c r="AD5" s="220"/>
      <c r="AE5" s="220"/>
      <c r="AF5" s="220"/>
      <c r="AG5" s="220"/>
      <c r="AH5" s="220"/>
      <c r="AI5" s="220"/>
      <c r="AJ5" s="220"/>
      <c r="AK5" s="220"/>
      <c r="AL5" s="220"/>
      <c r="AM5" s="220"/>
      <c r="AN5" s="220"/>
      <c r="AO5" s="220"/>
      <c r="AP5" s="220"/>
      <c r="AQ5" s="220"/>
      <c r="AR5" s="220"/>
      <c r="AS5" s="220"/>
      <c r="AT5" s="220"/>
      <c r="AU5" s="220"/>
      <c r="AV5" s="220"/>
      <c r="AW5" s="220"/>
    </row>
    <row r="6" spans="1:49" ht="15.75" thickBot="1" x14ac:dyDescent="0.25">
      <c r="A6" s="220"/>
      <c r="B6" s="220"/>
      <c r="C6" s="220"/>
      <c r="D6" s="221"/>
      <c r="E6" s="221"/>
      <c r="F6" s="221"/>
      <c r="G6" s="221"/>
      <c r="H6" s="221"/>
      <c r="I6" s="221"/>
      <c r="J6" s="221"/>
      <c r="K6" s="221"/>
      <c r="L6" s="221"/>
      <c r="M6" s="221"/>
      <c r="N6" s="221"/>
      <c r="O6" s="221"/>
      <c r="P6" s="221"/>
      <c r="Q6" s="221"/>
      <c r="R6" s="221"/>
      <c r="S6" s="221"/>
      <c r="T6" s="221"/>
      <c r="U6" s="220"/>
      <c r="V6" s="220"/>
      <c r="W6" s="220"/>
      <c r="X6" s="220"/>
      <c r="Y6" s="220"/>
      <c r="Z6" s="220"/>
      <c r="AA6" s="310"/>
      <c r="AB6" s="221"/>
      <c r="AC6" s="220"/>
      <c r="AD6" s="220"/>
      <c r="AE6" s="220"/>
      <c r="AF6" s="220"/>
      <c r="AG6" s="220"/>
      <c r="AH6" s="220"/>
      <c r="AI6" s="220"/>
      <c r="AJ6" s="220"/>
      <c r="AK6" s="220"/>
      <c r="AL6" s="220"/>
      <c r="AM6" s="220"/>
      <c r="AN6" s="220"/>
      <c r="AO6" s="220"/>
      <c r="AP6" s="220"/>
      <c r="AQ6" s="220"/>
      <c r="AR6" s="220"/>
      <c r="AS6" s="220"/>
      <c r="AT6" s="220"/>
      <c r="AU6" s="220"/>
      <c r="AV6" s="220"/>
      <c r="AW6" s="220"/>
    </row>
    <row r="7" spans="1:49" ht="16.5" thickBot="1" x14ac:dyDescent="0.3">
      <c r="A7" s="222"/>
      <c r="B7" s="223" t="s">
        <v>0</v>
      </c>
      <c r="C7" s="224"/>
      <c r="D7" s="349"/>
      <c r="E7" s="349"/>
      <c r="F7" s="349"/>
      <c r="G7" s="349"/>
      <c r="H7" s="349"/>
      <c r="I7" s="349"/>
      <c r="J7" s="349"/>
      <c r="K7" s="349"/>
      <c r="L7" s="349"/>
      <c r="M7" s="349"/>
      <c r="N7" s="349"/>
      <c r="O7" s="349"/>
      <c r="P7" s="349"/>
      <c r="Q7" s="349"/>
      <c r="R7" s="349"/>
      <c r="S7" s="349"/>
      <c r="T7" s="311"/>
      <c r="U7" s="223" t="s">
        <v>0</v>
      </c>
      <c r="V7" s="224"/>
      <c r="W7" s="220"/>
      <c r="X7" s="220"/>
      <c r="Y7" s="220"/>
      <c r="Z7" s="220"/>
      <c r="AA7" s="310"/>
      <c r="AB7" s="221"/>
      <c r="AC7" s="220"/>
      <c r="AD7" s="220"/>
      <c r="AE7" s="220"/>
      <c r="AF7" s="220"/>
      <c r="AG7" s="220"/>
      <c r="AH7" s="220"/>
      <c r="AI7" s="220"/>
      <c r="AJ7" s="220"/>
      <c r="AK7" s="220"/>
      <c r="AL7" s="220"/>
      <c r="AM7" s="220"/>
      <c r="AN7" s="220"/>
      <c r="AO7" s="220"/>
      <c r="AP7" s="220"/>
      <c r="AQ7" s="220"/>
      <c r="AR7" s="220"/>
      <c r="AS7" s="220"/>
      <c r="AT7" s="220"/>
      <c r="AU7" s="220"/>
      <c r="AV7" s="220"/>
      <c r="AW7" s="220"/>
    </row>
    <row r="8" spans="1:49" ht="63.75" thickBot="1" x14ac:dyDescent="0.3">
      <c r="A8" s="160" t="s">
        <v>79</v>
      </c>
      <c r="B8" s="156" t="s">
        <v>3</v>
      </c>
      <c r="C8" s="107" t="s">
        <v>2</v>
      </c>
      <c r="D8" s="109" t="s">
        <v>141</v>
      </c>
      <c r="E8" s="219" t="s">
        <v>4</v>
      </c>
      <c r="F8" s="110" t="s">
        <v>5</v>
      </c>
      <c r="G8" s="110" t="s">
        <v>6</v>
      </c>
      <c r="H8" s="110" t="s">
        <v>7</v>
      </c>
      <c r="I8" s="110" t="s">
        <v>8</v>
      </c>
      <c r="J8" s="110" t="s">
        <v>9</v>
      </c>
      <c r="K8" s="110" t="s">
        <v>10</v>
      </c>
      <c r="L8" s="110" t="s">
        <v>11</v>
      </c>
      <c r="M8" s="110" t="s">
        <v>12</v>
      </c>
      <c r="N8" s="110" t="s">
        <v>13</v>
      </c>
      <c r="O8" s="110" t="s">
        <v>14</v>
      </c>
      <c r="P8" s="110" t="s">
        <v>15</v>
      </c>
      <c r="Q8" s="111" t="s">
        <v>16</v>
      </c>
      <c r="R8" s="112" t="s">
        <v>125</v>
      </c>
      <c r="S8" s="109" t="s">
        <v>19</v>
      </c>
      <c r="T8" s="113" t="s">
        <v>41</v>
      </c>
      <c r="U8" s="156" t="s">
        <v>3</v>
      </c>
      <c r="V8" s="107" t="s">
        <v>2</v>
      </c>
      <c r="W8" s="220"/>
      <c r="X8" s="220"/>
      <c r="Y8" s="220"/>
      <c r="Z8" s="220"/>
      <c r="AA8" s="312"/>
      <c r="AB8" s="332"/>
      <c r="AC8" s="306" t="s">
        <v>143</v>
      </c>
      <c r="AD8" s="306"/>
      <c r="AE8" s="220"/>
      <c r="AF8" s="220"/>
      <c r="AG8" s="220"/>
      <c r="AH8" s="220"/>
      <c r="AI8" s="220"/>
      <c r="AJ8" s="220"/>
      <c r="AK8" s="300" t="s">
        <v>144</v>
      </c>
      <c r="AL8" s="300"/>
      <c r="AM8" s="305" t="s">
        <v>145</v>
      </c>
      <c r="AN8" s="300"/>
      <c r="AO8" s="220"/>
      <c r="AP8" s="220"/>
      <c r="AQ8" s="220"/>
      <c r="AR8" s="220"/>
      <c r="AS8" s="220"/>
      <c r="AT8" s="220"/>
      <c r="AU8" s="220"/>
      <c r="AV8" s="220"/>
      <c r="AW8" s="220"/>
    </row>
    <row r="9" spans="1:49" ht="15.75" x14ac:dyDescent="0.25">
      <c r="A9" s="226"/>
      <c r="B9" s="227"/>
      <c r="C9" s="228"/>
      <c r="D9" s="229"/>
      <c r="E9" s="229">
        <v>1</v>
      </c>
      <c r="F9" s="229"/>
      <c r="G9" s="229"/>
      <c r="H9" s="229"/>
      <c r="I9" s="229"/>
      <c r="J9" s="229"/>
      <c r="K9" s="229"/>
      <c r="L9" s="229"/>
      <c r="M9" s="229"/>
      <c r="N9" s="229"/>
      <c r="O9" s="229"/>
      <c r="P9" s="229"/>
      <c r="Q9" s="229"/>
      <c r="R9" s="333"/>
      <c r="S9" s="334"/>
      <c r="T9" s="313"/>
      <c r="U9" s="227"/>
      <c r="V9" s="228"/>
      <c r="W9" s="220"/>
      <c r="X9" s="220"/>
      <c r="Y9" s="220"/>
      <c r="Z9" s="220"/>
      <c r="AA9" s="302" t="s">
        <v>146</v>
      </c>
      <c r="AB9" s="309" t="s">
        <v>147</v>
      </c>
      <c r="AC9" s="303" t="s">
        <v>148</v>
      </c>
      <c r="AD9" s="303" t="s">
        <v>149</v>
      </c>
      <c r="AE9" s="220"/>
      <c r="AF9" s="220"/>
      <c r="AG9" s="220"/>
      <c r="AH9" s="220"/>
      <c r="AI9" s="220"/>
      <c r="AJ9" s="220"/>
      <c r="AK9" s="300"/>
      <c r="AL9" s="300"/>
      <c r="AM9" s="305"/>
      <c r="AN9" s="300"/>
      <c r="AO9" s="220"/>
      <c r="AP9" s="220"/>
      <c r="AQ9" s="220"/>
      <c r="AR9" s="220"/>
      <c r="AS9" s="220"/>
      <c r="AT9" s="220"/>
      <c r="AU9" s="220"/>
      <c r="AV9" s="220"/>
      <c r="AW9" s="220"/>
    </row>
    <row r="10" spans="1:49" x14ac:dyDescent="0.2">
      <c r="A10" s="234">
        <v>22384</v>
      </c>
      <c r="B10" s="233">
        <v>2013</v>
      </c>
      <c r="C10" s="234" t="s">
        <v>26</v>
      </c>
      <c r="D10" s="236">
        <v>28</v>
      </c>
      <c r="E10" s="246">
        <v>28</v>
      </c>
      <c r="F10" s="299"/>
      <c r="G10" s="299"/>
      <c r="H10" s="299"/>
      <c r="I10" s="299"/>
      <c r="J10" s="299"/>
      <c r="K10" s="299"/>
      <c r="L10" s="299"/>
      <c r="M10" s="299"/>
      <c r="N10" s="299"/>
      <c r="O10" s="299"/>
      <c r="P10" s="299"/>
      <c r="Q10" s="335">
        <f>SUM(E10:P10)</f>
        <v>28</v>
      </c>
      <c r="R10" s="263">
        <f>IFERROR((AVERAGE(E10:P10)),0)</f>
        <v>28</v>
      </c>
      <c r="S10" s="336">
        <f>IFERROR((T10/R10),0)</f>
        <v>0</v>
      </c>
      <c r="T10" s="314">
        <f>SUM(D10-Q10)</f>
        <v>0</v>
      </c>
      <c r="U10" s="233">
        <v>2013</v>
      </c>
      <c r="V10" s="234" t="s">
        <v>26</v>
      </c>
      <c r="W10" s="220"/>
      <c r="X10" s="220"/>
      <c r="Y10" s="220"/>
      <c r="Z10" s="220"/>
      <c r="AA10" s="302"/>
      <c r="AB10" s="309"/>
      <c r="AC10" s="303"/>
      <c r="AD10" s="303"/>
      <c r="AE10" s="220"/>
      <c r="AF10" s="220"/>
      <c r="AG10" s="220"/>
      <c r="AH10" s="220"/>
      <c r="AI10" s="220"/>
      <c r="AJ10" s="220"/>
      <c r="AK10" s="310">
        <v>43117</v>
      </c>
      <c r="AL10" s="220"/>
      <c r="AM10" s="220" t="s">
        <v>235</v>
      </c>
      <c r="AN10" s="300"/>
      <c r="AO10" s="220"/>
      <c r="AP10" s="220"/>
      <c r="AQ10" s="220"/>
      <c r="AR10" s="220"/>
      <c r="AS10" s="220"/>
      <c r="AT10" s="220"/>
      <c r="AU10" s="220"/>
      <c r="AV10" s="220"/>
      <c r="AW10" s="220"/>
    </row>
    <row r="11" spans="1:49" ht="15.75" x14ac:dyDescent="0.25">
      <c r="A11" s="226"/>
      <c r="B11" s="227"/>
      <c r="C11" s="228"/>
      <c r="D11" s="229"/>
      <c r="E11" s="229"/>
      <c r="F11" s="229"/>
      <c r="G11" s="229"/>
      <c r="H11" s="229"/>
      <c r="I11" s="229"/>
      <c r="J11" s="229"/>
      <c r="K11" s="229"/>
      <c r="L11" s="229"/>
      <c r="M11" s="229"/>
      <c r="N11" s="229"/>
      <c r="O11" s="229"/>
      <c r="P11" s="229"/>
      <c r="Q11" s="229"/>
      <c r="R11" s="333"/>
      <c r="S11" s="334"/>
      <c r="T11" s="316"/>
      <c r="U11" s="227"/>
      <c r="V11" s="228"/>
      <c r="W11" s="220"/>
      <c r="X11" s="220"/>
      <c r="Y11" s="220"/>
      <c r="Z11" s="220"/>
      <c r="AA11" s="302"/>
      <c r="AB11" s="309"/>
      <c r="AC11" s="303"/>
      <c r="AD11" s="303"/>
      <c r="AE11" s="220"/>
      <c r="AF11" s="220"/>
      <c r="AG11" s="220"/>
      <c r="AH11" s="220"/>
      <c r="AI11" s="220"/>
      <c r="AJ11" s="220"/>
      <c r="AK11" s="318">
        <v>43132</v>
      </c>
      <c r="AL11" s="300"/>
      <c r="AM11" s="305" t="s">
        <v>236</v>
      </c>
      <c r="AN11" s="300"/>
      <c r="AO11" s="220"/>
      <c r="AP11" s="220"/>
      <c r="AQ11" s="220"/>
      <c r="AR11" s="220"/>
      <c r="AS11" s="315"/>
      <c r="AT11" s="221"/>
      <c r="AU11" s="221"/>
      <c r="AV11" s="221"/>
      <c r="AW11" s="220"/>
    </row>
    <row r="12" spans="1:49" x14ac:dyDescent="0.2">
      <c r="A12" s="234">
        <v>84802</v>
      </c>
      <c r="B12" s="248">
        <v>2014</v>
      </c>
      <c r="C12" s="234" t="s">
        <v>93</v>
      </c>
      <c r="D12" s="236">
        <v>55</v>
      </c>
      <c r="E12" s="246">
        <v>14</v>
      </c>
      <c r="F12" s="246">
        <v>8</v>
      </c>
      <c r="G12" s="246">
        <v>2</v>
      </c>
      <c r="H12" s="246">
        <v>4</v>
      </c>
      <c r="I12" s="246">
        <v>27</v>
      </c>
      <c r="J12" s="242"/>
      <c r="K12" s="242"/>
      <c r="L12" s="242"/>
      <c r="M12" s="242"/>
      <c r="N12" s="242"/>
      <c r="O12" s="242"/>
      <c r="P12" s="242"/>
      <c r="Q12" s="335">
        <f>SUM(E12:P12)</f>
        <v>55</v>
      </c>
      <c r="R12" s="263">
        <f>IFERROR((AVERAGE(E12:P12)),0)</f>
        <v>11</v>
      </c>
      <c r="S12" s="336">
        <f>IFERROR((T12/R12),0)</f>
        <v>0</v>
      </c>
      <c r="T12" s="314">
        <f>SUM(D12-Q12)</f>
        <v>0</v>
      </c>
      <c r="U12" s="248">
        <v>2014</v>
      </c>
      <c r="V12" s="234" t="s">
        <v>93</v>
      </c>
      <c r="W12" s="220"/>
      <c r="X12" s="220"/>
      <c r="Y12" s="220"/>
      <c r="Z12" s="220"/>
      <c r="AA12" s="302">
        <v>43111</v>
      </c>
      <c r="AB12" s="309">
        <v>2016</v>
      </c>
      <c r="AC12" s="303" t="s">
        <v>217</v>
      </c>
      <c r="AD12" s="303">
        <v>454</v>
      </c>
      <c r="AE12" s="220" t="s">
        <v>237</v>
      </c>
      <c r="AF12" s="220"/>
      <c r="AG12" s="220"/>
      <c r="AH12" s="220"/>
      <c r="AI12" s="220"/>
      <c r="AJ12" s="220"/>
      <c r="AK12" s="318">
        <v>43132</v>
      </c>
      <c r="AL12" s="300"/>
      <c r="AM12" s="300" t="s">
        <v>238</v>
      </c>
      <c r="AN12" s="300"/>
      <c r="AO12" s="220"/>
      <c r="AP12" s="220"/>
      <c r="AQ12" s="220"/>
      <c r="AR12" s="220"/>
      <c r="AS12" s="315"/>
      <c r="AT12" s="221"/>
      <c r="AU12" s="221"/>
      <c r="AV12" s="221"/>
      <c r="AW12" s="220"/>
    </row>
    <row r="13" spans="1:49" x14ac:dyDescent="0.2">
      <c r="A13" s="234">
        <v>22384</v>
      </c>
      <c r="B13" s="248">
        <v>2014</v>
      </c>
      <c r="C13" s="234" t="s">
        <v>26</v>
      </c>
      <c r="D13" s="236">
        <v>119</v>
      </c>
      <c r="E13" s="246">
        <v>12</v>
      </c>
      <c r="F13" s="246">
        <v>12</v>
      </c>
      <c r="G13" s="246">
        <v>10</v>
      </c>
      <c r="H13" s="246">
        <v>7</v>
      </c>
      <c r="I13" s="246">
        <v>47</v>
      </c>
      <c r="J13" s="246">
        <v>10</v>
      </c>
      <c r="K13" s="246">
        <v>8</v>
      </c>
      <c r="L13" s="246">
        <v>2</v>
      </c>
      <c r="M13" s="246">
        <v>3</v>
      </c>
      <c r="N13" s="242"/>
      <c r="O13" s="242"/>
      <c r="P13" s="242"/>
      <c r="Q13" s="335">
        <f>SUM(E13:P13)</f>
        <v>111</v>
      </c>
      <c r="R13" s="263">
        <f>IFERROR((AVERAGE(E13:P13)),0)</f>
        <v>12.333333333333334</v>
      </c>
      <c r="S13" s="336">
        <f>IFERROR((T13/R13),0)</f>
        <v>0.64864864864864857</v>
      </c>
      <c r="T13" s="314">
        <f>SUM(D13-Q13)</f>
        <v>8</v>
      </c>
      <c r="U13" s="248">
        <v>2014</v>
      </c>
      <c r="V13" s="234" t="s">
        <v>26</v>
      </c>
      <c r="W13" s="220"/>
      <c r="X13" s="220"/>
      <c r="Y13" s="220"/>
      <c r="Z13" s="220"/>
      <c r="AA13" s="302">
        <v>43137</v>
      </c>
      <c r="AB13" s="309">
        <v>2017</v>
      </c>
      <c r="AC13" s="303" t="s">
        <v>239</v>
      </c>
      <c r="AD13" s="303">
        <v>2091</v>
      </c>
      <c r="AE13" s="220"/>
      <c r="AF13" s="220"/>
      <c r="AG13" s="220"/>
      <c r="AH13" s="220"/>
      <c r="AI13" s="220"/>
      <c r="AJ13" s="220"/>
      <c r="AK13" s="318">
        <v>43186</v>
      </c>
      <c r="AL13" s="300"/>
      <c r="AM13" s="300" t="s">
        <v>240</v>
      </c>
      <c r="AN13" s="300"/>
      <c r="AO13" s="220"/>
      <c r="AP13" s="220"/>
      <c r="AQ13" s="220"/>
      <c r="AR13" s="220"/>
      <c r="AS13" s="315"/>
      <c r="AT13" s="221"/>
      <c r="AU13" s="221"/>
      <c r="AV13" s="221"/>
      <c r="AW13" s="220"/>
    </row>
    <row r="14" spans="1:49" x14ac:dyDescent="0.2">
      <c r="A14" s="234">
        <v>28381</v>
      </c>
      <c r="B14" s="255">
        <v>2014</v>
      </c>
      <c r="C14" s="234" t="s">
        <v>100</v>
      </c>
      <c r="D14" s="236">
        <v>33</v>
      </c>
      <c r="E14" s="246">
        <v>10</v>
      </c>
      <c r="F14" s="246">
        <v>11</v>
      </c>
      <c r="G14" s="246">
        <v>6</v>
      </c>
      <c r="H14" s="246">
        <v>6</v>
      </c>
      <c r="I14" s="242"/>
      <c r="J14" s="242"/>
      <c r="K14" s="242"/>
      <c r="L14" s="242"/>
      <c r="M14" s="242"/>
      <c r="N14" s="242"/>
      <c r="O14" s="242"/>
      <c r="P14" s="242"/>
      <c r="Q14" s="335">
        <f>SUM(E14:P14)</f>
        <v>33</v>
      </c>
      <c r="R14" s="263">
        <f>IFERROR((AVERAGE(E14:P14)),0)</f>
        <v>8.25</v>
      </c>
      <c r="S14" s="336">
        <f>IFERROR((T14/R14),0)</f>
        <v>0</v>
      </c>
      <c r="T14" s="307">
        <f>SUM(D14-Q14)</f>
        <v>0</v>
      </c>
      <c r="U14" s="255">
        <v>2014</v>
      </c>
      <c r="V14" s="234" t="s">
        <v>100</v>
      </c>
      <c r="W14" s="220"/>
      <c r="X14" s="220"/>
      <c r="Y14" s="220"/>
      <c r="Z14" s="220"/>
      <c r="AA14" s="302">
        <v>43111</v>
      </c>
      <c r="AB14" s="309">
        <v>2016</v>
      </c>
      <c r="AC14" s="303" t="s">
        <v>241</v>
      </c>
      <c r="AD14" s="303">
        <v>384</v>
      </c>
      <c r="AE14" s="220" t="s">
        <v>237</v>
      </c>
      <c r="AF14" s="220"/>
      <c r="AG14" s="220"/>
      <c r="AH14" s="220"/>
      <c r="AI14" s="220"/>
      <c r="AJ14" s="220"/>
      <c r="AK14" s="318">
        <v>43186</v>
      </c>
      <c r="AL14" s="300"/>
      <c r="AM14" s="300" t="s">
        <v>242</v>
      </c>
      <c r="AN14" s="300"/>
      <c r="AO14" s="220"/>
      <c r="AP14" s="220"/>
      <c r="AQ14" s="220"/>
      <c r="AR14" s="220"/>
      <c r="AS14" s="315"/>
      <c r="AT14" s="221"/>
      <c r="AU14" s="221"/>
      <c r="AV14" s="221"/>
      <c r="AW14" s="220"/>
    </row>
    <row r="15" spans="1:49" x14ac:dyDescent="0.2">
      <c r="A15" s="234">
        <v>115264</v>
      </c>
      <c r="B15" s="255">
        <v>2014</v>
      </c>
      <c r="C15" s="234" t="s">
        <v>225</v>
      </c>
      <c r="D15" s="236">
        <v>339</v>
      </c>
      <c r="E15" s="246">
        <v>32</v>
      </c>
      <c r="F15" s="246">
        <v>0</v>
      </c>
      <c r="G15" s="246">
        <v>0</v>
      </c>
      <c r="H15" s="246">
        <v>21</v>
      </c>
      <c r="I15" s="246">
        <v>3</v>
      </c>
      <c r="J15" s="246">
        <v>9</v>
      </c>
      <c r="K15" s="246">
        <v>14</v>
      </c>
      <c r="L15" s="246">
        <v>16</v>
      </c>
      <c r="M15" s="246">
        <v>20</v>
      </c>
      <c r="N15" s="246">
        <v>16</v>
      </c>
      <c r="O15" s="246">
        <v>68</v>
      </c>
      <c r="P15" s="246">
        <v>17</v>
      </c>
      <c r="Q15" s="337">
        <f>SUM(E15:P15)</f>
        <v>216</v>
      </c>
      <c r="R15" s="263">
        <f t="shared" ref="R15" si="0">IFERROR((AVERAGE(E15:P15)),0)</f>
        <v>18</v>
      </c>
      <c r="S15" s="336">
        <f>IFERROR((T15/R15),0)</f>
        <v>6.833333333333333</v>
      </c>
      <c r="T15" s="307">
        <f>SUM(D15-Q15)</f>
        <v>123</v>
      </c>
      <c r="U15" s="255">
        <v>2016</v>
      </c>
      <c r="V15" s="234" t="s">
        <v>225</v>
      </c>
      <c r="W15" s="220"/>
      <c r="X15" s="220"/>
      <c r="Y15" s="220"/>
      <c r="Z15" s="220"/>
      <c r="AA15" s="302"/>
      <c r="AB15" s="309"/>
      <c r="AC15" s="303"/>
      <c r="AD15" s="303"/>
      <c r="AE15" s="220"/>
      <c r="AF15" s="220"/>
      <c r="AG15" s="220"/>
      <c r="AH15" s="220"/>
      <c r="AI15" s="220"/>
      <c r="AJ15" s="220"/>
      <c r="AK15" s="318"/>
      <c r="AL15" s="300"/>
      <c r="AM15" s="300"/>
      <c r="AN15" s="300"/>
      <c r="AO15" s="220"/>
      <c r="AP15" s="220"/>
      <c r="AQ15" s="220"/>
      <c r="AR15" s="220"/>
      <c r="AS15" s="315"/>
      <c r="AT15" s="221"/>
      <c r="AU15" s="221"/>
      <c r="AV15" s="221"/>
      <c r="AW15" s="220"/>
    </row>
    <row r="16" spans="1:49" x14ac:dyDescent="0.2">
      <c r="A16" s="226"/>
      <c r="B16" s="226"/>
      <c r="C16" s="226"/>
      <c r="D16" s="243"/>
      <c r="E16" s="243"/>
      <c r="F16" s="243"/>
      <c r="G16" s="243"/>
      <c r="H16" s="243"/>
      <c r="I16" s="243"/>
      <c r="J16" s="243"/>
      <c r="K16" s="243"/>
      <c r="L16" s="243"/>
      <c r="M16" s="243"/>
      <c r="N16" s="243"/>
      <c r="O16" s="243"/>
      <c r="P16" s="243"/>
      <c r="Q16" s="338"/>
      <c r="R16" s="339"/>
      <c r="S16" s="340"/>
      <c r="T16" s="320"/>
      <c r="U16" s="226"/>
      <c r="V16" s="226"/>
      <c r="W16" s="220"/>
      <c r="X16" s="220"/>
      <c r="Y16" s="220"/>
      <c r="Z16" s="220"/>
      <c r="AA16" s="302">
        <v>43137</v>
      </c>
      <c r="AB16" s="309">
        <v>2017</v>
      </c>
      <c r="AC16" s="303" t="s">
        <v>111</v>
      </c>
      <c r="AD16" s="303">
        <v>2091</v>
      </c>
      <c r="AE16" s="220" t="s">
        <v>204</v>
      </c>
      <c r="AF16" s="220"/>
      <c r="AG16" s="220"/>
      <c r="AH16" s="220"/>
      <c r="AI16" s="220"/>
      <c r="AJ16" s="220"/>
      <c r="AK16" s="318">
        <v>43186</v>
      </c>
      <c r="AL16" s="300"/>
      <c r="AM16" s="300" t="s">
        <v>243</v>
      </c>
      <c r="AN16" s="300"/>
      <c r="AO16" s="220"/>
      <c r="AP16" s="220"/>
      <c r="AQ16" s="220"/>
      <c r="AR16" s="220"/>
      <c r="AS16" s="315"/>
      <c r="AT16" s="221"/>
      <c r="AU16" s="221"/>
      <c r="AV16" s="221"/>
      <c r="AW16" s="220"/>
    </row>
    <row r="17" spans="1:49" x14ac:dyDescent="0.2">
      <c r="A17" s="234">
        <v>57632</v>
      </c>
      <c r="B17" s="255">
        <v>2015</v>
      </c>
      <c r="C17" s="234" t="s">
        <v>31</v>
      </c>
      <c r="D17" s="236">
        <v>6</v>
      </c>
      <c r="E17" s="246">
        <v>6</v>
      </c>
      <c r="F17" s="242"/>
      <c r="G17" s="242"/>
      <c r="H17" s="242"/>
      <c r="I17" s="242"/>
      <c r="J17" s="242"/>
      <c r="K17" s="242"/>
      <c r="L17" s="242"/>
      <c r="M17" s="242"/>
      <c r="N17" s="242"/>
      <c r="O17" s="242"/>
      <c r="P17" s="242"/>
      <c r="Q17" s="335">
        <f t="shared" ref="Q17:Q26" si="1">SUM(E17:P17)</f>
        <v>6</v>
      </c>
      <c r="R17" s="263">
        <f t="shared" ref="R17:R26" si="2">IFERROR((AVERAGE(E17:P17)),0)</f>
        <v>6</v>
      </c>
      <c r="S17" s="336">
        <f t="shared" ref="S17:S26" si="3">IFERROR((T17/R17),0)</f>
        <v>0</v>
      </c>
      <c r="T17" s="307">
        <f t="shared" ref="T17:T26" si="4">SUM(D17-Q17)</f>
        <v>0</v>
      </c>
      <c r="U17" s="255">
        <v>2015</v>
      </c>
      <c r="V17" s="234" t="s">
        <v>31</v>
      </c>
      <c r="W17" s="220"/>
      <c r="X17" s="220"/>
      <c r="Y17" s="220"/>
      <c r="Z17" s="220"/>
      <c r="AA17" s="302">
        <v>43138</v>
      </c>
      <c r="AB17" s="309">
        <v>2017</v>
      </c>
      <c r="AC17" s="303" t="s">
        <v>156</v>
      </c>
      <c r="AD17" s="303">
        <v>406</v>
      </c>
      <c r="AE17" s="220" t="s">
        <v>237</v>
      </c>
      <c r="AF17" s="220"/>
      <c r="AG17" s="220"/>
      <c r="AH17" s="220"/>
      <c r="AI17" s="220"/>
      <c r="AJ17" s="220"/>
      <c r="AK17" s="318"/>
      <c r="AL17" s="300"/>
      <c r="AM17" s="300"/>
      <c r="AN17" s="300"/>
      <c r="AO17" s="220"/>
      <c r="AP17" s="220"/>
      <c r="AQ17" s="220"/>
      <c r="AR17" s="220"/>
      <c r="AS17" s="315"/>
      <c r="AT17" s="221"/>
      <c r="AU17" s="221"/>
      <c r="AV17" s="221"/>
      <c r="AW17" s="220"/>
    </row>
    <row r="18" spans="1:49" x14ac:dyDescent="0.2">
      <c r="A18" s="234">
        <v>57630</v>
      </c>
      <c r="B18" s="255">
        <v>2015</v>
      </c>
      <c r="C18" s="234" t="s">
        <v>25</v>
      </c>
      <c r="D18" s="236">
        <v>138</v>
      </c>
      <c r="E18" s="246">
        <v>18</v>
      </c>
      <c r="F18" s="246">
        <v>19</v>
      </c>
      <c r="G18" s="246">
        <v>28</v>
      </c>
      <c r="H18" s="246">
        <v>37</v>
      </c>
      <c r="I18" s="246">
        <v>31</v>
      </c>
      <c r="J18" s="246">
        <v>5</v>
      </c>
      <c r="K18" s="242"/>
      <c r="L18" s="242"/>
      <c r="M18" s="242"/>
      <c r="N18" s="242"/>
      <c r="O18" s="242"/>
      <c r="P18" s="242"/>
      <c r="Q18" s="335">
        <f t="shared" si="1"/>
        <v>138</v>
      </c>
      <c r="R18" s="263">
        <f t="shared" si="2"/>
        <v>23</v>
      </c>
      <c r="S18" s="336">
        <f t="shared" si="3"/>
        <v>0</v>
      </c>
      <c r="T18" s="307">
        <f t="shared" si="4"/>
        <v>0</v>
      </c>
      <c r="U18" s="255">
        <v>2015</v>
      </c>
      <c r="V18" s="234" t="s">
        <v>25</v>
      </c>
      <c r="W18" s="220"/>
      <c r="X18" s="220"/>
      <c r="Y18" s="220"/>
      <c r="Z18" s="220"/>
      <c r="AA18" s="302">
        <v>43138</v>
      </c>
      <c r="AB18" s="309">
        <v>2017</v>
      </c>
      <c r="AC18" s="303" t="s">
        <v>181</v>
      </c>
      <c r="AD18" s="303">
        <v>397</v>
      </c>
      <c r="AE18" s="220" t="s">
        <v>237</v>
      </c>
      <c r="AF18" s="220"/>
      <c r="AG18" s="220"/>
      <c r="AH18" s="220"/>
      <c r="AI18" s="220"/>
      <c r="AJ18" s="220"/>
      <c r="AK18" s="318"/>
      <c r="AL18" s="300"/>
      <c r="AM18" s="300"/>
      <c r="AN18" s="300"/>
      <c r="AO18" s="220"/>
      <c r="AP18" s="220"/>
      <c r="AQ18" s="220"/>
      <c r="AR18" s="220"/>
      <c r="AS18" s="321"/>
      <c r="AT18" s="221"/>
      <c r="AU18" s="221"/>
      <c r="AV18" s="221"/>
      <c r="AW18" s="220"/>
    </row>
    <row r="19" spans="1:49" x14ac:dyDescent="0.2">
      <c r="A19" s="234">
        <v>30306</v>
      </c>
      <c r="B19" s="255">
        <v>2015</v>
      </c>
      <c r="C19" s="234" t="s">
        <v>244</v>
      </c>
      <c r="D19" s="236">
        <v>254</v>
      </c>
      <c r="E19" s="246"/>
      <c r="F19" s="246"/>
      <c r="G19" s="246"/>
      <c r="H19" s="246"/>
      <c r="I19" s="246"/>
      <c r="J19" s="246"/>
      <c r="K19" s="246">
        <v>10</v>
      </c>
      <c r="L19" s="246">
        <v>0</v>
      </c>
      <c r="M19" s="246">
        <v>0</v>
      </c>
      <c r="N19" s="246">
        <v>0</v>
      </c>
      <c r="O19" s="246">
        <v>0</v>
      </c>
      <c r="P19" s="246">
        <v>0</v>
      </c>
      <c r="Q19" s="335">
        <f>SUM(E19:P19)</f>
        <v>10</v>
      </c>
      <c r="R19" s="263">
        <f>IFERROR((AVERAGE(E19:P19)),0)</f>
        <v>1.6666666666666667</v>
      </c>
      <c r="S19" s="336">
        <f t="shared" ref="S19" si="5">IFERROR((T19/R19),0)</f>
        <v>146.4</v>
      </c>
      <c r="T19" s="307">
        <f>SUM(D19-Q19)</f>
        <v>244</v>
      </c>
      <c r="U19" s="255">
        <v>2015</v>
      </c>
      <c r="V19" s="234" t="s">
        <v>84</v>
      </c>
      <c r="W19" s="220"/>
      <c r="X19" s="220"/>
      <c r="Y19" s="220"/>
      <c r="Z19" s="220"/>
      <c r="AA19" s="302"/>
      <c r="AB19" s="309"/>
      <c r="AC19" s="303"/>
      <c r="AD19" s="303"/>
      <c r="AE19" s="220"/>
      <c r="AF19" s="220"/>
      <c r="AG19" s="220"/>
      <c r="AH19" s="220"/>
      <c r="AI19" s="220"/>
      <c r="AJ19" s="220"/>
      <c r="AK19" s="318"/>
      <c r="AL19" s="300"/>
      <c r="AM19" s="300"/>
      <c r="AN19" s="300"/>
      <c r="AO19" s="220"/>
      <c r="AP19" s="220"/>
      <c r="AQ19" s="220"/>
      <c r="AR19" s="220"/>
      <c r="AS19" s="321"/>
      <c r="AT19" s="221"/>
      <c r="AU19" s="221"/>
      <c r="AV19" s="221"/>
      <c r="AW19" s="220"/>
    </row>
    <row r="20" spans="1:49" x14ac:dyDescent="0.2">
      <c r="A20" s="234">
        <v>22382</v>
      </c>
      <c r="B20" s="255">
        <v>2015</v>
      </c>
      <c r="C20" s="234" t="s">
        <v>23</v>
      </c>
      <c r="D20" s="236">
        <v>70</v>
      </c>
      <c r="E20" s="246">
        <v>70</v>
      </c>
      <c r="F20" s="242"/>
      <c r="G20" s="242"/>
      <c r="H20" s="242"/>
      <c r="I20" s="242"/>
      <c r="J20" s="242"/>
      <c r="K20" s="242"/>
      <c r="L20" s="242"/>
      <c r="M20" s="242"/>
      <c r="N20" s="242"/>
      <c r="O20" s="242"/>
      <c r="P20" s="242"/>
      <c r="Q20" s="335">
        <f t="shared" si="1"/>
        <v>70</v>
      </c>
      <c r="R20" s="263">
        <f t="shared" si="2"/>
        <v>70</v>
      </c>
      <c r="S20" s="336">
        <f t="shared" si="3"/>
        <v>0</v>
      </c>
      <c r="T20" s="307">
        <f t="shared" si="4"/>
        <v>0</v>
      </c>
      <c r="U20" s="255">
        <v>2015</v>
      </c>
      <c r="V20" s="234" t="s">
        <v>23</v>
      </c>
      <c r="W20" s="220"/>
      <c r="X20" s="220"/>
      <c r="Y20" s="220"/>
      <c r="Z20" s="220"/>
      <c r="AA20" s="302">
        <v>43138</v>
      </c>
      <c r="AB20" s="309">
        <v>2017</v>
      </c>
      <c r="AC20" s="303" t="s">
        <v>245</v>
      </c>
      <c r="AD20" s="303">
        <v>502</v>
      </c>
      <c r="AE20" s="220" t="s">
        <v>246</v>
      </c>
      <c r="AF20" s="220"/>
      <c r="AG20" s="220"/>
      <c r="AH20" s="220"/>
      <c r="AI20" s="220"/>
      <c r="AJ20" s="220"/>
      <c r="AK20" s="318"/>
      <c r="AL20" s="300"/>
      <c r="AM20" s="300"/>
      <c r="AN20" s="300"/>
      <c r="AO20" s="220"/>
      <c r="AP20" s="220"/>
      <c r="AQ20" s="220"/>
      <c r="AR20" s="220"/>
      <c r="AS20" s="315"/>
      <c r="AT20" s="221"/>
      <c r="AU20" s="221"/>
      <c r="AV20" s="221"/>
      <c r="AW20" s="220"/>
    </row>
    <row r="21" spans="1:49" x14ac:dyDescent="0.2">
      <c r="A21" s="234">
        <v>84802</v>
      </c>
      <c r="B21" s="255">
        <v>2015</v>
      </c>
      <c r="C21" s="234" t="s">
        <v>93</v>
      </c>
      <c r="D21" s="236">
        <v>210</v>
      </c>
      <c r="E21" s="246">
        <v>0</v>
      </c>
      <c r="F21" s="246">
        <v>0</v>
      </c>
      <c r="G21" s="246">
        <v>0</v>
      </c>
      <c r="H21" s="246">
        <v>0</v>
      </c>
      <c r="I21" s="246">
        <v>6</v>
      </c>
      <c r="J21" s="246">
        <v>0</v>
      </c>
      <c r="K21" s="246">
        <v>0</v>
      </c>
      <c r="L21" s="246">
        <v>2</v>
      </c>
      <c r="M21" s="246">
        <v>15</v>
      </c>
      <c r="N21" s="246">
        <v>19</v>
      </c>
      <c r="O21" s="246">
        <v>12</v>
      </c>
      <c r="P21" s="246">
        <v>10</v>
      </c>
      <c r="Q21" s="335">
        <f t="shared" si="1"/>
        <v>64</v>
      </c>
      <c r="R21" s="263">
        <f t="shared" si="2"/>
        <v>5.333333333333333</v>
      </c>
      <c r="S21" s="336">
        <f t="shared" si="3"/>
        <v>27.375</v>
      </c>
      <c r="T21" s="307">
        <f t="shared" si="4"/>
        <v>146</v>
      </c>
      <c r="U21" s="255">
        <v>2015</v>
      </c>
      <c r="V21" s="234" t="s">
        <v>93</v>
      </c>
      <c r="W21" s="220"/>
      <c r="X21" s="220"/>
      <c r="Y21" s="220"/>
      <c r="Z21" s="220"/>
      <c r="AA21" s="302">
        <v>43138</v>
      </c>
      <c r="AB21" s="309">
        <v>2017</v>
      </c>
      <c r="AC21" s="303" t="s">
        <v>247</v>
      </c>
      <c r="AD21" s="303">
        <v>316</v>
      </c>
      <c r="AE21" s="220" t="s">
        <v>246</v>
      </c>
      <c r="AF21" s="220"/>
      <c r="AG21" s="220"/>
      <c r="AH21" s="220"/>
      <c r="AI21" s="220"/>
      <c r="AJ21" s="220"/>
      <c r="AK21" s="318"/>
      <c r="AL21" s="300"/>
      <c r="AM21" s="300"/>
      <c r="AN21" s="300"/>
      <c r="AO21" s="220"/>
      <c r="AP21" s="220"/>
      <c r="AQ21" s="220"/>
      <c r="AR21" s="220"/>
      <c r="AS21" s="315"/>
      <c r="AT21" s="221"/>
      <c r="AU21" s="221"/>
      <c r="AV21" s="221"/>
      <c r="AW21" s="220"/>
    </row>
    <row r="22" spans="1:49" x14ac:dyDescent="0.2">
      <c r="A22" s="234">
        <v>27736</v>
      </c>
      <c r="B22" s="255">
        <v>2015</v>
      </c>
      <c r="C22" s="234" t="s">
        <v>56</v>
      </c>
      <c r="D22" s="236">
        <v>27</v>
      </c>
      <c r="E22" s="246">
        <v>26</v>
      </c>
      <c r="F22" s="246">
        <v>1</v>
      </c>
      <c r="G22" s="242"/>
      <c r="H22" s="242"/>
      <c r="I22" s="242"/>
      <c r="J22" s="242"/>
      <c r="K22" s="242"/>
      <c r="L22" s="242"/>
      <c r="M22" s="242"/>
      <c r="N22" s="242"/>
      <c r="O22" s="242"/>
      <c r="P22" s="242"/>
      <c r="Q22" s="335">
        <f t="shared" si="1"/>
        <v>27</v>
      </c>
      <c r="R22" s="263">
        <f t="shared" si="2"/>
        <v>13.5</v>
      </c>
      <c r="S22" s="336">
        <f t="shared" si="3"/>
        <v>0</v>
      </c>
      <c r="T22" s="307">
        <f t="shared" si="4"/>
        <v>0</v>
      </c>
      <c r="U22" s="255">
        <v>2015</v>
      </c>
      <c r="V22" s="234" t="s">
        <v>56</v>
      </c>
      <c r="W22" s="220"/>
      <c r="X22" s="220"/>
      <c r="Y22" s="220"/>
      <c r="Z22" s="220"/>
      <c r="AA22" s="302">
        <v>43138</v>
      </c>
      <c r="AB22" s="309">
        <v>2017</v>
      </c>
      <c r="AC22" s="303" t="s">
        <v>248</v>
      </c>
      <c r="AD22" s="303">
        <v>43</v>
      </c>
      <c r="AE22" s="220" t="s">
        <v>249</v>
      </c>
      <c r="AF22" s="220"/>
      <c r="AG22" s="220"/>
      <c r="AH22" s="220"/>
      <c r="AI22" s="220"/>
      <c r="AJ22" s="220"/>
      <c r="AK22" s="300"/>
      <c r="AL22" s="300"/>
      <c r="AM22" s="300"/>
      <c r="AN22" s="300"/>
      <c r="AO22" s="220"/>
      <c r="AP22" s="220"/>
      <c r="AQ22" s="220"/>
      <c r="AR22" s="220"/>
      <c r="AS22" s="315"/>
      <c r="AT22" s="221"/>
      <c r="AU22" s="221"/>
      <c r="AV22" s="221"/>
      <c r="AW22" s="220"/>
    </row>
    <row r="23" spans="1:49" x14ac:dyDescent="0.2">
      <c r="A23" s="234">
        <v>22921</v>
      </c>
      <c r="B23" s="255">
        <v>2015</v>
      </c>
      <c r="C23" s="234" t="s">
        <v>196</v>
      </c>
      <c r="D23" s="236">
        <v>264</v>
      </c>
      <c r="E23" s="246">
        <v>37</v>
      </c>
      <c r="F23" s="246">
        <v>25</v>
      </c>
      <c r="G23" s="246">
        <v>47</v>
      </c>
      <c r="H23" s="246">
        <v>85</v>
      </c>
      <c r="I23" s="246">
        <v>44</v>
      </c>
      <c r="J23" s="246">
        <v>26</v>
      </c>
      <c r="K23" s="242"/>
      <c r="L23" s="242"/>
      <c r="M23" s="242"/>
      <c r="N23" s="242"/>
      <c r="O23" s="242"/>
      <c r="P23" s="242"/>
      <c r="Q23" s="335">
        <f t="shared" si="1"/>
        <v>264</v>
      </c>
      <c r="R23" s="263">
        <f t="shared" si="2"/>
        <v>44</v>
      </c>
      <c r="S23" s="336">
        <f t="shared" si="3"/>
        <v>0</v>
      </c>
      <c r="T23" s="307">
        <f t="shared" si="4"/>
        <v>0</v>
      </c>
      <c r="U23" s="255">
        <v>2015</v>
      </c>
      <c r="V23" s="234" t="s">
        <v>22</v>
      </c>
      <c r="W23" s="220"/>
      <c r="X23" s="220"/>
      <c r="Y23" s="220"/>
      <c r="Z23" s="220"/>
      <c r="AA23" s="302">
        <v>43186</v>
      </c>
      <c r="AB23" s="309">
        <v>2017</v>
      </c>
      <c r="AC23" s="303" t="s">
        <v>250</v>
      </c>
      <c r="AD23" s="303">
        <v>107</v>
      </c>
      <c r="AE23" s="220"/>
      <c r="AF23" s="220"/>
      <c r="AG23" s="220"/>
      <c r="AH23" s="220"/>
      <c r="AI23" s="220"/>
      <c r="AJ23" s="220"/>
      <c r="AK23" s="300"/>
      <c r="AL23" s="300"/>
      <c r="AM23" s="300"/>
      <c r="AN23" s="300"/>
      <c r="AO23" s="220"/>
      <c r="AP23" s="220"/>
      <c r="AQ23" s="220"/>
      <c r="AR23" s="220"/>
      <c r="AS23" s="315"/>
      <c r="AT23" s="221"/>
      <c r="AU23" s="221"/>
      <c r="AV23" s="221"/>
      <c r="AW23" s="220"/>
    </row>
    <row r="24" spans="1:49" x14ac:dyDescent="0.2">
      <c r="A24" s="250">
        <v>34641</v>
      </c>
      <c r="B24" s="255">
        <v>2015</v>
      </c>
      <c r="C24" s="250" t="s">
        <v>52</v>
      </c>
      <c r="D24" s="236">
        <v>210</v>
      </c>
      <c r="E24" s="246">
        <v>10</v>
      </c>
      <c r="F24" s="246">
        <v>16</v>
      </c>
      <c r="G24" s="246">
        <v>20</v>
      </c>
      <c r="H24" s="246">
        <v>38</v>
      </c>
      <c r="I24" s="246">
        <v>28</v>
      </c>
      <c r="J24" s="246">
        <v>31</v>
      </c>
      <c r="K24" s="246">
        <v>27</v>
      </c>
      <c r="L24" s="246">
        <v>40</v>
      </c>
      <c r="M24" s="242"/>
      <c r="N24" s="242"/>
      <c r="O24" s="242"/>
      <c r="P24" s="242"/>
      <c r="Q24" s="335">
        <f>SUM(E24:P24)</f>
        <v>210</v>
      </c>
      <c r="R24" s="263">
        <f t="shared" si="2"/>
        <v>26.25</v>
      </c>
      <c r="S24" s="336">
        <f t="shared" si="3"/>
        <v>0</v>
      </c>
      <c r="T24" s="307">
        <f>SUM(D24-Q24)</f>
        <v>0</v>
      </c>
      <c r="U24" s="255">
        <v>2015</v>
      </c>
      <c r="V24" s="250" t="s">
        <v>52</v>
      </c>
      <c r="W24" s="220"/>
      <c r="X24" s="220"/>
      <c r="Y24" s="220"/>
      <c r="Z24" s="220"/>
      <c r="AA24" s="302">
        <v>43186</v>
      </c>
      <c r="AB24" s="309">
        <v>2017</v>
      </c>
      <c r="AC24" s="303" t="s">
        <v>170</v>
      </c>
      <c r="AD24" s="303">
        <v>450</v>
      </c>
      <c r="AE24" s="220" t="s">
        <v>237</v>
      </c>
      <c r="AF24" s="220"/>
      <c r="AG24" s="220"/>
      <c r="AH24" s="220"/>
      <c r="AI24" s="220"/>
      <c r="AJ24" s="220"/>
      <c r="AK24" s="300"/>
      <c r="AL24" s="300"/>
      <c r="AM24" s="300"/>
      <c r="AN24" s="300"/>
      <c r="AO24" s="220"/>
      <c r="AP24" s="220"/>
      <c r="AQ24" s="220"/>
      <c r="AR24" s="220"/>
      <c r="AS24" s="315"/>
      <c r="AT24" s="221"/>
      <c r="AU24" s="221"/>
      <c r="AV24" s="221"/>
      <c r="AW24" s="220"/>
    </row>
    <row r="25" spans="1:49" x14ac:dyDescent="0.2">
      <c r="A25" s="234">
        <v>18004</v>
      </c>
      <c r="B25" s="255">
        <v>2015</v>
      </c>
      <c r="C25" s="234" t="s">
        <v>29</v>
      </c>
      <c r="D25" s="236">
        <v>195</v>
      </c>
      <c r="E25" s="246">
        <v>14</v>
      </c>
      <c r="F25" s="246">
        <v>48</v>
      </c>
      <c r="G25" s="246">
        <v>20</v>
      </c>
      <c r="H25" s="246">
        <v>9</v>
      </c>
      <c r="I25" s="246">
        <v>10</v>
      </c>
      <c r="J25" s="246">
        <v>64</v>
      </c>
      <c r="K25" s="246">
        <v>0</v>
      </c>
      <c r="L25" s="246">
        <v>0</v>
      </c>
      <c r="M25" s="246">
        <v>0</v>
      </c>
      <c r="N25" s="246">
        <v>19</v>
      </c>
      <c r="O25" s="246">
        <v>11</v>
      </c>
      <c r="P25" s="242"/>
      <c r="Q25" s="335">
        <f>SUM(E25:P25)</f>
        <v>195</v>
      </c>
      <c r="R25" s="263">
        <f t="shared" si="2"/>
        <v>17.727272727272727</v>
      </c>
      <c r="S25" s="336">
        <f t="shared" si="3"/>
        <v>0</v>
      </c>
      <c r="T25" s="307">
        <f>SUM(D25-Q25)</f>
        <v>0</v>
      </c>
      <c r="U25" s="255">
        <v>2015</v>
      </c>
      <c r="V25" s="234" t="s">
        <v>29</v>
      </c>
      <c r="W25" s="220"/>
      <c r="X25" s="220"/>
      <c r="Y25" s="220"/>
      <c r="Z25" s="220"/>
      <c r="AA25" s="302">
        <v>43186</v>
      </c>
      <c r="AB25" s="309">
        <v>2017</v>
      </c>
      <c r="AC25" s="303" t="s">
        <v>251</v>
      </c>
      <c r="AD25" s="303">
        <v>450</v>
      </c>
      <c r="AE25" s="220" t="s">
        <v>246</v>
      </c>
      <c r="AF25" s="220"/>
      <c r="AG25" s="220"/>
      <c r="AH25" s="220"/>
      <c r="AI25" s="220"/>
      <c r="AJ25" s="220"/>
      <c r="AK25" s="300"/>
      <c r="AL25" s="300"/>
      <c r="AM25" s="300"/>
      <c r="AN25" s="300"/>
      <c r="AO25" s="220"/>
      <c r="AP25" s="220"/>
      <c r="AQ25" s="220"/>
      <c r="AR25" s="220"/>
      <c r="AS25" s="315"/>
      <c r="AT25" s="221"/>
      <c r="AU25" s="221"/>
      <c r="AV25" s="221"/>
      <c r="AW25" s="220"/>
    </row>
    <row r="26" spans="1:49" x14ac:dyDescent="0.2">
      <c r="A26" s="234">
        <v>86051</v>
      </c>
      <c r="B26" s="255">
        <v>2015</v>
      </c>
      <c r="C26" s="234" t="s">
        <v>94</v>
      </c>
      <c r="D26" s="236">
        <v>126</v>
      </c>
      <c r="E26" s="246">
        <v>44</v>
      </c>
      <c r="F26" s="246">
        <v>56</v>
      </c>
      <c r="G26" s="246">
        <v>26</v>
      </c>
      <c r="H26" s="242"/>
      <c r="I26" s="242"/>
      <c r="J26" s="242"/>
      <c r="K26" s="242"/>
      <c r="L26" s="242"/>
      <c r="M26" s="242"/>
      <c r="N26" s="242"/>
      <c r="O26" s="242"/>
      <c r="P26" s="242"/>
      <c r="Q26" s="335">
        <f t="shared" si="1"/>
        <v>126</v>
      </c>
      <c r="R26" s="263">
        <f t="shared" si="2"/>
        <v>42</v>
      </c>
      <c r="S26" s="336">
        <f t="shared" si="3"/>
        <v>0</v>
      </c>
      <c r="T26" s="307">
        <f t="shared" si="4"/>
        <v>0</v>
      </c>
      <c r="U26" s="255">
        <v>2015</v>
      </c>
      <c r="V26" s="234" t="s">
        <v>94</v>
      </c>
      <c r="W26" s="220"/>
      <c r="X26" s="220"/>
      <c r="Y26" s="220"/>
      <c r="Z26" s="220"/>
      <c r="AA26" s="302">
        <v>43186</v>
      </c>
      <c r="AB26" s="309">
        <v>2017</v>
      </c>
      <c r="AC26" s="303" t="s">
        <v>252</v>
      </c>
      <c r="AD26" s="303">
        <v>450</v>
      </c>
      <c r="AE26" s="220" t="s">
        <v>246</v>
      </c>
      <c r="AF26" s="220"/>
      <c r="AG26" s="220"/>
      <c r="AH26" s="220"/>
      <c r="AI26" s="220"/>
      <c r="AJ26" s="220"/>
      <c r="AK26" s="300"/>
      <c r="AL26" s="300"/>
      <c r="AM26" s="300"/>
      <c r="AN26" s="300"/>
      <c r="AO26" s="220"/>
      <c r="AP26" s="220"/>
      <c r="AQ26" s="220"/>
      <c r="AR26" s="220"/>
      <c r="AS26" s="315"/>
      <c r="AT26" s="221"/>
      <c r="AU26" s="221"/>
      <c r="AV26" s="221"/>
      <c r="AW26" s="220"/>
    </row>
    <row r="27" spans="1:49" x14ac:dyDescent="0.2">
      <c r="A27" s="226"/>
      <c r="B27" s="226"/>
      <c r="C27" s="226"/>
      <c r="D27" s="243"/>
      <c r="E27" s="243"/>
      <c r="F27" s="243"/>
      <c r="G27" s="243"/>
      <c r="H27" s="243"/>
      <c r="I27" s="243"/>
      <c r="J27" s="243"/>
      <c r="K27" s="243"/>
      <c r="L27" s="243"/>
      <c r="M27" s="243"/>
      <c r="N27" s="243"/>
      <c r="O27" s="243"/>
      <c r="P27" s="243"/>
      <c r="Q27" s="243"/>
      <c r="R27" s="243"/>
      <c r="S27" s="243"/>
      <c r="T27" s="243"/>
      <c r="U27" s="226"/>
      <c r="V27" s="226"/>
      <c r="W27" s="220"/>
      <c r="X27" s="220"/>
      <c r="Y27" s="220"/>
      <c r="Z27" s="220"/>
      <c r="AA27" s="302">
        <v>43186</v>
      </c>
      <c r="AB27" s="309">
        <v>2017</v>
      </c>
      <c r="AC27" s="303" t="s">
        <v>253</v>
      </c>
      <c r="AD27" s="303">
        <v>198</v>
      </c>
      <c r="AE27" s="220" t="s">
        <v>246</v>
      </c>
      <c r="AF27" s="220"/>
      <c r="AG27" s="220"/>
      <c r="AH27" s="220"/>
      <c r="AI27" s="220"/>
      <c r="AJ27" s="220"/>
      <c r="AK27" s="300"/>
      <c r="AL27" s="300"/>
      <c r="AM27" s="300"/>
      <c r="AN27" s="300"/>
      <c r="AO27" s="220"/>
      <c r="AP27" s="220"/>
      <c r="AQ27" s="220"/>
      <c r="AR27" s="220"/>
      <c r="AS27" s="315"/>
      <c r="AT27" s="221"/>
      <c r="AU27" s="221"/>
      <c r="AV27" s="221"/>
      <c r="AW27" s="220"/>
    </row>
    <row r="28" spans="1:49" x14ac:dyDescent="0.2">
      <c r="A28" s="234">
        <v>111574</v>
      </c>
      <c r="B28" s="233">
        <v>2016</v>
      </c>
      <c r="C28" s="234" t="s">
        <v>205</v>
      </c>
      <c r="D28" s="323">
        <v>196</v>
      </c>
      <c r="E28" s="325">
        <v>21</v>
      </c>
      <c r="F28" s="325">
        <v>14</v>
      </c>
      <c r="G28" s="325">
        <v>17</v>
      </c>
      <c r="H28" s="325">
        <v>13</v>
      </c>
      <c r="I28" s="325">
        <v>28</v>
      </c>
      <c r="J28" s="325">
        <v>24</v>
      </c>
      <c r="K28" s="325">
        <v>24</v>
      </c>
      <c r="L28" s="325">
        <v>17</v>
      </c>
      <c r="M28" s="325">
        <v>20</v>
      </c>
      <c r="N28" s="325">
        <v>16</v>
      </c>
      <c r="O28" s="325">
        <v>2</v>
      </c>
      <c r="P28" s="346"/>
      <c r="Q28" s="341">
        <f>SUM(E28:P28)</f>
        <v>196</v>
      </c>
      <c r="R28" s="263">
        <f t="shared" ref="R28:R33" si="6">IFERROR((AVERAGE(E28:P28)),0)</f>
        <v>17.818181818181817</v>
      </c>
      <c r="S28" s="336">
        <f t="shared" ref="S28:S40" si="7">IFERROR((T28/R28),0)</f>
        <v>0</v>
      </c>
      <c r="T28" s="307">
        <f>SUM(D28-Q28)</f>
        <v>0</v>
      </c>
      <c r="U28" s="233">
        <v>2016</v>
      </c>
      <c r="V28" s="234" t="s">
        <v>205</v>
      </c>
      <c r="W28" s="220"/>
      <c r="X28" s="220"/>
      <c r="Y28" s="220"/>
      <c r="Z28" s="220"/>
      <c r="AA28" s="302">
        <v>43187</v>
      </c>
      <c r="AB28" s="309">
        <v>2017</v>
      </c>
      <c r="AC28" s="303" t="s">
        <v>254</v>
      </c>
      <c r="AD28" s="303">
        <v>204</v>
      </c>
      <c r="AE28" s="220" t="s">
        <v>237</v>
      </c>
      <c r="AF28" s="220"/>
      <c r="AG28" s="220"/>
      <c r="AH28" s="220"/>
      <c r="AI28" s="220"/>
      <c r="AJ28" s="220"/>
      <c r="AK28" s="220"/>
      <c r="AL28" s="220"/>
      <c r="AM28" s="220"/>
      <c r="AN28" s="220"/>
      <c r="AO28" s="220"/>
      <c r="AP28" s="220"/>
      <c r="AQ28" s="220"/>
      <c r="AR28" s="220"/>
      <c r="AS28" s="315"/>
      <c r="AT28" s="221"/>
      <c r="AU28" s="221"/>
      <c r="AV28" s="221"/>
      <c r="AW28" s="220"/>
    </row>
    <row r="29" spans="1:49" x14ac:dyDescent="0.2">
      <c r="A29" s="234">
        <v>116506</v>
      </c>
      <c r="B29" s="233">
        <v>2016</v>
      </c>
      <c r="C29" s="234" t="s">
        <v>207</v>
      </c>
      <c r="D29" s="323">
        <v>4</v>
      </c>
      <c r="E29" s="325">
        <v>0</v>
      </c>
      <c r="F29" s="325">
        <v>0</v>
      </c>
      <c r="G29" s="325">
        <v>4</v>
      </c>
      <c r="H29" s="326"/>
      <c r="I29" s="326"/>
      <c r="J29" s="326"/>
      <c r="K29" s="326"/>
      <c r="L29" s="326"/>
      <c r="M29" s="326"/>
      <c r="N29" s="326"/>
      <c r="O29" s="326"/>
      <c r="P29" s="326"/>
      <c r="Q29" s="341">
        <f t="shared" ref="Q29:Q40" si="8">SUM(E29:P29)</f>
        <v>4</v>
      </c>
      <c r="R29" s="263">
        <f t="shared" si="6"/>
        <v>1.3333333333333333</v>
      </c>
      <c r="S29" s="336">
        <f t="shared" si="7"/>
        <v>0</v>
      </c>
      <c r="T29" s="307">
        <f t="shared" ref="T29:T40" si="9">SUM(D29-Q29)</f>
        <v>0</v>
      </c>
      <c r="U29" s="233">
        <v>2016</v>
      </c>
      <c r="V29" s="234" t="s">
        <v>207</v>
      </c>
      <c r="W29" s="220"/>
      <c r="X29" s="220"/>
      <c r="Y29" s="220"/>
      <c r="Z29" s="220"/>
      <c r="AA29" s="302">
        <v>43187</v>
      </c>
      <c r="AB29" s="309">
        <v>2017</v>
      </c>
      <c r="AC29" s="303" t="s">
        <v>255</v>
      </c>
      <c r="AD29" s="303">
        <v>114</v>
      </c>
      <c r="AE29" s="220"/>
      <c r="AF29" s="220"/>
      <c r="AG29" s="220"/>
      <c r="AH29" s="220"/>
      <c r="AI29" s="220"/>
      <c r="AJ29" s="220"/>
      <c r="AK29" s="220"/>
      <c r="AL29" s="220"/>
      <c r="AM29" s="220"/>
      <c r="AN29" s="220"/>
      <c r="AO29" s="220"/>
      <c r="AP29" s="220"/>
      <c r="AQ29" s="220"/>
      <c r="AR29" s="220"/>
      <c r="AS29" s="315"/>
      <c r="AT29" s="221"/>
      <c r="AU29" s="221"/>
      <c r="AV29" s="221"/>
      <c r="AW29" s="220"/>
    </row>
    <row r="30" spans="1:49" x14ac:dyDescent="0.2">
      <c r="A30" s="234">
        <v>11198</v>
      </c>
      <c r="B30" s="233">
        <v>2016</v>
      </c>
      <c r="C30" s="234" t="s">
        <v>46</v>
      </c>
      <c r="D30" s="323">
        <v>173</v>
      </c>
      <c r="E30" s="325">
        <v>14</v>
      </c>
      <c r="F30" s="325">
        <v>20</v>
      </c>
      <c r="G30" s="325">
        <v>21</v>
      </c>
      <c r="H30" s="325">
        <v>17</v>
      </c>
      <c r="I30" s="325">
        <v>27</v>
      </c>
      <c r="J30" s="325">
        <v>39</v>
      </c>
      <c r="K30" s="325">
        <v>28</v>
      </c>
      <c r="L30" s="325">
        <v>7</v>
      </c>
      <c r="M30" s="326"/>
      <c r="N30" s="326"/>
      <c r="O30" s="326"/>
      <c r="P30" s="326"/>
      <c r="Q30" s="341">
        <f>SUM(E30:P30)</f>
        <v>173</v>
      </c>
      <c r="R30" s="263">
        <f t="shared" si="6"/>
        <v>21.625</v>
      </c>
      <c r="S30" s="336">
        <f t="shared" si="7"/>
        <v>0</v>
      </c>
      <c r="T30" s="307">
        <f>SUM(D30-Q30)</f>
        <v>0</v>
      </c>
      <c r="U30" s="233">
        <v>2016</v>
      </c>
      <c r="V30" s="234" t="s">
        <v>46</v>
      </c>
      <c r="W30" s="220"/>
      <c r="X30" s="220"/>
      <c r="Y30" s="220"/>
      <c r="Z30" s="220"/>
      <c r="AA30" s="302">
        <v>43187</v>
      </c>
      <c r="AB30" s="309">
        <v>2017</v>
      </c>
      <c r="AC30" s="303" t="s">
        <v>256</v>
      </c>
      <c r="AD30" s="303">
        <v>616</v>
      </c>
      <c r="AE30" s="220" t="s">
        <v>246</v>
      </c>
      <c r="AF30" s="220"/>
      <c r="AG30" s="220"/>
      <c r="AH30" s="220"/>
      <c r="AI30" s="220"/>
      <c r="AJ30" s="220"/>
      <c r="AK30" s="220"/>
      <c r="AL30" s="220"/>
      <c r="AM30" s="220"/>
      <c r="AN30" s="220"/>
      <c r="AO30" s="220"/>
      <c r="AP30" s="220"/>
      <c r="AQ30" s="220"/>
      <c r="AR30" s="220"/>
      <c r="AS30" s="315"/>
      <c r="AT30" s="221"/>
      <c r="AU30" s="221"/>
      <c r="AV30" s="221"/>
      <c r="AW30" s="220"/>
    </row>
    <row r="31" spans="1:49" x14ac:dyDescent="0.2">
      <c r="A31" s="234">
        <v>57632</v>
      </c>
      <c r="B31" s="255">
        <v>2016</v>
      </c>
      <c r="C31" s="234" t="s">
        <v>31</v>
      </c>
      <c r="D31" s="236">
        <v>460</v>
      </c>
      <c r="E31" s="246">
        <v>20</v>
      </c>
      <c r="F31" s="246">
        <v>23</v>
      </c>
      <c r="G31" s="246">
        <v>31</v>
      </c>
      <c r="H31" s="246">
        <v>25</v>
      </c>
      <c r="I31" s="246">
        <v>50</v>
      </c>
      <c r="J31" s="246">
        <v>45</v>
      </c>
      <c r="K31" s="246">
        <v>38</v>
      </c>
      <c r="L31" s="246">
        <v>42</v>
      </c>
      <c r="M31" s="246">
        <v>33</v>
      </c>
      <c r="N31" s="246">
        <v>29</v>
      </c>
      <c r="O31" s="246">
        <v>28</v>
      </c>
      <c r="P31" s="246">
        <v>35</v>
      </c>
      <c r="Q31" s="335">
        <f>SUM(E31:P31)</f>
        <v>399</v>
      </c>
      <c r="R31" s="263">
        <f t="shared" si="6"/>
        <v>33.25</v>
      </c>
      <c r="S31" s="336">
        <f t="shared" si="7"/>
        <v>1.8345864661654134</v>
      </c>
      <c r="T31" s="307">
        <f>SUM(D31-Q31)</f>
        <v>61</v>
      </c>
      <c r="U31" s="233">
        <v>2016</v>
      </c>
      <c r="V31" s="234" t="s">
        <v>31</v>
      </c>
      <c r="W31" s="220"/>
      <c r="X31" s="220"/>
      <c r="Y31" s="220"/>
      <c r="Z31" s="220"/>
      <c r="AA31" s="302">
        <v>43262</v>
      </c>
      <c r="AB31" s="309">
        <v>2017</v>
      </c>
      <c r="AC31" s="303" t="s">
        <v>257</v>
      </c>
      <c r="AD31" s="303">
        <v>600</v>
      </c>
      <c r="AE31" s="220" t="s">
        <v>246</v>
      </c>
      <c r="AF31" s="220"/>
      <c r="AG31" s="220"/>
      <c r="AH31" s="220"/>
      <c r="AI31" s="220"/>
      <c r="AJ31" s="220"/>
      <c r="AK31" s="220"/>
      <c r="AL31" s="220"/>
      <c r="AM31" s="220"/>
      <c r="AN31" s="220"/>
      <c r="AO31" s="220"/>
      <c r="AP31" s="220"/>
      <c r="AQ31" s="220"/>
      <c r="AR31" s="220"/>
      <c r="AS31" s="315"/>
      <c r="AT31" s="221"/>
      <c r="AU31" s="221"/>
      <c r="AV31" s="221"/>
      <c r="AW31" s="220"/>
    </row>
    <row r="32" spans="1:49" ht="16.350000000000001" customHeight="1" x14ac:dyDescent="0.2">
      <c r="A32" s="234">
        <v>57630</v>
      </c>
      <c r="B32" s="255">
        <v>2016</v>
      </c>
      <c r="C32" s="234" t="s">
        <v>25</v>
      </c>
      <c r="D32" s="236">
        <v>719</v>
      </c>
      <c r="E32" s="246">
        <v>5</v>
      </c>
      <c r="F32" s="246">
        <v>15</v>
      </c>
      <c r="G32" s="246">
        <v>20</v>
      </c>
      <c r="H32" s="246">
        <v>38</v>
      </c>
      <c r="I32" s="246">
        <v>0</v>
      </c>
      <c r="J32" s="246">
        <v>29</v>
      </c>
      <c r="K32" s="246">
        <v>21</v>
      </c>
      <c r="L32" s="246">
        <v>34</v>
      </c>
      <c r="M32" s="246">
        <v>28</v>
      </c>
      <c r="N32" s="246">
        <v>39</v>
      </c>
      <c r="O32" s="246">
        <v>82</v>
      </c>
      <c r="P32" s="246">
        <v>42</v>
      </c>
      <c r="Q32" s="335">
        <f>SUM(E32:P32)</f>
        <v>353</v>
      </c>
      <c r="R32" s="263">
        <f t="shared" si="6"/>
        <v>29.416666666666668</v>
      </c>
      <c r="S32" s="336">
        <f t="shared" si="7"/>
        <v>12.441926345609065</v>
      </c>
      <c r="T32" s="307">
        <f>SUM(D32-Q32)</f>
        <v>366</v>
      </c>
      <c r="U32" s="233">
        <v>2016</v>
      </c>
      <c r="V32" s="234" t="s">
        <v>25</v>
      </c>
      <c r="W32" s="220"/>
      <c r="X32" s="220"/>
      <c r="Y32" s="220"/>
      <c r="Z32" s="220"/>
      <c r="AA32" s="302">
        <v>43262</v>
      </c>
      <c r="AB32" s="309">
        <v>2017</v>
      </c>
      <c r="AC32" s="303" t="s">
        <v>258</v>
      </c>
      <c r="AD32" s="303">
        <v>700</v>
      </c>
      <c r="AE32" s="220" t="s">
        <v>246</v>
      </c>
      <c r="AF32" s="220"/>
      <c r="AG32" s="220"/>
      <c r="AH32" s="220"/>
      <c r="AI32" s="220"/>
      <c r="AJ32" s="220"/>
      <c r="AK32" s="220"/>
      <c r="AL32" s="220"/>
      <c r="AM32" s="220"/>
      <c r="AN32" s="220"/>
      <c r="AO32" s="220"/>
      <c r="AP32" s="220"/>
      <c r="AQ32" s="220"/>
      <c r="AR32" s="220"/>
      <c r="AS32" s="315"/>
      <c r="AT32" s="221"/>
      <c r="AU32" s="221"/>
      <c r="AV32" s="221"/>
      <c r="AW32" s="220"/>
    </row>
    <row r="33" spans="1:49" ht="16.350000000000001" customHeight="1" x14ac:dyDescent="0.2">
      <c r="A33" s="234">
        <v>38269</v>
      </c>
      <c r="B33" s="255">
        <v>2016</v>
      </c>
      <c r="C33" s="234" t="s">
        <v>28</v>
      </c>
      <c r="D33" s="236">
        <v>24</v>
      </c>
      <c r="E33" s="246">
        <v>2</v>
      </c>
      <c r="F33" s="246">
        <v>8</v>
      </c>
      <c r="G33" s="246">
        <v>0</v>
      </c>
      <c r="H33" s="246">
        <v>14</v>
      </c>
      <c r="I33" s="308"/>
      <c r="J33" s="299"/>
      <c r="K33" s="299"/>
      <c r="L33" s="299"/>
      <c r="M33" s="299"/>
      <c r="N33" s="299"/>
      <c r="O33" s="299"/>
      <c r="P33" s="299"/>
      <c r="Q33" s="335">
        <f t="shared" si="8"/>
        <v>24</v>
      </c>
      <c r="R33" s="263">
        <f t="shared" si="6"/>
        <v>6</v>
      </c>
      <c r="S33" s="336">
        <f t="shared" si="7"/>
        <v>0</v>
      </c>
      <c r="T33" s="307">
        <f t="shared" si="9"/>
        <v>0</v>
      </c>
      <c r="U33" s="233">
        <v>2016</v>
      </c>
      <c r="V33" s="234" t="s">
        <v>28</v>
      </c>
      <c r="W33" s="220"/>
      <c r="X33" s="220"/>
      <c r="Y33" s="220"/>
      <c r="Z33" s="220"/>
      <c r="AA33" s="302">
        <v>43262</v>
      </c>
      <c r="AB33" s="309">
        <v>2017</v>
      </c>
      <c r="AC33" s="303" t="s">
        <v>259</v>
      </c>
      <c r="AD33" s="303">
        <v>112</v>
      </c>
      <c r="AE33" s="220" t="s">
        <v>246</v>
      </c>
      <c r="AF33" s="220"/>
      <c r="AG33" s="220"/>
      <c r="AH33" s="220"/>
      <c r="AI33" s="220"/>
      <c r="AJ33" s="220"/>
      <c r="AK33" s="220"/>
      <c r="AL33" s="220"/>
      <c r="AM33" s="220"/>
      <c r="AN33" s="220"/>
      <c r="AO33" s="220"/>
      <c r="AP33" s="220"/>
      <c r="AQ33" s="220"/>
      <c r="AR33" s="220"/>
      <c r="AS33" s="315"/>
      <c r="AT33" s="221"/>
      <c r="AU33" s="221"/>
      <c r="AV33" s="221"/>
      <c r="AW33" s="220"/>
    </row>
    <row r="34" spans="1:49" x14ac:dyDescent="0.2">
      <c r="A34" s="234">
        <v>22382</v>
      </c>
      <c r="B34" s="255">
        <v>2016</v>
      </c>
      <c r="C34" s="234" t="s">
        <v>23</v>
      </c>
      <c r="D34" s="236">
        <v>694</v>
      </c>
      <c r="E34" s="246">
        <v>15</v>
      </c>
      <c r="F34" s="246">
        <v>30</v>
      </c>
      <c r="G34" s="246">
        <v>18</v>
      </c>
      <c r="H34" s="246">
        <v>32</v>
      </c>
      <c r="I34" s="246">
        <v>26</v>
      </c>
      <c r="J34" s="246">
        <v>38</v>
      </c>
      <c r="K34" s="246">
        <v>32</v>
      </c>
      <c r="L34" s="246">
        <v>72</v>
      </c>
      <c r="M34" s="246">
        <v>53</v>
      </c>
      <c r="N34" s="246">
        <v>35</v>
      </c>
      <c r="O34" s="246">
        <v>48</v>
      </c>
      <c r="P34" s="246">
        <v>43</v>
      </c>
      <c r="Q34" s="335">
        <f>SUM(E34:P34)</f>
        <v>442</v>
      </c>
      <c r="R34" s="263">
        <f t="shared" ref="R34" si="10">IFERROR((AVERAGE(E34:P34)),0)</f>
        <v>36.833333333333336</v>
      </c>
      <c r="S34" s="336">
        <f t="shared" si="7"/>
        <v>6.8416289592760178</v>
      </c>
      <c r="T34" s="307">
        <f>SUM(D34-Q34)</f>
        <v>252</v>
      </c>
      <c r="U34" s="233">
        <v>2016</v>
      </c>
      <c r="V34" s="234" t="s">
        <v>23</v>
      </c>
      <c r="W34" s="220"/>
      <c r="X34" s="220"/>
      <c r="Y34" s="220"/>
      <c r="Z34" s="220"/>
      <c r="AA34" s="302">
        <v>43262</v>
      </c>
      <c r="AB34" s="309">
        <v>2017</v>
      </c>
      <c r="AC34" s="303" t="s">
        <v>260</v>
      </c>
      <c r="AD34" s="303">
        <v>200</v>
      </c>
      <c r="AE34" s="220" t="s">
        <v>261</v>
      </c>
      <c r="AF34" s="220"/>
      <c r="AG34" s="220"/>
      <c r="AH34" s="220"/>
      <c r="AI34" s="220"/>
      <c r="AJ34" s="220"/>
      <c r="AK34" s="220"/>
      <c r="AL34" s="220"/>
      <c r="AM34" s="220"/>
      <c r="AN34" s="220"/>
      <c r="AO34" s="220"/>
      <c r="AP34" s="220"/>
      <c r="AQ34" s="220"/>
      <c r="AR34" s="220"/>
      <c r="AS34" s="315"/>
      <c r="AT34" s="221"/>
      <c r="AU34" s="221"/>
      <c r="AV34" s="221"/>
      <c r="AW34" s="220"/>
    </row>
    <row r="35" spans="1:49" x14ac:dyDescent="0.2">
      <c r="A35" s="234">
        <v>84802</v>
      </c>
      <c r="B35" s="255">
        <v>2016</v>
      </c>
      <c r="C35" s="234" t="s">
        <v>93</v>
      </c>
      <c r="D35" s="236">
        <v>133</v>
      </c>
      <c r="E35" s="246">
        <v>20</v>
      </c>
      <c r="F35" s="246">
        <v>0</v>
      </c>
      <c r="G35" s="246">
        <v>0</v>
      </c>
      <c r="H35" s="246">
        <v>0</v>
      </c>
      <c r="I35" s="246">
        <v>0</v>
      </c>
      <c r="J35" s="246">
        <v>0</v>
      </c>
      <c r="K35" s="246">
        <v>0</v>
      </c>
      <c r="L35" s="246">
        <v>0</v>
      </c>
      <c r="M35" s="246">
        <v>0</v>
      </c>
      <c r="N35" s="246">
        <v>1</v>
      </c>
      <c r="O35" s="246">
        <v>0</v>
      </c>
      <c r="P35" s="246">
        <v>0</v>
      </c>
      <c r="Q35" s="335">
        <f t="shared" si="8"/>
        <v>21</v>
      </c>
      <c r="R35" s="263">
        <f t="shared" ref="R35:R40" si="11">IFERROR((AVERAGE(E35:P35)),0)</f>
        <v>1.75</v>
      </c>
      <c r="S35" s="336">
        <f t="shared" si="7"/>
        <v>64</v>
      </c>
      <c r="T35" s="307">
        <f t="shared" si="9"/>
        <v>112</v>
      </c>
      <c r="U35" s="233">
        <v>2016</v>
      </c>
      <c r="V35" s="234" t="s">
        <v>93</v>
      </c>
      <c r="W35" s="220"/>
      <c r="X35" s="220"/>
      <c r="Y35" s="220"/>
      <c r="Z35" s="220"/>
      <c r="AA35" s="302">
        <v>43262</v>
      </c>
      <c r="AB35" s="309">
        <v>2017</v>
      </c>
      <c r="AC35" s="303" t="s">
        <v>262</v>
      </c>
      <c r="AD35" s="303">
        <v>168</v>
      </c>
      <c r="AE35" s="220"/>
      <c r="AF35" s="220"/>
      <c r="AG35" s="220"/>
      <c r="AH35" s="220"/>
      <c r="AI35" s="220"/>
      <c r="AJ35" s="220"/>
      <c r="AK35" s="220"/>
      <c r="AL35" s="220"/>
      <c r="AM35" s="220"/>
      <c r="AN35" s="220"/>
      <c r="AO35" s="220"/>
      <c r="AP35" s="220"/>
      <c r="AQ35" s="220"/>
      <c r="AR35" s="220"/>
      <c r="AS35" s="315"/>
      <c r="AT35" s="221"/>
      <c r="AU35" s="221"/>
      <c r="AV35" s="221"/>
      <c r="AW35" s="220"/>
    </row>
    <row r="36" spans="1:49" x14ac:dyDescent="0.2">
      <c r="A36" s="234">
        <v>27736</v>
      </c>
      <c r="B36" s="255">
        <v>2016</v>
      </c>
      <c r="C36" s="234" t="s">
        <v>56</v>
      </c>
      <c r="D36" s="236">
        <v>727</v>
      </c>
      <c r="E36" s="246">
        <v>14</v>
      </c>
      <c r="F36" s="246">
        <v>37</v>
      </c>
      <c r="G36" s="246">
        <v>30</v>
      </c>
      <c r="H36" s="246">
        <v>30</v>
      </c>
      <c r="I36" s="246">
        <v>28</v>
      </c>
      <c r="J36" s="246">
        <v>40</v>
      </c>
      <c r="K36" s="246">
        <v>40</v>
      </c>
      <c r="L36" s="246">
        <v>16</v>
      </c>
      <c r="M36" s="246">
        <v>35</v>
      </c>
      <c r="N36" s="246">
        <v>30</v>
      </c>
      <c r="O36" s="246">
        <v>44</v>
      </c>
      <c r="P36" s="246">
        <v>40</v>
      </c>
      <c r="Q36" s="335">
        <f>SUM(E36:P36)</f>
        <v>384</v>
      </c>
      <c r="R36" s="263">
        <f t="shared" si="11"/>
        <v>32</v>
      </c>
      <c r="S36" s="336">
        <f t="shared" si="7"/>
        <v>10.71875</v>
      </c>
      <c r="T36" s="307">
        <f>SUM(D36-Q36)</f>
        <v>343</v>
      </c>
      <c r="U36" s="233">
        <v>2016</v>
      </c>
      <c r="V36" s="234" t="s">
        <v>56</v>
      </c>
      <c r="W36" s="220"/>
      <c r="X36" s="220"/>
      <c r="Y36" s="220"/>
      <c r="Z36" s="220"/>
      <c r="AA36" s="302">
        <v>43298</v>
      </c>
      <c r="AB36" s="309">
        <v>2017</v>
      </c>
      <c r="AC36" s="303" t="s">
        <v>263</v>
      </c>
      <c r="AD36" s="303">
        <v>504</v>
      </c>
      <c r="AE36" s="220"/>
      <c r="AF36" s="220"/>
      <c r="AG36" s="220"/>
      <c r="AH36" s="220"/>
      <c r="AI36" s="220"/>
      <c r="AJ36" s="220"/>
      <c r="AK36" s="220"/>
      <c r="AL36" s="220"/>
      <c r="AM36" s="220"/>
      <c r="AN36" s="220"/>
      <c r="AO36" s="220"/>
      <c r="AP36" s="220"/>
      <c r="AQ36" s="220"/>
      <c r="AR36" s="220"/>
      <c r="AS36" s="220"/>
      <c r="AT36" s="220"/>
      <c r="AU36" s="220"/>
      <c r="AV36" s="220"/>
      <c r="AW36" s="220"/>
    </row>
    <row r="37" spans="1:49" x14ac:dyDescent="0.2">
      <c r="A37" s="234">
        <v>28361</v>
      </c>
      <c r="B37" s="255">
        <v>2016</v>
      </c>
      <c r="C37" s="234" t="s">
        <v>24</v>
      </c>
      <c r="D37" s="236">
        <v>175</v>
      </c>
      <c r="E37" s="246">
        <v>4</v>
      </c>
      <c r="F37" s="246">
        <v>9</v>
      </c>
      <c r="G37" s="246">
        <v>6</v>
      </c>
      <c r="H37" s="246">
        <v>0</v>
      </c>
      <c r="I37" s="246">
        <v>7</v>
      </c>
      <c r="J37" s="246">
        <v>7</v>
      </c>
      <c r="K37" s="246">
        <v>2</v>
      </c>
      <c r="L37" s="246">
        <v>18</v>
      </c>
      <c r="M37" s="246">
        <v>0</v>
      </c>
      <c r="N37" s="246">
        <v>0</v>
      </c>
      <c r="O37" s="246">
        <v>5</v>
      </c>
      <c r="P37" s="246">
        <v>8</v>
      </c>
      <c r="Q37" s="335">
        <f>SUM(E37:P37)</f>
        <v>66</v>
      </c>
      <c r="R37" s="263">
        <f t="shared" si="11"/>
        <v>5.5</v>
      </c>
      <c r="S37" s="336">
        <f t="shared" si="7"/>
        <v>19.818181818181817</v>
      </c>
      <c r="T37" s="307">
        <f>SUM(D37-Q37)</f>
        <v>109</v>
      </c>
      <c r="U37" s="233">
        <v>2016</v>
      </c>
      <c r="V37" s="234" t="s">
        <v>24</v>
      </c>
      <c r="W37" s="220"/>
      <c r="X37" s="220"/>
      <c r="Y37" s="220"/>
      <c r="Z37" s="220"/>
      <c r="AA37" s="302">
        <v>43298</v>
      </c>
      <c r="AB37" s="309">
        <v>2017</v>
      </c>
      <c r="AC37" s="303" t="s">
        <v>195</v>
      </c>
      <c r="AD37" s="303">
        <v>928</v>
      </c>
      <c r="AE37" s="220" t="s">
        <v>261</v>
      </c>
      <c r="AF37" s="220"/>
      <c r="AG37" s="220"/>
      <c r="AH37" s="220"/>
      <c r="AI37" s="220"/>
      <c r="AJ37" s="220"/>
      <c r="AK37" s="220"/>
      <c r="AL37" s="220"/>
      <c r="AM37" s="220"/>
      <c r="AN37" s="220"/>
      <c r="AO37" s="220"/>
      <c r="AP37" s="220"/>
      <c r="AQ37" s="220"/>
      <c r="AR37" s="220"/>
      <c r="AS37" s="220"/>
      <c r="AT37" s="220"/>
      <c r="AU37" s="220"/>
      <c r="AV37" s="220"/>
      <c r="AW37" s="220"/>
    </row>
    <row r="38" spans="1:49" x14ac:dyDescent="0.2">
      <c r="A38" s="234">
        <v>22921</v>
      </c>
      <c r="B38" s="255">
        <v>2016</v>
      </c>
      <c r="C38" s="234" t="s">
        <v>221</v>
      </c>
      <c r="D38" s="236">
        <v>1015</v>
      </c>
      <c r="E38" s="246">
        <v>16</v>
      </c>
      <c r="F38" s="246">
        <v>43</v>
      </c>
      <c r="G38" s="246">
        <v>0</v>
      </c>
      <c r="H38" s="246">
        <v>4</v>
      </c>
      <c r="I38" s="246">
        <v>12</v>
      </c>
      <c r="J38" s="246">
        <v>13</v>
      </c>
      <c r="K38" s="246">
        <v>53</v>
      </c>
      <c r="L38" s="246">
        <v>35</v>
      </c>
      <c r="M38" s="246">
        <v>47</v>
      </c>
      <c r="N38" s="246">
        <v>48</v>
      </c>
      <c r="O38" s="246">
        <v>50</v>
      </c>
      <c r="P38" s="246">
        <v>47</v>
      </c>
      <c r="Q38" s="335">
        <f>SUM(E38:P38)</f>
        <v>368</v>
      </c>
      <c r="R38" s="263">
        <f t="shared" si="11"/>
        <v>30.666666666666668</v>
      </c>
      <c r="S38" s="336">
        <f t="shared" si="7"/>
        <v>21.09782608695652</v>
      </c>
      <c r="T38" s="307">
        <f>SUM(D38-Q38)</f>
        <v>647</v>
      </c>
      <c r="U38" s="233">
        <v>2016</v>
      </c>
      <c r="V38" s="234" t="s">
        <v>22</v>
      </c>
      <c r="W38" s="220"/>
      <c r="X38" s="220"/>
      <c r="Y38" s="220"/>
      <c r="Z38" s="220"/>
      <c r="AA38" s="302">
        <v>43299</v>
      </c>
      <c r="AB38" s="309">
        <v>2017</v>
      </c>
      <c r="AC38" s="303" t="s">
        <v>194</v>
      </c>
      <c r="AD38" s="303">
        <v>471</v>
      </c>
      <c r="AE38" s="220" t="s">
        <v>261</v>
      </c>
      <c r="AF38" s="220"/>
      <c r="AG38" s="220"/>
      <c r="AH38" s="220"/>
      <c r="AI38" s="220"/>
      <c r="AJ38" s="220"/>
      <c r="AK38" s="220"/>
      <c r="AL38" s="220"/>
      <c r="AM38" s="220"/>
      <c r="AN38" s="220"/>
      <c r="AO38" s="220"/>
      <c r="AP38" s="220"/>
      <c r="AQ38" s="220"/>
      <c r="AR38" s="220"/>
      <c r="AS38" s="220"/>
      <c r="AT38" s="220"/>
      <c r="AU38" s="220"/>
      <c r="AV38" s="220"/>
      <c r="AW38" s="220"/>
    </row>
    <row r="39" spans="1:49" x14ac:dyDescent="0.2">
      <c r="A39" s="250">
        <v>34641</v>
      </c>
      <c r="B39" s="255">
        <v>2016</v>
      </c>
      <c r="C39" s="250" t="s">
        <v>52</v>
      </c>
      <c r="D39" s="236">
        <v>612</v>
      </c>
      <c r="E39" s="246">
        <v>15</v>
      </c>
      <c r="F39" s="246">
        <v>4</v>
      </c>
      <c r="G39" s="246">
        <v>0</v>
      </c>
      <c r="H39" s="246">
        <v>0</v>
      </c>
      <c r="I39" s="246">
        <v>9</v>
      </c>
      <c r="J39" s="246">
        <v>0</v>
      </c>
      <c r="K39" s="246">
        <v>0</v>
      </c>
      <c r="L39" s="246">
        <v>0</v>
      </c>
      <c r="M39" s="246">
        <v>12</v>
      </c>
      <c r="N39" s="246">
        <v>0</v>
      </c>
      <c r="O39" s="246">
        <v>38</v>
      </c>
      <c r="P39" s="246">
        <v>24</v>
      </c>
      <c r="Q39" s="335">
        <f t="shared" si="8"/>
        <v>102</v>
      </c>
      <c r="R39" s="263">
        <f t="shared" si="11"/>
        <v>8.5</v>
      </c>
      <c r="S39" s="336">
        <f t="shared" si="7"/>
        <v>60</v>
      </c>
      <c r="T39" s="307">
        <f t="shared" si="9"/>
        <v>510</v>
      </c>
      <c r="U39" s="233">
        <v>2016</v>
      </c>
      <c r="V39" s="250" t="s">
        <v>52</v>
      </c>
      <c r="W39" s="220"/>
      <c r="X39" s="220"/>
      <c r="Y39" s="220"/>
      <c r="Z39" s="220"/>
      <c r="AA39" s="302">
        <v>43299</v>
      </c>
      <c r="AB39" s="309">
        <v>2017</v>
      </c>
      <c r="AC39" s="303" t="s">
        <v>198</v>
      </c>
      <c r="AD39" s="303">
        <v>329</v>
      </c>
      <c r="AE39" s="220"/>
      <c r="AF39" s="220"/>
      <c r="AG39" s="220"/>
      <c r="AH39" s="220"/>
      <c r="AI39" s="220"/>
      <c r="AJ39" s="220"/>
      <c r="AK39" s="220"/>
      <c r="AL39" s="220"/>
      <c r="AM39" s="220"/>
      <c r="AN39" s="220"/>
      <c r="AO39" s="220"/>
      <c r="AP39" s="220"/>
      <c r="AQ39" s="220"/>
      <c r="AR39" s="220"/>
      <c r="AS39" s="220"/>
      <c r="AT39" s="220"/>
      <c r="AU39" s="220"/>
      <c r="AV39" s="220"/>
      <c r="AW39" s="220"/>
    </row>
    <row r="40" spans="1:49" x14ac:dyDescent="0.2">
      <c r="A40" s="234"/>
      <c r="B40" s="255">
        <v>2016</v>
      </c>
      <c r="C40" s="234" t="s">
        <v>217</v>
      </c>
      <c r="D40" s="236">
        <v>454</v>
      </c>
      <c r="E40" s="347">
        <v>20</v>
      </c>
      <c r="F40" s="347">
        <v>24</v>
      </c>
      <c r="G40" s="347">
        <v>15</v>
      </c>
      <c r="H40" s="347">
        <v>3</v>
      </c>
      <c r="I40" s="347">
        <v>0</v>
      </c>
      <c r="J40" s="347">
        <v>0</v>
      </c>
      <c r="K40" s="347">
        <v>0</v>
      </c>
      <c r="L40" s="347">
        <v>16</v>
      </c>
      <c r="M40" s="347">
        <v>4</v>
      </c>
      <c r="N40" s="347">
        <v>0</v>
      </c>
      <c r="O40" s="347">
        <v>13</v>
      </c>
      <c r="P40" s="246">
        <v>0</v>
      </c>
      <c r="Q40" s="335">
        <f t="shared" si="8"/>
        <v>95</v>
      </c>
      <c r="R40" s="263">
        <f t="shared" si="11"/>
        <v>7.916666666666667</v>
      </c>
      <c r="S40" s="336">
        <f t="shared" si="7"/>
        <v>45.347368421052629</v>
      </c>
      <c r="T40" s="307">
        <f t="shared" si="9"/>
        <v>359</v>
      </c>
      <c r="U40" s="233">
        <v>2016</v>
      </c>
      <c r="V40" s="234" t="s">
        <v>264</v>
      </c>
      <c r="W40" s="220"/>
      <c r="X40" s="220"/>
      <c r="Y40" s="220"/>
      <c r="Z40" s="220"/>
      <c r="AA40" s="302">
        <v>43299</v>
      </c>
      <c r="AB40" s="309">
        <v>2015</v>
      </c>
      <c r="AC40" s="303" t="s">
        <v>42</v>
      </c>
      <c r="AD40" s="303">
        <v>254</v>
      </c>
      <c r="AE40" s="220" t="s">
        <v>261</v>
      </c>
      <c r="AF40" s="220"/>
      <c r="AG40" s="220"/>
      <c r="AH40" s="220"/>
      <c r="AI40" s="220"/>
      <c r="AJ40" s="220"/>
      <c r="AK40" s="220"/>
      <c r="AL40" s="220"/>
      <c r="AM40" s="220"/>
      <c r="AN40" s="220"/>
      <c r="AO40" s="220"/>
      <c r="AP40" s="220"/>
      <c r="AQ40" s="220"/>
      <c r="AR40" s="220"/>
      <c r="AS40" s="220"/>
      <c r="AT40" s="220"/>
      <c r="AU40" s="220"/>
      <c r="AV40" s="220"/>
      <c r="AW40" s="220"/>
    </row>
    <row r="41" spans="1:49" x14ac:dyDescent="0.2">
      <c r="A41" s="234">
        <v>86051</v>
      </c>
      <c r="B41" s="255" t="s">
        <v>265</v>
      </c>
      <c r="C41" s="234" t="s">
        <v>94</v>
      </c>
      <c r="D41" s="236">
        <v>384</v>
      </c>
      <c r="E41" s="246">
        <v>29</v>
      </c>
      <c r="F41" s="246">
        <v>8</v>
      </c>
      <c r="G41" s="246">
        <v>1</v>
      </c>
      <c r="H41" s="246">
        <v>4</v>
      </c>
      <c r="I41" s="246">
        <v>16</v>
      </c>
      <c r="J41" s="246">
        <v>35</v>
      </c>
      <c r="K41" s="246">
        <v>21</v>
      </c>
      <c r="L41" s="246">
        <v>0</v>
      </c>
      <c r="M41" s="246">
        <v>22</v>
      </c>
      <c r="N41" s="246">
        <v>42</v>
      </c>
      <c r="O41" s="246">
        <v>123</v>
      </c>
      <c r="P41" s="246">
        <v>30</v>
      </c>
      <c r="Q41" s="335">
        <f>SUM(E41:P41)</f>
        <v>331</v>
      </c>
      <c r="R41" s="263">
        <f>IFERROR((AVERAGE(E41:P41)),0)</f>
        <v>27.583333333333332</v>
      </c>
      <c r="S41" s="336">
        <f>IFERROR((T41/R41),0)</f>
        <v>1.9214501510574018</v>
      </c>
      <c r="T41" s="307">
        <f>SUM(D41-Q41)</f>
        <v>53</v>
      </c>
      <c r="U41" s="233" t="s">
        <v>265</v>
      </c>
      <c r="V41" s="234" t="s">
        <v>94</v>
      </c>
      <c r="W41" s="220"/>
      <c r="X41" s="220"/>
      <c r="Y41" s="220"/>
      <c r="Z41" s="220"/>
      <c r="AA41" s="302">
        <v>43325</v>
      </c>
      <c r="AB41" s="309">
        <v>2017</v>
      </c>
      <c r="AC41" s="303" t="s">
        <v>215</v>
      </c>
      <c r="AD41" s="303">
        <v>620</v>
      </c>
      <c r="AE41" s="220"/>
      <c r="AF41" s="220"/>
      <c r="AG41" s="220"/>
      <c r="AH41" s="220"/>
      <c r="AI41" s="220"/>
      <c r="AJ41" s="220"/>
      <c r="AK41" s="220"/>
      <c r="AL41" s="220"/>
      <c r="AM41" s="220"/>
      <c r="AN41" s="220"/>
      <c r="AO41" s="220"/>
      <c r="AP41" s="220"/>
      <c r="AQ41" s="220"/>
      <c r="AR41" s="220"/>
      <c r="AS41" s="220"/>
      <c r="AT41" s="220"/>
      <c r="AU41" s="220"/>
      <c r="AV41" s="220"/>
      <c r="AW41" s="220"/>
    </row>
    <row r="42" spans="1:49" x14ac:dyDescent="0.2">
      <c r="A42" s="226"/>
      <c r="B42" s="226"/>
      <c r="C42" s="226"/>
      <c r="D42" s="243"/>
      <c r="E42" s="243"/>
      <c r="F42" s="243"/>
      <c r="G42" s="243"/>
      <c r="H42" s="243"/>
      <c r="I42" s="243"/>
      <c r="J42" s="243"/>
      <c r="K42" s="243"/>
      <c r="L42" s="243"/>
      <c r="M42" s="243"/>
      <c r="N42" s="243"/>
      <c r="O42" s="243"/>
      <c r="P42" s="243"/>
      <c r="Q42" s="243"/>
      <c r="R42" s="243"/>
      <c r="S42" s="243"/>
      <c r="T42" s="243"/>
      <c r="U42" s="226"/>
      <c r="V42" s="226"/>
      <c r="W42" s="220"/>
      <c r="X42" s="220"/>
      <c r="Y42" s="220"/>
      <c r="Z42" s="220"/>
      <c r="AA42" s="302">
        <v>43325</v>
      </c>
      <c r="AB42" s="309">
        <v>2017</v>
      </c>
      <c r="AC42" s="303" t="s">
        <v>214</v>
      </c>
      <c r="AD42" s="303">
        <v>480</v>
      </c>
      <c r="AE42" s="220"/>
      <c r="AF42" s="220"/>
      <c r="AG42" s="220"/>
      <c r="AH42" s="220"/>
      <c r="AI42" s="220"/>
      <c r="AJ42" s="220"/>
      <c r="AK42" s="220"/>
      <c r="AL42" s="220"/>
      <c r="AM42" s="220"/>
      <c r="AN42" s="220"/>
      <c r="AO42" s="220"/>
      <c r="AP42" s="220"/>
      <c r="AQ42" s="220"/>
      <c r="AR42" s="220"/>
      <c r="AS42" s="220"/>
      <c r="AT42" s="220"/>
      <c r="AU42" s="220"/>
      <c r="AV42" s="220"/>
      <c r="AW42" s="220"/>
    </row>
    <row r="43" spans="1:49" x14ac:dyDescent="0.2">
      <c r="A43" s="234">
        <v>111574</v>
      </c>
      <c r="B43" s="233">
        <v>2017</v>
      </c>
      <c r="C43" s="234" t="s">
        <v>205</v>
      </c>
      <c r="D43" s="252">
        <v>406</v>
      </c>
      <c r="E43" s="253"/>
      <c r="F43" s="253">
        <v>3</v>
      </c>
      <c r="G43" s="253">
        <v>14</v>
      </c>
      <c r="H43" s="253">
        <v>0</v>
      </c>
      <c r="I43" s="253">
        <v>1</v>
      </c>
      <c r="J43" s="253">
        <v>1</v>
      </c>
      <c r="K43" s="253">
        <v>5</v>
      </c>
      <c r="L43" s="253">
        <v>42</v>
      </c>
      <c r="M43" s="253">
        <v>11</v>
      </c>
      <c r="N43" s="253">
        <v>6</v>
      </c>
      <c r="O43" s="253">
        <v>15</v>
      </c>
      <c r="P43" s="253">
        <v>12</v>
      </c>
      <c r="Q43" s="335">
        <f t="shared" ref="Q43:Q49" si="12">SUM(E43:P43)</f>
        <v>110</v>
      </c>
      <c r="R43" s="263">
        <f t="shared" ref="R43:R47" si="13">IFERROR((AVERAGE(E43:P43)),0)</f>
        <v>10</v>
      </c>
      <c r="S43" s="336">
        <f>IFERROR((T43/R43),0)</f>
        <v>29.6</v>
      </c>
      <c r="T43" s="307">
        <f t="shared" ref="T43:T49" si="14">SUM(D43-Q43)</f>
        <v>296</v>
      </c>
      <c r="U43" s="233">
        <v>2017</v>
      </c>
      <c r="V43" s="234" t="s">
        <v>205</v>
      </c>
      <c r="W43" s="220"/>
      <c r="X43" s="220"/>
      <c r="Y43" s="220"/>
      <c r="Z43" s="220"/>
      <c r="AA43" s="302">
        <v>43325</v>
      </c>
      <c r="AB43" s="309">
        <v>2017</v>
      </c>
      <c r="AC43" s="303" t="s">
        <v>266</v>
      </c>
      <c r="AD43" s="303">
        <v>602</v>
      </c>
      <c r="AE43" s="220"/>
      <c r="AF43" s="220"/>
      <c r="AG43" s="220"/>
      <c r="AH43" s="220"/>
      <c r="AI43" s="220"/>
      <c r="AJ43" s="220"/>
      <c r="AK43" s="220"/>
      <c r="AL43" s="220"/>
      <c r="AM43" s="220"/>
      <c r="AN43" s="220"/>
      <c r="AO43" s="220"/>
      <c r="AP43" s="220"/>
      <c r="AQ43" s="220"/>
      <c r="AR43" s="220"/>
      <c r="AS43" s="220"/>
      <c r="AT43" s="220"/>
      <c r="AU43" s="220"/>
      <c r="AV43" s="220"/>
      <c r="AW43" s="220"/>
    </row>
    <row r="44" spans="1:49" x14ac:dyDescent="0.2">
      <c r="A44" s="234">
        <v>22385</v>
      </c>
      <c r="B44" s="233">
        <v>2017</v>
      </c>
      <c r="C44" s="234" t="s">
        <v>33</v>
      </c>
      <c r="D44" s="252">
        <v>397</v>
      </c>
      <c r="E44" s="253"/>
      <c r="F44" s="253">
        <v>5</v>
      </c>
      <c r="G44" s="253">
        <v>11</v>
      </c>
      <c r="H44" s="253">
        <v>26</v>
      </c>
      <c r="I44" s="253">
        <v>63</v>
      </c>
      <c r="J44" s="253">
        <v>45</v>
      </c>
      <c r="K44" s="253">
        <v>28</v>
      </c>
      <c r="L44" s="253">
        <v>23</v>
      </c>
      <c r="M44" s="253">
        <v>25</v>
      </c>
      <c r="N44" s="253">
        <v>22</v>
      </c>
      <c r="O44" s="253">
        <v>17</v>
      </c>
      <c r="P44" s="253">
        <v>16</v>
      </c>
      <c r="Q44" s="335">
        <f t="shared" si="12"/>
        <v>281</v>
      </c>
      <c r="R44" s="263">
        <f t="shared" si="13"/>
        <v>25.545454545454547</v>
      </c>
      <c r="S44" s="336">
        <f t="shared" ref="S44" si="15">IFERROR((T44/R44),0)</f>
        <v>4.5409252669039146</v>
      </c>
      <c r="T44" s="307">
        <f t="shared" si="14"/>
        <v>116</v>
      </c>
      <c r="U44" s="233">
        <v>2017</v>
      </c>
      <c r="V44" s="234" t="s">
        <v>33</v>
      </c>
      <c r="W44" s="220"/>
      <c r="X44" s="220"/>
      <c r="Y44" s="220"/>
      <c r="Z44" s="220"/>
      <c r="AA44" s="302">
        <v>43325</v>
      </c>
      <c r="AB44" s="309">
        <v>2017</v>
      </c>
      <c r="AC44" s="303" t="s">
        <v>208</v>
      </c>
      <c r="AD44" s="303">
        <v>650</v>
      </c>
      <c r="AE44" s="220"/>
      <c r="AF44" s="220"/>
      <c r="AG44" s="220"/>
      <c r="AH44" s="220"/>
      <c r="AI44" s="220"/>
      <c r="AJ44" s="220"/>
      <c r="AK44" s="220"/>
      <c r="AL44" s="220"/>
      <c r="AM44" s="220"/>
      <c r="AN44" s="220"/>
      <c r="AO44" s="220"/>
      <c r="AP44" s="220"/>
      <c r="AQ44" s="220"/>
      <c r="AR44" s="220"/>
      <c r="AS44" s="220"/>
      <c r="AT44" s="220"/>
      <c r="AU44" s="220"/>
      <c r="AV44" s="220"/>
      <c r="AW44" s="220"/>
    </row>
    <row r="45" spans="1:49" x14ac:dyDescent="0.2">
      <c r="A45" s="234">
        <v>111575</v>
      </c>
      <c r="B45" s="233">
        <v>2017</v>
      </c>
      <c r="C45" s="234" t="s">
        <v>159</v>
      </c>
      <c r="D45" s="252">
        <v>204</v>
      </c>
      <c r="E45" s="253"/>
      <c r="F45" s="253"/>
      <c r="G45" s="253">
        <v>6</v>
      </c>
      <c r="H45" s="253">
        <v>12</v>
      </c>
      <c r="I45" s="253">
        <v>59</v>
      </c>
      <c r="J45" s="253">
        <v>36</v>
      </c>
      <c r="K45" s="253">
        <v>26</v>
      </c>
      <c r="L45" s="253">
        <v>12</v>
      </c>
      <c r="M45" s="253">
        <v>15</v>
      </c>
      <c r="N45" s="253">
        <v>6</v>
      </c>
      <c r="O45" s="253">
        <v>3</v>
      </c>
      <c r="P45" s="253">
        <v>9</v>
      </c>
      <c r="Q45" s="335">
        <f t="shared" si="12"/>
        <v>184</v>
      </c>
      <c r="R45" s="263">
        <f t="shared" si="13"/>
        <v>18.399999999999999</v>
      </c>
      <c r="S45" s="336">
        <f>IFERROR((T45/R45),0)</f>
        <v>1.0869565217391306</v>
      </c>
      <c r="T45" s="307">
        <f t="shared" si="14"/>
        <v>20</v>
      </c>
      <c r="U45" s="233">
        <v>2017</v>
      </c>
      <c r="V45" s="234" t="s">
        <v>159</v>
      </c>
      <c r="W45" s="220"/>
      <c r="X45" s="220"/>
      <c r="Y45" s="220"/>
      <c r="Z45" s="220"/>
      <c r="AA45" s="302">
        <v>43326</v>
      </c>
      <c r="AB45" s="309">
        <v>2017</v>
      </c>
      <c r="AC45" s="303" t="s">
        <v>267</v>
      </c>
      <c r="AD45" s="303">
        <v>112</v>
      </c>
      <c r="AE45" s="220" t="s">
        <v>268</v>
      </c>
      <c r="AF45" s="220"/>
      <c r="AG45" s="220"/>
      <c r="AH45" s="220"/>
      <c r="AI45" s="220"/>
      <c r="AJ45" s="220"/>
      <c r="AK45" s="220"/>
      <c r="AL45" s="220"/>
      <c r="AM45" s="220"/>
      <c r="AN45" s="220"/>
      <c r="AO45" s="220"/>
      <c r="AP45" s="220"/>
      <c r="AQ45" s="220"/>
      <c r="AR45" s="220"/>
      <c r="AS45" s="220"/>
      <c r="AT45" s="220"/>
      <c r="AU45" s="220"/>
      <c r="AV45" s="220"/>
      <c r="AW45" s="220"/>
    </row>
    <row r="46" spans="1:49" x14ac:dyDescent="0.2">
      <c r="A46" s="234">
        <v>11198</v>
      </c>
      <c r="B46" s="233">
        <v>2017</v>
      </c>
      <c r="C46" s="234" t="s">
        <v>46</v>
      </c>
      <c r="D46" s="252">
        <v>450</v>
      </c>
      <c r="E46" s="253"/>
      <c r="F46" s="253"/>
      <c r="G46" s="253">
        <v>5</v>
      </c>
      <c r="H46" s="253">
        <v>2</v>
      </c>
      <c r="I46" s="253">
        <v>3</v>
      </c>
      <c r="J46" s="253">
        <v>0</v>
      </c>
      <c r="K46" s="253">
        <v>7</v>
      </c>
      <c r="L46" s="253">
        <v>57</v>
      </c>
      <c r="M46" s="253">
        <v>31</v>
      </c>
      <c r="N46" s="253">
        <v>21</v>
      </c>
      <c r="O46" s="253">
        <v>27</v>
      </c>
      <c r="P46" s="253">
        <v>18</v>
      </c>
      <c r="Q46" s="335">
        <f t="shared" si="12"/>
        <v>171</v>
      </c>
      <c r="R46" s="263">
        <f t="shared" si="13"/>
        <v>17.100000000000001</v>
      </c>
      <c r="S46" s="336">
        <f>IFERROR((T46/R46),0)</f>
        <v>16.315789473684209</v>
      </c>
      <c r="T46" s="307">
        <f t="shared" si="14"/>
        <v>279</v>
      </c>
      <c r="U46" s="233">
        <v>2017</v>
      </c>
      <c r="V46" s="234" t="s">
        <v>46</v>
      </c>
      <c r="W46" s="220"/>
      <c r="X46" s="220"/>
      <c r="Y46" s="220"/>
      <c r="Z46" s="220"/>
      <c r="AA46" s="302">
        <v>43341</v>
      </c>
      <c r="AB46" s="309">
        <v>2017</v>
      </c>
      <c r="AC46" s="303" t="s">
        <v>269</v>
      </c>
      <c r="AD46" s="303">
        <v>74</v>
      </c>
      <c r="AE46" s="220" t="s">
        <v>270</v>
      </c>
      <c r="AF46" s="220"/>
      <c r="AG46" s="220"/>
      <c r="AH46" s="220"/>
      <c r="AI46" s="220"/>
      <c r="AJ46" s="220"/>
      <c r="AK46" s="220"/>
      <c r="AL46" s="220"/>
      <c r="AM46" s="220"/>
      <c r="AN46" s="220"/>
      <c r="AO46" s="220"/>
      <c r="AP46" s="220"/>
      <c r="AQ46" s="220"/>
      <c r="AR46" s="220"/>
      <c r="AS46" s="220"/>
      <c r="AT46" s="220"/>
      <c r="AU46" s="220"/>
      <c r="AV46" s="220"/>
      <c r="AW46" s="220"/>
    </row>
    <row r="47" spans="1:49" x14ac:dyDescent="0.2">
      <c r="A47" s="234">
        <v>28384</v>
      </c>
      <c r="B47" s="233">
        <v>2017</v>
      </c>
      <c r="C47" s="234" t="s">
        <v>271</v>
      </c>
      <c r="D47" s="252">
        <v>200</v>
      </c>
      <c r="E47" s="253"/>
      <c r="F47" s="253"/>
      <c r="G47" s="253"/>
      <c r="H47" s="253"/>
      <c r="I47" s="253"/>
      <c r="J47" s="253"/>
      <c r="K47" s="253">
        <v>35</v>
      </c>
      <c r="L47" s="253">
        <v>16</v>
      </c>
      <c r="M47" s="253">
        <v>10</v>
      </c>
      <c r="N47" s="253">
        <v>26</v>
      </c>
      <c r="O47" s="253">
        <v>0</v>
      </c>
      <c r="P47" s="253">
        <v>0</v>
      </c>
      <c r="Q47" s="335">
        <f t="shared" si="12"/>
        <v>87</v>
      </c>
      <c r="R47" s="263">
        <f t="shared" si="13"/>
        <v>14.5</v>
      </c>
      <c r="S47" s="336">
        <f>IFERROR((T47/R47),0)</f>
        <v>7.7931034482758621</v>
      </c>
      <c r="T47" s="307">
        <f t="shared" si="14"/>
        <v>113</v>
      </c>
      <c r="U47" s="233">
        <v>2017</v>
      </c>
      <c r="V47" s="234" t="s">
        <v>272</v>
      </c>
      <c r="W47" s="220"/>
      <c r="X47" s="220"/>
      <c r="Y47" s="220"/>
      <c r="Z47" s="220"/>
      <c r="AA47" s="302">
        <v>43326</v>
      </c>
      <c r="AB47" s="309" t="s">
        <v>273</v>
      </c>
      <c r="AC47" s="303" t="s">
        <v>274</v>
      </c>
      <c r="AD47" s="303">
        <v>854</v>
      </c>
      <c r="AE47" s="220" t="s">
        <v>270</v>
      </c>
      <c r="AF47" s="220"/>
      <c r="AG47" s="220"/>
      <c r="AH47" s="220"/>
      <c r="AI47" s="220"/>
      <c r="AJ47" s="220"/>
      <c r="AK47" s="220"/>
      <c r="AL47" s="220"/>
      <c r="AM47" s="220"/>
      <c r="AN47" s="220"/>
      <c r="AO47" s="220"/>
      <c r="AP47" s="220"/>
      <c r="AQ47" s="220"/>
      <c r="AR47" s="220"/>
      <c r="AS47" s="220"/>
      <c r="AT47" s="220"/>
      <c r="AU47" s="220"/>
      <c r="AV47" s="220"/>
      <c r="AW47" s="220"/>
    </row>
    <row r="48" spans="1:49" x14ac:dyDescent="0.2">
      <c r="A48" s="234">
        <v>57632</v>
      </c>
      <c r="B48" s="233">
        <v>2017</v>
      </c>
      <c r="C48" s="234" t="s">
        <v>31</v>
      </c>
      <c r="D48" s="252">
        <v>471</v>
      </c>
      <c r="E48" s="253"/>
      <c r="F48" s="253"/>
      <c r="G48" s="253"/>
      <c r="H48" s="253"/>
      <c r="I48" s="253"/>
      <c r="J48" s="253"/>
      <c r="K48" s="253">
        <v>0</v>
      </c>
      <c r="L48" s="253">
        <v>8</v>
      </c>
      <c r="M48" s="253">
        <v>3</v>
      </c>
      <c r="N48" s="253">
        <v>0</v>
      </c>
      <c r="O48" s="253">
        <v>6</v>
      </c>
      <c r="P48" s="253">
        <v>6</v>
      </c>
      <c r="Q48" s="335">
        <f>SUM(E48:P48)</f>
        <v>23</v>
      </c>
      <c r="R48" s="263">
        <f>IFERROR((AVERAGE(E48:P48)),0)</f>
        <v>3.8333333333333335</v>
      </c>
      <c r="S48" s="336">
        <f>IFERROR((T48/R48),0)</f>
        <v>116.8695652173913</v>
      </c>
      <c r="T48" s="307">
        <f>SUM(D48-Q48)</f>
        <v>448</v>
      </c>
      <c r="U48" s="233">
        <v>2017</v>
      </c>
      <c r="V48" s="234" t="s">
        <v>31</v>
      </c>
      <c r="W48" s="220"/>
      <c r="X48" s="220"/>
      <c r="Y48" s="220"/>
      <c r="Z48" s="220"/>
      <c r="AA48" s="302">
        <v>43439</v>
      </c>
      <c r="AB48" s="309">
        <v>2017</v>
      </c>
      <c r="AC48" s="303" t="s">
        <v>227</v>
      </c>
      <c r="AD48" s="303">
        <v>174</v>
      </c>
      <c r="AE48" s="220" t="s">
        <v>270</v>
      </c>
      <c r="AF48" s="220"/>
      <c r="AG48" s="220"/>
      <c r="AH48" s="220"/>
      <c r="AI48" s="220"/>
      <c r="AJ48" s="220"/>
      <c r="AK48" s="220"/>
      <c r="AL48" s="220"/>
      <c r="AM48" s="220"/>
      <c r="AN48" s="220"/>
      <c r="AO48" s="220"/>
      <c r="AP48" s="220"/>
      <c r="AQ48" s="220"/>
      <c r="AR48" s="220"/>
      <c r="AS48" s="220"/>
      <c r="AT48" s="220"/>
      <c r="AU48" s="220"/>
      <c r="AV48" s="220"/>
      <c r="AW48" s="220"/>
    </row>
    <row r="49" spans="1:52" x14ac:dyDescent="0.2">
      <c r="A49" s="234">
        <v>57630</v>
      </c>
      <c r="B49" s="233">
        <v>2017</v>
      </c>
      <c r="C49" s="234" t="s">
        <v>25</v>
      </c>
      <c r="D49" s="252">
        <v>928</v>
      </c>
      <c r="E49" s="253"/>
      <c r="F49" s="253"/>
      <c r="G49" s="253"/>
      <c r="H49" s="253"/>
      <c r="I49" s="253"/>
      <c r="J49" s="253"/>
      <c r="K49" s="253">
        <v>0</v>
      </c>
      <c r="L49" s="253">
        <v>11</v>
      </c>
      <c r="M49" s="253">
        <v>3</v>
      </c>
      <c r="N49" s="253">
        <v>0</v>
      </c>
      <c r="O49" s="253">
        <v>0</v>
      </c>
      <c r="P49" s="253">
        <v>49</v>
      </c>
      <c r="Q49" s="335">
        <f t="shared" si="12"/>
        <v>63</v>
      </c>
      <c r="R49" s="263">
        <f t="shared" ref="R49:R57" si="16">IFERROR((AVERAGE(E49:P49)),0)</f>
        <v>10.5</v>
      </c>
      <c r="S49" s="336">
        <f t="shared" ref="S49:S57" si="17">IFERROR((T49/R49),0)</f>
        <v>82.38095238095238</v>
      </c>
      <c r="T49" s="307">
        <f t="shared" si="14"/>
        <v>865</v>
      </c>
      <c r="U49" s="233">
        <v>2017</v>
      </c>
      <c r="V49" s="234" t="s">
        <v>25</v>
      </c>
      <c r="W49" s="220"/>
      <c r="X49" s="220"/>
      <c r="Y49" s="220"/>
      <c r="Z49" s="220"/>
      <c r="AA49" s="302">
        <v>43439</v>
      </c>
      <c r="AB49" s="309">
        <v>2017</v>
      </c>
      <c r="AC49" s="303" t="s">
        <v>275</v>
      </c>
      <c r="AD49" s="303">
        <v>247</v>
      </c>
      <c r="AE49" s="220" t="s">
        <v>276</v>
      </c>
      <c r="AF49" s="220"/>
      <c r="AG49" s="220"/>
      <c r="AH49" s="220"/>
      <c r="AI49" s="220"/>
      <c r="AJ49" s="220"/>
      <c r="AK49" s="220"/>
      <c r="AL49" s="220"/>
      <c r="AM49" s="220"/>
      <c r="AN49" s="220"/>
      <c r="AO49" s="220"/>
      <c r="AP49" s="220"/>
      <c r="AQ49" s="220"/>
      <c r="AR49" s="220"/>
      <c r="AS49" s="220"/>
      <c r="AT49" s="220"/>
      <c r="AU49" s="220"/>
      <c r="AV49" s="220"/>
      <c r="AW49" s="220"/>
      <c r="AX49" s="220"/>
      <c r="AY49" s="220"/>
      <c r="AZ49" s="220"/>
    </row>
    <row r="50" spans="1:52" x14ac:dyDescent="0.2">
      <c r="A50" s="234">
        <v>22382</v>
      </c>
      <c r="B50" s="233">
        <v>2017</v>
      </c>
      <c r="C50" s="234" t="s">
        <v>23</v>
      </c>
      <c r="D50" s="252">
        <v>620</v>
      </c>
      <c r="E50" s="253"/>
      <c r="F50" s="253"/>
      <c r="G50" s="253"/>
      <c r="H50" s="253"/>
      <c r="I50" s="253"/>
      <c r="J50" s="253"/>
      <c r="K50" s="253"/>
      <c r="L50" s="253">
        <v>0</v>
      </c>
      <c r="M50" s="253">
        <v>0</v>
      </c>
      <c r="N50" s="253">
        <v>0</v>
      </c>
      <c r="O50" s="253">
        <v>0</v>
      </c>
      <c r="P50" s="253">
        <v>0</v>
      </c>
      <c r="Q50" s="335">
        <f t="shared" ref="Q50:Q57" si="18">SUM(E50:P50)</f>
        <v>0</v>
      </c>
      <c r="R50" s="263">
        <f t="shared" si="16"/>
        <v>0</v>
      </c>
      <c r="S50" s="336">
        <f t="shared" si="17"/>
        <v>0</v>
      </c>
      <c r="T50" s="307">
        <f t="shared" ref="T50:T58" si="19">SUM(D50-Q50)</f>
        <v>620</v>
      </c>
      <c r="U50" s="233">
        <v>2017</v>
      </c>
      <c r="V50" s="234" t="s">
        <v>23</v>
      </c>
      <c r="W50" s="220"/>
      <c r="X50" s="220"/>
      <c r="Y50" s="220"/>
      <c r="Z50" s="220"/>
      <c r="AA50" s="302">
        <v>43439</v>
      </c>
      <c r="AB50" s="309">
        <v>2017</v>
      </c>
      <c r="AC50" s="303" t="s">
        <v>220</v>
      </c>
      <c r="AD50" s="303">
        <v>818</v>
      </c>
      <c r="AE50" s="220" t="s">
        <v>270</v>
      </c>
      <c r="AF50" s="220"/>
      <c r="AG50" s="220"/>
      <c r="AH50" s="220"/>
      <c r="AI50" s="220"/>
      <c r="AJ50" s="220"/>
      <c r="AK50" s="220"/>
      <c r="AL50" s="220"/>
      <c r="AM50" s="220"/>
      <c r="AN50" s="220"/>
      <c r="AO50" s="220"/>
      <c r="AP50" s="220"/>
      <c r="AQ50" s="220"/>
      <c r="AR50" s="220"/>
      <c r="AS50" s="220"/>
      <c r="AT50" s="220"/>
      <c r="AU50" s="220"/>
      <c r="AV50" s="220"/>
      <c r="AW50" s="220"/>
      <c r="AX50" s="220"/>
      <c r="AY50" s="220"/>
      <c r="AZ50" s="220"/>
    </row>
    <row r="51" spans="1:52" x14ac:dyDescent="0.2">
      <c r="A51" s="234">
        <v>84802</v>
      </c>
      <c r="B51" s="233">
        <v>2017</v>
      </c>
      <c r="C51" s="234" t="s">
        <v>93</v>
      </c>
      <c r="D51" s="252">
        <v>174</v>
      </c>
      <c r="E51" s="253"/>
      <c r="F51" s="253"/>
      <c r="G51" s="253"/>
      <c r="H51" s="253"/>
      <c r="I51" s="253"/>
      <c r="J51" s="253"/>
      <c r="K51" s="253"/>
      <c r="L51" s="253"/>
      <c r="M51" s="253"/>
      <c r="N51" s="253">
        <v>0</v>
      </c>
      <c r="O51" s="253">
        <v>0</v>
      </c>
      <c r="P51" s="253">
        <v>25</v>
      </c>
      <c r="Q51" s="335">
        <f t="shared" si="18"/>
        <v>25</v>
      </c>
      <c r="R51" s="263">
        <f t="shared" si="16"/>
        <v>8.3333333333333339</v>
      </c>
      <c r="S51" s="336">
        <f t="shared" si="17"/>
        <v>17.88</v>
      </c>
      <c r="T51" s="307">
        <f t="shared" si="19"/>
        <v>149</v>
      </c>
      <c r="U51" s="233">
        <v>2017</v>
      </c>
      <c r="V51" s="234" t="s">
        <v>93</v>
      </c>
      <c r="W51" s="220"/>
      <c r="X51" s="220"/>
      <c r="Y51" s="220"/>
      <c r="Z51" s="220"/>
      <c r="AA51" s="302">
        <v>43439</v>
      </c>
      <c r="AB51" s="309">
        <v>2017</v>
      </c>
      <c r="AC51" s="303" t="s">
        <v>293</v>
      </c>
      <c r="AD51" s="303">
        <v>690</v>
      </c>
      <c r="AE51" s="220" t="s">
        <v>270</v>
      </c>
      <c r="AF51" s="220"/>
      <c r="AG51" s="220"/>
      <c r="AH51" s="220"/>
      <c r="AI51" s="220"/>
      <c r="AJ51" s="220"/>
      <c r="AK51" s="220"/>
      <c r="AL51" s="220"/>
      <c r="AM51" s="220"/>
      <c r="AN51" s="220"/>
      <c r="AO51" s="220"/>
      <c r="AP51" s="220"/>
      <c r="AQ51" s="220"/>
      <c r="AR51" s="220"/>
      <c r="AS51" s="220"/>
      <c r="AT51" s="220"/>
      <c r="AU51" s="220"/>
      <c r="AV51" s="220"/>
      <c r="AW51" s="220"/>
      <c r="AX51" s="220"/>
      <c r="AY51" s="220"/>
      <c r="AZ51" s="220"/>
    </row>
    <row r="52" spans="1:52" x14ac:dyDescent="0.2">
      <c r="A52" s="234">
        <v>27736</v>
      </c>
      <c r="B52" s="233">
        <v>2017</v>
      </c>
      <c r="C52" s="234" t="s">
        <v>56</v>
      </c>
      <c r="D52" s="252">
        <v>480</v>
      </c>
      <c r="E52" s="253"/>
      <c r="F52" s="253"/>
      <c r="G52" s="253"/>
      <c r="H52" s="253"/>
      <c r="I52" s="253"/>
      <c r="J52" s="253"/>
      <c r="K52" s="253"/>
      <c r="L52" s="253">
        <v>7</v>
      </c>
      <c r="M52" s="253">
        <v>0</v>
      </c>
      <c r="N52" s="253">
        <v>5</v>
      </c>
      <c r="O52" s="253">
        <v>49</v>
      </c>
      <c r="P52" s="253">
        <v>13</v>
      </c>
      <c r="Q52" s="335">
        <f t="shared" si="18"/>
        <v>74</v>
      </c>
      <c r="R52" s="263">
        <f t="shared" si="16"/>
        <v>14.8</v>
      </c>
      <c r="S52" s="336">
        <f t="shared" si="17"/>
        <v>27.432432432432432</v>
      </c>
      <c r="T52" s="307">
        <f t="shared" si="19"/>
        <v>406</v>
      </c>
      <c r="U52" s="233">
        <v>2017</v>
      </c>
      <c r="V52" s="234" t="s">
        <v>56</v>
      </c>
      <c r="W52" s="220"/>
      <c r="X52" s="220"/>
      <c r="Y52" s="220"/>
      <c r="Z52" s="220"/>
      <c r="AA52" s="302">
        <v>43439</v>
      </c>
      <c r="AB52" s="309">
        <v>2017</v>
      </c>
      <c r="AC52" s="303" t="s">
        <v>24</v>
      </c>
      <c r="AD52" s="303">
        <v>305</v>
      </c>
      <c r="AE52" s="220" t="s">
        <v>270</v>
      </c>
      <c r="AF52" s="220"/>
      <c r="AG52" s="220"/>
      <c r="AH52" s="220"/>
      <c r="AI52" s="220"/>
      <c r="AJ52" s="220"/>
      <c r="AK52" s="220"/>
      <c r="AL52" s="220"/>
      <c r="AM52" s="220"/>
      <c r="AN52" s="220"/>
      <c r="AO52" s="220"/>
      <c r="AP52" s="220"/>
      <c r="AQ52" s="220"/>
      <c r="AR52" s="220"/>
      <c r="AS52" s="220"/>
      <c r="AT52" s="220"/>
      <c r="AU52" s="220"/>
      <c r="AV52" s="220"/>
      <c r="AW52" s="220"/>
      <c r="AX52" s="220"/>
      <c r="AY52" s="220"/>
      <c r="AZ52" s="220"/>
    </row>
    <row r="53" spans="1:52" x14ac:dyDescent="0.2">
      <c r="A53" s="234">
        <v>28361</v>
      </c>
      <c r="B53" s="233">
        <v>2017</v>
      </c>
      <c r="C53" s="234" t="s">
        <v>24</v>
      </c>
      <c r="D53" s="252">
        <v>305</v>
      </c>
      <c r="E53" s="253"/>
      <c r="F53" s="253"/>
      <c r="G53" s="253"/>
      <c r="H53" s="253"/>
      <c r="I53" s="253"/>
      <c r="J53" s="253"/>
      <c r="K53" s="253"/>
      <c r="L53" s="253"/>
      <c r="M53" s="253"/>
      <c r="N53" s="253">
        <v>0</v>
      </c>
      <c r="O53" s="253">
        <v>0</v>
      </c>
      <c r="P53" s="253">
        <v>25</v>
      </c>
      <c r="Q53" s="335">
        <f t="shared" si="18"/>
        <v>25</v>
      </c>
      <c r="R53" s="263">
        <f t="shared" si="16"/>
        <v>8.3333333333333339</v>
      </c>
      <c r="S53" s="336">
        <f t="shared" si="17"/>
        <v>33.599999999999994</v>
      </c>
      <c r="T53" s="307">
        <f t="shared" si="19"/>
        <v>280</v>
      </c>
      <c r="U53" s="233">
        <v>2017</v>
      </c>
      <c r="V53" s="234" t="s">
        <v>24</v>
      </c>
      <c r="W53" s="220"/>
      <c r="X53" s="220"/>
      <c r="Y53" s="220"/>
      <c r="Z53" s="220"/>
      <c r="AA53" s="302">
        <v>43439</v>
      </c>
      <c r="AB53" s="309">
        <v>2017</v>
      </c>
      <c r="AC53" s="303" t="s">
        <v>217</v>
      </c>
      <c r="AD53" s="303">
        <v>205</v>
      </c>
      <c r="AE53" s="220" t="s">
        <v>270</v>
      </c>
      <c r="AF53" s="220"/>
      <c r="AG53" s="220"/>
      <c r="AH53" s="220"/>
      <c r="AI53" s="220"/>
      <c r="AJ53" s="220"/>
      <c r="AK53" s="220"/>
      <c r="AL53" s="220"/>
      <c r="AM53" s="220"/>
      <c r="AN53" s="220"/>
      <c r="AO53" s="220"/>
      <c r="AP53" s="220"/>
      <c r="AQ53" s="220"/>
      <c r="AR53" s="220"/>
      <c r="AS53" s="220"/>
      <c r="AT53" s="220"/>
      <c r="AU53" s="220"/>
      <c r="AV53" s="220"/>
      <c r="AW53" s="220"/>
      <c r="AX53" s="220"/>
      <c r="AY53" s="220"/>
      <c r="AZ53" s="220"/>
    </row>
    <row r="54" spans="1:52" x14ac:dyDescent="0.2">
      <c r="A54" s="234">
        <v>22921</v>
      </c>
      <c r="B54" s="233">
        <v>2017</v>
      </c>
      <c r="C54" s="234" t="s">
        <v>277</v>
      </c>
      <c r="D54" s="252">
        <v>818</v>
      </c>
      <c r="E54" s="253"/>
      <c r="F54" s="253"/>
      <c r="G54" s="253"/>
      <c r="H54" s="253"/>
      <c r="I54" s="253"/>
      <c r="J54" s="253"/>
      <c r="K54" s="253"/>
      <c r="L54" s="253"/>
      <c r="M54" s="253"/>
      <c r="N54" s="253">
        <v>0</v>
      </c>
      <c r="O54" s="253">
        <v>0</v>
      </c>
      <c r="P54" s="253">
        <v>34</v>
      </c>
      <c r="Q54" s="335">
        <f t="shared" si="18"/>
        <v>34</v>
      </c>
      <c r="R54" s="263">
        <f t="shared" si="16"/>
        <v>11.333333333333334</v>
      </c>
      <c r="S54" s="336">
        <f t="shared" si="17"/>
        <v>69.17647058823529</v>
      </c>
      <c r="T54" s="307">
        <f t="shared" si="19"/>
        <v>784</v>
      </c>
      <c r="U54" s="233">
        <v>2017</v>
      </c>
      <c r="V54" s="234" t="s">
        <v>277</v>
      </c>
      <c r="W54" s="220"/>
      <c r="X54" s="220"/>
      <c r="Y54" s="220"/>
      <c r="Z54" s="220"/>
      <c r="AA54" s="302"/>
      <c r="AB54" s="309"/>
      <c r="AC54" s="303"/>
      <c r="AD54" s="303"/>
      <c r="AE54" s="220"/>
      <c r="AF54" s="220"/>
      <c r="AG54" s="220"/>
      <c r="AH54" s="220"/>
      <c r="AI54" s="220"/>
      <c r="AJ54" s="220"/>
      <c r="AK54" s="220"/>
      <c r="AL54" s="220"/>
      <c r="AM54" s="220"/>
      <c r="AN54" s="220"/>
      <c r="AO54" s="220"/>
      <c r="AP54" s="220"/>
      <c r="AQ54" s="220"/>
      <c r="AR54" s="220"/>
      <c r="AS54" s="220"/>
      <c r="AT54" s="220"/>
      <c r="AU54" s="220"/>
      <c r="AV54" s="220"/>
      <c r="AW54" s="220"/>
      <c r="AX54" s="220"/>
      <c r="AY54" s="220"/>
      <c r="AZ54" s="220"/>
    </row>
    <row r="55" spans="1:52" x14ac:dyDescent="0.2">
      <c r="A55" s="234"/>
      <c r="B55" s="233">
        <v>2017</v>
      </c>
      <c r="C55" s="234" t="s">
        <v>217</v>
      </c>
      <c r="D55" s="252">
        <v>205</v>
      </c>
      <c r="E55" s="253"/>
      <c r="F55" s="253"/>
      <c r="G55" s="253"/>
      <c r="H55" s="253"/>
      <c r="I55" s="253"/>
      <c r="J55" s="253"/>
      <c r="K55" s="253"/>
      <c r="L55" s="253"/>
      <c r="M55" s="253"/>
      <c r="N55" s="253">
        <v>0</v>
      </c>
      <c r="O55" s="253">
        <v>0</v>
      </c>
      <c r="P55" s="253">
        <v>37</v>
      </c>
      <c r="Q55" s="335">
        <f t="shared" si="18"/>
        <v>37</v>
      </c>
      <c r="R55" s="263">
        <f t="shared" si="16"/>
        <v>12.333333333333334</v>
      </c>
      <c r="S55" s="336">
        <f t="shared" si="17"/>
        <v>13.621621621621621</v>
      </c>
      <c r="T55" s="307">
        <f t="shared" si="19"/>
        <v>168</v>
      </c>
      <c r="U55" s="233">
        <v>2017</v>
      </c>
      <c r="V55" s="234" t="s">
        <v>217</v>
      </c>
      <c r="W55" s="220"/>
      <c r="X55" s="220"/>
      <c r="Y55" s="220"/>
      <c r="Z55" s="220"/>
      <c r="AA55" s="302">
        <v>43143</v>
      </c>
      <c r="AB55" s="309"/>
      <c r="AC55" s="303" t="s">
        <v>278</v>
      </c>
      <c r="AD55" s="303"/>
      <c r="AE55" s="220" t="s">
        <v>279</v>
      </c>
      <c r="AF55" s="220"/>
      <c r="AG55" s="220"/>
      <c r="AH55" s="220"/>
      <c r="AI55" s="220"/>
      <c r="AJ55" s="220"/>
      <c r="AK55" s="220"/>
      <c r="AL55" s="220"/>
      <c r="AM55" s="220"/>
      <c r="AN55" s="220"/>
      <c r="AO55" s="220"/>
      <c r="AP55" s="220"/>
      <c r="AQ55" s="220"/>
      <c r="AR55" s="220"/>
      <c r="AS55" s="220"/>
      <c r="AT55" s="220"/>
      <c r="AU55" s="220"/>
      <c r="AV55" s="220"/>
      <c r="AW55" s="220"/>
      <c r="AX55" s="220"/>
      <c r="AY55" s="220"/>
      <c r="AZ55" s="220"/>
    </row>
    <row r="56" spans="1:52" x14ac:dyDescent="0.2">
      <c r="A56" s="234">
        <v>86051</v>
      </c>
      <c r="B56" s="233" t="s">
        <v>280</v>
      </c>
      <c r="C56" s="234" t="s">
        <v>94</v>
      </c>
      <c r="D56" s="252">
        <v>690</v>
      </c>
      <c r="E56" s="253"/>
      <c r="F56" s="253"/>
      <c r="G56" s="253"/>
      <c r="H56" s="253"/>
      <c r="I56" s="253"/>
      <c r="J56" s="253"/>
      <c r="K56" s="253"/>
      <c r="L56" s="253"/>
      <c r="M56" s="253"/>
      <c r="N56" s="253">
        <v>0</v>
      </c>
      <c r="O56" s="253">
        <v>0</v>
      </c>
      <c r="P56" s="253">
        <v>18</v>
      </c>
      <c r="Q56" s="335">
        <f t="shared" si="18"/>
        <v>18</v>
      </c>
      <c r="R56" s="263">
        <f t="shared" si="16"/>
        <v>6</v>
      </c>
      <c r="S56" s="336">
        <f t="shared" si="17"/>
        <v>112</v>
      </c>
      <c r="T56" s="307">
        <f t="shared" si="19"/>
        <v>672</v>
      </c>
      <c r="U56" s="233">
        <v>2017</v>
      </c>
      <c r="V56" s="234" t="s">
        <v>94</v>
      </c>
      <c r="W56" s="220"/>
      <c r="X56" s="220"/>
      <c r="Y56" s="220"/>
      <c r="Z56" s="220"/>
      <c r="AA56" s="302">
        <v>43150</v>
      </c>
      <c r="AB56" s="309"/>
      <c r="AC56" s="303" t="s">
        <v>281</v>
      </c>
      <c r="AD56" s="303"/>
      <c r="AE56" s="220" t="s">
        <v>282</v>
      </c>
      <c r="AF56" s="220"/>
      <c r="AG56" s="220"/>
      <c r="AH56" s="220"/>
      <c r="AI56" s="220"/>
      <c r="AJ56" s="220"/>
      <c r="AK56" s="220"/>
      <c r="AL56" s="220"/>
      <c r="AM56" s="220"/>
      <c r="AN56" s="220"/>
      <c r="AO56" s="220"/>
      <c r="AP56" s="220"/>
      <c r="AQ56" s="220"/>
      <c r="AR56" s="220"/>
      <c r="AS56" s="220"/>
      <c r="AT56" s="220"/>
      <c r="AU56" s="220"/>
      <c r="AV56" s="220"/>
      <c r="AW56" s="220"/>
      <c r="AX56" s="220"/>
      <c r="AY56" s="220"/>
      <c r="AZ56" s="220"/>
    </row>
    <row r="57" spans="1:52" x14ac:dyDescent="0.2">
      <c r="A57" s="234">
        <v>28381</v>
      </c>
      <c r="B57" s="233">
        <v>2017</v>
      </c>
      <c r="C57" s="234" t="s">
        <v>269</v>
      </c>
      <c r="D57" s="252">
        <v>74</v>
      </c>
      <c r="E57" s="253"/>
      <c r="F57" s="253"/>
      <c r="G57" s="253"/>
      <c r="H57" s="253"/>
      <c r="I57" s="253"/>
      <c r="J57" s="253"/>
      <c r="K57" s="253"/>
      <c r="L57" s="253">
        <v>0</v>
      </c>
      <c r="M57" s="253">
        <v>0</v>
      </c>
      <c r="N57" s="253">
        <v>0</v>
      </c>
      <c r="O57" s="253">
        <v>31</v>
      </c>
      <c r="P57" s="253">
        <v>12</v>
      </c>
      <c r="Q57" s="335">
        <f t="shared" si="18"/>
        <v>43</v>
      </c>
      <c r="R57" s="263">
        <f t="shared" si="16"/>
        <v>8.6</v>
      </c>
      <c r="S57" s="336">
        <f t="shared" si="17"/>
        <v>3.6046511627906979</v>
      </c>
      <c r="T57" s="307">
        <f t="shared" si="19"/>
        <v>31</v>
      </c>
      <c r="U57" s="233"/>
      <c r="V57" s="234" t="s">
        <v>269</v>
      </c>
      <c r="W57" s="220"/>
      <c r="X57" s="220"/>
      <c r="Y57" s="220"/>
      <c r="Z57" s="220"/>
      <c r="AA57" s="302">
        <v>43150</v>
      </c>
      <c r="AB57" s="309"/>
      <c r="AC57" s="303" t="s">
        <v>283</v>
      </c>
      <c r="AD57" s="303"/>
      <c r="AE57" s="220" t="s">
        <v>282</v>
      </c>
      <c r="AF57" s="220"/>
      <c r="AG57" s="220"/>
      <c r="AH57" s="220"/>
      <c r="AI57" s="220"/>
      <c r="AJ57" s="220"/>
      <c r="AK57" s="220"/>
      <c r="AL57" s="220"/>
      <c r="AM57" s="220"/>
      <c r="AN57" s="220"/>
      <c r="AO57" s="220"/>
      <c r="AP57" s="220"/>
      <c r="AQ57" s="220"/>
      <c r="AR57" s="220"/>
      <c r="AS57" s="220"/>
      <c r="AT57" s="220"/>
      <c r="AU57" s="220"/>
      <c r="AV57" s="220"/>
      <c r="AW57" s="220"/>
      <c r="AX57" s="220"/>
      <c r="AY57" s="220"/>
      <c r="AZ57" s="220"/>
    </row>
    <row r="58" spans="1:52" x14ac:dyDescent="0.2">
      <c r="A58" s="234">
        <v>116508</v>
      </c>
      <c r="B58" s="233" t="s">
        <v>273</v>
      </c>
      <c r="C58" s="234" t="s">
        <v>274</v>
      </c>
      <c r="D58" s="252">
        <v>854</v>
      </c>
      <c r="E58" s="253"/>
      <c r="F58" s="253"/>
      <c r="G58" s="253"/>
      <c r="H58" s="253"/>
      <c r="I58" s="253"/>
      <c r="J58" s="253"/>
      <c r="K58" s="253"/>
      <c r="L58" s="253">
        <v>80</v>
      </c>
      <c r="M58" s="253">
        <v>86</v>
      </c>
      <c r="N58" s="253">
        <v>71</v>
      </c>
      <c r="O58" s="253">
        <v>180</v>
      </c>
      <c r="P58" s="253">
        <v>0</v>
      </c>
      <c r="Q58" s="335">
        <f t="shared" ref="Q58" si="20">SUM(E58:P58)</f>
        <v>417</v>
      </c>
      <c r="R58" s="263">
        <f t="shared" ref="R58" si="21">IFERROR((AVERAGE(E58:P58)),0)</f>
        <v>83.4</v>
      </c>
      <c r="S58" s="336">
        <f t="shared" ref="S58" si="22">IFERROR((T58/R58),0)</f>
        <v>5.2398081534772176</v>
      </c>
      <c r="T58" s="307">
        <f t="shared" si="19"/>
        <v>437</v>
      </c>
      <c r="U58" s="233"/>
      <c r="V58" s="234" t="s">
        <v>274</v>
      </c>
      <c r="W58" s="220"/>
      <c r="X58" s="220"/>
      <c r="Y58" s="220"/>
      <c r="Z58" s="220"/>
      <c r="AA58" s="302"/>
      <c r="AB58" s="309"/>
      <c r="AC58" s="303"/>
      <c r="AD58" s="303"/>
      <c r="AE58" s="220"/>
      <c r="AF58" s="220"/>
      <c r="AG58" s="220"/>
      <c r="AH58" s="220"/>
      <c r="AI58" s="220"/>
      <c r="AJ58" s="220"/>
      <c r="AK58" s="220"/>
      <c r="AL58" s="220"/>
      <c r="AM58" s="220"/>
      <c r="AN58" s="220"/>
      <c r="AO58" s="220"/>
      <c r="AP58" s="220"/>
      <c r="AQ58" s="220"/>
      <c r="AR58" s="220"/>
      <c r="AS58" s="220"/>
      <c r="AT58" s="220"/>
      <c r="AU58" s="220"/>
      <c r="AV58" s="220"/>
      <c r="AW58" s="220"/>
      <c r="AX58" s="220"/>
      <c r="AY58" s="220"/>
      <c r="AZ58" s="220"/>
    </row>
    <row r="59" spans="1:52" x14ac:dyDescent="0.2">
      <c r="A59" s="226"/>
      <c r="B59" s="342"/>
      <c r="C59" s="226"/>
      <c r="D59" s="338"/>
      <c r="E59" s="338"/>
      <c r="F59" s="338"/>
      <c r="G59" s="338"/>
      <c r="H59" s="338"/>
      <c r="I59" s="338"/>
      <c r="J59" s="338"/>
      <c r="K59" s="338"/>
      <c r="L59" s="338"/>
      <c r="M59" s="338"/>
      <c r="N59" s="338"/>
      <c r="O59" s="338"/>
      <c r="P59" s="338"/>
      <c r="Q59" s="243"/>
      <c r="R59" s="339"/>
      <c r="S59" s="340"/>
      <c r="T59" s="320"/>
      <c r="U59" s="342"/>
      <c r="V59" s="226"/>
      <c r="W59" s="220"/>
      <c r="X59" s="220"/>
      <c r="Y59" s="220"/>
      <c r="Z59" s="220"/>
      <c r="AA59" s="302">
        <v>43167</v>
      </c>
      <c r="AB59" s="309"/>
      <c r="AC59" s="303" t="s">
        <v>284</v>
      </c>
      <c r="AD59" s="303"/>
      <c r="AE59" s="220" t="s">
        <v>282</v>
      </c>
      <c r="AF59" s="220"/>
      <c r="AG59" s="220"/>
      <c r="AH59" s="220"/>
      <c r="AI59" s="220"/>
      <c r="AJ59" s="220"/>
      <c r="AK59" s="220"/>
      <c r="AL59" s="220"/>
      <c r="AM59" s="220"/>
      <c r="AN59" s="220"/>
      <c r="AO59" s="220"/>
      <c r="AP59" s="220"/>
      <c r="AQ59" s="220"/>
      <c r="AR59" s="220"/>
      <c r="AS59" s="220"/>
      <c r="AT59" s="220"/>
      <c r="AU59" s="220"/>
      <c r="AV59" s="220"/>
      <c r="AW59" s="220"/>
      <c r="AX59" s="220"/>
      <c r="AY59" s="220"/>
      <c r="AZ59" s="220"/>
    </row>
    <row r="60" spans="1:52" s="304" customFormat="1" x14ac:dyDescent="0.2">
      <c r="A60" s="234"/>
      <c r="B60" s="233">
        <v>2013</v>
      </c>
      <c r="C60" s="234"/>
      <c r="D60" s="263">
        <f t="shared" ref="D60:Q60" si="23">SUM(D10:D10)</f>
        <v>28</v>
      </c>
      <c r="E60" s="263">
        <f t="shared" si="23"/>
        <v>28</v>
      </c>
      <c r="F60" s="263">
        <f t="shared" si="23"/>
        <v>0</v>
      </c>
      <c r="G60" s="263">
        <f t="shared" si="23"/>
        <v>0</v>
      </c>
      <c r="H60" s="263">
        <f t="shared" si="23"/>
        <v>0</v>
      </c>
      <c r="I60" s="263">
        <f t="shared" si="23"/>
        <v>0</v>
      </c>
      <c r="J60" s="263">
        <f t="shared" si="23"/>
        <v>0</v>
      </c>
      <c r="K60" s="263">
        <f t="shared" si="23"/>
        <v>0</v>
      </c>
      <c r="L60" s="263">
        <f t="shared" si="23"/>
        <v>0</v>
      </c>
      <c r="M60" s="263">
        <f t="shared" si="23"/>
        <v>0</v>
      </c>
      <c r="N60" s="263">
        <f t="shared" si="23"/>
        <v>0</v>
      </c>
      <c r="O60" s="263">
        <f t="shared" si="23"/>
        <v>0</v>
      </c>
      <c r="P60" s="263">
        <f t="shared" si="23"/>
        <v>0</v>
      </c>
      <c r="Q60" s="335">
        <f t="shared" si="23"/>
        <v>28</v>
      </c>
      <c r="R60" s="263">
        <f>AVERAGE(E60:P60)</f>
        <v>2.3333333333333335</v>
      </c>
      <c r="S60" s="336">
        <f>T60/R60</f>
        <v>0</v>
      </c>
      <c r="T60" s="307">
        <f>SUM(D60-Q60)</f>
        <v>0</v>
      </c>
      <c r="U60" s="233">
        <v>2013</v>
      </c>
      <c r="V60" s="234"/>
      <c r="W60" s="281"/>
      <c r="X60" s="281"/>
      <c r="Y60" s="281"/>
      <c r="Z60" s="281"/>
      <c r="AA60" s="302">
        <v>43167</v>
      </c>
      <c r="AB60" s="309"/>
      <c r="AC60" s="303" t="s">
        <v>285</v>
      </c>
      <c r="AD60" s="303"/>
      <c r="AE60" s="220" t="s">
        <v>282</v>
      </c>
      <c r="AF60" s="220"/>
      <c r="AG60" s="281"/>
      <c r="AH60" s="281"/>
      <c r="AI60" s="281"/>
      <c r="AJ60" s="281"/>
      <c r="AK60" s="281"/>
      <c r="AL60" s="281"/>
      <c r="AM60" s="281"/>
      <c r="AN60" s="281"/>
      <c r="AO60" s="281"/>
      <c r="AP60" s="281"/>
      <c r="AQ60" s="281"/>
      <c r="AR60" s="281"/>
      <c r="AS60" s="281"/>
      <c r="AT60" s="281"/>
      <c r="AU60" s="281"/>
      <c r="AV60" s="281"/>
      <c r="AW60" s="281"/>
      <c r="AX60" s="281"/>
      <c r="AY60" s="281"/>
      <c r="AZ60" s="281"/>
    </row>
    <row r="61" spans="1:52" x14ac:dyDescent="0.2">
      <c r="A61" s="234"/>
      <c r="B61" s="233">
        <v>2014</v>
      </c>
      <c r="C61" s="234"/>
      <c r="D61" s="263">
        <f t="shared" ref="D61:Q61" si="24">SUM(D12:D14)</f>
        <v>207</v>
      </c>
      <c r="E61" s="263">
        <f t="shared" si="24"/>
        <v>36</v>
      </c>
      <c r="F61" s="263">
        <f t="shared" si="24"/>
        <v>31</v>
      </c>
      <c r="G61" s="263">
        <f t="shared" si="24"/>
        <v>18</v>
      </c>
      <c r="H61" s="263">
        <f t="shared" si="24"/>
        <v>17</v>
      </c>
      <c r="I61" s="263">
        <f t="shared" si="24"/>
        <v>74</v>
      </c>
      <c r="J61" s="263">
        <f t="shared" si="24"/>
        <v>10</v>
      </c>
      <c r="K61" s="263">
        <f t="shared" si="24"/>
        <v>8</v>
      </c>
      <c r="L61" s="263">
        <f t="shared" si="24"/>
        <v>2</v>
      </c>
      <c r="M61" s="263">
        <f t="shared" si="24"/>
        <v>3</v>
      </c>
      <c r="N61" s="263">
        <f t="shared" si="24"/>
        <v>0</v>
      </c>
      <c r="O61" s="263">
        <f t="shared" si="24"/>
        <v>0</v>
      </c>
      <c r="P61" s="263">
        <f t="shared" si="24"/>
        <v>0</v>
      </c>
      <c r="Q61" s="335">
        <f t="shared" si="24"/>
        <v>199</v>
      </c>
      <c r="R61" s="263">
        <f>AVERAGE(E61:P61)</f>
        <v>16.583333333333332</v>
      </c>
      <c r="S61" s="336">
        <f>T61/R61</f>
        <v>0.48241206030150757</v>
      </c>
      <c r="T61" s="307">
        <f>SUM(D61-Q61)</f>
        <v>8</v>
      </c>
      <c r="U61" s="233">
        <v>2014</v>
      </c>
      <c r="V61" s="234"/>
      <c r="W61" s="220"/>
      <c r="X61" s="220"/>
      <c r="Y61" s="220"/>
      <c r="Z61" s="220"/>
      <c r="AA61" s="302">
        <v>43173</v>
      </c>
      <c r="AB61" s="309"/>
      <c r="AC61" s="303" t="s">
        <v>285</v>
      </c>
      <c r="AD61" s="303"/>
      <c r="AE61" s="220" t="s">
        <v>282</v>
      </c>
      <c r="AF61" s="220"/>
      <c r="AG61" s="220"/>
      <c r="AH61" s="220"/>
      <c r="AI61" s="220"/>
      <c r="AJ61" s="220"/>
      <c r="AK61" s="220"/>
      <c r="AL61" s="220"/>
      <c r="AM61" s="220"/>
      <c r="AN61" s="220"/>
      <c r="AO61" s="220"/>
      <c r="AP61" s="220"/>
      <c r="AQ61" s="220"/>
      <c r="AR61" s="220"/>
      <c r="AS61" s="220"/>
      <c r="AT61" s="220"/>
      <c r="AU61" s="220"/>
      <c r="AV61" s="220"/>
      <c r="AW61" s="220"/>
      <c r="AX61" s="220"/>
      <c r="AY61" s="220"/>
      <c r="AZ61" s="220"/>
    </row>
    <row r="62" spans="1:52" x14ac:dyDescent="0.2">
      <c r="A62" s="234"/>
      <c r="B62" s="233">
        <v>2015</v>
      </c>
      <c r="C62" s="234"/>
      <c r="D62" s="263">
        <f t="shared" ref="D62:Q62" si="25">SUM(D17:D26)</f>
        <v>1500</v>
      </c>
      <c r="E62" s="263">
        <f t="shared" si="25"/>
        <v>225</v>
      </c>
      <c r="F62" s="263">
        <f t="shared" si="25"/>
        <v>165</v>
      </c>
      <c r="G62" s="263">
        <f t="shared" si="25"/>
        <v>141</v>
      </c>
      <c r="H62" s="263">
        <f t="shared" si="25"/>
        <v>169</v>
      </c>
      <c r="I62" s="263">
        <f t="shared" si="25"/>
        <v>119</v>
      </c>
      <c r="J62" s="263">
        <f t="shared" si="25"/>
        <v>126</v>
      </c>
      <c r="K62" s="263">
        <f t="shared" si="25"/>
        <v>37</v>
      </c>
      <c r="L62" s="263">
        <f t="shared" si="25"/>
        <v>42</v>
      </c>
      <c r="M62" s="263">
        <f t="shared" si="25"/>
        <v>15</v>
      </c>
      <c r="N62" s="263">
        <f t="shared" si="25"/>
        <v>38</v>
      </c>
      <c r="O62" s="263">
        <f t="shared" si="25"/>
        <v>23</v>
      </c>
      <c r="P62" s="263">
        <f t="shared" si="25"/>
        <v>10</v>
      </c>
      <c r="Q62" s="335">
        <f t="shared" si="25"/>
        <v>1110</v>
      </c>
      <c r="R62" s="263">
        <f>AVERAGE(E62:P62)</f>
        <v>92.5</v>
      </c>
      <c r="S62" s="336">
        <f>T62/R62</f>
        <v>4.2162162162162158</v>
      </c>
      <c r="T62" s="307">
        <f>SUM(D62-Q62)</f>
        <v>390</v>
      </c>
      <c r="U62" s="233">
        <v>2015</v>
      </c>
      <c r="V62" s="234"/>
      <c r="W62" s="220"/>
      <c r="X62" s="220"/>
      <c r="Y62" s="220"/>
      <c r="Z62" s="220"/>
      <c r="AA62" s="302"/>
      <c r="AB62" s="309"/>
      <c r="AC62" s="303"/>
      <c r="AD62" s="303"/>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row>
    <row r="63" spans="1:52" x14ac:dyDescent="0.2">
      <c r="A63" s="234"/>
      <c r="B63" s="233">
        <v>2016</v>
      </c>
      <c r="C63" s="234"/>
      <c r="D63" s="263">
        <f t="shared" ref="D63:Q63" si="26">SUM(D28:D41)</f>
        <v>5770</v>
      </c>
      <c r="E63" s="263">
        <f t="shared" si="26"/>
        <v>195</v>
      </c>
      <c r="F63" s="263">
        <f t="shared" si="26"/>
        <v>235</v>
      </c>
      <c r="G63" s="263">
        <f t="shared" si="26"/>
        <v>163</v>
      </c>
      <c r="H63" s="263">
        <f t="shared" si="26"/>
        <v>180</v>
      </c>
      <c r="I63" s="263">
        <f t="shared" si="26"/>
        <v>203</v>
      </c>
      <c r="J63" s="263">
        <f t="shared" si="26"/>
        <v>270</v>
      </c>
      <c r="K63" s="263">
        <f t="shared" si="26"/>
        <v>259</v>
      </c>
      <c r="L63" s="263">
        <f t="shared" si="26"/>
        <v>257</v>
      </c>
      <c r="M63" s="263">
        <f t="shared" si="26"/>
        <v>254</v>
      </c>
      <c r="N63" s="263">
        <f t="shared" si="26"/>
        <v>240</v>
      </c>
      <c r="O63" s="263">
        <f t="shared" si="26"/>
        <v>433</v>
      </c>
      <c r="P63" s="263">
        <f t="shared" si="26"/>
        <v>269</v>
      </c>
      <c r="Q63" s="335">
        <f t="shared" si="26"/>
        <v>2958</v>
      </c>
      <c r="R63" s="263">
        <f t="shared" ref="R63:R65" si="27">AVERAGE(E63:P63)</f>
        <v>246.5</v>
      </c>
      <c r="S63" s="336"/>
      <c r="T63" s="307">
        <f t="shared" ref="T63:T64" si="28">SUM(D63-Q63)</f>
        <v>2812</v>
      </c>
      <c r="U63" s="233">
        <v>2016</v>
      </c>
      <c r="V63" s="234"/>
      <c r="W63" s="220"/>
      <c r="X63" s="220"/>
      <c r="Y63" s="220"/>
      <c r="Z63" s="220"/>
      <c r="AA63" s="302"/>
      <c r="AB63" s="309"/>
      <c r="AC63" s="303"/>
      <c r="AD63" s="303"/>
      <c r="AE63" s="220"/>
      <c r="AF63" s="220"/>
      <c r="AG63" s="220"/>
      <c r="AH63" s="220"/>
      <c r="AI63" s="220"/>
      <c r="AJ63" s="220"/>
      <c r="AK63" s="220"/>
      <c r="AL63" s="220"/>
      <c r="AM63" s="220"/>
      <c r="AN63" s="220"/>
      <c r="AO63" s="220"/>
      <c r="AP63" s="220"/>
      <c r="AQ63" s="220"/>
      <c r="AR63" s="220"/>
      <c r="AS63" s="220"/>
      <c r="AT63" s="220"/>
      <c r="AU63" s="220"/>
      <c r="AV63" s="220"/>
      <c r="AW63" s="220"/>
      <c r="AX63" s="220"/>
      <c r="AY63" s="220"/>
      <c r="AZ63" s="220"/>
    </row>
    <row r="64" spans="1:52" x14ac:dyDescent="0.2">
      <c r="A64" s="234"/>
      <c r="B64" s="233">
        <v>2017</v>
      </c>
      <c r="C64" s="234"/>
      <c r="D64" s="263">
        <f t="shared" ref="D64:Q64" si="29">SUM(D43:D57)</f>
        <v>6422</v>
      </c>
      <c r="E64" s="263">
        <f t="shared" si="29"/>
        <v>0</v>
      </c>
      <c r="F64" s="263">
        <f t="shared" si="29"/>
        <v>8</v>
      </c>
      <c r="G64" s="263">
        <f t="shared" si="29"/>
        <v>36</v>
      </c>
      <c r="H64" s="263">
        <f t="shared" si="29"/>
        <v>40</v>
      </c>
      <c r="I64" s="263">
        <f t="shared" si="29"/>
        <v>126</v>
      </c>
      <c r="J64" s="263">
        <f t="shared" si="29"/>
        <v>82</v>
      </c>
      <c r="K64" s="263">
        <f t="shared" si="29"/>
        <v>101</v>
      </c>
      <c r="L64" s="263">
        <f t="shared" si="29"/>
        <v>176</v>
      </c>
      <c r="M64" s="263">
        <f t="shared" si="29"/>
        <v>98</v>
      </c>
      <c r="N64" s="263">
        <f t="shared" si="29"/>
        <v>86</v>
      </c>
      <c r="O64" s="263">
        <f t="shared" si="29"/>
        <v>148</v>
      </c>
      <c r="P64" s="263">
        <f t="shared" si="29"/>
        <v>274</v>
      </c>
      <c r="Q64" s="335">
        <f t="shared" si="29"/>
        <v>1175</v>
      </c>
      <c r="R64" s="263">
        <f t="shared" si="27"/>
        <v>97.916666666666671</v>
      </c>
      <c r="S64" s="336"/>
      <c r="T64" s="307">
        <f t="shared" si="28"/>
        <v>5247</v>
      </c>
      <c r="U64" s="233">
        <v>2017</v>
      </c>
      <c r="V64" s="234"/>
      <c r="W64" s="220"/>
      <c r="X64" s="220"/>
      <c r="Y64" s="220"/>
      <c r="Z64" s="220"/>
      <c r="AA64" s="302"/>
      <c r="AB64" s="309"/>
      <c r="AC64" s="303"/>
      <c r="AD64" s="303"/>
      <c r="AE64" s="220"/>
      <c r="AF64" s="220"/>
      <c r="AG64" s="220"/>
      <c r="AH64" s="220"/>
      <c r="AI64" s="220"/>
      <c r="AJ64" s="220"/>
      <c r="AK64" s="220"/>
      <c r="AL64" s="220"/>
      <c r="AM64" s="220"/>
      <c r="AN64" s="220"/>
      <c r="AO64" s="220"/>
      <c r="AP64" s="220"/>
      <c r="AQ64" s="220"/>
      <c r="AR64" s="220"/>
      <c r="AS64" s="220"/>
      <c r="AT64" s="220"/>
      <c r="AU64" s="220"/>
      <c r="AV64" s="220"/>
      <c r="AW64" s="220"/>
      <c r="AX64" s="220"/>
      <c r="AY64" s="220"/>
      <c r="AZ64" s="220"/>
    </row>
    <row r="65" spans="1:52" x14ac:dyDescent="0.2">
      <c r="A65" s="234"/>
      <c r="B65" s="266" t="s">
        <v>59</v>
      </c>
      <c r="C65" s="234"/>
      <c r="D65" s="263">
        <f>SUM(D44:D59)</f>
        <v>6870</v>
      </c>
      <c r="E65" s="267">
        <f t="shared" ref="E65:Q65" si="30">SUM(E28:E62)</f>
        <v>484</v>
      </c>
      <c r="F65" s="267">
        <f t="shared" si="30"/>
        <v>439</v>
      </c>
      <c r="G65" s="267">
        <f t="shared" si="30"/>
        <v>358</v>
      </c>
      <c r="H65" s="267">
        <f t="shared" si="30"/>
        <v>406</v>
      </c>
      <c r="I65" s="267">
        <f t="shared" si="30"/>
        <v>522</v>
      </c>
      <c r="J65" s="267">
        <f t="shared" si="30"/>
        <v>488</v>
      </c>
      <c r="K65" s="267">
        <f t="shared" si="30"/>
        <v>405</v>
      </c>
      <c r="L65" s="267">
        <f t="shared" si="30"/>
        <v>557</v>
      </c>
      <c r="M65" s="267">
        <f t="shared" si="30"/>
        <v>456</v>
      </c>
      <c r="N65" s="267">
        <f t="shared" si="30"/>
        <v>435</v>
      </c>
      <c r="O65" s="267">
        <f t="shared" si="30"/>
        <v>784</v>
      </c>
      <c r="P65" s="267">
        <f t="shared" si="30"/>
        <v>553</v>
      </c>
      <c r="Q65" s="335">
        <f t="shared" si="30"/>
        <v>5887</v>
      </c>
      <c r="R65" s="263">
        <f t="shared" si="27"/>
        <v>490.58333333333331</v>
      </c>
      <c r="S65" s="336">
        <f>T65/R65</f>
        <v>17.238661457448615</v>
      </c>
      <c r="T65" s="307">
        <f>SUM(T60+T61+T62+T63+T64)</f>
        <v>8457</v>
      </c>
      <c r="U65" s="266" t="s">
        <v>59</v>
      </c>
      <c r="V65" s="234"/>
      <c r="W65" s="220"/>
      <c r="X65" s="220"/>
      <c r="Y65" s="220"/>
      <c r="Z65" s="220"/>
      <c r="AA65" s="302"/>
      <c r="AB65" s="309"/>
      <c r="AC65" s="303"/>
      <c r="AD65" s="303"/>
      <c r="AE65" s="220"/>
      <c r="AF65" s="220"/>
      <c r="AG65" s="220"/>
      <c r="AH65" s="220"/>
      <c r="AI65" s="220"/>
      <c r="AJ65" s="220"/>
      <c r="AK65" s="220"/>
      <c r="AL65" s="220"/>
      <c r="AM65" s="220"/>
      <c r="AN65" s="220"/>
      <c r="AO65" s="220"/>
      <c r="AP65" s="220"/>
      <c r="AQ65" s="220"/>
      <c r="AR65" s="220"/>
      <c r="AS65" s="220"/>
      <c r="AT65" s="220"/>
      <c r="AU65" s="220"/>
      <c r="AV65" s="220"/>
      <c r="AW65" s="220"/>
      <c r="AX65" s="220"/>
      <c r="AY65" s="220"/>
      <c r="AZ65" s="220"/>
    </row>
    <row r="66" spans="1:52" x14ac:dyDescent="0.2">
      <c r="A66" s="226"/>
      <c r="B66" s="269"/>
      <c r="C66" s="269"/>
      <c r="D66" s="271"/>
      <c r="E66" s="271"/>
      <c r="F66" s="271"/>
      <c r="G66" s="271"/>
      <c r="H66" s="271"/>
      <c r="I66" s="271"/>
      <c r="J66" s="272"/>
      <c r="K66" s="272"/>
      <c r="L66" s="272"/>
      <c r="M66" s="272"/>
      <c r="N66" s="272"/>
      <c r="O66" s="272"/>
      <c r="P66" s="272"/>
      <c r="Q66" s="272"/>
      <c r="R66" s="343"/>
      <c r="S66" s="344"/>
      <c r="T66" s="328"/>
      <c r="U66" s="269"/>
      <c r="V66" s="269"/>
      <c r="W66" s="220"/>
      <c r="X66" s="220"/>
      <c r="Y66" s="220"/>
      <c r="Z66" s="220"/>
      <c r="AA66" s="302"/>
      <c r="AB66" s="309"/>
      <c r="AC66" s="303"/>
      <c r="AD66" s="303"/>
      <c r="AE66" s="220"/>
      <c r="AF66" s="220"/>
      <c r="AG66" s="220"/>
      <c r="AH66" s="220"/>
      <c r="AI66" s="220"/>
      <c r="AJ66" s="220"/>
      <c r="AK66" s="220"/>
      <c r="AL66" s="220"/>
      <c r="AM66" s="220"/>
      <c r="AN66" s="220"/>
      <c r="AO66" s="220"/>
      <c r="AP66" s="220"/>
      <c r="AQ66" s="220"/>
      <c r="AR66" s="220"/>
      <c r="AS66" s="220"/>
      <c r="AT66" s="220"/>
      <c r="AU66" s="220"/>
      <c r="AV66" s="220"/>
      <c r="AW66" s="220"/>
      <c r="AX66" s="220"/>
      <c r="AY66" s="220"/>
      <c r="AZ66" s="220"/>
    </row>
    <row r="67" spans="1:52" x14ac:dyDescent="0.2">
      <c r="A67" s="220"/>
      <c r="B67" s="220"/>
      <c r="C67" s="220"/>
      <c r="D67" s="276"/>
      <c r="E67" s="276"/>
      <c r="F67" s="276"/>
      <c r="G67" s="276"/>
      <c r="H67" s="276"/>
      <c r="I67" s="276"/>
      <c r="J67" s="221"/>
      <c r="K67" s="221"/>
      <c r="L67" s="221"/>
      <c r="M67" s="221"/>
      <c r="N67" s="221"/>
      <c r="O67" s="221"/>
      <c r="P67" s="221"/>
      <c r="Q67" s="221"/>
      <c r="R67" s="276"/>
      <c r="S67" s="345"/>
      <c r="T67" s="221"/>
      <c r="U67" s="220"/>
      <c r="V67" s="220"/>
      <c r="W67" s="220"/>
      <c r="X67" s="220"/>
      <c r="Y67" s="220"/>
      <c r="Z67" s="220"/>
      <c r="AA67" s="302"/>
      <c r="AB67" s="309"/>
      <c r="AC67" s="303"/>
      <c r="AD67" s="303"/>
      <c r="AE67" s="220"/>
      <c r="AF67" s="220"/>
      <c r="AG67" s="220"/>
      <c r="AH67" s="220"/>
      <c r="AI67" s="220"/>
      <c r="AJ67" s="220"/>
      <c r="AK67" s="220"/>
      <c r="AL67" s="220"/>
      <c r="AM67" s="220"/>
      <c r="AN67" s="220"/>
      <c r="AO67" s="220"/>
      <c r="AP67" s="220"/>
      <c r="AQ67" s="220"/>
      <c r="AR67" s="220"/>
      <c r="AS67" s="220"/>
      <c r="AT67" s="220"/>
      <c r="AU67" s="220"/>
      <c r="AV67" s="220"/>
      <c r="AW67" s="220"/>
      <c r="AX67" s="220"/>
      <c r="AY67" s="220"/>
      <c r="AZ67" s="220"/>
    </row>
    <row r="68" spans="1:52" ht="15.75" thickBot="1" x14ac:dyDescent="0.25">
      <c r="A68" s="220"/>
      <c r="B68" s="220"/>
      <c r="C68" s="220"/>
      <c r="D68" s="221"/>
      <c r="E68" s="221"/>
      <c r="F68" s="221"/>
      <c r="G68" s="221"/>
      <c r="H68" s="221"/>
      <c r="I68" s="221"/>
      <c r="J68" s="221"/>
      <c r="K68" s="221"/>
      <c r="L68" s="221"/>
      <c r="M68" s="221"/>
      <c r="N68" s="221"/>
      <c r="O68" s="221"/>
      <c r="P68" s="221"/>
      <c r="Q68" s="221"/>
      <c r="R68" s="276"/>
      <c r="S68" s="345"/>
      <c r="T68" s="276"/>
      <c r="U68" s="220"/>
      <c r="V68" s="220"/>
      <c r="W68" s="220"/>
      <c r="X68" s="220"/>
      <c r="Y68" s="220"/>
      <c r="Z68" s="220"/>
      <c r="AA68" s="302"/>
      <c r="AB68" s="309"/>
      <c r="AC68" s="303"/>
      <c r="AD68" s="303"/>
      <c r="AE68" s="220"/>
      <c r="AF68" s="220"/>
      <c r="AG68" s="220"/>
      <c r="AH68" s="220"/>
      <c r="AI68" s="220"/>
      <c r="AJ68" s="220"/>
      <c r="AK68" s="220"/>
      <c r="AL68" s="220"/>
      <c r="AM68" s="220"/>
      <c r="AN68" s="220"/>
      <c r="AO68" s="220"/>
      <c r="AP68" s="220"/>
      <c r="AQ68" s="220"/>
      <c r="AR68" s="220"/>
      <c r="AS68" s="220"/>
      <c r="AT68" s="220"/>
      <c r="AU68" s="220"/>
      <c r="AV68" s="220"/>
      <c r="AW68" s="220"/>
      <c r="AX68" s="220"/>
      <c r="AY68" s="220"/>
      <c r="AZ68" s="220"/>
    </row>
    <row r="69" spans="1:52" ht="48" thickBot="1" x14ac:dyDescent="0.3">
      <c r="A69" s="220"/>
      <c r="B69" s="286" t="s">
        <v>60</v>
      </c>
      <c r="C69" s="287"/>
      <c r="D69" s="127" t="s">
        <v>138</v>
      </c>
      <c r="E69" s="452" t="s">
        <v>139</v>
      </c>
      <c r="F69" s="453"/>
      <c r="G69" s="453"/>
      <c r="H69" s="453"/>
      <c r="I69" s="453"/>
      <c r="J69" s="453"/>
      <c r="K69" s="453"/>
      <c r="L69" s="453"/>
      <c r="M69" s="453"/>
      <c r="N69" s="453"/>
      <c r="O69" s="453"/>
      <c r="P69" s="453"/>
      <c r="Q69" s="119" t="s">
        <v>63</v>
      </c>
      <c r="R69" s="331"/>
      <c r="S69" s="331"/>
      <c r="T69" s="221"/>
      <c r="U69" s="286" t="s">
        <v>60</v>
      </c>
      <c r="V69" s="287"/>
      <c r="W69" s="220"/>
      <c r="X69" s="220"/>
      <c r="Y69" s="220"/>
      <c r="Z69" s="220"/>
      <c r="AA69" s="302"/>
      <c r="AB69" s="309"/>
      <c r="AC69" s="303"/>
      <c r="AD69" s="303"/>
      <c r="AE69" s="220"/>
      <c r="AF69" s="220"/>
      <c r="AG69" s="220"/>
      <c r="AH69" s="220"/>
      <c r="AI69" s="220"/>
      <c r="AJ69" s="220"/>
      <c r="AK69" s="220"/>
      <c r="AL69" s="220"/>
      <c r="AM69" s="220"/>
      <c r="AN69" s="220"/>
      <c r="AO69" s="220"/>
      <c r="AP69" s="220"/>
      <c r="AQ69" s="220"/>
      <c r="AR69" s="220"/>
      <c r="AS69" s="220"/>
      <c r="AT69" s="220"/>
      <c r="AU69" s="220"/>
      <c r="AV69" s="220"/>
      <c r="AW69" s="220"/>
      <c r="AX69" s="220"/>
      <c r="AY69" s="220"/>
      <c r="AZ69" s="220"/>
    </row>
    <row r="70" spans="1:52" ht="15.75" x14ac:dyDescent="0.25">
      <c r="A70" s="220"/>
      <c r="B70" s="289"/>
      <c r="C70" s="289"/>
      <c r="D70" s="290"/>
      <c r="E70" s="291"/>
      <c r="F70" s="291"/>
      <c r="G70" s="291"/>
      <c r="H70" s="291"/>
      <c r="I70" s="291"/>
      <c r="J70" s="291"/>
      <c r="K70" s="291"/>
      <c r="L70" s="291"/>
      <c r="M70" s="291"/>
      <c r="N70" s="291"/>
      <c r="O70" s="291"/>
      <c r="P70" s="292"/>
      <c r="Q70" s="291"/>
      <c r="R70" s="221"/>
      <c r="S70" s="221"/>
      <c r="T70" s="331"/>
      <c r="U70" s="289"/>
      <c r="V70" s="289"/>
      <c r="W70" s="220"/>
      <c r="X70" s="220"/>
      <c r="Y70" s="220"/>
      <c r="Z70" s="220"/>
      <c r="AA70" s="302"/>
      <c r="AB70" s="309"/>
      <c r="AC70" s="303"/>
      <c r="AD70" s="303"/>
      <c r="AE70" s="220"/>
      <c r="AF70" s="220"/>
      <c r="AG70" s="220"/>
      <c r="AH70" s="220"/>
      <c r="AI70" s="220"/>
      <c r="AJ70" s="220"/>
      <c r="AK70" s="220"/>
      <c r="AL70" s="220"/>
      <c r="AM70" s="220"/>
      <c r="AN70" s="220"/>
      <c r="AO70" s="220"/>
      <c r="AP70" s="220"/>
      <c r="AQ70" s="220"/>
      <c r="AR70" s="220"/>
      <c r="AS70" s="220"/>
      <c r="AT70" s="220"/>
      <c r="AU70" s="220"/>
      <c r="AV70" s="220"/>
      <c r="AW70" s="220"/>
      <c r="AX70" s="220"/>
      <c r="AY70" s="220"/>
      <c r="AZ70" s="220"/>
    </row>
    <row r="71" spans="1:52" x14ac:dyDescent="0.2">
      <c r="A71" s="220"/>
      <c r="B71" s="234"/>
      <c r="C71" s="234"/>
      <c r="D71" s="291"/>
      <c r="E71" s="236"/>
      <c r="F71" s="236"/>
      <c r="G71" s="236"/>
      <c r="H71" s="236"/>
      <c r="I71" s="236"/>
      <c r="J71" s="236"/>
      <c r="K71" s="236"/>
      <c r="L71" s="236"/>
      <c r="M71" s="236"/>
      <c r="N71" s="236"/>
      <c r="O71" s="236"/>
      <c r="P71" s="293"/>
      <c r="Q71" s="236"/>
      <c r="R71" s="221"/>
      <c r="S71" s="221"/>
      <c r="T71" s="221"/>
      <c r="U71" s="234"/>
      <c r="V71" s="234"/>
      <c r="W71" s="220"/>
      <c r="X71" s="220"/>
      <c r="Y71" s="220"/>
      <c r="Z71" s="220"/>
      <c r="AA71" s="302"/>
      <c r="AB71" s="309"/>
      <c r="AC71" s="303"/>
      <c r="AD71" s="303"/>
      <c r="AE71" s="220"/>
      <c r="AF71" s="220"/>
      <c r="AG71" s="220"/>
      <c r="AH71" s="220"/>
      <c r="AI71" s="220"/>
      <c r="AJ71" s="220"/>
      <c r="AK71" s="220"/>
      <c r="AL71" s="220"/>
      <c r="AM71" s="220"/>
      <c r="AN71" s="220"/>
      <c r="AO71" s="220"/>
      <c r="AP71" s="220"/>
      <c r="AQ71" s="220"/>
      <c r="AR71" s="220"/>
      <c r="AS71" s="220"/>
      <c r="AT71" s="220"/>
      <c r="AU71" s="220"/>
      <c r="AV71" s="220"/>
      <c r="AW71" s="220"/>
      <c r="AX71" s="220"/>
      <c r="AY71" s="220"/>
      <c r="AZ71" s="220"/>
    </row>
    <row r="72" spans="1:52" x14ac:dyDescent="0.2">
      <c r="A72" s="220"/>
      <c r="B72" s="228"/>
      <c r="C72" s="228"/>
      <c r="D72" s="229"/>
      <c r="E72" s="229"/>
      <c r="F72" s="229"/>
      <c r="G72" s="229"/>
      <c r="H72" s="229"/>
      <c r="I72" s="229"/>
      <c r="J72" s="229"/>
      <c r="K72" s="229"/>
      <c r="L72" s="229"/>
      <c r="M72" s="229"/>
      <c r="N72" s="229"/>
      <c r="O72" s="229"/>
      <c r="P72" s="294"/>
      <c r="Q72" s="229"/>
      <c r="R72" s="221"/>
      <c r="S72" s="221"/>
      <c r="T72" s="221"/>
      <c r="U72" s="228"/>
      <c r="V72" s="228"/>
      <c r="W72" s="220"/>
      <c r="X72" s="220"/>
      <c r="Y72" s="220"/>
      <c r="Z72" s="220"/>
      <c r="AA72" s="302"/>
      <c r="AB72" s="309"/>
      <c r="AC72" s="303"/>
      <c r="AD72" s="303"/>
      <c r="AE72" s="220"/>
      <c r="AF72" s="220"/>
      <c r="AG72" s="220"/>
      <c r="AH72" s="220"/>
      <c r="AI72" s="220"/>
      <c r="AJ72" s="220"/>
      <c r="AK72" s="220"/>
      <c r="AL72" s="220"/>
      <c r="AM72" s="220"/>
      <c r="AN72" s="220"/>
      <c r="AO72" s="220"/>
      <c r="AP72" s="220"/>
      <c r="AQ72" s="220"/>
      <c r="AR72" s="220"/>
      <c r="AS72" s="220"/>
      <c r="AT72" s="220"/>
      <c r="AU72" s="220"/>
      <c r="AV72" s="220"/>
      <c r="AW72" s="220"/>
      <c r="AX72" s="220"/>
      <c r="AY72" s="220"/>
      <c r="AZ72" s="220"/>
    </row>
    <row r="73" spans="1:52" x14ac:dyDescent="0.2">
      <c r="A73" s="220"/>
      <c r="B73" s="234"/>
      <c r="C73" s="234"/>
      <c r="D73" s="236"/>
      <c r="E73" s="236"/>
      <c r="F73" s="236"/>
      <c r="G73" s="236"/>
      <c r="H73" s="236"/>
      <c r="I73" s="236"/>
      <c r="J73" s="236"/>
      <c r="K73" s="236"/>
      <c r="L73" s="236"/>
      <c r="M73" s="236"/>
      <c r="N73" s="236"/>
      <c r="O73" s="236"/>
      <c r="P73" s="293"/>
      <c r="Q73" s="236"/>
      <c r="R73" s="221"/>
      <c r="S73" s="221"/>
      <c r="T73" s="221"/>
      <c r="U73" s="234"/>
      <c r="V73" s="234"/>
      <c r="W73" s="220"/>
      <c r="X73" s="220"/>
      <c r="Y73" s="220"/>
      <c r="Z73" s="220"/>
      <c r="AA73" s="302"/>
      <c r="AB73" s="309"/>
      <c r="AC73" s="303"/>
      <c r="AD73" s="303"/>
      <c r="AE73" s="220"/>
      <c r="AF73" s="220"/>
      <c r="AG73" s="220"/>
      <c r="AH73" s="220"/>
      <c r="AI73" s="220"/>
      <c r="AJ73" s="220"/>
      <c r="AK73" s="220"/>
      <c r="AL73" s="220"/>
      <c r="AM73" s="220"/>
      <c r="AN73" s="220"/>
      <c r="AO73" s="220"/>
      <c r="AP73" s="220"/>
      <c r="AQ73" s="220"/>
      <c r="AR73" s="220"/>
      <c r="AS73" s="220"/>
      <c r="AT73" s="220"/>
      <c r="AU73" s="220"/>
      <c r="AV73" s="220"/>
      <c r="AW73" s="220"/>
      <c r="AX73" s="220"/>
      <c r="AY73" s="220"/>
      <c r="AZ73" s="220"/>
    </row>
    <row r="74" spans="1:52" x14ac:dyDescent="0.2">
      <c r="A74" s="220"/>
      <c r="B74" s="234"/>
      <c r="C74" s="234"/>
      <c r="D74" s="236"/>
      <c r="E74" s="236"/>
      <c r="F74" s="236"/>
      <c r="G74" s="236"/>
      <c r="H74" s="236"/>
      <c r="I74" s="236"/>
      <c r="J74" s="236"/>
      <c r="K74" s="236"/>
      <c r="L74" s="236"/>
      <c r="M74" s="236"/>
      <c r="N74" s="236"/>
      <c r="O74" s="236"/>
      <c r="P74" s="293"/>
      <c r="Q74" s="236"/>
      <c r="R74" s="221"/>
      <c r="S74" s="221"/>
      <c r="T74" s="221"/>
      <c r="U74" s="234"/>
      <c r="V74" s="234"/>
      <c r="W74" s="220"/>
      <c r="X74" s="220"/>
      <c r="Y74" s="220"/>
      <c r="Z74" s="220"/>
      <c r="AA74" s="302"/>
      <c r="AB74" s="309"/>
      <c r="AC74" s="303"/>
      <c r="AD74" s="303"/>
      <c r="AE74" s="220"/>
      <c r="AF74" s="220"/>
      <c r="AG74" s="220"/>
      <c r="AH74" s="220"/>
      <c r="AI74" s="220"/>
      <c r="AJ74" s="220"/>
      <c r="AK74" s="220"/>
      <c r="AL74" s="220"/>
      <c r="AM74" s="220"/>
      <c r="AN74" s="220"/>
      <c r="AO74" s="220"/>
      <c r="AP74" s="220"/>
      <c r="AQ74" s="220"/>
      <c r="AR74" s="220"/>
      <c r="AS74" s="220"/>
      <c r="AT74" s="220"/>
      <c r="AU74" s="220"/>
      <c r="AV74" s="220"/>
      <c r="AW74" s="220"/>
      <c r="AX74" s="220"/>
      <c r="AY74" s="220"/>
      <c r="AZ74" s="220"/>
    </row>
    <row r="75" spans="1:52" x14ac:dyDescent="0.2">
      <c r="A75" s="220"/>
      <c r="B75" s="282"/>
      <c r="C75" s="282"/>
      <c r="D75" s="271"/>
      <c r="E75" s="271"/>
      <c r="F75" s="271"/>
      <c r="G75" s="271"/>
      <c r="H75" s="271"/>
      <c r="I75" s="271"/>
      <c r="J75" s="271"/>
      <c r="K75" s="271"/>
      <c r="L75" s="271"/>
      <c r="M75" s="271"/>
      <c r="N75" s="271"/>
      <c r="O75" s="271"/>
      <c r="P75" s="271"/>
      <c r="Q75" s="229"/>
      <c r="R75" s="221"/>
      <c r="S75" s="221"/>
      <c r="T75" s="221"/>
      <c r="U75" s="282"/>
      <c r="V75" s="282"/>
      <c r="W75" s="220"/>
      <c r="X75" s="220"/>
      <c r="Y75" s="220"/>
      <c r="Z75" s="220"/>
      <c r="AA75" s="302"/>
      <c r="AB75" s="309"/>
      <c r="AC75" s="303"/>
      <c r="AD75" s="303"/>
      <c r="AE75" s="220"/>
      <c r="AF75" s="220"/>
      <c r="AG75" s="220"/>
      <c r="AH75" s="220"/>
      <c r="AI75" s="220"/>
      <c r="AJ75" s="220"/>
      <c r="AK75" s="220"/>
      <c r="AL75" s="220"/>
      <c r="AM75" s="220"/>
      <c r="AN75" s="220"/>
      <c r="AO75" s="220"/>
      <c r="AP75" s="220"/>
      <c r="AQ75" s="220"/>
      <c r="AR75" s="220"/>
      <c r="AS75" s="220"/>
      <c r="AT75" s="220"/>
      <c r="AU75" s="220"/>
      <c r="AV75" s="220"/>
      <c r="AW75" s="220"/>
      <c r="AX75" s="220"/>
      <c r="AY75" s="220"/>
      <c r="AZ75" s="220"/>
    </row>
    <row r="76" spans="1:52" ht="15.75" thickBot="1" x14ac:dyDescent="0.25">
      <c r="A76" s="220"/>
      <c r="B76" s="220"/>
      <c r="C76" s="220"/>
      <c r="D76" s="221"/>
      <c r="E76" s="221"/>
      <c r="F76" s="221"/>
      <c r="G76" s="221"/>
      <c r="H76" s="221"/>
      <c r="I76" s="221"/>
      <c r="J76" s="221"/>
      <c r="K76" s="221"/>
      <c r="L76" s="221"/>
      <c r="M76" s="221"/>
      <c r="N76" s="221"/>
      <c r="O76" s="221"/>
      <c r="P76" s="221"/>
      <c r="Q76" s="221"/>
      <c r="R76" s="221"/>
      <c r="S76" s="221"/>
      <c r="T76" s="221"/>
      <c r="U76" s="220"/>
      <c r="V76" s="220"/>
      <c r="W76" s="220"/>
      <c r="X76" s="220"/>
      <c r="Y76" s="220"/>
      <c r="Z76" s="220"/>
      <c r="AA76" s="302"/>
      <c r="AB76" s="309"/>
      <c r="AC76" s="303"/>
      <c r="AD76" s="303"/>
      <c r="AE76" s="220"/>
      <c r="AF76" s="220"/>
      <c r="AG76" s="220"/>
      <c r="AH76" s="220"/>
      <c r="AI76" s="220"/>
      <c r="AJ76" s="220"/>
      <c r="AK76" s="220"/>
      <c r="AL76" s="220"/>
      <c r="AM76" s="220"/>
      <c r="AN76" s="220"/>
      <c r="AO76" s="220"/>
      <c r="AP76" s="220"/>
      <c r="AQ76" s="220"/>
      <c r="AR76" s="220"/>
      <c r="AS76" s="220"/>
      <c r="AT76" s="220"/>
      <c r="AU76" s="220"/>
      <c r="AV76" s="220"/>
      <c r="AW76" s="220"/>
      <c r="AX76" s="220"/>
      <c r="AY76" s="220"/>
      <c r="AZ76" s="220"/>
    </row>
    <row r="77" spans="1:52" ht="14.25" customHeight="1" thickBot="1" x14ac:dyDescent="0.3">
      <c r="A77" s="220"/>
      <c r="B77" s="454" t="s">
        <v>60</v>
      </c>
      <c r="C77" s="455"/>
      <c r="D77" s="127" t="s">
        <v>64</v>
      </c>
      <c r="E77" s="452" t="s">
        <v>140</v>
      </c>
      <c r="F77" s="453"/>
      <c r="G77" s="453"/>
      <c r="H77" s="453"/>
      <c r="I77" s="453"/>
      <c r="J77" s="453"/>
      <c r="K77" s="453"/>
      <c r="L77" s="453"/>
      <c r="M77" s="453"/>
      <c r="N77" s="453"/>
      <c r="O77" s="453"/>
      <c r="P77" s="457"/>
      <c r="Q77" s="119" t="s">
        <v>66</v>
      </c>
      <c r="R77" s="221"/>
      <c r="S77" s="221"/>
      <c r="T77" s="221"/>
      <c r="U77" s="220"/>
      <c r="V77" s="220"/>
      <c r="W77" s="220"/>
      <c r="X77" s="220"/>
      <c r="Y77" s="220"/>
      <c r="Z77" s="220"/>
      <c r="AA77" s="302"/>
      <c r="AB77" s="309"/>
      <c r="AC77" s="303"/>
      <c r="AD77" s="303"/>
      <c r="AE77" s="220"/>
      <c r="AF77" s="220"/>
      <c r="AG77" s="220"/>
      <c r="AH77" s="220"/>
      <c r="AI77" s="220"/>
      <c r="AJ77" s="220"/>
      <c r="AK77" s="220"/>
      <c r="AL77" s="220"/>
      <c r="AM77" s="220"/>
      <c r="AN77" s="220"/>
      <c r="AO77" s="220"/>
      <c r="AP77" s="220"/>
      <c r="AQ77" s="220"/>
      <c r="AR77" s="220"/>
      <c r="AS77" s="220"/>
      <c r="AT77" s="220"/>
      <c r="AU77" s="220"/>
      <c r="AV77" s="220"/>
      <c r="AW77" s="220"/>
      <c r="AX77" s="220"/>
      <c r="AY77" s="220"/>
      <c r="AZ77" s="220"/>
    </row>
    <row r="78" spans="1:52" ht="15.75" x14ac:dyDescent="0.25">
      <c r="A78" s="220"/>
      <c r="B78" s="289"/>
      <c r="C78" s="289"/>
      <c r="D78" s="122"/>
      <c r="E78" s="291"/>
      <c r="F78" s="291"/>
      <c r="G78" s="291"/>
      <c r="H78" s="291"/>
      <c r="I78" s="291"/>
      <c r="J78" s="291"/>
      <c r="K78" s="291"/>
      <c r="L78" s="291"/>
      <c r="M78" s="291"/>
      <c r="N78" s="291"/>
      <c r="O78" s="291"/>
      <c r="P78" s="291"/>
      <c r="Q78" s="291"/>
      <c r="R78" s="221"/>
      <c r="S78" s="221"/>
      <c r="T78" s="221"/>
      <c r="U78" s="289"/>
      <c r="V78" s="289"/>
      <c r="W78" s="220"/>
      <c r="X78" s="220"/>
      <c r="Y78" s="220"/>
      <c r="Z78" s="220"/>
      <c r="AA78" s="302"/>
      <c r="AB78" s="309"/>
      <c r="AC78" s="303"/>
      <c r="AD78" s="303"/>
      <c r="AE78" s="220"/>
      <c r="AF78" s="220"/>
      <c r="AG78" s="220"/>
      <c r="AH78" s="220"/>
      <c r="AI78" s="220"/>
      <c r="AJ78" s="220"/>
      <c r="AK78" s="220"/>
      <c r="AL78" s="220"/>
      <c r="AM78" s="220"/>
      <c r="AN78" s="220"/>
      <c r="AO78" s="220"/>
      <c r="AP78" s="220"/>
      <c r="AQ78" s="220"/>
      <c r="AR78" s="220"/>
      <c r="AS78" s="220"/>
      <c r="AT78" s="220"/>
      <c r="AU78" s="220"/>
      <c r="AV78" s="220"/>
      <c r="AW78" s="220"/>
      <c r="AX78" s="220"/>
      <c r="AY78" s="220"/>
      <c r="AZ78" s="220"/>
    </row>
    <row r="79" spans="1:52" x14ac:dyDescent="0.2">
      <c r="A79" s="220"/>
      <c r="B79" s="234"/>
      <c r="C79" s="234"/>
      <c r="D79" s="291"/>
      <c r="E79" s="236"/>
      <c r="F79" s="236"/>
      <c r="G79" s="236"/>
      <c r="H79" s="236"/>
      <c r="I79" s="236"/>
      <c r="J79" s="236"/>
      <c r="K79" s="236"/>
      <c r="L79" s="236"/>
      <c r="M79" s="236"/>
      <c r="N79" s="236"/>
      <c r="O79" s="236"/>
      <c r="P79" s="236"/>
      <c r="Q79" s="236"/>
      <c r="R79" s="221"/>
      <c r="S79" s="221"/>
      <c r="T79" s="221"/>
      <c r="U79" s="234"/>
      <c r="V79" s="234"/>
      <c r="W79" s="220"/>
      <c r="X79" s="220"/>
      <c r="Y79" s="220"/>
      <c r="Z79" s="220"/>
      <c r="AA79" s="302"/>
      <c r="AB79" s="309"/>
      <c r="AC79" s="303"/>
      <c r="AD79" s="303"/>
      <c r="AE79" s="220"/>
      <c r="AF79" s="220"/>
      <c r="AG79" s="220"/>
      <c r="AH79" s="220"/>
      <c r="AI79" s="220"/>
      <c r="AJ79" s="220"/>
      <c r="AK79" s="220"/>
      <c r="AL79" s="220"/>
      <c r="AM79" s="220"/>
      <c r="AN79" s="220"/>
      <c r="AO79" s="220"/>
      <c r="AP79" s="220"/>
      <c r="AQ79" s="220"/>
      <c r="AR79" s="220"/>
      <c r="AS79" s="220"/>
      <c r="AT79" s="220"/>
      <c r="AU79" s="220"/>
      <c r="AV79" s="220"/>
      <c r="AW79" s="220"/>
      <c r="AX79" s="220"/>
      <c r="AY79" s="220"/>
      <c r="AZ79" s="220"/>
    </row>
    <row r="80" spans="1:52" x14ac:dyDescent="0.2">
      <c r="A80" s="220"/>
      <c r="B80" s="228"/>
      <c r="C80" s="228"/>
      <c r="D80" s="229"/>
      <c r="E80" s="229"/>
      <c r="F80" s="229"/>
      <c r="G80" s="229"/>
      <c r="H80" s="229"/>
      <c r="I80" s="229"/>
      <c r="J80" s="229"/>
      <c r="K80" s="229"/>
      <c r="L80" s="229"/>
      <c r="M80" s="229"/>
      <c r="N80" s="229"/>
      <c r="O80" s="229"/>
      <c r="P80" s="229"/>
      <c r="Q80" s="229"/>
      <c r="R80" s="221"/>
      <c r="S80" s="221"/>
      <c r="T80" s="221"/>
      <c r="U80" s="228"/>
      <c r="V80" s="228"/>
      <c r="W80" s="220"/>
      <c r="X80" s="220"/>
      <c r="Y80" s="220"/>
      <c r="Z80" s="220"/>
      <c r="AA80" s="302"/>
      <c r="AB80" s="309"/>
      <c r="AC80" s="303"/>
      <c r="AD80" s="303"/>
      <c r="AE80" s="220"/>
      <c r="AF80" s="220"/>
      <c r="AG80" s="220"/>
      <c r="AH80" s="220"/>
      <c r="AI80" s="220"/>
      <c r="AJ80" s="220"/>
      <c r="AK80" s="220"/>
      <c r="AL80" s="220"/>
      <c r="AM80" s="220"/>
      <c r="AN80" s="220"/>
      <c r="AO80" s="220"/>
      <c r="AP80" s="220"/>
      <c r="AQ80" s="220"/>
      <c r="AR80" s="220"/>
      <c r="AS80" s="220"/>
      <c r="AT80" s="220"/>
      <c r="AU80" s="220"/>
      <c r="AV80" s="220"/>
      <c r="AW80" s="220"/>
      <c r="AX80" s="220"/>
      <c r="AY80" s="220"/>
      <c r="AZ80" s="220"/>
    </row>
    <row r="81" spans="1:52" x14ac:dyDescent="0.2">
      <c r="A81" s="220"/>
      <c r="B81" s="234"/>
      <c r="C81" s="234"/>
      <c r="D81" s="236"/>
      <c r="E81" s="236"/>
      <c r="F81" s="236"/>
      <c r="G81" s="236"/>
      <c r="H81" s="236"/>
      <c r="I81" s="236"/>
      <c r="J81" s="236"/>
      <c r="K81" s="236"/>
      <c r="L81" s="236"/>
      <c r="M81" s="236"/>
      <c r="N81" s="236"/>
      <c r="O81" s="236"/>
      <c r="P81" s="236"/>
      <c r="Q81" s="236"/>
      <c r="R81" s="221"/>
      <c r="S81" s="221"/>
      <c r="T81" s="221"/>
      <c r="U81" s="234"/>
      <c r="V81" s="234"/>
      <c r="W81" s="220"/>
      <c r="X81" s="220"/>
      <c r="Y81" s="220"/>
      <c r="Z81" s="220"/>
      <c r="AA81" s="302"/>
      <c r="AB81" s="309"/>
      <c r="AC81" s="303"/>
      <c r="AD81" s="303"/>
      <c r="AE81" s="220"/>
      <c r="AF81" s="220"/>
      <c r="AG81" s="220"/>
      <c r="AH81" s="220"/>
      <c r="AI81" s="220"/>
      <c r="AJ81" s="220"/>
      <c r="AK81" s="220"/>
      <c r="AL81" s="220"/>
      <c r="AM81" s="220"/>
      <c r="AN81" s="220"/>
      <c r="AO81" s="220"/>
      <c r="AP81" s="220"/>
      <c r="AQ81" s="220"/>
      <c r="AR81" s="220"/>
      <c r="AS81" s="220"/>
      <c r="AT81" s="220"/>
      <c r="AU81" s="220"/>
      <c r="AV81" s="220"/>
      <c r="AW81" s="220"/>
      <c r="AX81" s="220"/>
      <c r="AY81" s="220"/>
      <c r="AZ81" s="220"/>
    </row>
    <row r="82" spans="1:52" x14ac:dyDescent="0.2">
      <c r="A82" s="220"/>
      <c r="B82" s="234"/>
      <c r="C82" s="234"/>
      <c r="D82" s="236"/>
      <c r="E82" s="236"/>
      <c r="F82" s="236"/>
      <c r="G82" s="236"/>
      <c r="H82" s="236"/>
      <c r="I82" s="236"/>
      <c r="J82" s="236"/>
      <c r="K82" s="236"/>
      <c r="L82" s="236"/>
      <c r="M82" s="236"/>
      <c r="N82" s="236"/>
      <c r="O82" s="236"/>
      <c r="P82" s="236"/>
      <c r="Q82" s="236"/>
      <c r="R82" s="221"/>
      <c r="S82" s="221"/>
      <c r="T82" s="221"/>
      <c r="U82" s="234"/>
      <c r="V82" s="234"/>
      <c r="W82" s="220"/>
      <c r="X82" s="220"/>
      <c r="Y82" s="220"/>
      <c r="Z82" s="220"/>
      <c r="AA82" s="302"/>
      <c r="AB82" s="309"/>
      <c r="AC82" s="303"/>
      <c r="AD82" s="303"/>
      <c r="AE82" s="220"/>
      <c r="AF82" s="220"/>
      <c r="AG82" s="220"/>
      <c r="AH82" s="220"/>
      <c r="AI82" s="220"/>
      <c r="AJ82" s="220"/>
      <c r="AK82" s="220"/>
      <c r="AL82" s="220"/>
      <c r="AM82" s="220"/>
      <c r="AN82" s="220"/>
      <c r="AO82" s="220"/>
      <c r="AP82" s="220"/>
      <c r="AQ82" s="220"/>
      <c r="AR82" s="220"/>
      <c r="AS82" s="220"/>
      <c r="AT82" s="220"/>
      <c r="AU82" s="220"/>
      <c r="AV82" s="220"/>
      <c r="AW82" s="220"/>
      <c r="AX82" s="220"/>
      <c r="AY82" s="220"/>
      <c r="AZ82" s="220"/>
    </row>
    <row r="83" spans="1:52" x14ac:dyDescent="0.2">
      <c r="A83" s="220"/>
      <c r="B83" s="220"/>
      <c r="C83" s="220"/>
      <c r="D83" s="221"/>
      <c r="E83" s="221"/>
      <c r="F83" s="221"/>
      <c r="G83" s="221"/>
      <c r="H83" s="221"/>
      <c r="I83" s="221"/>
      <c r="J83" s="221"/>
      <c r="K83" s="221"/>
      <c r="L83" s="221"/>
      <c r="M83" s="221"/>
      <c r="N83" s="221"/>
      <c r="O83" s="221"/>
      <c r="P83" s="221"/>
      <c r="Q83" s="221"/>
      <c r="R83" s="221"/>
      <c r="S83" s="221"/>
      <c r="T83" s="221"/>
      <c r="U83" s="220"/>
      <c r="V83" s="220"/>
      <c r="W83" s="220"/>
      <c r="X83" s="220"/>
      <c r="Y83" s="220"/>
      <c r="Z83" s="220"/>
      <c r="AA83" s="302"/>
      <c r="AB83" s="309"/>
      <c r="AC83" s="303"/>
      <c r="AD83" s="303"/>
      <c r="AE83" s="220"/>
      <c r="AF83" s="220"/>
      <c r="AG83" s="220"/>
      <c r="AH83" s="220"/>
      <c r="AI83" s="220"/>
      <c r="AJ83" s="220"/>
      <c r="AK83" s="220"/>
      <c r="AL83" s="220"/>
      <c r="AM83" s="220"/>
      <c r="AN83" s="220"/>
      <c r="AO83" s="220"/>
      <c r="AP83" s="220"/>
      <c r="AQ83" s="220"/>
      <c r="AR83" s="220"/>
      <c r="AS83" s="220"/>
      <c r="AT83" s="220"/>
      <c r="AU83" s="220"/>
      <c r="AV83" s="220"/>
      <c r="AW83" s="220"/>
      <c r="AX83" s="220"/>
      <c r="AY83" s="220"/>
      <c r="AZ83" s="220"/>
    </row>
    <row r="84" spans="1:52" x14ac:dyDescent="0.2">
      <c r="A84" s="220"/>
      <c r="B84" s="220"/>
      <c r="C84" s="220"/>
      <c r="D84" s="221"/>
      <c r="E84" s="221"/>
      <c r="F84" s="221"/>
      <c r="G84" s="221"/>
      <c r="H84" s="221"/>
      <c r="I84" s="221"/>
      <c r="J84" s="221"/>
      <c r="K84" s="221"/>
      <c r="L84" s="221"/>
      <c r="M84" s="221"/>
      <c r="N84" s="221"/>
      <c r="O84" s="221"/>
      <c r="P84" s="221"/>
      <c r="Q84" s="221"/>
      <c r="R84" s="221"/>
      <c r="S84" s="221"/>
      <c r="T84" s="221"/>
      <c r="U84" s="220"/>
      <c r="V84" s="220"/>
      <c r="W84" s="220"/>
      <c r="X84" s="220"/>
      <c r="Y84" s="220"/>
      <c r="Z84" s="220"/>
      <c r="AA84" s="302"/>
      <c r="AB84" s="309"/>
      <c r="AC84" s="303"/>
      <c r="AD84" s="303"/>
      <c r="AE84" s="220"/>
      <c r="AF84" s="220"/>
      <c r="AG84" s="220"/>
      <c r="AH84" s="220"/>
      <c r="AI84" s="220"/>
      <c r="AJ84" s="220"/>
      <c r="AK84" s="220"/>
      <c r="AL84" s="220"/>
      <c r="AM84" s="220"/>
      <c r="AN84" s="220"/>
      <c r="AO84" s="220"/>
      <c r="AP84" s="220"/>
      <c r="AQ84" s="220"/>
      <c r="AR84" s="220"/>
      <c r="AS84" s="220"/>
      <c r="AT84" s="220"/>
      <c r="AU84" s="220"/>
      <c r="AV84" s="220"/>
      <c r="AW84" s="220"/>
      <c r="AX84" s="220"/>
      <c r="AY84" s="220"/>
      <c r="AZ84" s="220"/>
    </row>
    <row r="85" spans="1:52" x14ac:dyDescent="0.2">
      <c r="A85" s="220"/>
      <c r="B85" s="220"/>
      <c r="C85" s="220"/>
      <c r="D85" s="221"/>
      <c r="E85" s="221"/>
      <c r="F85" s="221"/>
      <c r="G85" s="221"/>
      <c r="H85" s="221"/>
      <c r="I85" s="221"/>
      <c r="J85" s="221"/>
      <c r="K85" s="221"/>
      <c r="L85" s="221"/>
      <c r="M85" s="221"/>
      <c r="N85" s="221"/>
      <c r="O85" s="221"/>
      <c r="P85" s="221"/>
      <c r="Q85" s="221"/>
      <c r="R85" s="221"/>
      <c r="S85" s="221"/>
      <c r="T85" s="221"/>
      <c r="U85" s="220"/>
      <c r="V85" s="220"/>
      <c r="W85" s="220"/>
      <c r="X85" s="220"/>
      <c r="Y85" s="220"/>
      <c r="Z85" s="220"/>
      <c r="AA85" s="302"/>
      <c r="AB85" s="309"/>
      <c r="AC85" s="303"/>
      <c r="AD85" s="303"/>
      <c r="AE85" s="220"/>
      <c r="AF85" s="220"/>
      <c r="AG85" s="220"/>
      <c r="AH85" s="220"/>
      <c r="AI85" s="220"/>
      <c r="AJ85" s="220"/>
      <c r="AK85" s="220"/>
      <c r="AL85" s="220"/>
      <c r="AM85" s="220"/>
      <c r="AN85" s="220"/>
      <c r="AO85" s="220"/>
      <c r="AP85" s="220"/>
      <c r="AQ85" s="220"/>
      <c r="AR85" s="220"/>
      <c r="AS85" s="220"/>
      <c r="AT85" s="220"/>
      <c r="AU85" s="220"/>
      <c r="AV85" s="220"/>
      <c r="AW85" s="220"/>
      <c r="AX85" s="220"/>
      <c r="AY85" s="220"/>
      <c r="AZ85" s="220"/>
    </row>
    <row r="86" spans="1:52" x14ac:dyDescent="0.2">
      <c r="A86" s="220"/>
      <c r="B86" s="220"/>
      <c r="C86" s="220"/>
      <c r="D86" s="221"/>
      <c r="E86" s="221"/>
      <c r="F86" s="221"/>
      <c r="G86" s="221"/>
      <c r="H86" s="221"/>
      <c r="I86" s="221"/>
      <c r="J86" s="221"/>
      <c r="K86" s="221"/>
      <c r="L86" s="221"/>
      <c r="M86" s="221"/>
      <c r="N86" s="221"/>
      <c r="O86" s="221"/>
      <c r="P86" s="221"/>
      <c r="Q86" s="221"/>
      <c r="R86" s="221"/>
      <c r="S86" s="221"/>
      <c r="T86" s="221"/>
      <c r="U86" s="220"/>
      <c r="V86" s="220"/>
      <c r="W86" s="220"/>
      <c r="X86" s="220"/>
      <c r="Y86" s="220"/>
      <c r="Z86" s="220"/>
      <c r="AA86" s="302"/>
      <c r="AB86" s="309"/>
      <c r="AC86" s="303"/>
      <c r="AD86" s="303"/>
      <c r="AE86" s="220"/>
      <c r="AF86" s="220"/>
      <c r="AG86" s="220"/>
      <c r="AH86" s="220"/>
      <c r="AI86" s="220"/>
      <c r="AJ86" s="220"/>
      <c r="AK86" s="220"/>
      <c r="AL86" s="220"/>
      <c r="AM86" s="220"/>
      <c r="AN86" s="220"/>
      <c r="AO86" s="220"/>
      <c r="AP86" s="220"/>
      <c r="AQ86" s="220"/>
      <c r="AR86" s="220"/>
      <c r="AS86" s="220"/>
      <c r="AT86" s="220"/>
      <c r="AU86" s="220"/>
      <c r="AV86" s="220"/>
      <c r="AW86" s="220"/>
      <c r="AX86" s="220"/>
      <c r="AY86" s="220"/>
      <c r="AZ86" s="220"/>
    </row>
    <row r="87" spans="1:52" x14ac:dyDescent="0.2">
      <c r="A87" s="220"/>
      <c r="B87" s="220"/>
      <c r="C87" s="220"/>
      <c r="D87" s="221"/>
      <c r="E87" s="221"/>
      <c r="F87" s="221"/>
      <c r="G87" s="221"/>
      <c r="H87" s="221"/>
      <c r="I87" s="221"/>
      <c r="J87" s="221"/>
      <c r="K87" s="221"/>
      <c r="L87" s="221"/>
      <c r="M87" s="221"/>
      <c r="N87" s="221"/>
      <c r="O87" s="221"/>
      <c r="P87" s="221"/>
      <c r="Q87" s="221"/>
      <c r="R87" s="221"/>
      <c r="S87" s="221"/>
      <c r="T87" s="221"/>
      <c r="U87" s="220"/>
      <c r="V87" s="220"/>
      <c r="W87" s="220"/>
      <c r="X87" s="220"/>
      <c r="Y87" s="220"/>
      <c r="Z87" s="220"/>
      <c r="AA87" s="302"/>
      <c r="AB87" s="309"/>
      <c r="AC87" s="303"/>
      <c r="AD87" s="303"/>
      <c r="AE87" s="220"/>
      <c r="AF87" s="220"/>
      <c r="AG87" s="220"/>
      <c r="AH87" s="220"/>
      <c r="AI87" s="220"/>
      <c r="AJ87" s="220"/>
      <c r="AK87" s="220"/>
      <c r="AL87" s="220"/>
      <c r="AM87" s="220"/>
      <c r="AN87" s="220"/>
      <c r="AO87" s="220"/>
      <c r="AP87" s="220"/>
      <c r="AQ87" s="220"/>
      <c r="AR87" s="220"/>
      <c r="AS87" s="220"/>
      <c r="AT87" s="220"/>
      <c r="AU87" s="220"/>
      <c r="AV87" s="220"/>
      <c r="AW87" s="220"/>
      <c r="AX87" s="220"/>
      <c r="AY87" s="220"/>
      <c r="AZ87" s="220"/>
    </row>
    <row r="88" spans="1:52" x14ac:dyDescent="0.2">
      <c r="A88" s="220"/>
      <c r="B88" s="220"/>
      <c r="C88" s="220"/>
      <c r="D88" s="221"/>
      <c r="E88" s="221"/>
      <c r="F88" s="221"/>
      <c r="G88" s="221"/>
      <c r="H88" s="221"/>
      <c r="I88" s="221"/>
      <c r="J88" s="221"/>
      <c r="K88" s="221"/>
      <c r="L88" s="221"/>
      <c r="M88" s="221"/>
      <c r="N88" s="221"/>
      <c r="O88" s="221"/>
      <c r="P88" s="221"/>
      <c r="Q88" s="221"/>
      <c r="R88" s="221"/>
      <c r="S88" s="221"/>
      <c r="T88" s="221"/>
      <c r="U88" s="220"/>
      <c r="V88" s="220"/>
      <c r="W88" s="220"/>
      <c r="X88" s="220"/>
      <c r="Y88" s="220"/>
      <c r="Z88" s="220"/>
      <c r="AA88" s="302"/>
      <c r="AB88" s="309"/>
      <c r="AC88" s="303"/>
      <c r="AD88" s="303"/>
      <c r="AE88" s="220"/>
      <c r="AF88" s="220"/>
      <c r="AG88" s="220"/>
      <c r="AH88" s="220"/>
      <c r="AI88" s="220"/>
      <c r="AJ88" s="220"/>
      <c r="AK88" s="220"/>
      <c r="AL88" s="220"/>
      <c r="AM88" s="220"/>
      <c r="AN88" s="220"/>
      <c r="AO88" s="220"/>
      <c r="AP88" s="220"/>
      <c r="AQ88" s="220"/>
      <c r="AR88" s="220"/>
      <c r="AS88" s="220"/>
      <c r="AT88" s="220"/>
      <c r="AU88" s="220"/>
      <c r="AV88" s="220"/>
      <c r="AW88" s="220"/>
      <c r="AX88" s="220"/>
      <c r="AY88" s="220"/>
      <c r="AZ88" s="220"/>
    </row>
    <row r="89" spans="1:52" x14ac:dyDescent="0.2">
      <c r="A89" s="220"/>
      <c r="B89" s="220"/>
      <c r="C89" s="220"/>
      <c r="D89" s="221"/>
      <c r="E89" s="221"/>
      <c r="F89" s="221"/>
      <c r="G89" s="221"/>
      <c r="H89" s="221"/>
      <c r="I89" s="221"/>
      <c r="J89" s="221"/>
      <c r="K89" s="221"/>
      <c r="L89" s="221"/>
      <c r="M89" s="221"/>
      <c r="N89" s="221"/>
      <c r="O89" s="221"/>
      <c r="P89" s="221"/>
      <c r="Q89" s="221"/>
      <c r="R89" s="221"/>
      <c r="S89" s="221"/>
      <c r="T89" s="221"/>
      <c r="U89" s="220"/>
      <c r="V89" s="220"/>
      <c r="W89" s="220"/>
      <c r="X89" s="220"/>
      <c r="Y89" s="220"/>
      <c r="Z89" s="220"/>
      <c r="AA89" s="302"/>
      <c r="AB89" s="309"/>
      <c r="AC89" s="303"/>
      <c r="AD89" s="303"/>
      <c r="AE89" s="220"/>
      <c r="AF89" s="220"/>
      <c r="AG89" s="220"/>
      <c r="AH89" s="220"/>
      <c r="AI89" s="220"/>
      <c r="AJ89" s="220"/>
      <c r="AK89" s="220"/>
      <c r="AL89" s="220"/>
      <c r="AM89" s="220"/>
      <c r="AN89" s="220"/>
      <c r="AO89" s="220"/>
      <c r="AP89" s="220"/>
      <c r="AQ89" s="220"/>
      <c r="AR89" s="220"/>
      <c r="AS89" s="220"/>
      <c r="AT89" s="220"/>
      <c r="AU89" s="220"/>
      <c r="AV89" s="220"/>
      <c r="AW89" s="220"/>
      <c r="AX89" s="220"/>
      <c r="AY89" s="220"/>
      <c r="AZ89" s="220"/>
    </row>
    <row r="90" spans="1:52" x14ac:dyDescent="0.2">
      <c r="A90" s="220"/>
      <c r="B90" s="220"/>
      <c r="C90" s="220"/>
      <c r="D90" s="221"/>
      <c r="E90" s="221"/>
      <c r="F90" s="221"/>
      <c r="G90" s="221"/>
      <c r="H90" s="221"/>
      <c r="I90" s="221"/>
      <c r="J90" s="221"/>
      <c r="K90" s="221"/>
      <c r="L90" s="221"/>
      <c r="M90" s="221"/>
      <c r="N90" s="221"/>
      <c r="O90" s="221"/>
      <c r="P90" s="221"/>
      <c r="Q90" s="221"/>
      <c r="R90" s="221"/>
      <c r="S90" s="221"/>
      <c r="T90" s="221"/>
      <c r="U90" s="220"/>
      <c r="V90" s="220"/>
      <c r="W90" s="220"/>
      <c r="X90" s="220"/>
      <c r="Y90" s="220"/>
      <c r="Z90" s="220"/>
      <c r="AA90" s="302"/>
      <c r="AB90" s="309"/>
      <c r="AC90" s="303"/>
      <c r="AD90" s="303"/>
      <c r="AE90" s="220"/>
      <c r="AF90" s="220"/>
      <c r="AG90" s="220"/>
      <c r="AH90" s="220"/>
      <c r="AI90" s="220"/>
      <c r="AJ90" s="220"/>
      <c r="AK90" s="220"/>
      <c r="AL90" s="220"/>
      <c r="AM90" s="220"/>
      <c r="AN90" s="220"/>
      <c r="AO90" s="220"/>
      <c r="AP90" s="220"/>
      <c r="AQ90" s="220"/>
      <c r="AR90" s="220"/>
      <c r="AS90" s="220"/>
      <c r="AT90" s="220"/>
      <c r="AU90" s="220"/>
      <c r="AV90" s="220"/>
      <c r="AW90" s="220"/>
      <c r="AX90" s="220"/>
      <c r="AY90" s="220"/>
      <c r="AZ90" s="220"/>
    </row>
    <row r="91" spans="1:52" x14ac:dyDescent="0.2">
      <c r="A91" s="220"/>
      <c r="B91" s="220"/>
      <c r="C91" s="220"/>
      <c r="D91" s="221"/>
      <c r="E91" s="221"/>
      <c r="F91" s="221"/>
      <c r="G91" s="221"/>
      <c r="H91" s="221"/>
      <c r="I91" s="221"/>
      <c r="J91" s="221"/>
      <c r="K91" s="221"/>
      <c r="L91" s="221"/>
      <c r="M91" s="221"/>
      <c r="N91" s="221"/>
      <c r="O91" s="221"/>
      <c r="P91" s="221"/>
      <c r="Q91" s="221"/>
      <c r="R91" s="221"/>
      <c r="S91" s="221"/>
      <c r="T91" s="221"/>
      <c r="U91" s="220"/>
      <c r="V91" s="220"/>
      <c r="W91" s="220"/>
      <c r="X91" s="220"/>
      <c r="Y91" s="220"/>
      <c r="Z91" s="220"/>
      <c r="AA91" s="302"/>
      <c r="AB91" s="309"/>
      <c r="AC91" s="303"/>
      <c r="AD91" s="303"/>
      <c r="AE91" s="220"/>
      <c r="AF91" s="220"/>
      <c r="AG91" s="220"/>
      <c r="AH91" s="220"/>
      <c r="AI91" s="220"/>
      <c r="AJ91" s="220"/>
      <c r="AK91" s="220"/>
      <c r="AL91" s="220"/>
      <c r="AM91" s="220"/>
      <c r="AN91" s="220"/>
      <c r="AO91" s="220"/>
      <c r="AP91" s="220"/>
      <c r="AQ91" s="220"/>
      <c r="AR91" s="220"/>
      <c r="AS91" s="220"/>
      <c r="AT91" s="220"/>
      <c r="AU91" s="220"/>
      <c r="AV91" s="220"/>
      <c r="AW91" s="220"/>
      <c r="AX91" s="220"/>
      <c r="AY91" s="220"/>
      <c r="AZ91" s="220"/>
    </row>
    <row r="92" spans="1:52" x14ac:dyDescent="0.2">
      <c r="A92" s="220"/>
      <c r="B92" s="220"/>
      <c r="C92" s="220"/>
      <c r="D92" s="221"/>
      <c r="E92" s="221"/>
      <c r="F92" s="221"/>
      <c r="G92" s="221"/>
      <c r="H92" s="221"/>
      <c r="I92" s="221"/>
      <c r="J92" s="221"/>
      <c r="K92" s="221"/>
      <c r="L92" s="221"/>
      <c r="M92" s="221"/>
      <c r="N92" s="221"/>
      <c r="O92" s="221"/>
      <c r="P92" s="221"/>
      <c r="Q92" s="221"/>
      <c r="R92" s="221"/>
      <c r="S92" s="221"/>
      <c r="T92" s="221"/>
      <c r="U92" s="220"/>
      <c r="V92" s="220"/>
      <c r="W92" s="220"/>
      <c r="X92" s="220"/>
      <c r="Y92" s="220"/>
      <c r="Z92" s="220"/>
      <c r="AA92" s="302"/>
      <c r="AB92" s="309"/>
      <c r="AC92" s="303"/>
      <c r="AD92" s="303"/>
      <c r="AE92" s="220"/>
      <c r="AF92" s="220"/>
      <c r="AG92" s="220"/>
      <c r="AH92" s="220"/>
      <c r="AI92" s="220"/>
      <c r="AJ92" s="220"/>
      <c r="AK92" s="220"/>
      <c r="AL92" s="220"/>
      <c r="AM92" s="220"/>
      <c r="AN92" s="220"/>
      <c r="AO92" s="220"/>
      <c r="AP92" s="220"/>
      <c r="AQ92" s="220"/>
      <c r="AR92" s="220"/>
      <c r="AS92" s="220"/>
      <c r="AT92" s="220"/>
      <c r="AU92" s="220"/>
      <c r="AV92" s="220"/>
      <c r="AW92" s="220"/>
      <c r="AX92" s="220"/>
      <c r="AY92" s="220"/>
      <c r="AZ92" s="220"/>
    </row>
    <row r="93" spans="1:52" x14ac:dyDescent="0.2">
      <c r="A93" s="220"/>
      <c r="B93" s="220"/>
      <c r="C93" s="220"/>
      <c r="D93" s="221"/>
      <c r="E93" s="221"/>
      <c r="F93" s="221"/>
      <c r="G93" s="221"/>
      <c r="H93" s="221"/>
      <c r="I93" s="221"/>
      <c r="J93" s="221"/>
      <c r="K93" s="221"/>
      <c r="L93" s="221"/>
      <c r="M93" s="221"/>
      <c r="N93" s="221"/>
      <c r="O93" s="221"/>
      <c r="P93" s="221"/>
      <c r="Q93" s="221"/>
      <c r="R93" s="221"/>
      <c r="S93" s="221"/>
      <c r="T93" s="221"/>
      <c r="U93" s="220"/>
      <c r="V93" s="220"/>
      <c r="W93" s="220"/>
      <c r="X93" s="220"/>
      <c r="Y93" s="220"/>
      <c r="Z93" s="220"/>
      <c r="AA93" s="302"/>
      <c r="AB93" s="309"/>
      <c r="AC93" s="303"/>
      <c r="AD93" s="303"/>
      <c r="AE93" s="220"/>
      <c r="AF93" s="220"/>
      <c r="AG93" s="220"/>
      <c r="AH93" s="220"/>
      <c r="AI93" s="220"/>
      <c r="AJ93" s="220"/>
      <c r="AK93" s="220"/>
      <c r="AL93" s="220"/>
      <c r="AM93" s="220"/>
      <c r="AN93" s="220"/>
      <c r="AO93" s="220"/>
      <c r="AP93" s="220"/>
      <c r="AQ93" s="220"/>
      <c r="AR93" s="220"/>
      <c r="AS93" s="220"/>
      <c r="AT93" s="220"/>
      <c r="AU93" s="220"/>
      <c r="AV93" s="220"/>
      <c r="AW93" s="220"/>
      <c r="AX93" s="220"/>
      <c r="AY93" s="220"/>
      <c r="AZ93" s="220"/>
    </row>
    <row r="94" spans="1:52" x14ac:dyDescent="0.2">
      <c r="A94" s="220"/>
      <c r="B94" s="220"/>
      <c r="C94" s="220"/>
      <c r="D94" s="221"/>
      <c r="E94" s="221"/>
      <c r="F94" s="221"/>
      <c r="G94" s="221"/>
      <c r="H94" s="221"/>
      <c r="I94" s="221"/>
      <c r="J94" s="221"/>
      <c r="K94" s="221"/>
      <c r="L94" s="221"/>
      <c r="M94" s="221"/>
      <c r="N94" s="221"/>
      <c r="O94" s="221"/>
      <c r="P94" s="221"/>
      <c r="Q94" s="221"/>
      <c r="R94" s="221"/>
      <c r="S94" s="221"/>
      <c r="T94" s="221"/>
      <c r="U94" s="220"/>
      <c r="V94" s="220"/>
      <c r="W94" s="220"/>
      <c r="X94" s="220"/>
      <c r="Y94" s="220"/>
      <c r="Z94" s="220"/>
      <c r="AA94" s="302"/>
      <c r="AB94" s="309"/>
      <c r="AC94" s="303"/>
      <c r="AD94" s="303"/>
      <c r="AE94" s="220"/>
      <c r="AF94" s="220"/>
      <c r="AG94" s="220"/>
      <c r="AH94" s="220"/>
      <c r="AI94" s="220"/>
      <c r="AJ94" s="220"/>
      <c r="AK94" s="220"/>
      <c r="AL94" s="220"/>
      <c r="AM94" s="220"/>
      <c r="AN94" s="220"/>
      <c r="AO94" s="220"/>
      <c r="AP94" s="220"/>
      <c r="AQ94" s="220"/>
      <c r="AR94" s="220"/>
      <c r="AS94" s="220"/>
      <c r="AT94" s="220"/>
      <c r="AU94" s="220"/>
      <c r="AV94" s="220"/>
      <c r="AW94" s="220"/>
      <c r="AX94" s="220"/>
      <c r="AY94" s="220"/>
      <c r="AZ94" s="220"/>
    </row>
    <row r="95" spans="1:52" x14ac:dyDescent="0.2">
      <c r="A95" s="220"/>
      <c r="B95" s="220"/>
      <c r="C95" s="220"/>
      <c r="D95" s="221"/>
      <c r="E95" s="221"/>
      <c r="F95" s="221"/>
      <c r="G95" s="221"/>
      <c r="H95" s="221"/>
      <c r="I95" s="221"/>
      <c r="J95" s="221"/>
      <c r="K95" s="221"/>
      <c r="L95" s="221"/>
      <c r="M95" s="221"/>
      <c r="N95" s="221"/>
      <c r="O95" s="221"/>
      <c r="P95" s="221"/>
      <c r="Q95" s="221"/>
      <c r="R95" s="221"/>
      <c r="S95" s="221"/>
      <c r="T95" s="221"/>
      <c r="U95" s="220"/>
      <c r="V95" s="220"/>
      <c r="W95" s="220"/>
      <c r="X95" s="220"/>
      <c r="Y95" s="220"/>
      <c r="Z95" s="220"/>
      <c r="AA95" s="302"/>
      <c r="AB95" s="309"/>
      <c r="AC95" s="303"/>
      <c r="AD95" s="303"/>
      <c r="AE95" s="220"/>
      <c r="AF95" s="220"/>
      <c r="AG95" s="220"/>
      <c r="AH95" s="220"/>
      <c r="AI95" s="220"/>
      <c r="AJ95" s="220"/>
      <c r="AK95" s="220"/>
      <c r="AL95" s="220"/>
      <c r="AM95" s="220"/>
      <c r="AN95" s="220"/>
      <c r="AO95" s="220"/>
      <c r="AP95" s="220"/>
      <c r="AQ95" s="220"/>
      <c r="AR95" s="220"/>
      <c r="AS95" s="220"/>
      <c r="AT95" s="220"/>
      <c r="AU95" s="220"/>
      <c r="AV95" s="220"/>
      <c r="AW95" s="220"/>
      <c r="AX95" s="220"/>
      <c r="AY95" s="220"/>
      <c r="AZ95" s="220"/>
    </row>
    <row r="96" spans="1:52" x14ac:dyDescent="0.2">
      <c r="A96" s="220"/>
      <c r="B96" s="220"/>
      <c r="C96" s="220"/>
      <c r="D96" s="221"/>
      <c r="E96" s="221"/>
      <c r="F96" s="221"/>
      <c r="G96" s="221"/>
      <c r="H96" s="221"/>
      <c r="I96" s="221"/>
      <c r="J96" s="221"/>
      <c r="K96" s="221"/>
      <c r="L96" s="221"/>
      <c r="M96" s="221"/>
      <c r="N96" s="221"/>
      <c r="O96" s="221"/>
      <c r="P96" s="221"/>
      <c r="Q96" s="221"/>
      <c r="R96" s="221"/>
      <c r="S96" s="221"/>
      <c r="T96" s="221"/>
      <c r="U96" s="220"/>
      <c r="V96" s="220"/>
      <c r="W96" s="220"/>
      <c r="X96" s="220"/>
      <c r="Y96" s="220"/>
      <c r="Z96" s="220"/>
      <c r="AA96" s="302"/>
      <c r="AB96" s="309"/>
      <c r="AC96" s="303"/>
      <c r="AD96" s="303"/>
      <c r="AE96" s="220"/>
      <c r="AF96" s="220"/>
      <c r="AG96" s="220"/>
      <c r="AH96" s="220"/>
      <c r="AI96" s="220"/>
      <c r="AJ96" s="220"/>
      <c r="AK96" s="220"/>
      <c r="AL96" s="220"/>
      <c r="AM96" s="220"/>
      <c r="AN96" s="220"/>
      <c r="AO96" s="220"/>
      <c r="AP96" s="220"/>
      <c r="AQ96" s="220"/>
      <c r="AR96" s="220"/>
      <c r="AS96" s="220"/>
      <c r="AT96" s="220"/>
      <c r="AU96" s="220"/>
      <c r="AV96" s="220"/>
      <c r="AW96" s="220"/>
      <c r="AX96" s="220"/>
      <c r="AY96" s="220"/>
      <c r="AZ96" s="220"/>
    </row>
    <row r="97" spans="1:52" x14ac:dyDescent="0.2">
      <c r="A97" s="220"/>
      <c r="B97" s="220"/>
      <c r="C97" s="220"/>
      <c r="D97" s="221"/>
      <c r="E97" s="221"/>
      <c r="F97" s="221"/>
      <c r="G97" s="221"/>
      <c r="H97" s="221"/>
      <c r="I97" s="221"/>
      <c r="J97" s="221"/>
      <c r="K97" s="221"/>
      <c r="L97" s="221"/>
      <c r="M97" s="221"/>
      <c r="N97" s="221"/>
      <c r="O97" s="221"/>
      <c r="P97" s="221"/>
      <c r="Q97" s="221"/>
      <c r="R97" s="221"/>
      <c r="S97" s="221"/>
      <c r="T97" s="221"/>
      <c r="U97" s="220"/>
      <c r="V97" s="220"/>
      <c r="W97" s="220"/>
      <c r="X97" s="220"/>
      <c r="Y97" s="220"/>
      <c r="Z97" s="220"/>
      <c r="AA97" s="302"/>
      <c r="AB97" s="309"/>
      <c r="AC97" s="303"/>
      <c r="AD97" s="303"/>
      <c r="AE97" s="220"/>
      <c r="AF97" s="220"/>
      <c r="AG97" s="220"/>
      <c r="AH97" s="220"/>
      <c r="AI97" s="220"/>
      <c r="AJ97" s="220"/>
      <c r="AK97" s="220"/>
      <c r="AL97" s="220"/>
      <c r="AM97" s="220"/>
      <c r="AN97" s="220"/>
      <c r="AO97" s="220"/>
      <c r="AP97" s="220"/>
      <c r="AQ97" s="220"/>
      <c r="AR97" s="220"/>
      <c r="AS97" s="220"/>
      <c r="AT97" s="220"/>
      <c r="AU97" s="220"/>
      <c r="AV97" s="220"/>
      <c r="AW97" s="220"/>
      <c r="AX97" s="220"/>
      <c r="AY97" s="220"/>
      <c r="AZ97" s="220"/>
    </row>
    <row r="98" spans="1:52" x14ac:dyDescent="0.2">
      <c r="A98" s="220"/>
      <c r="B98" s="220"/>
      <c r="C98" s="220"/>
      <c r="D98" s="221"/>
      <c r="E98" s="221"/>
      <c r="F98" s="221"/>
      <c r="G98" s="221"/>
      <c r="H98" s="221"/>
      <c r="I98" s="221"/>
      <c r="J98" s="221"/>
      <c r="K98" s="221"/>
      <c r="L98" s="221"/>
      <c r="M98" s="221"/>
      <c r="N98" s="221"/>
      <c r="O98" s="221"/>
      <c r="P98" s="221"/>
      <c r="Q98" s="221"/>
      <c r="R98" s="221"/>
      <c r="S98" s="221"/>
      <c r="T98" s="221"/>
      <c r="U98" s="220"/>
      <c r="V98" s="220"/>
      <c r="W98" s="220"/>
      <c r="X98" s="220"/>
      <c r="Y98" s="220"/>
      <c r="Z98" s="220"/>
      <c r="AA98" s="302"/>
      <c r="AB98" s="309"/>
      <c r="AC98" s="303"/>
      <c r="AD98" s="303"/>
      <c r="AE98" s="220"/>
      <c r="AF98" s="220"/>
      <c r="AG98" s="220"/>
      <c r="AH98" s="220"/>
      <c r="AI98" s="220"/>
      <c r="AJ98" s="220"/>
      <c r="AK98" s="220"/>
      <c r="AL98" s="220"/>
      <c r="AM98" s="220"/>
      <c r="AN98" s="220"/>
      <c r="AO98" s="220"/>
      <c r="AP98" s="220"/>
      <c r="AQ98" s="220"/>
      <c r="AR98" s="220"/>
      <c r="AS98" s="220"/>
      <c r="AT98" s="220"/>
      <c r="AU98" s="220"/>
      <c r="AV98" s="220"/>
      <c r="AW98" s="220"/>
      <c r="AX98" s="220"/>
      <c r="AY98" s="220"/>
      <c r="AZ98" s="220"/>
    </row>
    <row r="99" spans="1:52" x14ac:dyDescent="0.2">
      <c r="A99" s="220"/>
      <c r="B99" s="220"/>
      <c r="C99" s="220"/>
      <c r="D99" s="221"/>
      <c r="E99" s="221"/>
      <c r="F99" s="221"/>
      <c r="G99" s="221"/>
      <c r="H99" s="221"/>
      <c r="I99" s="221"/>
      <c r="J99" s="221"/>
      <c r="K99" s="221"/>
      <c r="L99" s="221"/>
      <c r="M99" s="221"/>
      <c r="N99" s="221"/>
      <c r="O99" s="221"/>
      <c r="P99" s="221"/>
      <c r="Q99" s="221"/>
      <c r="R99" s="221"/>
      <c r="S99" s="221"/>
      <c r="T99" s="221"/>
      <c r="U99" s="220"/>
      <c r="V99" s="220"/>
      <c r="W99" s="220"/>
      <c r="X99" s="220"/>
      <c r="Y99" s="220"/>
      <c r="Z99" s="220"/>
      <c r="AA99" s="302"/>
      <c r="AB99" s="309"/>
      <c r="AC99" s="303"/>
      <c r="AD99" s="303"/>
      <c r="AE99" s="220"/>
      <c r="AF99" s="220"/>
      <c r="AG99" s="220"/>
      <c r="AH99" s="220"/>
      <c r="AI99" s="220"/>
      <c r="AJ99" s="220"/>
      <c r="AK99" s="220"/>
      <c r="AL99" s="220"/>
      <c r="AM99" s="220"/>
      <c r="AN99" s="220"/>
      <c r="AO99" s="220"/>
      <c r="AP99" s="220"/>
      <c r="AQ99" s="220"/>
      <c r="AR99" s="220"/>
      <c r="AS99" s="220"/>
      <c r="AT99" s="220"/>
      <c r="AU99" s="220"/>
      <c r="AV99" s="220"/>
      <c r="AW99" s="220"/>
      <c r="AX99" s="220"/>
      <c r="AY99" s="220"/>
      <c r="AZ99" s="220"/>
    </row>
    <row r="100" spans="1:52" x14ac:dyDescent="0.2">
      <c r="A100" s="220"/>
      <c r="B100" s="220"/>
      <c r="C100" s="220"/>
      <c r="D100" s="221"/>
      <c r="E100" s="221"/>
      <c r="F100" s="221"/>
      <c r="G100" s="221"/>
      <c r="H100" s="221"/>
      <c r="I100" s="221"/>
      <c r="J100" s="221"/>
      <c r="K100" s="221"/>
      <c r="L100" s="221"/>
      <c r="M100" s="221"/>
      <c r="N100" s="221"/>
      <c r="O100" s="221"/>
      <c r="P100" s="221"/>
      <c r="Q100" s="221"/>
      <c r="R100" s="221"/>
      <c r="S100" s="221"/>
      <c r="T100" s="221"/>
      <c r="U100" s="220"/>
      <c r="V100" s="220"/>
      <c r="W100" s="220"/>
      <c r="X100" s="220"/>
      <c r="Y100" s="220"/>
      <c r="Z100" s="220"/>
      <c r="AA100" s="302"/>
      <c r="AB100" s="309"/>
      <c r="AC100" s="303"/>
      <c r="AD100" s="303"/>
      <c r="AE100" s="220"/>
      <c r="AF100" s="220"/>
      <c r="AG100" s="220"/>
      <c r="AH100" s="220"/>
      <c r="AI100" s="220"/>
      <c r="AJ100" s="220"/>
      <c r="AK100" s="220"/>
      <c r="AL100" s="220"/>
      <c r="AM100" s="220"/>
      <c r="AN100" s="220"/>
      <c r="AO100" s="220"/>
      <c r="AP100" s="220"/>
      <c r="AQ100" s="220"/>
      <c r="AR100" s="220"/>
      <c r="AS100" s="220"/>
      <c r="AT100" s="220"/>
      <c r="AU100" s="220"/>
      <c r="AV100" s="220"/>
      <c r="AW100" s="220"/>
      <c r="AX100" s="220"/>
      <c r="AY100" s="220"/>
      <c r="AZ100" s="220"/>
    </row>
    <row r="101" spans="1:52" x14ac:dyDescent="0.2">
      <c r="A101" s="220"/>
      <c r="B101" s="220"/>
      <c r="C101" s="220"/>
      <c r="D101" s="221"/>
      <c r="E101" s="221"/>
      <c r="F101" s="221"/>
      <c r="G101" s="221"/>
      <c r="H101" s="221"/>
      <c r="I101" s="221"/>
      <c r="J101" s="221"/>
      <c r="K101" s="221"/>
      <c r="L101" s="221"/>
      <c r="M101" s="221"/>
      <c r="N101" s="221"/>
      <c r="O101" s="221"/>
      <c r="P101" s="221"/>
      <c r="Q101" s="221"/>
      <c r="R101" s="221"/>
      <c r="S101" s="221"/>
      <c r="T101" s="221"/>
      <c r="U101" s="220"/>
      <c r="V101" s="220"/>
      <c r="W101" s="220"/>
      <c r="X101" s="220"/>
      <c r="Y101" s="220"/>
      <c r="Z101" s="220"/>
      <c r="AA101" s="302"/>
      <c r="AB101" s="309"/>
      <c r="AC101" s="303"/>
      <c r="AD101" s="303"/>
      <c r="AE101" s="220"/>
      <c r="AF101" s="220"/>
      <c r="AG101" s="220"/>
      <c r="AH101" s="220"/>
      <c r="AI101" s="220"/>
      <c r="AJ101" s="220"/>
      <c r="AK101" s="220"/>
      <c r="AL101" s="220"/>
      <c r="AM101" s="220"/>
      <c r="AN101" s="220"/>
      <c r="AO101" s="220"/>
      <c r="AP101" s="220"/>
      <c r="AQ101" s="220"/>
      <c r="AR101" s="220"/>
      <c r="AS101" s="220"/>
      <c r="AT101" s="220"/>
      <c r="AU101" s="220"/>
      <c r="AV101" s="220"/>
      <c r="AW101" s="220"/>
      <c r="AX101" s="220"/>
      <c r="AY101" s="220"/>
      <c r="AZ101" s="220"/>
    </row>
    <row r="102" spans="1:52" x14ac:dyDescent="0.2">
      <c r="A102" s="220"/>
      <c r="B102" s="220"/>
      <c r="C102" s="220"/>
      <c r="D102" s="221"/>
      <c r="E102" s="221"/>
      <c r="F102" s="221"/>
      <c r="G102" s="221"/>
      <c r="H102" s="221"/>
      <c r="I102" s="221"/>
      <c r="J102" s="221"/>
      <c r="K102" s="221"/>
      <c r="L102" s="221"/>
      <c r="M102" s="221"/>
      <c r="N102" s="221"/>
      <c r="O102" s="221"/>
      <c r="P102" s="221"/>
      <c r="Q102" s="221"/>
      <c r="R102" s="221"/>
      <c r="S102" s="221"/>
      <c r="T102" s="221"/>
      <c r="U102" s="220"/>
      <c r="V102" s="220"/>
      <c r="W102" s="220"/>
      <c r="X102" s="220"/>
      <c r="Y102" s="220"/>
      <c r="Z102" s="220"/>
      <c r="AA102" s="302"/>
      <c r="AB102" s="309"/>
      <c r="AC102" s="303"/>
      <c r="AD102" s="303"/>
      <c r="AE102" s="220"/>
      <c r="AF102" s="220"/>
      <c r="AG102" s="220"/>
      <c r="AH102" s="220"/>
      <c r="AI102" s="220"/>
      <c r="AJ102" s="220"/>
      <c r="AK102" s="220"/>
      <c r="AL102" s="220"/>
      <c r="AM102" s="220"/>
      <c r="AN102" s="220"/>
      <c r="AO102" s="220"/>
      <c r="AP102" s="220"/>
      <c r="AQ102" s="220"/>
      <c r="AR102" s="220"/>
      <c r="AS102" s="220"/>
      <c r="AT102" s="220"/>
      <c r="AU102" s="220"/>
      <c r="AV102" s="220"/>
      <c r="AW102" s="220"/>
      <c r="AX102" s="220"/>
      <c r="AY102" s="220"/>
      <c r="AZ102" s="220"/>
    </row>
    <row r="103" spans="1:52" x14ac:dyDescent="0.2">
      <c r="A103" s="220"/>
      <c r="B103" s="220"/>
      <c r="C103" s="220"/>
      <c r="D103" s="221"/>
      <c r="E103" s="221"/>
      <c r="F103" s="221"/>
      <c r="G103" s="221"/>
      <c r="H103" s="221"/>
      <c r="I103" s="221"/>
      <c r="J103" s="221"/>
      <c r="K103" s="221"/>
      <c r="L103" s="221"/>
      <c r="M103" s="221"/>
      <c r="N103" s="221"/>
      <c r="O103" s="221"/>
      <c r="P103" s="221"/>
      <c r="Q103" s="221"/>
      <c r="R103" s="221"/>
      <c r="S103" s="221"/>
      <c r="T103" s="221"/>
      <c r="U103" s="220"/>
      <c r="V103" s="220"/>
      <c r="W103" s="220"/>
      <c r="X103" s="220"/>
      <c r="Y103" s="220"/>
      <c r="Z103" s="220"/>
      <c r="AA103" s="302"/>
      <c r="AB103" s="309"/>
      <c r="AC103" s="303"/>
      <c r="AD103" s="303"/>
      <c r="AE103" s="220"/>
      <c r="AF103" s="220"/>
      <c r="AG103" s="220"/>
      <c r="AH103" s="220"/>
      <c r="AI103" s="220"/>
      <c r="AJ103" s="220"/>
      <c r="AK103" s="220"/>
      <c r="AL103" s="220"/>
      <c r="AM103" s="220"/>
      <c r="AN103" s="220"/>
      <c r="AO103" s="220"/>
      <c r="AP103" s="220"/>
      <c r="AQ103" s="220"/>
      <c r="AR103" s="220"/>
      <c r="AS103" s="220"/>
      <c r="AT103" s="220"/>
      <c r="AU103" s="220"/>
      <c r="AV103" s="220"/>
      <c r="AW103" s="220"/>
      <c r="AX103" s="220"/>
      <c r="AY103" s="220"/>
      <c r="AZ103" s="220"/>
    </row>
    <row r="104" spans="1:52" x14ac:dyDescent="0.2">
      <c r="A104" s="220"/>
      <c r="B104" s="220"/>
      <c r="C104" s="220"/>
      <c r="D104" s="221"/>
      <c r="E104" s="221"/>
      <c r="F104" s="221"/>
      <c r="G104" s="221"/>
      <c r="H104" s="221"/>
      <c r="I104" s="221"/>
      <c r="J104" s="221"/>
      <c r="K104" s="221"/>
      <c r="L104" s="221"/>
      <c r="M104" s="221"/>
      <c r="N104" s="221"/>
      <c r="O104" s="221"/>
      <c r="P104" s="221"/>
      <c r="Q104" s="221"/>
      <c r="R104" s="221"/>
      <c r="S104" s="221"/>
      <c r="T104" s="221"/>
      <c r="U104" s="220"/>
      <c r="V104" s="220"/>
      <c r="W104" s="220"/>
      <c r="X104" s="220"/>
      <c r="Y104" s="220"/>
      <c r="Z104" s="220"/>
      <c r="AA104" s="302"/>
      <c r="AB104" s="309"/>
      <c r="AC104" s="303"/>
      <c r="AD104" s="303"/>
      <c r="AE104" s="220"/>
      <c r="AF104" s="220"/>
      <c r="AG104" s="220"/>
      <c r="AH104" s="220"/>
      <c r="AI104" s="220"/>
      <c r="AJ104" s="220"/>
      <c r="AK104" s="220"/>
      <c r="AL104" s="220"/>
      <c r="AM104" s="220"/>
      <c r="AN104" s="220"/>
      <c r="AO104" s="220"/>
      <c r="AP104" s="220"/>
      <c r="AQ104" s="220"/>
      <c r="AR104" s="220"/>
      <c r="AS104" s="220"/>
      <c r="AT104" s="220"/>
      <c r="AU104" s="220"/>
      <c r="AV104" s="220"/>
      <c r="AW104" s="220"/>
      <c r="AX104" s="220"/>
      <c r="AY104" s="220"/>
      <c r="AZ104" s="220"/>
    </row>
    <row r="105" spans="1:52" x14ac:dyDescent="0.2">
      <c r="A105" s="220"/>
      <c r="B105" s="220"/>
      <c r="C105" s="220"/>
      <c r="D105" s="221"/>
      <c r="E105" s="221"/>
      <c r="F105" s="221"/>
      <c r="G105" s="221"/>
      <c r="H105" s="221"/>
      <c r="I105" s="221"/>
      <c r="J105" s="221"/>
      <c r="K105" s="221"/>
      <c r="L105" s="221"/>
      <c r="M105" s="221"/>
      <c r="N105" s="221"/>
      <c r="O105" s="221"/>
      <c r="P105" s="221"/>
      <c r="Q105" s="221"/>
      <c r="R105" s="221"/>
      <c r="S105" s="221"/>
      <c r="T105" s="221"/>
      <c r="U105" s="220"/>
      <c r="V105" s="220"/>
      <c r="W105" s="220"/>
      <c r="X105" s="220"/>
      <c r="Y105" s="220"/>
      <c r="Z105" s="220"/>
      <c r="AA105" s="302"/>
      <c r="AB105" s="309"/>
      <c r="AC105" s="303"/>
      <c r="AD105" s="303"/>
      <c r="AE105" s="220"/>
      <c r="AF105" s="220"/>
      <c r="AG105" s="220"/>
      <c r="AH105" s="220"/>
      <c r="AI105" s="220"/>
      <c r="AJ105" s="220"/>
      <c r="AK105" s="220"/>
      <c r="AL105" s="220"/>
      <c r="AM105" s="220"/>
      <c r="AN105" s="220"/>
      <c r="AO105" s="220"/>
      <c r="AP105" s="220"/>
      <c r="AQ105" s="220"/>
      <c r="AR105" s="220"/>
      <c r="AS105" s="220"/>
      <c r="AT105" s="220"/>
      <c r="AU105" s="220"/>
      <c r="AV105" s="220"/>
      <c r="AW105" s="220"/>
      <c r="AX105" s="220"/>
      <c r="AY105" s="220"/>
      <c r="AZ105" s="220"/>
    </row>
    <row r="106" spans="1:52" x14ac:dyDescent="0.2">
      <c r="A106" s="220"/>
      <c r="B106" s="220"/>
      <c r="C106" s="220"/>
      <c r="D106" s="221"/>
      <c r="E106" s="221"/>
      <c r="F106" s="221"/>
      <c r="G106" s="221"/>
      <c r="H106" s="221"/>
      <c r="I106" s="221"/>
      <c r="J106" s="221"/>
      <c r="K106" s="221"/>
      <c r="L106" s="221"/>
      <c r="M106" s="221"/>
      <c r="N106" s="221"/>
      <c r="O106" s="221"/>
      <c r="P106" s="221"/>
      <c r="Q106" s="221"/>
      <c r="R106" s="221"/>
      <c r="S106" s="221"/>
      <c r="T106" s="221"/>
      <c r="U106" s="220"/>
      <c r="V106" s="220"/>
      <c r="W106" s="220"/>
      <c r="X106" s="220"/>
      <c r="Y106" s="220"/>
      <c r="Z106" s="220"/>
      <c r="AA106" s="302"/>
      <c r="AB106" s="309"/>
      <c r="AC106" s="303"/>
      <c r="AD106" s="303"/>
      <c r="AE106" s="220"/>
      <c r="AF106" s="220"/>
      <c r="AG106" s="220"/>
      <c r="AH106" s="220"/>
      <c r="AI106" s="220"/>
      <c r="AJ106" s="220"/>
      <c r="AK106" s="220"/>
      <c r="AL106" s="220"/>
      <c r="AM106" s="220"/>
      <c r="AN106" s="220"/>
      <c r="AO106" s="220"/>
      <c r="AP106" s="220"/>
      <c r="AQ106" s="220"/>
      <c r="AR106" s="220"/>
      <c r="AS106" s="220"/>
      <c r="AT106" s="220"/>
      <c r="AU106" s="220"/>
      <c r="AV106" s="220"/>
      <c r="AW106" s="220"/>
      <c r="AX106" s="220"/>
      <c r="AY106" s="220"/>
      <c r="AZ106" s="220"/>
    </row>
    <row r="107" spans="1:52" x14ac:dyDescent="0.2">
      <c r="A107" s="220"/>
      <c r="B107" s="220"/>
      <c r="C107" s="220"/>
      <c r="D107" s="221"/>
      <c r="E107" s="221"/>
      <c r="F107" s="221"/>
      <c r="G107" s="221"/>
      <c r="H107" s="221"/>
      <c r="I107" s="221"/>
      <c r="J107" s="221"/>
      <c r="K107" s="221"/>
      <c r="L107" s="221"/>
      <c r="M107" s="221"/>
      <c r="N107" s="221"/>
      <c r="O107" s="221"/>
      <c r="P107" s="221"/>
      <c r="Q107" s="221"/>
      <c r="R107" s="221"/>
      <c r="S107" s="221"/>
      <c r="T107" s="221"/>
      <c r="U107" s="220"/>
      <c r="V107" s="220"/>
      <c r="W107" s="220"/>
      <c r="X107" s="220"/>
      <c r="Y107" s="220"/>
      <c r="Z107" s="220"/>
      <c r="AA107" s="302"/>
      <c r="AB107" s="309"/>
      <c r="AC107" s="303"/>
      <c r="AD107" s="303"/>
      <c r="AE107" s="220"/>
      <c r="AF107" s="220"/>
      <c r="AG107" s="220"/>
      <c r="AH107" s="220"/>
      <c r="AI107" s="220"/>
      <c r="AJ107" s="220"/>
      <c r="AK107" s="220"/>
      <c r="AL107" s="220"/>
      <c r="AM107" s="220"/>
      <c r="AN107" s="220"/>
      <c r="AO107" s="220"/>
      <c r="AP107" s="220"/>
      <c r="AQ107" s="220"/>
      <c r="AR107" s="220"/>
      <c r="AS107" s="220"/>
      <c r="AT107" s="220"/>
      <c r="AU107" s="220"/>
      <c r="AV107" s="220"/>
      <c r="AW107" s="220"/>
      <c r="AX107" s="220"/>
      <c r="AY107" s="220"/>
      <c r="AZ107" s="220"/>
    </row>
    <row r="108" spans="1:52" x14ac:dyDescent="0.2">
      <c r="A108" s="220"/>
      <c r="B108" s="220"/>
      <c r="C108" s="220"/>
      <c r="D108" s="221"/>
      <c r="E108" s="221"/>
      <c r="F108" s="221"/>
      <c r="G108" s="221"/>
      <c r="H108" s="221"/>
      <c r="I108" s="221"/>
      <c r="J108" s="221"/>
      <c r="K108" s="221"/>
      <c r="L108" s="221"/>
      <c r="M108" s="221"/>
      <c r="N108" s="221"/>
      <c r="O108" s="221"/>
      <c r="P108" s="221"/>
      <c r="Q108" s="221"/>
      <c r="R108" s="221"/>
      <c r="S108" s="221"/>
      <c r="T108" s="221"/>
      <c r="U108" s="220"/>
      <c r="V108" s="220"/>
      <c r="W108" s="220"/>
      <c r="X108" s="220"/>
      <c r="Y108" s="220"/>
      <c r="Z108" s="220"/>
      <c r="AA108" s="302"/>
      <c r="AB108" s="309"/>
      <c r="AC108" s="303"/>
      <c r="AD108" s="303"/>
      <c r="AE108" s="220"/>
      <c r="AF108" s="220"/>
      <c r="AG108" s="220"/>
      <c r="AH108" s="220"/>
      <c r="AI108" s="220"/>
      <c r="AJ108" s="220"/>
      <c r="AK108" s="220"/>
      <c r="AL108" s="220"/>
      <c r="AM108" s="220"/>
      <c r="AN108" s="220"/>
      <c r="AO108" s="220"/>
      <c r="AP108" s="220"/>
      <c r="AQ108" s="220"/>
      <c r="AR108" s="220"/>
      <c r="AS108" s="220"/>
      <c r="AT108" s="220"/>
      <c r="AU108" s="220"/>
      <c r="AV108" s="220"/>
      <c r="AW108" s="220"/>
      <c r="AX108" s="220"/>
      <c r="AY108" s="220"/>
      <c r="AZ108" s="220"/>
    </row>
    <row r="109" spans="1:52" x14ac:dyDescent="0.2">
      <c r="A109" s="220"/>
      <c r="B109" s="220"/>
      <c r="C109" s="220"/>
      <c r="D109" s="221"/>
      <c r="E109" s="221"/>
      <c r="F109" s="221"/>
      <c r="G109" s="221"/>
      <c r="H109" s="221"/>
      <c r="I109" s="221"/>
      <c r="J109" s="221"/>
      <c r="K109" s="221"/>
      <c r="L109" s="221"/>
      <c r="M109" s="221"/>
      <c r="N109" s="221"/>
      <c r="O109" s="221"/>
      <c r="P109" s="221"/>
      <c r="Q109" s="221"/>
      <c r="R109" s="221"/>
      <c r="S109" s="221"/>
      <c r="T109" s="221"/>
      <c r="U109" s="220"/>
      <c r="V109" s="220"/>
      <c r="W109" s="220"/>
      <c r="X109" s="220"/>
      <c r="Y109" s="220"/>
      <c r="Z109" s="220"/>
      <c r="AA109" s="302"/>
      <c r="AB109" s="309"/>
      <c r="AC109" s="303"/>
      <c r="AD109" s="303"/>
      <c r="AE109" s="220"/>
      <c r="AF109" s="220"/>
      <c r="AG109" s="220"/>
      <c r="AH109" s="220"/>
      <c r="AI109" s="220"/>
      <c r="AJ109" s="220"/>
      <c r="AK109" s="220"/>
      <c r="AL109" s="220"/>
      <c r="AM109" s="220"/>
      <c r="AN109" s="220"/>
      <c r="AO109" s="220"/>
      <c r="AP109" s="220"/>
      <c r="AQ109" s="220"/>
      <c r="AR109" s="220"/>
      <c r="AS109" s="220"/>
      <c r="AT109" s="220"/>
      <c r="AU109" s="220"/>
      <c r="AV109" s="220"/>
      <c r="AW109" s="220"/>
      <c r="AX109" s="220"/>
      <c r="AY109" s="220"/>
      <c r="AZ109" s="220"/>
    </row>
    <row r="110" spans="1:52" x14ac:dyDescent="0.2">
      <c r="A110" s="220"/>
      <c r="B110" s="220"/>
      <c r="C110" s="220"/>
      <c r="D110" s="221"/>
      <c r="E110" s="221"/>
      <c r="F110" s="221"/>
      <c r="G110" s="221"/>
      <c r="H110" s="221"/>
      <c r="I110" s="221"/>
      <c r="J110" s="221"/>
      <c r="K110" s="221"/>
      <c r="L110" s="221"/>
      <c r="M110" s="221"/>
      <c r="N110" s="221"/>
      <c r="O110" s="221"/>
      <c r="P110" s="221"/>
      <c r="Q110" s="221"/>
      <c r="R110" s="221"/>
      <c r="S110" s="221"/>
      <c r="T110" s="221"/>
      <c r="U110" s="220"/>
      <c r="V110" s="220"/>
      <c r="W110" s="220"/>
      <c r="X110" s="220"/>
      <c r="Y110" s="220"/>
      <c r="Z110" s="220"/>
      <c r="AA110" s="302"/>
      <c r="AB110" s="309"/>
      <c r="AC110" s="303"/>
      <c r="AD110" s="303"/>
      <c r="AE110" s="220"/>
      <c r="AF110" s="220"/>
      <c r="AG110" s="220"/>
      <c r="AH110" s="220"/>
      <c r="AI110" s="220"/>
      <c r="AJ110" s="220"/>
      <c r="AK110" s="220"/>
      <c r="AL110" s="220"/>
      <c r="AM110" s="220"/>
      <c r="AN110" s="220"/>
      <c r="AO110" s="220"/>
      <c r="AP110" s="220"/>
      <c r="AQ110" s="220"/>
      <c r="AR110" s="220"/>
      <c r="AS110" s="220"/>
      <c r="AT110" s="220"/>
      <c r="AU110" s="220"/>
      <c r="AV110" s="220"/>
      <c r="AW110" s="220"/>
      <c r="AX110" s="220"/>
      <c r="AY110" s="220"/>
      <c r="AZ110" s="220"/>
    </row>
    <row r="111" spans="1:52" x14ac:dyDescent="0.2">
      <c r="A111" s="220"/>
      <c r="B111" s="220"/>
      <c r="C111" s="220"/>
      <c r="D111" s="221"/>
      <c r="E111" s="221"/>
      <c r="F111" s="221"/>
      <c r="G111" s="221"/>
      <c r="H111" s="221"/>
      <c r="I111" s="221"/>
      <c r="J111" s="221"/>
      <c r="K111" s="221"/>
      <c r="L111" s="221"/>
      <c r="M111" s="221"/>
      <c r="N111" s="221"/>
      <c r="O111" s="221"/>
      <c r="P111" s="221"/>
      <c r="Q111" s="221"/>
      <c r="R111" s="221"/>
      <c r="S111" s="221"/>
      <c r="T111" s="221"/>
      <c r="U111" s="220"/>
      <c r="V111" s="220"/>
      <c r="W111" s="220"/>
      <c r="X111" s="220"/>
      <c r="Y111" s="220"/>
      <c r="Z111" s="220"/>
      <c r="AA111" s="302"/>
      <c r="AB111" s="309"/>
      <c r="AC111" s="303"/>
      <c r="AD111" s="303"/>
      <c r="AE111" s="220"/>
      <c r="AF111" s="220"/>
      <c r="AG111" s="220"/>
      <c r="AH111" s="220"/>
      <c r="AI111" s="220"/>
      <c r="AJ111" s="220"/>
      <c r="AK111" s="220"/>
      <c r="AL111" s="220"/>
      <c r="AM111" s="220"/>
      <c r="AN111" s="220"/>
      <c r="AO111" s="220"/>
      <c r="AP111" s="220"/>
      <c r="AQ111" s="220"/>
      <c r="AR111" s="220"/>
      <c r="AS111" s="220"/>
      <c r="AT111" s="220"/>
      <c r="AU111" s="220"/>
      <c r="AV111" s="220"/>
      <c r="AW111" s="220"/>
      <c r="AX111" s="220"/>
      <c r="AY111" s="220"/>
      <c r="AZ111" s="220"/>
    </row>
    <row r="112" spans="1:52" x14ac:dyDescent="0.2">
      <c r="A112" s="220"/>
      <c r="B112" s="220"/>
      <c r="C112" s="220"/>
      <c r="D112" s="221"/>
      <c r="E112" s="221"/>
      <c r="F112" s="221"/>
      <c r="G112" s="221"/>
      <c r="H112" s="221"/>
      <c r="I112" s="221"/>
      <c r="J112" s="221"/>
      <c r="K112" s="221"/>
      <c r="L112" s="221"/>
      <c r="M112" s="221"/>
      <c r="N112" s="221"/>
      <c r="O112" s="221"/>
      <c r="P112" s="221"/>
      <c r="Q112" s="221"/>
      <c r="R112" s="221"/>
      <c r="S112" s="221"/>
      <c r="T112" s="221"/>
      <c r="U112" s="220"/>
      <c r="V112" s="220"/>
      <c r="W112" s="220"/>
      <c r="X112" s="220"/>
      <c r="Y112" s="220"/>
      <c r="Z112" s="220"/>
      <c r="AA112" s="302"/>
      <c r="AB112" s="309"/>
      <c r="AC112" s="303"/>
      <c r="AD112" s="303"/>
      <c r="AE112" s="220"/>
      <c r="AF112" s="220"/>
      <c r="AG112" s="220"/>
      <c r="AH112" s="220"/>
      <c r="AI112" s="220"/>
      <c r="AJ112" s="220"/>
      <c r="AK112" s="220"/>
      <c r="AL112" s="220"/>
      <c r="AM112" s="220"/>
      <c r="AN112" s="220"/>
      <c r="AO112" s="220"/>
      <c r="AP112" s="220"/>
      <c r="AQ112" s="220"/>
      <c r="AR112" s="220"/>
      <c r="AS112" s="220"/>
      <c r="AT112" s="220"/>
      <c r="AU112" s="220"/>
      <c r="AV112" s="220"/>
      <c r="AW112" s="220"/>
      <c r="AX112" s="220"/>
      <c r="AY112" s="220"/>
      <c r="AZ112" s="220"/>
    </row>
    <row r="113" spans="1:52" x14ac:dyDescent="0.2">
      <c r="A113" s="220"/>
      <c r="B113" s="220"/>
      <c r="C113" s="220"/>
      <c r="D113" s="221"/>
      <c r="E113" s="221"/>
      <c r="F113" s="221"/>
      <c r="G113" s="221"/>
      <c r="H113" s="221"/>
      <c r="I113" s="221"/>
      <c r="J113" s="221"/>
      <c r="K113" s="221"/>
      <c r="L113" s="221"/>
      <c r="M113" s="221"/>
      <c r="N113" s="221"/>
      <c r="O113" s="221"/>
      <c r="P113" s="221"/>
      <c r="Q113" s="221"/>
      <c r="R113" s="221"/>
      <c r="S113" s="221"/>
      <c r="T113" s="221"/>
      <c r="U113" s="220"/>
      <c r="V113" s="220"/>
      <c r="W113" s="220"/>
      <c r="X113" s="220"/>
      <c r="Y113" s="220"/>
      <c r="Z113" s="220"/>
      <c r="AA113" s="302"/>
      <c r="AB113" s="309"/>
      <c r="AC113" s="303"/>
      <c r="AD113" s="303"/>
      <c r="AE113" s="220"/>
      <c r="AF113" s="220"/>
      <c r="AG113" s="220"/>
      <c r="AH113" s="220"/>
      <c r="AI113" s="220"/>
      <c r="AJ113" s="220"/>
      <c r="AK113" s="220"/>
      <c r="AL113" s="220"/>
      <c r="AM113" s="220"/>
      <c r="AN113" s="220"/>
      <c r="AO113" s="220"/>
      <c r="AP113" s="220"/>
      <c r="AQ113" s="220"/>
      <c r="AR113" s="220"/>
      <c r="AS113" s="220"/>
      <c r="AT113" s="220"/>
      <c r="AU113" s="220"/>
      <c r="AV113" s="220"/>
      <c r="AW113" s="220"/>
      <c r="AX113" s="220"/>
      <c r="AY113" s="220"/>
      <c r="AZ113" s="220"/>
    </row>
    <row r="114" spans="1:52" x14ac:dyDescent="0.2">
      <c r="A114" s="220"/>
      <c r="B114" s="220"/>
      <c r="C114" s="220"/>
      <c r="D114" s="221"/>
      <c r="E114" s="221"/>
      <c r="F114" s="221"/>
      <c r="G114" s="221"/>
      <c r="H114" s="221"/>
      <c r="I114" s="221"/>
      <c r="J114" s="221"/>
      <c r="K114" s="221"/>
      <c r="L114" s="221"/>
      <c r="M114" s="221"/>
      <c r="N114" s="221"/>
      <c r="O114" s="221"/>
      <c r="P114" s="221"/>
      <c r="Q114" s="221"/>
      <c r="R114" s="221"/>
      <c r="S114" s="221"/>
      <c r="T114" s="221"/>
      <c r="U114" s="220"/>
      <c r="V114" s="220"/>
      <c r="W114" s="220"/>
      <c r="X114" s="220"/>
      <c r="Y114" s="220"/>
      <c r="Z114" s="220"/>
      <c r="AA114" s="302"/>
      <c r="AB114" s="309"/>
      <c r="AC114" s="303"/>
      <c r="AD114" s="303"/>
      <c r="AE114" s="220"/>
      <c r="AF114" s="220"/>
      <c r="AG114" s="220"/>
      <c r="AH114" s="220"/>
      <c r="AI114" s="220"/>
      <c r="AJ114" s="220"/>
      <c r="AK114" s="220"/>
      <c r="AL114" s="220"/>
      <c r="AM114" s="220"/>
      <c r="AN114" s="220"/>
      <c r="AO114" s="220"/>
      <c r="AP114" s="220"/>
      <c r="AQ114" s="220"/>
      <c r="AR114" s="220"/>
      <c r="AS114" s="220"/>
      <c r="AT114" s="220"/>
      <c r="AU114" s="220"/>
      <c r="AV114" s="220"/>
      <c r="AW114" s="220"/>
      <c r="AX114" s="220"/>
      <c r="AY114" s="220"/>
      <c r="AZ114" s="220"/>
    </row>
    <row r="115" spans="1:52" x14ac:dyDescent="0.2">
      <c r="A115" s="220"/>
      <c r="B115" s="220"/>
      <c r="C115" s="220"/>
      <c r="D115" s="221"/>
      <c r="E115" s="221"/>
      <c r="F115" s="221"/>
      <c r="G115" s="221"/>
      <c r="H115" s="221"/>
      <c r="I115" s="221"/>
      <c r="J115" s="221"/>
      <c r="K115" s="221"/>
      <c r="L115" s="221"/>
      <c r="M115" s="221"/>
      <c r="N115" s="221"/>
      <c r="O115" s="221"/>
      <c r="P115" s="221"/>
      <c r="Q115" s="221"/>
      <c r="R115" s="221"/>
      <c r="S115" s="221"/>
      <c r="T115" s="221"/>
      <c r="U115" s="220"/>
      <c r="V115" s="220"/>
      <c r="W115" s="220"/>
      <c r="X115" s="220"/>
      <c r="Y115" s="220"/>
      <c r="Z115" s="220"/>
      <c r="AA115" s="302"/>
      <c r="AB115" s="309"/>
      <c r="AC115" s="303"/>
      <c r="AD115" s="303"/>
      <c r="AE115" s="220"/>
      <c r="AF115" s="220"/>
      <c r="AG115" s="220"/>
      <c r="AH115" s="220"/>
      <c r="AI115" s="220"/>
      <c r="AJ115" s="220"/>
      <c r="AK115" s="220"/>
      <c r="AL115" s="220"/>
      <c r="AM115" s="220"/>
      <c r="AN115" s="220"/>
      <c r="AO115" s="220"/>
      <c r="AP115" s="220"/>
      <c r="AQ115" s="220"/>
      <c r="AR115" s="220"/>
      <c r="AS115" s="220"/>
      <c r="AT115" s="220"/>
      <c r="AU115" s="220"/>
      <c r="AV115" s="220"/>
      <c r="AW115" s="220"/>
      <c r="AX115" s="220"/>
      <c r="AY115" s="220"/>
      <c r="AZ115" s="220"/>
    </row>
    <row r="116" spans="1:52" x14ac:dyDescent="0.2">
      <c r="A116" s="220"/>
      <c r="B116" s="220"/>
      <c r="C116" s="220"/>
      <c r="D116" s="221"/>
      <c r="E116" s="221"/>
      <c r="F116" s="221"/>
      <c r="G116" s="221"/>
      <c r="H116" s="221"/>
      <c r="I116" s="221"/>
      <c r="J116" s="221"/>
      <c r="K116" s="221"/>
      <c r="L116" s="221"/>
      <c r="M116" s="221"/>
      <c r="N116" s="221"/>
      <c r="O116" s="221"/>
      <c r="P116" s="221"/>
      <c r="Q116" s="221"/>
      <c r="R116" s="221"/>
      <c r="S116" s="221"/>
      <c r="T116" s="221"/>
      <c r="U116" s="220"/>
      <c r="V116" s="220"/>
      <c r="W116" s="220"/>
      <c r="X116" s="220"/>
      <c r="Y116" s="220"/>
      <c r="Z116" s="220"/>
      <c r="AA116" s="302"/>
      <c r="AB116" s="309"/>
      <c r="AC116" s="303"/>
      <c r="AD116" s="303"/>
      <c r="AE116" s="220"/>
      <c r="AF116" s="220"/>
      <c r="AG116" s="220"/>
      <c r="AH116" s="220"/>
      <c r="AI116" s="220"/>
      <c r="AJ116" s="220"/>
      <c r="AK116" s="220"/>
      <c r="AL116" s="220"/>
      <c r="AM116" s="220"/>
      <c r="AN116" s="220"/>
      <c r="AO116" s="220"/>
      <c r="AP116" s="220"/>
      <c r="AQ116" s="220"/>
      <c r="AR116" s="220"/>
      <c r="AS116" s="220"/>
      <c r="AT116" s="220"/>
      <c r="AU116" s="220"/>
      <c r="AV116" s="220"/>
      <c r="AW116" s="220"/>
      <c r="AX116" s="220"/>
      <c r="AY116" s="220"/>
      <c r="AZ116" s="220"/>
    </row>
    <row r="117" spans="1:52" x14ac:dyDescent="0.2">
      <c r="A117" s="220"/>
      <c r="B117" s="220"/>
      <c r="C117" s="220"/>
      <c r="D117" s="221"/>
      <c r="E117" s="221"/>
      <c r="F117" s="221"/>
      <c r="G117" s="221"/>
      <c r="H117" s="221"/>
      <c r="I117" s="221"/>
      <c r="J117" s="221"/>
      <c r="K117" s="221"/>
      <c r="L117" s="221"/>
      <c r="M117" s="221"/>
      <c r="N117" s="221"/>
      <c r="O117" s="221"/>
      <c r="P117" s="221"/>
      <c r="Q117" s="221"/>
      <c r="R117" s="221"/>
      <c r="S117" s="221"/>
      <c r="T117" s="221"/>
      <c r="U117" s="220"/>
      <c r="V117" s="220"/>
      <c r="W117" s="220"/>
      <c r="X117" s="220"/>
      <c r="Y117" s="220"/>
      <c r="Z117" s="220"/>
      <c r="AA117" s="302"/>
      <c r="AB117" s="309"/>
      <c r="AC117" s="303"/>
      <c r="AD117" s="303"/>
      <c r="AE117" s="220"/>
      <c r="AF117" s="220"/>
      <c r="AG117" s="220"/>
      <c r="AH117" s="220"/>
      <c r="AI117" s="220"/>
      <c r="AJ117" s="220"/>
      <c r="AK117" s="220"/>
      <c r="AL117" s="220"/>
      <c r="AM117" s="220"/>
      <c r="AN117" s="220"/>
      <c r="AO117" s="220"/>
      <c r="AP117" s="220"/>
      <c r="AQ117" s="220"/>
      <c r="AR117" s="220"/>
      <c r="AS117" s="220"/>
      <c r="AT117" s="220"/>
      <c r="AU117" s="220"/>
      <c r="AV117" s="220"/>
      <c r="AW117" s="220"/>
      <c r="AX117" s="220"/>
      <c r="AY117" s="220"/>
      <c r="AZ117" s="220"/>
    </row>
    <row r="118" spans="1:52" x14ac:dyDescent="0.2">
      <c r="A118" s="220"/>
      <c r="B118" s="220"/>
      <c r="C118" s="220"/>
      <c r="D118" s="221"/>
      <c r="E118" s="221"/>
      <c r="F118" s="221"/>
      <c r="G118" s="221"/>
      <c r="H118" s="221"/>
      <c r="I118" s="221"/>
      <c r="J118" s="221"/>
      <c r="K118" s="221"/>
      <c r="L118" s="221"/>
      <c r="M118" s="221"/>
      <c r="N118" s="221"/>
      <c r="O118" s="221"/>
      <c r="P118" s="221"/>
      <c r="Q118" s="221"/>
      <c r="R118" s="221"/>
      <c r="S118" s="221"/>
      <c r="T118" s="221"/>
      <c r="U118" s="220"/>
      <c r="V118" s="220"/>
      <c r="W118" s="220"/>
      <c r="X118" s="220"/>
      <c r="Y118" s="220"/>
      <c r="Z118" s="220"/>
      <c r="AA118" s="302"/>
      <c r="AB118" s="309"/>
      <c r="AC118" s="303"/>
      <c r="AD118" s="303"/>
      <c r="AE118" s="220"/>
      <c r="AF118" s="220"/>
      <c r="AG118" s="220"/>
      <c r="AH118" s="220"/>
      <c r="AI118" s="220"/>
      <c r="AJ118" s="220"/>
      <c r="AK118" s="220"/>
      <c r="AL118" s="220"/>
      <c r="AM118" s="220"/>
      <c r="AN118" s="220"/>
      <c r="AO118" s="220"/>
      <c r="AP118" s="220"/>
      <c r="AQ118" s="220"/>
      <c r="AR118" s="220"/>
      <c r="AS118" s="220"/>
      <c r="AT118" s="220"/>
      <c r="AU118" s="220"/>
      <c r="AV118" s="220"/>
      <c r="AW118" s="220"/>
      <c r="AX118" s="220"/>
      <c r="AY118" s="220"/>
      <c r="AZ118" s="220"/>
    </row>
    <row r="119" spans="1:52" x14ac:dyDescent="0.2">
      <c r="A119" s="220"/>
      <c r="B119" s="220"/>
      <c r="C119" s="220"/>
      <c r="D119" s="221"/>
      <c r="E119" s="221"/>
      <c r="F119" s="221"/>
      <c r="G119" s="221"/>
      <c r="H119" s="221"/>
      <c r="I119" s="221"/>
      <c r="J119" s="221"/>
      <c r="K119" s="221"/>
      <c r="L119" s="221"/>
      <c r="M119" s="221"/>
      <c r="N119" s="221"/>
      <c r="O119" s="221"/>
      <c r="P119" s="221"/>
      <c r="Q119" s="221"/>
      <c r="R119" s="221"/>
      <c r="S119" s="221"/>
      <c r="T119" s="221"/>
      <c r="U119" s="220"/>
      <c r="V119" s="220"/>
      <c r="W119" s="220"/>
      <c r="X119" s="220"/>
      <c r="Y119" s="220"/>
      <c r="Z119" s="220"/>
      <c r="AA119" s="302"/>
      <c r="AB119" s="309"/>
      <c r="AC119" s="303"/>
      <c r="AD119" s="303"/>
      <c r="AE119" s="220"/>
      <c r="AF119" s="220"/>
      <c r="AG119" s="220"/>
      <c r="AH119" s="220"/>
      <c r="AI119" s="220"/>
      <c r="AJ119" s="220"/>
      <c r="AK119" s="220"/>
      <c r="AL119" s="220"/>
      <c r="AM119" s="220"/>
      <c r="AN119" s="220"/>
      <c r="AO119" s="220"/>
      <c r="AP119" s="220"/>
      <c r="AQ119" s="220"/>
      <c r="AR119" s="220"/>
      <c r="AS119" s="220"/>
      <c r="AT119" s="220"/>
      <c r="AU119" s="220"/>
      <c r="AV119" s="220"/>
      <c r="AW119" s="220"/>
      <c r="AX119" s="220"/>
      <c r="AY119" s="220"/>
      <c r="AZ119" s="220"/>
    </row>
    <row r="120" spans="1:52" x14ac:dyDescent="0.2">
      <c r="A120" s="220"/>
      <c r="B120" s="220"/>
      <c r="C120" s="220"/>
      <c r="D120" s="221"/>
      <c r="E120" s="221"/>
      <c r="F120" s="221"/>
      <c r="G120" s="221"/>
      <c r="H120" s="221"/>
      <c r="I120" s="221"/>
      <c r="J120" s="221"/>
      <c r="K120" s="221"/>
      <c r="L120" s="221"/>
      <c r="M120" s="221"/>
      <c r="N120" s="221"/>
      <c r="O120" s="221"/>
      <c r="P120" s="221"/>
      <c r="Q120" s="221"/>
      <c r="R120" s="221"/>
      <c r="S120" s="221"/>
      <c r="T120" s="221"/>
      <c r="U120" s="220"/>
      <c r="V120" s="220"/>
      <c r="W120" s="220"/>
      <c r="X120" s="220"/>
      <c r="Y120" s="220"/>
      <c r="Z120" s="220"/>
      <c r="AA120" s="302"/>
      <c r="AB120" s="309"/>
      <c r="AC120" s="303"/>
      <c r="AD120" s="303"/>
      <c r="AE120" s="220"/>
      <c r="AF120" s="220"/>
      <c r="AG120" s="220"/>
      <c r="AH120" s="220"/>
      <c r="AI120" s="220"/>
      <c r="AJ120" s="220"/>
      <c r="AK120" s="220"/>
      <c r="AL120" s="220"/>
      <c r="AM120" s="220"/>
      <c r="AN120" s="220"/>
      <c r="AO120" s="220"/>
      <c r="AP120" s="220"/>
      <c r="AQ120" s="220"/>
      <c r="AR120" s="220"/>
      <c r="AS120" s="220"/>
      <c r="AT120" s="220"/>
      <c r="AU120" s="220"/>
      <c r="AV120" s="220"/>
      <c r="AW120" s="220"/>
      <c r="AX120" s="220"/>
      <c r="AY120" s="220"/>
      <c r="AZ120" s="220"/>
    </row>
    <row r="121" spans="1:52" x14ac:dyDescent="0.2">
      <c r="A121" s="220"/>
      <c r="B121" s="220"/>
      <c r="C121" s="220"/>
      <c r="D121" s="221"/>
      <c r="E121" s="221"/>
      <c r="F121" s="221"/>
      <c r="G121" s="221"/>
      <c r="H121" s="221"/>
      <c r="I121" s="221"/>
      <c r="J121" s="221"/>
      <c r="K121" s="221"/>
      <c r="L121" s="221"/>
      <c r="M121" s="221"/>
      <c r="N121" s="221"/>
      <c r="O121" s="221"/>
      <c r="P121" s="221"/>
      <c r="Q121" s="221"/>
      <c r="R121" s="221"/>
      <c r="S121" s="221"/>
      <c r="T121" s="221"/>
      <c r="U121" s="220"/>
      <c r="V121" s="220"/>
      <c r="W121" s="220"/>
      <c r="X121" s="220"/>
      <c r="Y121" s="220"/>
      <c r="Z121" s="220"/>
      <c r="AA121" s="302"/>
      <c r="AB121" s="309"/>
      <c r="AC121" s="303"/>
      <c r="AD121" s="303"/>
      <c r="AE121" s="220"/>
      <c r="AF121" s="220"/>
      <c r="AG121" s="220"/>
      <c r="AH121" s="220"/>
      <c r="AI121" s="220"/>
      <c r="AJ121" s="220"/>
      <c r="AK121" s="220"/>
      <c r="AL121" s="220"/>
      <c r="AM121" s="220"/>
      <c r="AN121" s="220"/>
      <c r="AO121" s="220"/>
      <c r="AP121" s="220"/>
      <c r="AQ121" s="220"/>
      <c r="AR121" s="220"/>
      <c r="AS121" s="220"/>
      <c r="AT121" s="220"/>
      <c r="AU121" s="220"/>
      <c r="AV121" s="220"/>
      <c r="AW121" s="220"/>
      <c r="AX121" s="220"/>
      <c r="AY121" s="220"/>
      <c r="AZ121" s="220"/>
    </row>
    <row r="122" spans="1:52" x14ac:dyDescent="0.2">
      <c r="A122" s="220"/>
      <c r="B122" s="220"/>
      <c r="C122" s="220"/>
      <c r="D122" s="221"/>
      <c r="E122" s="221"/>
      <c r="F122" s="221"/>
      <c r="G122" s="221"/>
      <c r="H122" s="221"/>
      <c r="I122" s="221"/>
      <c r="J122" s="221"/>
      <c r="K122" s="221"/>
      <c r="L122" s="221"/>
      <c r="M122" s="221"/>
      <c r="N122" s="221"/>
      <c r="O122" s="221"/>
      <c r="P122" s="221"/>
      <c r="Q122" s="221"/>
      <c r="R122" s="221"/>
      <c r="S122" s="221"/>
      <c r="T122" s="221"/>
      <c r="U122" s="220"/>
      <c r="V122" s="220"/>
      <c r="W122" s="220"/>
      <c r="X122" s="220"/>
      <c r="Y122" s="220"/>
      <c r="Z122" s="220"/>
      <c r="AA122" s="302"/>
      <c r="AB122" s="309"/>
      <c r="AC122" s="303"/>
      <c r="AD122" s="303"/>
      <c r="AE122" s="220"/>
      <c r="AF122" s="220"/>
      <c r="AG122" s="220"/>
      <c r="AH122" s="220"/>
      <c r="AI122" s="220"/>
      <c r="AJ122" s="220"/>
      <c r="AK122" s="220"/>
      <c r="AL122" s="220"/>
      <c r="AM122" s="220"/>
      <c r="AN122" s="220"/>
      <c r="AO122" s="220"/>
      <c r="AP122" s="220"/>
      <c r="AQ122" s="220"/>
      <c r="AR122" s="220"/>
      <c r="AS122" s="220"/>
      <c r="AT122" s="220"/>
      <c r="AU122" s="220"/>
      <c r="AV122" s="220"/>
      <c r="AW122" s="220"/>
      <c r="AX122" s="220"/>
      <c r="AY122" s="220"/>
      <c r="AZ122" s="220"/>
    </row>
    <row r="123" spans="1:52" x14ac:dyDescent="0.2">
      <c r="A123" s="220"/>
      <c r="B123" s="220"/>
      <c r="C123" s="220"/>
      <c r="D123" s="221"/>
      <c r="E123" s="221"/>
      <c r="F123" s="221"/>
      <c r="G123" s="221"/>
      <c r="H123" s="221"/>
      <c r="I123" s="221"/>
      <c r="J123" s="221"/>
      <c r="K123" s="221"/>
      <c r="L123" s="221"/>
      <c r="M123" s="221"/>
      <c r="N123" s="221"/>
      <c r="O123" s="221"/>
      <c r="P123" s="221"/>
      <c r="Q123" s="221"/>
      <c r="R123" s="221"/>
      <c r="S123" s="221"/>
      <c r="T123" s="221"/>
      <c r="U123" s="220"/>
      <c r="V123" s="220"/>
      <c r="W123" s="220"/>
      <c r="X123" s="220"/>
      <c r="Y123" s="220"/>
      <c r="Z123" s="220"/>
      <c r="AA123" s="302"/>
      <c r="AB123" s="309"/>
      <c r="AC123" s="303"/>
      <c r="AD123" s="303"/>
      <c r="AE123" s="220"/>
      <c r="AF123" s="220"/>
      <c r="AG123" s="220"/>
      <c r="AH123" s="220"/>
      <c r="AI123" s="220"/>
      <c r="AJ123" s="220"/>
      <c r="AK123" s="220"/>
      <c r="AL123" s="220"/>
      <c r="AM123" s="220"/>
      <c r="AN123" s="220"/>
      <c r="AO123" s="220"/>
      <c r="AP123" s="220"/>
      <c r="AQ123" s="220"/>
      <c r="AR123" s="220"/>
      <c r="AS123" s="220"/>
      <c r="AT123" s="220"/>
      <c r="AU123" s="220"/>
      <c r="AV123" s="220"/>
      <c r="AW123" s="220"/>
      <c r="AX123" s="220"/>
      <c r="AY123" s="220"/>
      <c r="AZ123" s="220"/>
    </row>
    <row r="124" spans="1:52" x14ac:dyDescent="0.2">
      <c r="A124" s="220"/>
      <c r="B124" s="220"/>
      <c r="C124" s="220"/>
      <c r="D124" s="221"/>
      <c r="E124" s="221"/>
      <c r="F124" s="221"/>
      <c r="G124" s="221"/>
      <c r="H124" s="221"/>
      <c r="I124" s="221"/>
      <c r="J124" s="221"/>
      <c r="K124" s="221"/>
      <c r="L124" s="221"/>
      <c r="M124" s="221"/>
      <c r="N124" s="221"/>
      <c r="O124" s="221"/>
      <c r="P124" s="221"/>
      <c r="Q124" s="221"/>
      <c r="R124" s="221"/>
      <c r="S124" s="221"/>
      <c r="T124" s="221"/>
      <c r="U124" s="220"/>
      <c r="V124" s="220"/>
      <c r="W124" s="220"/>
      <c r="X124" s="220"/>
      <c r="Y124" s="220"/>
      <c r="Z124" s="220"/>
      <c r="AA124" s="302"/>
      <c r="AB124" s="309"/>
      <c r="AC124" s="303"/>
      <c r="AD124" s="303"/>
      <c r="AE124" s="220"/>
      <c r="AF124" s="220"/>
      <c r="AG124" s="220"/>
      <c r="AH124" s="220"/>
      <c r="AI124" s="220"/>
      <c r="AJ124" s="220"/>
      <c r="AK124" s="220"/>
      <c r="AL124" s="220"/>
      <c r="AM124" s="220"/>
      <c r="AN124" s="220"/>
      <c r="AO124" s="220"/>
      <c r="AP124" s="220"/>
      <c r="AQ124" s="220"/>
      <c r="AR124" s="220"/>
      <c r="AS124" s="220"/>
      <c r="AT124" s="220"/>
      <c r="AU124" s="220"/>
      <c r="AV124" s="220"/>
      <c r="AW124" s="220"/>
      <c r="AX124" s="220"/>
      <c r="AY124" s="220"/>
      <c r="AZ124" s="220"/>
    </row>
    <row r="125" spans="1:52" x14ac:dyDescent="0.2">
      <c r="A125" s="220"/>
      <c r="B125" s="220"/>
      <c r="C125" s="220"/>
      <c r="D125" s="221"/>
      <c r="E125" s="221"/>
      <c r="F125" s="221"/>
      <c r="G125" s="221"/>
      <c r="H125" s="221"/>
      <c r="I125" s="221"/>
      <c r="J125" s="221"/>
      <c r="K125" s="221"/>
      <c r="L125" s="221"/>
      <c r="M125" s="221"/>
      <c r="N125" s="221"/>
      <c r="O125" s="221"/>
      <c r="P125" s="221"/>
      <c r="Q125" s="221"/>
      <c r="R125" s="221"/>
      <c r="S125" s="221"/>
      <c r="T125" s="221"/>
      <c r="U125" s="220"/>
      <c r="V125" s="220"/>
      <c r="W125" s="220"/>
      <c r="X125" s="220"/>
      <c r="Y125" s="220"/>
      <c r="Z125" s="220"/>
      <c r="AA125" s="302"/>
      <c r="AB125" s="309"/>
      <c r="AC125" s="303"/>
      <c r="AD125" s="303"/>
      <c r="AE125" s="220"/>
      <c r="AF125" s="220"/>
      <c r="AG125" s="220"/>
      <c r="AH125" s="220"/>
      <c r="AI125" s="220"/>
      <c r="AJ125" s="220"/>
      <c r="AK125" s="220"/>
      <c r="AL125" s="220"/>
      <c r="AM125" s="220"/>
      <c r="AN125" s="220"/>
      <c r="AO125" s="220"/>
      <c r="AP125" s="220"/>
      <c r="AQ125" s="220"/>
      <c r="AR125" s="220"/>
      <c r="AS125" s="220"/>
      <c r="AT125" s="220"/>
      <c r="AU125" s="220"/>
      <c r="AV125" s="220"/>
      <c r="AW125" s="220"/>
      <c r="AX125" s="220"/>
      <c r="AY125" s="220"/>
      <c r="AZ125" s="220"/>
    </row>
    <row r="126" spans="1:52" x14ac:dyDescent="0.2">
      <c r="A126" s="220"/>
      <c r="B126" s="220"/>
      <c r="C126" s="220"/>
      <c r="D126" s="221"/>
      <c r="E126" s="221"/>
      <c r="F126" s="221"/>
      <c r="G126" s="221"/>
      <c r="H126" s="221"/>
      <c r="I126" s="221"/>
      <c r="J126" s="221"/>
      <c r="K126" s="221"/>
      <c r="L126" s="221"/>
      <c r="M126" s="221"/>
      <c r="N126" s="221"/>
      <c r="O126" s="221"/>
      <c r="P126" s="221"/>
      <c r="Q126" s="221"/>
      <c r="R126" s="221"/>
      <c r="S126" s="221"/>
      <c r="T126" s="221"/>
      <c r="U126" s="220"/>
      <c r="V126" s="220"/>
      <c r="W126" s="220"/>
      <c r="X126" s="220"/>
      <c r="Y126" s="220"/>
      <c r="Z126" s="220"/>
      <c r="AA126" s="302"/>
      <c r="AB126" s="309"/>
      <c r="AC126" s="303"/>
      <c r="AD126" s="303"/>
      <c r="AE126" s="220"/>
      <c r="AF126" s="220"/>
      <c r="AG126" s="220"/>
      <c r="AH126" s="220"/>
      <c r="AI126" s="220"/>
      <c r="AJ126" s="220"/>
      <c r="AK126" s="220"/>
      <c r="AL126" s="220"/>
      <c r="AM126" s="220"/>
      <c r="AN126" s="220"/>
      <c r="AO126" s="220"/>
      <c r="AP126" s="220"/>
      <c r="AQ126" s="220"/>
      <c r="AR126" s="220"/>
      <c r="AS126" s="220"/>
      <c r="AT126" s="220"/>
      <c r="AU126" s="220"/>
      <c r="AV126" s="220"/>
      <c r="AW126" s="220"/>
      <c r="AX126" s="220"/>
      <c r="AY126" s="220"/>
      <c r="AZ126" s="220"/>
    </row>
    <row r="127" spans="1:52" x14ac:dyDescent="0.2">
      <c r="A127" s="220"/>
      <c r="B127" s="220"/>
      <c r="C127" s="220"/>
      <c r="D127" s="221"/>
      <c r="E127" s="221"/>
      <c r="F127" s="221"/>
      <c r="G127" s="221"/>
      <c r="H127" s="221"/>
      <c r="I127" s="221"/>
      <c r="J127" s="221"/>
      <c r="K127" s="221"/>
      <c r="L127" s="221"/>
      <c r="M127" s="221"/>
      <c r="N127" s="221"/>
      <c r="O127" s="221"/>
      <c r="P127" s="221"/>
      <c r="Q127" s="221"/>
      <c r="R127" s="221"/>
      <c r="S127" s="221"/>
      <c r="T127" s="221"/>
      <c r="U127" s="220"/>
      <c r="V127" s="220"/>
      <c r="W127" s="220"/>
      <c r="X127" s="220"/>
      <c r="Y127" s="220"/>
      <c r="Z127" s="220"/>
      <c r="AA127" s="302"/>
      <c r="AB127" s="309"/>
      <c r="AC127" s="303"/>
      <c r="AD127" s="303"/>
      <c r="AE127" s="220"/>
      <c r="AF127" s="220"/>
      <c r="AG127" s="220"/>
      <c r="AH127" s="220"/>
      <c r="AI127" s="220"/>
      <c r="AJ127" s="220"/>
      <c r="AK127" s="220"/>
      <c r="AL127" s="220"/>
      <c r="AM127" s="220"/>
      <c r="AN127" s="220"/>
      <c r="AO127" s="220"/>
      <c r="AP127" s="220"/>
      <c r="AQ127" s="220"/>
      <c r="AR127" s="220"/>
      <c r="AS127" s="220"/>
      <c r="AT127" s="220"/>
      <c r="AU127" s="220"/>
      <c r="AV127" s="220"/>
      <c r="AW127" s="220"/>
      <c r="AX127" s="220"/>
      <c r="AY127" s="220"/>
      <c r="AZ127" s="220"/>
    </row>
    <row r="128" spans="1:52" x14ac:dyDescent="0.2">
      <c r="A128" s="220"/>
      <c r="B128" s="220"/>
      <c r="C128" s="220"/>
      <c r="D128" s="221"/>
      <c r="E128" s="221"/>
      <c r="F128" s="221"/>
      <c r="G128" s="221"/>
      <c r="H128" s="221"/>
      <c r="I128" s="221"/>
      <c r="J128" s="221"/>
      <c r="K128" s="221"/>
      <c r="L128" s="221"/>
      <c r="M128" s="221"/>
      <c r="N128" s="221"/>
      <c r="O128" s="221"/>
      <c r="P128" s="221"/>
      <c r="Q128" s="221"/>
      <c r="R128" s="221"/>
      <c r="S128" s="221"/>
      <c r="T128" s="221"/>
      <c r="U128" s="220"/>
      <c r="V128" s="220"/>
      <c r="W128" s="220"/>
      <c r="X128" s="220"/>
      <c r="Y128" s="220"/>
      <c r="Z128" s="220"/>
      <c r="AA128" s="302"/>
      <c r="AB128" s="309"/>
      <c r="AC128" s="303"/>
      <c r="AD128" s="303"/>
      <c r="AE128" s="220"/>
      <c r="AF128" s="220"/>
      <c r="AG128" s="220"/>
      <c r="AH128" s="220"/>
      <c r="AI128" s="220"/>
      <c r="AJ128" s="220"/>
      <c r="AK128" s="220"/>
      <c r="AL128" s="220"/>
      <c r="AM128" s="220"/>
      <c r="AN128" s="220"/>
      <c r="AO128" s="220"/>
      <c r="AP128" s="220"/>
      <c r="AQ128" s="220"/>
      <c r="AR128" s="220"/>
      <c r="AS128" s="220"/>
      <c r="AT128" s="220"/>
      <c r="AU128" s="220"/>
      <c r="AV128" s="220"/>
      <c r="AW128" s="220"/>
      <c r="AX128" s="220"/>
      <c r="AY128" s="220"/>
      <c r="AZ128" s="220"/>
    </row>
    <row r="129" spans="1:52" x14ac:dyDescent="0.2">
      <c r="A129" s="220"/>
      <c r="B129" s="220"/>
      <c r="C129" s="220"/>
      <c r="D129" s="221"/>
      <c r="E129" s="221"/>
      <c r="F129" s="221"/>
      <c r="G129" s="221"/>
      <c r="H129" s="221"/>
      <c r="I129" s="221"/>
      <c r="J129" s="221"/>
      <c r="K129" s="221"/>
      <c r="L129" s="221"/>
      <c r="M129" s="221"/>
      <c r="N129" s="221"/>
      <c r="O129" s="221"/>
      <c r="P129" s="221"/>
      <c r="Q129" s="221"/>
      <c r="R129" s="221"/>
      <c r="S129" s="221"/>
      <c r="T129" s="221"/>
      <c r="U129" s="220"/>
      <c r="V129" s="220"/>
      <c r="W129" s="220"/>
      <c r="X129" s="220"/>
      <c r="Y129" s="220"/>
      <c r="Z129" s="220"/>
      <c r="AA129" s="302"/>
      <c r="AB129" s="309"/>
      <c r="AC129" s="303"/>
      <c r="AD129" s="303"/>
      <c r="AE129" s="220"/>
      <c r="AF129" s="220"/>
      <c r="AG129" s="220"/>
      <c r="AH129" s="220"/>
      <c r="AI129" s="220"/>
      <c r="AJ129" s="220"/>
      <c r="AK129" s="220"/>
      <c r="AL129" s="220"/>
      <c r="AM129" s="220"/>
      <c r="AN129" s="220"/>
      <c r="AO129" s="220"/>
      <c r="AP129" s="220"/>
      <c r="AQ129" s="220"/>
      <c r="AR129" s="220"/>
      <c r="AS129" s="220"/>
      <c r="AT129" s="220"/>
      <c r="AU129" s="220"/>
      <c r="AV129" s="220"/>
      <c r="AW129" s="220"/>
      <c r="AX129" s="220"/>
      <c r="AY129" s="220"/>
      <c r="AZ129" s="220"/>
    </row>
    <row r="130" spans="1:52" x14ac:dyDescent="0.2">
      <c r="A130" s="220"/>
      <c r="B130" s="220"/>
      <c r="C130" s="220"/>
      <c r="D130" s="221"/>
      <c r="E130" s="221"/>
      <c r="F130" s="221"/>
      <c r="G130" s="221"/>
      <c r="H130" s="221"/>
      <c r="I130" s="221"/>
      <c r="J130" s="221"/>
      <c r="K130" s="221"/>
      <c r="L130" s="221"/>
      <c r="M130" s="221"/>
      <c r="N130" s="221"/>
      <c r="O130" s="221"/>
      <c r="P130" s="221"/>
      <c r="Q130" s="221"/>
      <c r="R130" s="221"/>
      <c r="S130" s="221"/>
      <c r="T130" s="221"/>
      <c r="U130" s="220"/>
      <c r="V130" s="220"/>
      <c r="W130" s="220"/>
      <c r="X130" s="220"/>
      <c r="Y130" s="220"/>
      <c r="Z130" s="220"/>
      <c r="AA130" s="302"/>
      <c r="AB130" s="309"/>
      <c r="AC130" s="303"/>
      <c r="AD130" s="303"/>
      <c r="AE130" s="220"/>
      <c r="AF130" s="220"/>
      <c r="AG130" s="220"/>
      <c r="AH130" s="220"/>
      <c r="AI130" s="220"/>
      <c r="AJ130" s="220"/>
      <c r="AK130" s="220"/>
      <c r="AL130" s="220"/>
      <c r="AM130" s="220"/>
      <c r="AN130" s="220"/>
      <c r="AO130" s="220"/>
      <c r="AP130" s="220"/>
      <c r="AQ130" s="220"/>
      <c r="AR130" s="220"/>
      <c r="AS130" s="220"/>
      <c r="AT130" s="220"/>
      <c r="AU130" s="220"/>
      <c r="AV130" s="220"/>
      <c r="AW130" s="220"/>
      <c r="AX130" s="220"/>
      <c r="AY130" s="220"/>
      <c r="AZ130" s="220"/>
    </row>
    <row r="131" spans="1:52" x14ac:dyDescent="0.2">
      <c r="A131" s="220"/>
      <c r="B131" s="220"/>
      <c r="C131" s="220"/>
      <c r="D131" s="221"/>
      <c r="E131" s="221"/>
      <c r="F131" s="221"/>
      <c r="G131" s="221"/>
      <c r="H131" s="221"/>
      <c r="I131" s="221"/>
      <c r="J131" s="221"/>
      <c r="K131" s="221"/>
      <c r="L131" s="221"/>
      <c r="M131" s="221"/>
      <c r="N131" s="221"/>
      <c r="O131" s="221"/>
      <c r="P131" s="221"/>
      <c r="Q131" s="221"/>
      <c r="R131" s="221"/>
      <c r="S131" s="221"/>
      <c r="T131" s="221"/>
      <c r="U131" s="220"/>
      <c r="V131" s="220"/>
      <c r="W131" s="220"/>
      <c r="X131" s="220"/>
      <c r="Y131" s="220"/>
      <c r="Z131" s="220"/>
      <c r="AA131" s="302"/>
      <c r="AB131" s="309"/>
      <c r="AC131" s="303"/>
      <c r="AD131" s="303"/>
      <c r="AE131" s="220"/>
      <c r="AF131" s="220"/>
      <c r="AG131" s="220"/>
      <c r="AH131" s="220"/>
      <c r="AI131" s="220"/>
      <c r="AJ131" s="220"/>
      <c r="AK131" s="220"/>
      <c r="AL131" s="220"/>
      <c r="AM131" s="220"/>
      <c r="AN131" s="220"/>
      <c r="AO131" s="220"/>
      <c r="AP131" s="220"/>
      <c r="AQ131" s="220"/>
      <c r="AR131" s="220"/>
      <c r="AS131" s="220"/>
      <c r="AT131" s="220"/>
      <c r="AU131" s="220"/>
      <c r="AV131" s="220"/>
      <c r="AW131" s="220"/>
      <c r="AX131" s="220"/>
      <c r="AY131" s="220"/>
      <c r="AZ131" s="220"/>
    </row>
    <row r="132" spans="1:52" x14ac:dyDescent="0.2">
      <c r="A132" s="220"/>
      <c r="B132" s="220"/>
      <c r="C132" s="220"/>
      <c r="D132" s="221"/>
      <c r="E132" s="221"/>
      <c r="F132" s="221"/>
      <c r="G132" s="221"/>
      <c r="H132" s="221"/>
      <c r="I132" s="221"/>
      <c r="J132" s="221"/>
      <c r="K132" s="221"/>
      <c r="L132" s="221"/>
      <c r="M132" s="221"/>
      <c r="N132" s="221"/>
      <c r="O132" s="221"/>
      <c r="P132" s="221"/>
      <c r="Q132" s="221"/>
      <c r="R132" s="221"/>
      <c r="S132" s="221"/>
      <c r="T132" s="221"/>
      <c r="U132" s="220"/>
      <c r="V132" s="220"/>
      <c r="W132" s="220"/>
      <c r="X132" s="220"/>
      <c r="Y132" s="220"/>
      <c r="Z132" s="220"/>
      <c r="AA132" s="310"/>
      <c r="AB132" s="221"/>
      <c r="AC132" s="220"/>
      <c r="AD132" s="220"/>
      <c r="AE132" s="220"/>
      <c r="AF132" s="220"/>
      <c r="AG132" s="220"/>
      <c r="AH132" s="220"/>
      <c r="AI132" s="220"/>
      <c r="AJ132" s="220"/>
      <c r="AK132" s="220"/>
      <c r="AL132" s="220"/>
      <c r="AM132" s="220"/>
      <c r="AN132" s="220"/>
      <c r="AO132" s="220"/>
      <c r="AP132" s="220"/>
      <c r="AQ132" s="220"/>
      <c r="AR132" s="220"/>
      <c r="AS132" s="220"/>
      <c r="AT132" s="220"/>
      <c r="AU132" s="220"/>
      <c r="AV132" s="220"/>
      <c r="AW132" s="220"/>
      <c r="AX132" s="220"/>
      <c r="AY132" s="220"/>
      <c r="AZ132" s="220"/>
    </row>
  </sheetData>
  <mergeCells count="3">
    <mergeCell ref="E69:P69"/>
    <mergeCell ref="B77:C77"/>
    <mergeCell ref="E77:P77"/>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N162"/>
  <sheetViews>
    <sheetView topLeftCell="A18" zoomScale="79" zoomScaleNormal="70" workbookViewId="0">
      <selection activeCell="A20" sqref="A20"/>
    </sheetView>
  </sheetViews>
  <sheetFormatPr defaultColWidth="9.28515625" defaultRowHeight="15" x14ac:dyDescent="0.2"/>
  <cols>
    <col min="1" max="2" width="9.28515625" style="297"/>
    <col min="3" max="3" width="29" style="297" customWidth="1"/>
    <col min="4" max="5" width="8.5703125" style="298" customWidth="1"/>
    <col min="6" max="6" width="7.42578125" style="298" customWidth="1"/>
    <col min="7" max="7" width="6.42578125" style="298" customWidth="1"/>
    <col min="8" max="9" width="7.42578125" style="298" customWidth="1"/>
    <col min="10" max="10" width="8.42578125" style="298" customWidth="1"/>
    <col min="11" max="11" width="6.7109375" style="298" customWidth="1"/>
    <col min="12" max="12" width="8.42578125" style="298" customWidth="1"/>
    <col min="13" max="17" width="8.7109375" style="298" customWidth="1"/>
    <col min="18" max="18" width="10.28515625" style="298" customWidth="1"/>
    <col min="19" max="19" width="12.7109375" style="298" customWidth="1"/>
    <col min="20" max="20" width="16.7109375" style="298" customWidth="1"/>
    <col min="21" max="21" width="12.7109375" style="297" customWidth="1"/>
    <col min="22" max="22" width="15.5703125" style="297" customWidth="1"/>
    <col min="23" max="26" width="9.28515625" style="297"/>
    <col min="27" max="27" width="22.5703125" style="301" customWidth="1"/>
    <col min="28" max="28" width="12.5703125" style="298" bestFit="1" customWidth="1"/>
    <col min="29" max="29" width="61.5703125" style="297" bestFit="1" customWidth="1"/>
    <col min="30" max="30" width="11.42578125" style="297" customWidth="1"/>
    <col min="31" max="31" width="10.42578125" style="297" bestFit="1" customWidth="1"/>
    <col min="32" max="36" width="9.28515625" style="297"/>
    <col min="37" max="40" width="24.42578125" style="297" customWidth="1"/>
    <col min="41" max="16384" width="9.28515625" style="297"/>
  </cols>
  <sheetData>
    <row r="1" spans="1:37" x14ac:dyDescent="0.2">
      <c r="E1" s="356"/>
    </row>
    <row r="2" spans="1:37" x14ac:dyDescent="0.2">
      <c r="A2" s="220"/>
      <c r="B2" s="220"/>
      <c r="C2" s="315">
        <v>43830</v>
      </c>
      <c r="E2" s="221"/>
      <c r="F2" s="221"/>
      <c r="G2" s="221"/>
      <c r="H2" s="221"/>
      <c r="I2" s="221"/>
      <c r="J2" s="221"/>
      <c r="K2" s="221"/>
      <c r="L2" s="221"/>
      <c r="M2" s="221"/>
      <c r="N2" s="221"/>
      <c r="O2" s="221"/>
      <c r="P2" s="221"/>
      <c r="Q2" s="221"/>
      <c r="R2" s="221"/>
      <c r="S2" s="221"/>
      <c r="T2" s="221"/>
      <c r="U2" s="220"/>
      <c r="V2" s="220"/>
      <c r="W2" s="220"/>
      <c r="X2" s="220"/>
      <c r="Y2" s="220"/>
      <c r="Z2" s="220"/>
      <c r="AA2" s="310"/>
      <c r="AB2" s="221"/>
      <c r="AC2" s="220"/>
      <c r="AD2" s="220"/>
      <c r="AE2" s="220"/>
      <c r="AF2" s="220"/>
      <c r="AG2" s="220"/>
      <c r="AH2" s="220"/>
      <c r="AI2" s="220"/>
      <c r="AJ2" s="220"/>
      <c r="AK2" s="220"/>
    </row>
    <row r="3" spans="1:37" x14ac:dyDescent="0.2">
      <c r="A3" s="220"/>
      <c r="B3" s="220"/>
      <c r="C3" s="221"/>
      <c r="D3" s="221"/>
      <c r="E3" s="221"/>
      <c r="F3" s="221"/>
      <c r="G3" s="221"/>
      <c r="H3" s="221"/>
      <c r="I3" s="221"/>
      <c r="J3" s="221"/>
      <c r="K3" s="221"/>
      <c r="L3" s="221"/>
      <c r="M3" s="221"/>
      <c r="N3" s="221"/>
      <c r="O3" s="221"/>
      <c r="P3" s="221"/>
      <c r="Q3" s="221"/>
      <c r="R3" s="221"/>
      <c r="S3" s="221"/>
      <c r="T3" s="221"/>
      <c r="U3" s="220"/>
      <c r="V3" s="220"/>
      <c r="W3" s="220"/>
      <c r="X3" s="220"/>
      <c r="Y3" s="220"/>
      <c r="Z3" s="220"/>
      <c r="AA3" s="310"/>
      <c r="AB3" s="221"/>
      <c r="AC3" s="220" t="s">
        <v>286</v>
      </c>
      <c r="AD3" s="220"/>
      <c r="AE3" s="220"/>
      <c r="AF3" s="220"/>
      <c r="AG3" s="220"/>
      <c r="AH3" s="220"/>
      <c r="AI3" s="220"/>
      <c r="AJ3" s="220"/>
      <c r="AK3" s="220"/>
    </row>
    <row r="4" spans="1:37" x14ac:dyDescent="0.2">
      <c r="A4" s="220"/>
      <c r="B4" s="220"/>
      <c r="C4" s="371"/>
      <c r="D4" s="371"/>
      <c r="E4" s="371"/>
      <c r="F4" s="371"/>
      <c r="G4" s="371"/>
      <c r="H4" s="371"/>
      <c r="I4" s="371"/>
      <c r="J4" s="371"/>
      <c r="K4" s="371"/>
      <c r="L4" s="371"/>
      <c r="M4" s="371"/>
      <c r="N4" s="371"/>
      <c r="O4" s="371"/>
      <c r="P4" s="371"/>
      <c r="Q4" s="371"/>
      <c r="R4" s="221"/>
      <c r="S4" s="221"/>
      <c r="T4" s="221"/>
      <c r="U4" s="220"/>
      <c r="V4" s="220"/>
      <c r="W4" s="220"/>
      <c r="X4" s="220"/>
      <c r="Y4" s="220"/>
      <c r="Z4" s="220"/>
      <c r="AA4" s="350" t="s">
        <v>144</v>
      </c>
      <c r="AB4" s="351" t="s">
        <v>147</v>
      </c>
      <c r="AC4" s="352" t="s">
        <v>287</v>
      </c>
      <c r="AD4" s="368" t="s">
        <v>355</v>
      </c>
      <c r="AE4" s="352" t="s">
        <v>102</v>
      </c>
      <c r="AF4" s="220"/>
      <c r="AG4" s="220"/>
      <c r="AH4" s="220"/>
      <c r="AI4" s="220"/>
      <c r="AJ4" s="220"/>
      <c r="AK4" s="220"/>
    </row>
    <row r="5" spans="1:37" x14ac:dyDescent="0.2">
      <c r="A5" s="220"/>
      <c r="B5" s="220"/>
      <c r="C5" s="220"/>
      <c r="D5" s="221"/>
      <c r="E5" s="221"/>
      <c r="F5" s="221"/>
      <c r="G5" s="221"/>
      <c r="H5" s="221"/>
      <c r="I5" s="221"/>
      <c r="J5" s="221"/>
      <c r="K5" s="221"/>
      <c r="L5" s="221"/>
      <c r="M5" s="221"/>
      <c r="N5" s="221"/>
      <c r="O5" s="221"/>
      <c r="P5" s="221"/>
      <c r="Q5" s="221"/>
      <c r="R5" s="221"/>
      <c r="S5" s="221"/>
      <c r="T5" s="221"/>
      <c r="U5" s="220"/>
      <c r="V5" s="220"/>
      <c r="W5" s="220"/>
      <c r="X5" s="220"/>
      <c r="Y5" s="220"/>
      <c r="Z5" s="220"/>
      <c r="AA5" s="350">
        <v>43551</v>
      </c>
      <c r="AB5" s="351">
        <v>2018</v>
      </c>
      <c r="AC5" s="352" t="s">
        <v>170</v>
      </c>
      <c r="AD5" s="368">
        <v>389</v>
      </c>
      <c r="AE5" s="352" t="s">
        <v>102</v>
      </c>
      <c r="AF5" s="220"/>
      <c r="AG5" s="220"/>
      <c r="AH5" s="220"/>
      <c r="AI5" s="220"/>
      <c r="AJ5" s="220"/>
      <c r="AK5" s="220"/>
    </row>
    <row r="6" spans="1:37" ht="15.75" thickBot="1" x14ac:dyDescent="0.25">
      <c r="A6" s="220"/>
      <c r="B6" s="220"/>
      <c r="C6" s="220"/>
      <c r="D6" s="221"/>
      <c r="E6" s="221"/>
      <c r="F6" s="221"/>
      <c r="G6" s="221"/>
      <c r="H6" s="221"/>
      <c r="I6" s="221"/>
      <c r="J6" s="221"/>
      <c r="K6" s="221"/>
      <c r="L6" s="221" t="s">
        <v>360</v>
      </c>
      <c r="M6" s="221"/>
      <c r="N6" s="221"/>
      <c r="O6" s="221"/>
      <c r="P6" s="221"/>
      <c r="Q6" s="221"/>
      <c r="R6" s="221"/>
      <c r="S6" s="221"/>
      <c r="T6" s="221"/>
      <c r="U6" s="220"/>
      <c r="V6" s="220"/>
      <c r="W6" s="220"/>
      <c r="X6" s="220"/>
      <c r="Y6" s="220"/>
      <c r="Z6" s="220"/>
      <c r="AA6" s="350">
        <v>43551</v>
      </c>
      <c r="AB6" s="351">
        <v>2018</v>
      </c>
      <c r="AC6" s="352" t="s">
        <v>295</v>
      </c>
      <c r="AD6" s="368">
        <v>75</v>
      </c>
      <c r="AE6" s="352" t="s">
        <v>102</v>
      </c>
      <c r="AF6" s="220"/>
      <c r="AG6" s="220"/>
      <c r="AH6" s="220"/>
      <c r="AI6" s="220"/>
      <c r="AJ6" s="220"/>
      <c r="AK6" s="220"/>
    </row>
    <row r="7" spans="1:37" ht="16.5" thickBot="1" x14ac:dyDescent="0.3">
      <c r="A7" s="222"/>
      <c r="B7" s="223" t="s">
        <v>0</v>
      </c>
      <c r="C7" s="224"/>
      <c r="D7" s="349"/>
      <c r="E7" s="349"/>
      <c r="F7" s="349"/>
      <c r="G7" s="349"/>
      <c r="H7" s="349"/>
      <c r="I7" s="349"/>
      <c r="J7" s="349"/>
      <c r="K7" s="349"/>
      <c r="L7" s="349"/>
      <c r="M7" s="349"/>
      <c r="N7" s="349"/>
      <c r="O7" s="349"/>
      <c r="P7" s="349"/>
      <c r="Q7" s="349"/>
      <c r="R7" s="349"/>
      <c r="S7" s="349"/>
      <c r="T7" s="311"/>
      <c r="U7" s="223" t="s">
        <v>0</v>
      </c>
      <c r="V7" s="224"/>
      <c r="W7" s="220"/>
      <c r="X7" s="220"/>
      <c r="Y7" s="220"/>
      <c r="Z7" s="220"/>
      <c r="AA7" s="350">
        <v>43551</v>
      </c>
      <c r="AB7" s="351">
        <v>2018</v>
      </c>
      <c r="AC7" s="352" t="s">
        <v>296</v>
      </c>
      <c r="AD7" s="368">
        <v>75</v>
      </c>
      <c r="AE7" s="352" t="s">
        <v>102</v>
      </c>
      <c r="AF7" s="220"/>
      <c r="AG7" s="220"/>
      <c r="AH7" s="220"/>
      <c r="AI7" s="220"/>
      <c r="AJ7" s="220"/>
      <c r="AK7" s="220"/>
    </row>
    <row r="8" spans="1:37" ht="63.75" thickBot="1" x14ac:dyDescent="0.3">
      <c r="A8" s="160" t="s">
        <v>79</v>
      </c>
      <c r="B8" s="156" t="s">
        <v>3</v>
      </c>
      <c r="C8" s="107" t="s">
        <v>2</v>
      </c>
      <c r="D8" s="109" t="s">
        <v>289</v>
      </c>
      <c r="E8" s="219" t="s">
        <v>4</v>
      </c>
      <c r="F8" s="110" t="s">
        <v>5</v>
      </c>
      <c r="G8" s="110" t="s">
        <v>6</v>
      </c>
      <c r="H8" s="110" t="s">
        <v>7</v>
      </c>
      <c r="I8" s="110" t="s">
        <v>8</v>
      </c>
      <c r="J8" s="110" t="s">
        <v>9</v>
      </c>
      <c r="K8" s="110" t="s">
        <v>10</v>
      </c>
      <c r="L8" s="110" t="s">
        <v>11</v>
      </c>
      <c r="M8" s="110" t="s">
        <v>12</v>
      </c>
      <c r="N8" s="110" t="s">
        <v>13</v>
      </c>
      <c r="O8" s="110" t="s">
        <v>14</v>
      </c>
      <c r="P8" s="110" t="s">
        <v>15</v>
      </c>
      <c r="Q8" s="111" t="s">
        <v>16</v>
      </c>
      <c r="R8" s="112" t="s">
        <v>290</v>
      </c>
      <c r="S8" s="109" t="s">
        <v>19</v>
      </c>
      <c r="T8" s="113" t="s">
        <v>41</v>
      </c>
      <c r="U8" s="156" t="s">
        <v>3</v>
      </c>
      <c r="V8" s="107" t="s">
        <v>2</v>
      </c>
      <c r="W8" s="220"/>
      <c r="X8" s="220"/>
      <c r="Y8" s="220"/>
      <c r="Z8" s="220"/>
      <c r="AA8" s="350">
        <v>43551</v>
      </c>
      <c r="AB8" s="351">
        <v>2018</v>
      </c>
      <c r="AC8" s="352" t="s">
        <v>297</v>
      </c>
      <c r="AD8" s="368">
        <v>75</v>
      </c>
      <c r="AE8" s="352" t="s">
        <v>102</v>
      </c>
      <c r="AF8" s="220"/>
      <c r="AG8" s="220"/>
      <c r="AH8" s="220"/>
      <c r="AI8" s="220"/>
      <c r="AJ8" s="220"/>
      <c r="AK8" s="220"/>
    </row>
    <row r="9" spans="1:37" x14ac:dyDescent="0.2">
      <c r="A9" s="226"/>
      <c r="B9" s="227"/>
      <c r="C9" s="228"/>
      <c r="D9" s="229"/>
      <c r="E9" s="229">
        <v>1</v>
      </c>
      <c r="F9" s="229"/>
      <c r="G9" s="229"/>
      <c r="H9" s="229"/>
      <c r="I9" s="229"/>
      <c r="J9" s="229"/>
      <c r="K9" s="229"/>
      <c r="L9" s="229"/>
      <c r="M9" s="229"/>
      <c r="N9" s="229"/>
      <c r="O9" s="229"/>
      <c r="P9" s="229"/>
      <c r="Q9" s="229"/>
      <c r="R9" s="333"/>
      <c r="S9" s="334"/>
      <c r="T9" s="313"/>
      <c r="U9" s="227"/>
      <c r="V9" s="228"/>
      <c r="W9" s="220"/>
      <c r="X9" s="220"/>
      <c r="Y9" s="220"/>
      <c r="Z9" s="220"/>
      <c r="AA9" s="350">
        <v>43551</v>
      </c>
      <c r="AB9" s="351">
        <v>2018</v>
      </c>
      <c r="AC9" s="352" t="s">
        <v>298</v>
      </c>
      <c r="AD9" s="368">
        <v>282</v>
      </c>
      <c r="AE9" s="352" t="s">
        <v>102</v>
      </c>
      <c r="AF9" s="220"/>
      <c r="AG9" s="220"/>
      <c r="AH9" s="220"/>
      <c r="AI9" s="220"/>
      <c r="AJ9" s="220"/>
      <c r="AK9" s="220"/>
    </row>
    <row r="10" spans="1:37" x14ac:dyDescent="0.2">
      <c r="A10" s="234">
        <v>22384</v>
      </c>
      <c r="B10" s="248">
        <v>2014</v>
      </c>
      <c r="C10" s="234" t="s">
        <v>26</v>
      </c>
      <c r="D10" s="236">
        <v>8</v>
      </c>
      <c r="E10" s="236">
        <v>8</v>
      </c>
      <c r="F10" s="242"/>
      <c r="G10" s="242"/>
      <c r="H10" s="242"/>
      <c r="I10" s="242"/>
      <c r="J10" s="242"/>
      <c r="K10" s="242"/>
      <c r="L10" s="242"/>
      <c r="M10" s="242"/>
      <c r="N10" s="242"/>
      <c r="O10" s="242"/>
      <c r="P10" s="242"/>
      <c r="Q10" s="337">
        <f>SUM(E10:P10)</f>
        <v>8</v>
      </c>
      <c r="R10" s="263">
        <f>IFERROR((AVERAGE(E10:P10)),0)</f>
        <v>8</v>
      </c>
      <c r="S10" s="336">
        <f>IFERROR((T10/R10),0)</f>
        <v>0</v>
      </c>
      <c r="T10" s="314">
        <f>SUM(D10-Q10)</f>
        <v>0</v>
      </c>
      <c r="U10" s="248">
        <v>2014</v>
      </c>
      <c r="V10" s="234" t="s">
        <v>26</v>
      </c>
      <c r="W10" s="220"/>
      <c r="X10" s="220"/>
      <c r="Y10" s="220"/>
      <c r="Z10" s="220"/>
      <c r="AA10" s="350">
        <v>43551</v>
      </c>
      <c r="AB10" s="351">
        <v>2018</v>
      </c>
      <c r="AC10" s="352" t="s">
        <v>299</v>
      </c>
      <c r="AD10" s="368">
        <v>446</v>
      </c>
      <c r="AE10" s="352" t="s">
        <v>102</v>
      </c>
      <c r="AF10" s="220"/>
      <c r="AG10" s="220"/>
      <c r="AH10" s="220"/>
      <c r="AI10" s="220"/>
      <c r="AJ10" s="220"/>
      <c r="AK10" s="220"/>
    </row>
    <row r="11" spans="1:37" x14ac:dyDescent="0.2">
      <c r="A11" s="234">
        <v>115264</v>
      </c>
      <c r="B11" s="255">
        <v>2014</v>
      </c>
      <c r="C11" s="234" t="s">
        <v>225</v>
      </c>
      <c r="D11" s="236">
        <v>123</v>
      </c>
      <c r="E11" s="236">
        <v>10</v>
      </c>
      <c r="F11" s="236">
        <v>11</v>
      </c>
      <c r="G11" s="236">
        <v>10</v>
      </c>
      <c r="H11" s="236">
        <v>9</v>
      </c>
      <c r="I11" s="236">
        <f>83-69</f>
        <v>14</v>
      </c>
      <c r="J11" s="236">
        <v>5</v>
      </c>
      <c r="K11" s="236">
        <v>9</v>
      </c>
      <c r="L11" s="236">
        <v>4</v>
      </c>
      <c r="M11" s="236">
        <f>51-43</f>
        <v>8</v>
      </c>
      <c r="N11" s="236">
        <v>12</v>
      </c>
      <c r="O11" s="236">
        <v>13</v>
      </c>
      <c r="P11" s="236">
        <f>6-3</f>
        <v>3</v>
      </c>
      <c r="Q11" s="337">
        <f>SUM(E11:P11)</f>
        <v>108</v>
      </c>
      <c r="R11" s="263">
        <f t="shared" ref="R11" si="0">IFERROR((AVERAGE(E11:P11)),0)</f>
        <v>9</v>
      </c>
      <c r="S11" s="336">
        <f>IFERROR((T11/R11),0)</f>
        <v>1.6666666666666667</v>
      </c>
      <c r="T11" s="307">
        <f>SUM(D11-Q11)</f>
        <v>15</v>
      </c>
      <c r="U11" s="255">
        <f>+B11</f>
        <v>2014</v>
      </c>
      <c r="V11" s="234" t="s">
        <v>225</v>
      </c>
      <c r="W11" s="220"/>
      <c r="X11" s="220"/>
      <c r="Y11" s="220"/>
      <c r="Z11" s="220"/>
      <c r="AA11" s="350">
        <v>43142</v>
      </c>
      <c r="AB11" s="351">
        <v>2018</v>
      </c>
      <c r="AC11" s="352" t="s">
        <v>300</v>
      </c>
      <c r="AD11" s="368">
        <v>50</v>
      </c>
      <c r="AE11" s="352" t="s">
        <v>102</v>
      </c>
      <c r="AF11" s="220"/>
      <c r="AG11" s="220"/>
      <c r="AH11" s="220"/>
      <c r="AI11" s="220"/>
      <c r="AJ11" s="220"/>
      <c r="AK11" s="220"/>
    </row>
    <row r="12" spans="1:37" x14ac:dyDescent="0.2">
      <c r="A12" s="226"/>
      <c r="B12" s="226"/>
      <c r="C12" s="226"/>
      <c r="D12" s="243"/>
      <c r="E12" s="243"/>
      <c r="F12" s="243"/>
      <c r="G12" s="243"/>
      <c r="H12" s="243"/>
      <c r="I12" s="243"/>
      <c r="J12" s="243"/>
      <c r="K12" s="243"/>
      <c r="L12" s="243"/>
      <c r="M12" s="243"/>
      <c r="N12" s="243"/>
      <c r="O12" s="243"/>
      <c r="P12" s="243"/>
      <c r="Q12" s="338"/>
      <c r="R12" s="339"/>
      <c r="S12" s="340"/>
      <c r="T12" s="320"/>
      <c r="U12" s="226"/>
      <c r="V12" s="226"/>
      <c r="W12" s="220"/>
      <c r="X12" s="220"/>
      <c r="Y12" s="220"/>
      <c r="Z12" s="220"/>
      <c r="AA12" s="350">
        <v>43142</v>
      </c>
      <c r="AB12" s="351">
        <v>2018</v>
      </c>
      <c r="AC12" s="352" t="s">
        <v>301</v>
      </c>
      <c r="AD12" s="368">
        <v>273</v>
      </c>
      <c r="AE12" s="352" t="s">
        <v>102</v>
      </c>
      <c r="AF12" s="220"/>
      <c r="AG12" s="220"/>
      <c r="AH12" s="220"/>
      <c r="AI12" s="220"/>
      <c r="AJ12" s="220"/>
      <c r="AK12" s="220"/>
    </row>
    <row r="13" spans="1:37" x14ac:dyDescent="0.2">
      <c r="A13" s="234">
        <v>30306</v>
      </c>
      <c r="B13" s="255">
        <v>2015</v>
      </c>
      <c r="C13" s="234" t="s">
        <v>244</v>
      </c>
      <c r="D13" s="236">
        <v>244</v>
      </c>
      <c r="E13" s="236">
        <v>0</v>
      </c>
      <c r="F13" s="236">
        <v>2</v>
      </c>
      <c r="G13" s="236">
        <v>1</v>
      </c>
      <c r="H13" s="236">
        <v>2</v>
      </c>
      <c r="I13" s="236">
        <v>0</v>
      </c>
      <c r="J13" s="236">
        <v>1</v>
      </c>
      <c r="K13" s="236">
        <v>1</v>
      </c>
      <c r="L13" s="236">
        <v>6</v>
      </c>
      <c r="M13" s="236">
        <v>2</v>
      </c>
      <c r="N13" s="236">
        <v>0</v>
      </c>
      <c r="O13" s="236">
        <v>2</v>
      </c>
      <c r="P13" s="236">
        <f>227-216</f>
        <v>11</v>
      </c>
      <c r="Q13" s="335">
        <f>SUM(E13:P13)</f>
        <v>28</v>
      </c>
      <c r="R13" s="263">
        <f>IFERROR((AVERAGE(E13:P13)),0)</f>
        <v>2.3333333333333335</v>
      </c>
      <c r="S13" s="336">
        <f t="shared" ref="S13:S14" si="1">IFERROR((T13/R13),0)</f>
        <v>92.571428571428569</v>
      </c>
      <c r="T13" s="307">
        <f>SUM(D13-Q13)</f>
        <v>216</v>
      </c>
      <c r="U13" s="255">
        <v>2015</v>
      </c>
      <c r="V13" s="234" t="s">
        <v>84</v>
      </c>
      <c r="W13" s="220"/>
      <c r="X13" s="220"/>
      <c r="Y13" s="220"/>
      <c r="Z13" s="220"/>
      <c r="AA13" s="350">
        <v>43142</v>
      </c>
      <c r="AB13" s="351">
        <v>2018</v>
      </c>
      <c r="AC13" s="352" t="s">
        <v>254</v>
      </c>
      <c r="AD13" s="368">
        <v>520</v>
      </c>
      <c r="AE13" s="352" t="s">
        <v>102</v>
      </c>
      <c r="AF13" s="220"/>
      <c r="AG13" s="220"/>
      <c r="AH13" s="220"/>
      <c r="AI13" s="220"/>
      <c r="AJ13" s="220"/>
      <c r="AK13" s="220"/>
    </row>
    <row r="14" spans="1:37" x14ac:dyDescent="0.2">
      <c r="A14" s="234">
        <v>84802</v>
      </c>
      <c r="B14" s="255">
        <v>2015</v>
      </c>
      <c r="C14" s="234" t="s">
        <v>93</v>
      </c>
      <c r="D14" s="236">
        <v>146</v>
      </c>
      <c r="E14" s="236">
        <v>12</v>
      </c>
      <c r="F14" s="236">
        <v>10</v>
      </c>
      <c r="G14" s="236">
        <v>7</v>
      </c>
      <c r="H14" s="236">
        <v>5</v>
      </c>
      <c r="I14" s="236">
        <f>112-104</f>
        <v>8</v>
      </c>
      <c r="J14" s="236">
        <v>5</v>
      </c>
      <c r="K14" s="236">
        <v>10</v>
      </c>
      <c r="L14" s="236">
        <v>12</v>
      </c>
      <c r="M14" s="236">
        <v>11</v>
      </c>
      <c r="N14" s="236">
        <v>16</v>
      </c>
      <c r="O14" s="236">
        <v>13</v>
      </c>
      <c r="P14" s="236">
        <f>7-4</f>
        <v>3</v>
      </c>
      <c r="Q14" s="335">
        <f t="shared" ref="Q14" si="2">SUM(E14:P14)</f>
        <v>112</v>
      </c>
      <c r="R14" s="263">
        <f t="shared" ref="R14" si="3">IFERROR((AVERAGE(E14:P14)),0)</f>
        <v>9.3333333333333339</v>
      </c>
      <c r="S14" s="336">
        <f t="shared" si="1"/>
        <v>3.6428571428571428</v>
      </c>
      <c r="T14" s="307">
        <f t="shared" ref="T14" si="4">SUM(D14-Q14)</f>
        <v>34</v>
      </c>
      <c r="U14" s="255">
        <v>2015</v>
      </c>
      <c r="V14" s="234" t="s">
        <v>93</v>
      </c>
      <c r="W14" s="220"/>
      <c r="X14" s="220"/>
      <c r="Y14" s="220"/>
      <c r="Z14" s="220"/>
      <c r="AA14" s="350">
        <v>43142</v>
      </c>
      <c r="AB14" s="351">
        <v>2018</v>
      </c>
      <c r="AC14" s="352" t="s">
        <v>302</v>
      </c>
      <c r="AD14" s="368">
        <v>74</v>
      </c>
      <c r="AE14" s="352" t="s">
        <v>102</v>
      </c>
      <c r="AF14" s="220"/>
      <c r="AG14" s="220"/>
      <c r="AH14" s="220"/>
      <c r="AI14" s="220"/>
      <c r="AJ14" s="220"/>
      <c r="AK14" s="220"/>
    </row>
    <row r="15" spans="1:37" x14ac:dyDescent="0.2">
      <c r="A15" s="226"/>
      <c r="B15" s="226"/>
      <c r="C15" s="226"/>
      <c r="D15" s="243"/>
      <c r="E15" s="243"/>
      <c r="F15" s="243"/>
      <c r="G15" s="243"/>
      <c r="H15" s="243"/>
      <c r="I15" s="243"/>
      <c r="J15" s="243"/>
      <c r="K15" s="243"/>
      <c r="L15" s="243"/>
      <c r="M15" s="243"/>
      <c r="N15" s="243"/>
      <c r="O15" s="243"/>
      <c r="P15" s="243"/>
      <c r="Q15" s="243"/>
      <c r="R15" s="243"/>
      <c r="S15" s="243"/>
      <c r="T15" s="243"/>
      <c r="U15" s="226"/>
      <c r="V15" s="226"/>
      <c r="W15" s="220"/>
      <c r="X15" s="220"/>
      <c r="Y15" s="220"/>
      <c r="Z15" s="220"/>
      <c r="AA15" s="350">
        <v>43142</v>
      </c>
      <c r="AB15" s="351">
        <v>2018</v>
      </c>
      <c r="AC15" s="352" t="s">
        <v>303</v>
      </c>
      <c r="AD15" s="368">
        <v>618</v>
      </c>
      <c r="AE15" s="352" t="s">
        <v>102</v>
      </c>
      <c r="AF15" s="220"/>
      <c r="AG15" s="220"/>
      <c r="AH15" s="220"/>
      <c r="AI15" s="220"/>
      <c r="AJ15" s="220"/>
      <c r="AK15" s="220"/>
    </row>
    <row r="16" spans="1:37" x14ac:dyDescent="0.2">
      <c r="A16" s="234">
        <v>57632</v>
      </c>
      <c r="B16" s="255">
        <v>2016</v>
      </c>
      <c r="C16" s="234" t="s">
        <v>31</v>
      </c>
      <c r="D16" s="236">
        <v>61</v>
      </c>
      <c r="E16" s="236">
        <v>21</v>
      </c>
      <c r="F16" s="236">
        <v>34</v>
      </c>
      <c r="G16" s="236">
        <v>6</v>
      </c>
      <c r="H16" s="242"/>
      <c r="I16" s="242"/>
      <c r="J16" s="242"/>
      <c r="K16" s="242"/>
      <c r="L16" s="242"/>
      <c r="M16" s="242"/>
      <c r="N16" s="242"/>
      <c r="O16" s="242"/>
      <c r="P16" s="242"/>
      <c r="Q16" s="335">
        <f>SUM(E16:P16)</f>
        <v>61</v>
      </c>
      <c r="R16" s="263">
        <f t="shared" ref="R16:R24" si="5">IFERROR((AVERAGE(E16:P16)),0)</f>
        <v>20.333333333333332</v>
      </c>
      <c r="S16" s="336">
        <f t="shared" ref="S16:S24" si="6">IFERROR((T16/R16),0)</f>
        <v>0</v>
      </c>
      <c r="T16" s="307">
        <f>SUM(D16-Q16)</f>
        <v>0</v>
      </c>
      <c r="U16" s="233">
        <v>2016</v>
      </c>
      <c r="V16" s="234" t="s">
        <v>31</v>
      </c>
      <c r="W16" s="220"/>
      <c r="X16" s="220"/>
      <c r="Y16" s="220"/>
      <c r="Z16" s="220"/>
      <c r="AA16" s="350"/>
      <c r="AB16" s="351"/>
      <c r="AC16" s="352"/>
      <c r="AD16" s="368"/>
      <c r="AE16" s="352" t="s">
        <v>102</v>
      </c>
      <c r="AF16" s="220"/>
      <c r="AG16" s="220"/>
      <c r="AH16" s="220"/>
      <c r="AI16" s="220"/>
      <c r="AJ16" s="220"/>
      <c r="AK16" s="220"/>
    </row>
    <row r="17" spans="1:37" ht="16.149999999999999" customHeight="1" x14ac:dyDescent="0.2">
      <c r="A17" s="234">
        <v>57630</v>
      </c>
      <c r="B17" s="255">
        <v>2016</v>
      </c>
      <c r="C17" s="234" t="s">
        <v>25</v>
      </c>
      <c r="D17" s="236">
        <v>366</v>
      </c>
      <c r="E17" s="236">
        <v>17</v>
      </c>
      <c r="F17" s="236">
        <v>25</v>
      </c>
      <c r="G17" s="236">
        <v>24</v>
      </c>
      <c r="H17" s="236">
        <v>20</v>
      </c>
      <c r="I17" s="236">
        <v>50</v>
      </c>
      <c r="J17" s="236">
        <v>25</v>
      </c>
      <c r="K17" s="236">
        <v>34</v>
      </c>
      <c r="L17" s="236">
        <v>34</v>
      </c>
      <c r="M17" s="236">
        <f>137-102</f>
        <v>35</v>
      </c>
      <c r="N17" s="236">
        <v>36</v>
      </c>
      <c r="O17" s="236">
        <v>41</v>
      </c>
      <c r="P17" s="236">
        <v>10</v>
      </c>
      <c r="Q17" s="335">
        <f>SUM(E17:P17)</f>
        <v>351</v>
      </c>
      <c r="R17" s="263">
        <f t="shared" si="5"/>
        <v>29.25</v>
      </c>
      <c r="S17" s="336">
        <f t="shared" si="6"/>
        <v>0.51282051282051277</v>
      </c>
      <c r="T17" s="307">
        <f>SUM(D17-Q17)</f>
        <v>15</v>
      </c>
      <c r="U17" s="233">
        <v>2016</v>
      </c>
      <c r="V17" s="234" t="s">
        <v>25</v>
      </c>
      <c r="W17" s="220"/>
      <c r="X17" s="220"/>
      <c r="Y17" s="220"/>
      <c r="Z17" s="220"/>
      <c r="AA17" s="350">
        <v>43626</v>
      </c>
      <c r="AB17" s="351">
        <v>2018</v>
      </c>
      <c r="AC17" s="352" t="s">
        <v>194</v>
      </c>
      <c r="AD17" s="368">
        <v>540</v>
      </c>
      <c r="AE17" s="352" t="s">
        <v>102</v>
      </c>
      <c r="AF17" s="220"/>
      <c r="AG17" s="220"/>
      <c r="AH17" s="220"/>
      <c r="AI17" s="220"/>
      <c r="AJ17" s="220"/>
      <c r="AK17" s="220"/>
    </row>
    <row r="18" spans="1:37" x14ac:dyDescent="0.2">
      <c r="A18" s="234">
        <v>133688</v>
      </c>
      <c r="B18" s="255">
        <v>2016</v>
      </c>
      <c r="C18" s="234" t="s">
        <v>23</v>
      </c>
      <c r="D18" s="236">
        <v>252</v>
      </c>
      <c r="E18" s="236">
        <v>31</v>
      </c>
      <c r="F18" s="236">
        <v>40</v>
      </c>
      <c r="G18" s="236">
        <v>18</v>
      </c>
      <c r="H18" s="236">
        <v>25</v>
      </c>
      <c r="I18" s="236">
        <f>138-98</f>
        <v>40</v>
      </c>
      <c r="J18" s="236">
        <v>32</v>
      </c>
      <c r="K18" s="236">
        <v>37</v>
      </c>
      <c r="L18" s="236">
        <v>0</v>
      </c>
      <c r="M18" s="236">
        <v>29</v>
      </c>
      <c r="N18" s="299"/>
      <c r="O18" s="299"/>
      <c r="P18" s="299"/>
      <c r="Q18" s="335">
        <f>SUM(E18:P18)</f>
        <v>252</v>
      </c>
      <c r="R18" s="263">
        <f t="shared" si="5"/>
        <v>28</v>
      </c>
      <c r="S18" s="336">
        <f t="shared" si="6"/>
        <v>0</v>
      </c>
      <c r="T18" s="307">
        <f>SUM(D18-Q18)</f>
        <v>0</v>
      </c>
      <c r="U18" s="233">
        <v>2016</v>
      </c>
      <c r="V18" s="234" t="s">
        <v>23</v>
      </c>
      <c r="W18" s="220"/>
      <c r="X18" s="220"/>
      <c r="Y18" s="220"/>
      <c r="Z18" s="220"/>
      <c r="AA18" s="350">
        <v>43626</v>
      </c>
      <c r="AB18" s="351">
        <v>2018</v>
      </c>
      <c r="AC18" s="352" t="s">
        <v>313</v>
      </c>
      <c r="AD18" s="368">
        <v>50</v>
      </c>
      <c r="AE18" s="352" t="s">
        <v>102</v>
      </c>
      <c r="AF18" s="220"/>
      <c r="AG18" s="220"/>
      <c r="AH18" s="220"/>
      <c r="AI18" s="220"/>
      <c r="AJ18" s="220"/>
      <c r="AK18" s="220"/>
    </row>
    <row r="19" spans="1:37" x14ac:dyDescent="0.2">
      <c r="A19" s="234">
        <v>133687</v>
      </c>
      <c r="B19" s="255">
        <v>2016</v>
      </c>
      <c r="C19" s="234" t="s">
        <v>93</v>
      </c>
      <c r="D19" s="236">
        <v>112</v>
      </c>
      <c r="E19" s="246">
        <v>0</v>
      </c>
      <c r="F19" s="246">
        <v>0</v>
      </c>
      <c r="G19" s="246">
        <v>0</v>
      </c>
      <c r="H19" s="246">
        <v>0</v>
      </c>
      <c r="I19" s="246">
        <v>0</v>
      </c>
      <c r="J19" s="246">
        <v>0</v>
      </c>
      <c r="K19" s="246">
        <v>0</v>
      </c>
      <c r="L19" s="246">
        <v>0</v>
      </c>
      <c r="M19" s="246">
        <v>0</v>
      </c>
      <c r="N19" s="246">
        <v>0</v>
      </c>
      <c r="O19" s="246">
        <v>0</v>
      </c>
      <c r="P19" s="246">
        <v>0</v>
      </c>
      <c r="Q19" s="335">
        <f t="shared" ref="Q19:Q24" si="7">SUM(E19:P19)</f>
        <v>0</v>
      </c>
      <c r="R19" s="263">
        <f t="shared" si="5"/>
        <v>0</v>
      </c>
      <c r="S19" s="336">
        <f t="shared" si="6"/>
        <v>0</v>
      </c>
      <c r="T19" s="307">
        <f t="shared" ref="T19:T24" si="8">SUM(D19-Q19)</f>
        <v>112</v>
      </c>
      <c r="U19" s="233">
        <v>2016</v>
      </c>
      <c r="V19" s="234" t="s">
        <v>93</v>
      </c>
      <c r="W19" s="220"/>
      <c r="X19" s="220"/>
      <c r="Y19" s="220"/>
      <c r="Z19" s="220"/>
      <c r="AA19" s="350">
        <v>43626</v>
      </c>
      <c r="AB19" s="351">
        <v>2018</v>
      </c>
      <c r="AC19" s="352" t="s">
        <v>314</v>
      </c>
      <c r="AD19" s="368">
        <v>352</v>
      </c>
      <c r="AE19" s="352" t="s">
        <v>102</v>
      </c>
      <c r="AF19" s="220"/>
      <c r="AG19" s="220"/>
      <c r="AH19" s="220"/>
      <c r="AI19" s="220"/>
      <c r="AJ19" s="220"/>
      <c r="AK19" s="220"/>
    </row>
    <row r="20" spans="1:37" x14ac:dyDescent="0.2">
      <c r="A20" s="234">
        <v>27736</v>
      </c>
      <c r="B20" s="255">
        <v>2016</v>
      </c>
      <c r="C20" s="234" t="s">
        <v>56</v>
      </c>
      <c r="D20" s="236">
        <v>343</v>
      </c>
      <c r="E20" s="236">
        <v>17</v>
      </c>
      <c r="F20" s="236">
        <v>30</v>
      </c>
      <c r="G20" s="236">
        <v>29</v>
      </c>
      <c r="H20" s="236">
        <v>22</v>
      </c>
      <c r="I20" s="236">
        <f>245-213</f>
        <v>32</v>
      </c>
      <c r="J20" s="236">
        <v>29</v>
      </c>
      <c r="K20" s="236">
        <v>32</v>
      </c>
      <c r="L20" s="236">
        <v>23</v>
      </c>
      <c r="M20" s="236">
        <f>129-94</f>
        <v>35</v>
      </c>
      <c r="N20" s="236">
        <v>41</v>
      </c>
      <c r="O20" s="236">
        <f>53-13</f>
        <v>40</v>
      </c>
      <c r="P20" s="236">
        <v>13</v>
      </c>
      <c r="Q20" s="335">
        <f>SUM(E20:P20)</f>
        <v>343</v>
      </c>
      <c r="R20" s="263">
        <f t="shared" si="5"/>
        <v>28.583333333333332</v>
      </c>
      <c r="S20" s="336">
        <f t="shared" si="6"/>
        <v>0</v>
      </c>
      <c r="T20" s="307">
        <f>SUM(D20-Q20)</f>
        <v>0</v>
      </c>
      <c r="U20" s="233">
        <v>2016</v>
      </c>
      <c r="V20" s="234" t="s">
        <v>56</v>
      </c>
      <c r="W20" s="220"/>
      <c r="X20" s="220"/>
      <c r="Y20" s="220"/>
      <c r="Z20" s="220"/>
      <c r="AA20" s="350">
        <v>43626</v>
      </c>
      <c r="AB20" s="351">
        <v>2018</v>
      </c>
      <c r="AC20" s="352" t="s">
        <v>315</v>
      </c>
      <c r="AD20" s="368">
        <v>112</v>
      </c>
      <c r="AE20" s="352" t="s">
        <v>102</v>
      </c>
      <c r="AF20" s="220"/>
      <c r="AG20" s="220"/>
      <c r="AH20" s="220"/>
      <c r="AI20" s="220"/>
      <c r="AJ20" s="220"/>
      <c r="AK20" s="220"/>
    </row>
    <row r="21" spans="1:37" x14ac:dyDescent="0.2">
      <c r="A21" s="234">
        <v>28361</v>
      </c>
      <c r="B21" s="255">
        <v>2016</v>
      </c>
      <c r="C21" s="234" t="s">
        <v>24</v>
      </c>
      <c r="D21" s="236">
        <v>109</v>
      </c>
      <c r="E21" s="236">
        <v>3</v>
      </c>
      <c r="F21" s="236">
        <v>12</v>
      </c>
      <c r="G21" s="236">
        <v>11</v>
      </c>
      <c r="H21" s="236">
        <v>3</v>
      </c>
      <c r="I21" s="236">
        <v>6</v>
      </c>
      <c r="J21" s="236">
        <v>9</v>
      </c>
      <c r="K21" s="236">
        <v>4</v>
      </c>
      <c r="L21" s="236">
        <v>15</v>
      </c>
      <c r="M21" s="236">
        <f>46-37</f>
        <v>9</v>
      </c>
      <c r="N21" s="236">
        <v>19</v>
      </c>
      <c r="O21" s="236">
        <v>11</v>
      </c>
      <c r="P21" s="236">
        <v>1</v>
      </c>
      <c r="Q21" s="335">
        <f>SUM(E21:P21)</f>
        <v>103</v>
      </c>
      <c r="R21" s="263">
        <f t="shared" si="5"/>
        <v>8.5833333333333339</v>
      </c>
      <c r="S21" s="336">
        <f t="shared" si="6"/>
        <v>0.69902912621359214</v>
      </c>
      <c r="T21" s="307">
        <f>SUM(D21-Q21)</f>
        <v>6</v>
      </c>
      <c r="U21" s="233">
        <v>2016</v>
      </c>
      <c r="V21" s="234" t="s">
        <v>24</v>
      </c>
      <c r="W21" s="220"/>
      <c r="X21" s="220"/>
      <c r="Y21" s="220"/>
      <c r="Z21" s="220"/>
      <c r="AA21" s="350">
        <v>43657</v>
      </c>
      <c r="AB21" s="351">
        <v>2018</v>
      </c>
      <c r="AC21" s="352" t="s">
        <v>25</v>
      </c>
      <c r="AD21" s="368">
        <v>383</v>
      </c>
      <c r="AE21" s="352" t="s">
        <v>102</v>
      </c>
      <c r="AF21" s="220"/>
      <c r="AG21" s="220"/>
      <c r="AH21" s="220"/>
      <c r="AI21" s="220"/>
      <c r="AJ21" s="220"/>
      <c r="AK21" s="220"/>
    </row>
    <row r="22" spans="1:37" x14ac:dyDescent="0.2">
      <c r="A22" s="234">
        <v>22921</v>
      </c>
      <c r="B22" s="255">
        <v>2016</v>
      </c>
      <c r="C22" s="234" t="s">
        <v>221</v>
      </c>
      <c r="D22" s="236">
        <v>647</v>
      </c>
      <c r="E22" s="236">
        <v>38</v>
      </c>
      <c r="F22" s="236">
        <v>42</v>
      </c>
      <c r="G22" s="236">
        <v>32</v>
      </c>
      <c r="H22" s="236">
        <v>33</v>
      </c>
      <c r="I22" s="236">
        <f>502-392</f>
        <v>110</v>
      </c>
      <c r="J22" s="236">
        <v>0</v>
      </c>
      <c r="K22" s="236">
        <v>25</v>
      </c>
      <c r="L22" s="236">
        <v>38</v>
      </c>
      <c r="M22" s="236">
        <f>329-272</f>
        <v>57</v>
      </c>
      <c r="N22" s="236">
        <v>50</v>
      </c>
      <c r="O22" s="236">
        <f>222-169</f>
        <v>53</v>
      </c>
      <c r="P22" s="236">
        <f>29-4</f>
        <v>25</v>
      </c>
      <c r="Q22" s="335">
        <f>SUM(E22:P22)</f>
        <v>503</v>
      </c>
      <c r="R22" s="263">
        <f t="shared" si="5"/>
        <v>41.916666666666664</v>
      </c>
      <c r="S22" s="336">
        <f t="shared" si="6"/>
        <v>3.4353876739562628</v>
      </c>
      <c r="T22" s="307">
        <f>SUM(D22-Q22)</f>
        <v>144</v>
      </c>
      <c r="U22" s="233">
        <v>2016</v>
      </c>
      <c r="V22" s="234" t="s">
        <v>22</v>
      </c>
      <c r="W22" s="220"/>
      <c r="X22" s="220"/>
      <c r="Y22" s="220"/>
      <c r="Z22" s="220"/>
      <c r="AA22" s="350">
        <v>43684</v>
      </c>
      <c r="AB22" s="351">
        <v>2018</v>
      </c>
      <c r="AC22" s="352" t="s">
        <v>316</v>
      </c>
      <c r="AD22" s="368">
        <v>666</v>
      </c>
      <c r="AE22" s="352" t="s">
        <v>102</v>
      </c>
      <c r="AF22" s="220"/>
      <c r="AG22" s="220"/>
      <c r="AH22" s="220"/>
      <c r="AI22" s="220"/>
      <c r="AJ22" s="220"/>
      <c r="AK22" s="220"/>
    </row>
    <row r="23" spans="1:37" x14ac:dyDescent="0.2">
      <c r="A23" s="250">
        <v>133685</v>
      </c>
      <c r="B23" s="255">
        <v>2016</v>
      </c>
      <c r="C23" s="250" t="s">
        <v>52</v>
      </c>
      <c r="D23" s="236">
        <v>510</v>
      </c>
      <c r="E23" s="236">
        <v>20</v>
      </c>
      <c r="F23" s="236">
        <v>28</v>
      </c>
      <c r="G23" s="236">
        <v>23</v>
      </c>
      <c r="H23" s="236">
        <v>30</v>
      </c>
      <c r="I23" s="236">
        <f>409-389</f>
        <v>20</v>
      </c>
      <c r="J23" s="236">
        <v>18</v>
      </c>
      <c r="K23" s="236">
        <v>20</v>
      </c>
      <c r="L23" s="236">
        <v>15</v>
      </c>
      <c r="M23" s="236">
        <f>336-303</f>
        <v>33</v>
      </c>
      <c r="N23" s="236">
        <v>30</v>
      </c>
      <c r="O23" s="236">
        <f>273-244</f>
        <v>29</v>
      </c>
      <c r="P23" s="236">
        <f>244-227-5</f>
        <v>12</v>
      </c>
      <c r="Q23" s="335">
        <f t="shared" si="7"/>
        <v>278</v>
      </c>
      <c r="R23" s="263">
        <f t="shared" si="5"/>
        <v>23.166666666666668</v>
      </c>
      <c r="S23" s="336">
        <f t="shared" si="6"/>
        <v>10.014388489208633</v>
      </c>
      <c r="T23" s="307">
        <f t="shared" si="8"/>
        <v>232</v>
      </c>
      <c r="U23" s="233">
        <v>2016</v>
      </c>
      <c r="V23" s="250" t="s">
        <v>52</v>
      </c>
      <c r="W23" s="220"/>
      <c r="X23" s="220"/>
      <c r="Y23" s="220"/>
      <c r="Z23" s="220"/>
      <c r="AA23" s="350">
        <v>43684</v>
      </c>
      <c r="AB23" s="351">
        <v>2018</v>
      </c>
      <c r="AC23" s="352" t="s">
        <v>26</v>
      </c>
      <c r="AD23" s="368">
        <v>415</v>
      </c>
      <c r="AE23" s="352" t="s">
        <v>102</v>
      </c>
      <c r="AF23" s="220"/>
      <c r="AG23" s="220"/>
      <c r="AH23" s="220"/>
      <c r="AI23" s="220"/>
      <c r="AJ23" s="220"/>
      <c r="AK23" s="220"/>
    </row>
    <row r="24" spans="1:37" x14ac:dyDescent="0.2">
      <c r="A24" s="234">
        <v>135370</v>
      </c>
      <c r="B24" s="255">
        <v>2016</v>
      </c>
      <c r="C24" s="234" t="s">
        <v>217</v>
      </c>
      <c r="D24" s="236">
        <v>359</v>
      </c>
      <c r="E24" s="357">
        <v>16</v>
      </c>
      <c r="F24" s="357">
        <v>57</v>
      </c>
      <c r="G24" s="357">
        <v>13</v>
      </c>
      <c r="H24" s="357">
        <v>6</v>
      </c>
      <c r="I24" s="357">
        <f>267-259</f>
        <v>8</v>
      </c>
      <c r="J24" s="357">
        <v>6</v>
      </c>
      <c r="K24" s="357">
        <v>4</v>
      </c>
      <c r="L24" s="357">
        <v>14</v>
      </c>
      <c r="M24" s="357">
        <f>235-228</f>
        <v>7</v>
      </c>
      <c r="N24" s="357">
        <v>8</v>
      </c>
      <c r="O24" s="357">
        <v>15</v>
      </c>
      <c r="P24" s="236">
        <f>205-198-4</f>
        <v>3</v>
      </c>
      <c r="Q24" s="335">
        <f t="shared" si="7"/>
        <v>157</v>
      </c>
      <c r="R24" s="263">
        <f t="shared" si="5"/>
        <v>13.083333333333334</v>
      </c>
      <c r="S24" s="336">
        <f t="shared" si="6"/>
        <v>15.439490445859873</v>
      </c>
      <c r="T24" s="307">
        <f t="shared" si="8"/>
        <v>202</v>
      </c>
      <c r="U24" s="233">
        <v>2016</v>
      </c>
      <c r="V24" s="234" t="s">
        <v>264</v>
      </c>
      <c r="W24" s="220"/>
      <c r="X24" s="220"/>
      <c r="Y24" s="220"/>
      <c r="Z24" s="220"/>
      <c r="AA24" s="350">
        <v>43803</v>
      </c>
      <c r="AB24" s="351" t="s">
        <v>294</v>
      </c>
      <c r="AC24" s="352" t="s">
        <v>94</v>
      </c>
      <c r="AD24" s="368">
        <v>1173</v>
      </c>
      <c r="AE24" s="352" t="s">
        <v>102</v>
      </c>
      <c r="AF24" s="220"/>
      <c r="AG24" s="220"/>
      <c r="AH24" s="220"/>
      <c r="AI24" s="220"/>
      <c r="AJ24" s="220"/>
      <c r="AK24" s="220"/>
    </row>
    <row r="25" spans="1:37" x14ac:dyDescent="0.2">
      <c r="A25" s="234">
        <v>86051</v>
      </c>
      <c r="B25" s="255" t="s">
        <v>265</v>
      </c>
      <c r="C25" s="234" t="s">
        <v>94</v>
      </c>
      <c r="D25" s="236">
        <v>53</v>
      </c>
      <c r="E25" s="236">
        <v>41</v>
      </c>
      <c r="F25" s="236">
        <v>12</v>
      </c>
      <c r="G25" s="242"/>
      <c r="H25" s="242"/>
      <c r="I25" s="242"/>
      <c r="J25" s="242"/>
      <c r="K25" s="242"/>
      <c r="L25" s="242"/>
      <c r="M25" s="242"/>
      <c r="N25" s="242"/>
      <c r="O25" s="242"/>
      <c r="P25" s="242"/>
      <c r="Q25" s="335">
        <f>SUM(E25:P25)</f>
        <v>53</v>
      </c>
      <c r="R25" s="263">
        <f>IFERROR((AVERAGE(E25:P25)),0)</f>
        <v>26.5</v>
      </c>
      <c r="S25" s="336">
        <f>IFERROR((T25/R25),0)</f>
        <v>0</v>
      </c>
      <c r="T25" s="307">
        <f>SUM(D25-Q25)</f>
        <v>0</v>
      </c>
      <c r="U25" s="233" t="s">
        <v>265</v>
      </c>
      <c r="V25" s="234" t="s">
        <v>94</v>
      </c>
      <c r="W25" s="220"/>
      <c r="X25" s="220"/>
      <c r="Y25" s="220"/>
      <c r="Z25" s="220"/>
      <c r="AA25" s="350">
        <v>43803</v>
      </c>
      <c r="AB25" s="351">
        <v>2018</v>
      </c>
      <c r="AC25" s="352" t="s">
        <v>56</v>
      </c>
      <c r="AD25" s="368">
        <v>513</v>
      </c>
      <c r="AE25" s="352" t="s">
        <v>102</v>
      </c>
      <c r="AF25" s="220"/>
      <c r="AG25" s="220"/>
      <c r="AH25" s="220"/>
      <c r="AI25" s="220"/>
      <c r="AJ25" s="220"/>
      <c r="AK25" s="220"/>
    </row>
    <row r="26" spans="1:37" x14ac:dyDescent="0.2">
      <c r="A26" s="226"/>
      <c r="B26" s="226"/>
      <c r="C26" s="226"/>
      <c r="D26" s="243"/>
      <c r="E26" s="243"/>
      <c r="F26" s="243"/>
      <c r="G26" s="243"/>
      <c r="H26" s="243"/>
      <c r="I26" s="243"/>
      <c r="J26" s="243"/>
      <c r="K26" s="243"/>
      <c r="L26" s="243"/>
      <c r="M26" s="243"/>
      <c r="N26" s="243"/>
      <c r="O26" s="243"/>
      <c r="P26" s="243"/>
      <c r="Q26" s="243"/>
      <c r="R26" s="243"/>
      <c r="S26" s="243"/>
      <c r="T26" s="243"/>
      <c r="U26" s="226"/>
      <c r="V26" s="226"/>
      <c r="W26" s="220"/>
      <c r="X26" s="220"/>
      <c r="Y26" s="220"/>
      <c r="Z26" s="220"/>
      <c r="AA26" s="350">
        <v>43803</v>
      </c>
      <c r="AB26" s="351">
        <v>2018</v>
      </c>
      <c r="AC26" s="352" t="s">
        <v>22</v>
      </c>
      <c r="AD26" s="368">
        <v>1001</v>
      </c>
      <c r="AE26" s="352" t="s">
        <v>102</v>
      </c>
      <c r="AF26" s="220"/>
      <c r="AG26" s="220"/>
      <c r="AH26" s="220"/>
      <c r="AI26" s="220"/>
      <c r="AJ26" s="220"/>
      <c r="AK26" s="220"/>
    </row>
    <row r="27" spans="1:37" ht="15" customHeight="1" x14ac:dyDescent="0.2">
      <c r="A27" s="234">
        <v>111574</v>
      </c>
      <c r="B27" s="233">
        <v>2017</v>
      </c>
      <c r="C27" s="234" t="s">
        <v>205</v>
      </c>
      <c r="D27" s="252">
        <v>296</v>
      </c>
      <c r="E27" s="252">
        <v>9</v>
      </c>
      <c r="F27" s="252">
        <v>12</v>
      </c>
      <c r="G27" s="252">
        <v>10</v>
      </c>
      <c r="H27" s="252">
        <v>30</v>
      </c>
      <c r="I27" s="252">
        <f>235-188</f>
        <v>47</v>
      </c>
      <c r="J27" s="252">
        <v>31</v>
      </c>
      <c r="K27" s="252">
        <v>51</v>
      </c>
      <c r="L27" s="252">
        <v>78</v>
      </c>
      <c r="M27" s="252">
        <f>28-6</f>
        <v>22</v>
      </c>
      <c r="N27" s="252">
        <v>6</v>
      </c>
      <c r="O27" s="319"/>
      <c r="P27" s="319"/>
      <c r="Q27" s="335">
        <f t="shared" ref="Q27:Q33" si="9">SUM(E27:P27)</f>
        <v>296</v>
      </c>
      <c r="R27" s="263">
        <f t="shared" ref="R27:R31" si="10">IFERROR((AVERAGE(E27:P27)),0)</f>
        <v>29.6</v>
      </c>
      <c r="S27" s="336">
        <f>IFERROR((T27/R27),0)</f>
        <v>0</v>
      </c>
      <c r="T27" s="307">
        <f t="shared" ref="T27:T55" si="11">SUM(D27-Q27)</f>
        <v>0</v>
      </c>
      <c r="U27" s="233">
        <v>2017</v>
      </c>
      <c r="V27" s="234" t="s">
        <v>205</v>
      </c>
      <c r="W27" s="220"/>
      <c r="X27" s="220"/>
      <c r="Y27" s="220"/>
      <c r="Z27" s="220"/>
      <c r="AA27" s="350">
        <v>43803</v>
      </c>
      <c r="AB27" s="351">
        <v>2018</v>
      </c>
      <c r="AC27" s="352" t="s">
        <v>291</v>
      </c>
      <c r="AD27" s="368">
        <v>384</v>
      </c>
      <c r="AE27" s="352" t="s">
        <v>102</v>
      </c>
      <c r="AF27" s="220"/>
      <c r="AG27" s="220"/>
      <c r="AH27" s="220"/>
      <c r="AI27" s="220"/>
      <c r="AJ27" s="220"/>
      <c r="AK27" s="220"/>
    </row>
    <row r="28" spans="1:37" ht="15" customHeight="1" x14ac:dyDescent="0.2">
      <c r="A28" s="234">
        <v>133686</v>
      </c>
      <c r="B28" s="233">
        <v>2017</v>
      </c>
      <c r="C28" s="234" t="s">
        <v>33</v>
      </c>
      <c r="D28" s="252">
        <v>116</v>
      </c>
      <c r="E28" s="252">
        <v>17</v>
      </c>
      <c r="F28" s="252">
        <v>9</v>
      </c>
      <c r="G28" s="252">
        <v>19</v>
      </c>
      <c r="H28" s="252">
        <v>16</v>
      </c>
      <c r="I28" s="252">
        <f>55-30</f>
        <v>25</v>
      </c>
      <c r="J28" s="252">
        <v>20</v>
      </c>
      <c r="K28" s="252">
        <v>10</v>
      </c>
      <c r="L28" s="319"/>
      <c r="M28" s="319"/>
      <c r="N28" s="319"/>
      <c r="O28" s="319"/>
      <c r="P28" s="319"/>
      <c r="Q28" s="335">
        <f t="shared" si="9"/>
        <v>116</v>
      </c>
      <c r="R28" s="263">
        <f t="shared" si="10"/>
        <v>16.571428571428573</v>
      </c>
      <c r="S28" s="336">
        <f t="shared" ref="S28" si="12">IFERROR((T28/R28),0)</f>
        <v>0</v>
      </c>
      <c r="T28" s="307">
        <f t="shared" si="11"/>
        <v>0</v>
      </c>
      <c r="U28" s="233">
        <v>2017</v>
      </c>
      <c r="V28" s="234" t="s">
        <v>33</v>
      </c>
      <c r="W28" s="220"/>
      <c r="X28" s="220"/>
      <c r="Y28" s="220"/>
      <c r="Z28" s="220"/>
      <c r="AF28" s="220"/>
      <c r="AG28" s="220"/>
      <c r="AH28" s="220"/>
      <c r="AI28" s="220"/>
      <c r="AJ28" s="220"/>
      <c r="AK28" s="220"/>
    </row>
    <row r="29" spans="1:37" ht="15" customHeight="1" x14ac:dyDescent="0.25">
      <c r="A29" s="234">
        <v>111575</v>
      </c>
      <c r="B29" s="233">
        <v>2017</v>
      </c>
      <c r="C29" s="234" t="s">
        <v>159</v>
      </c>
      <c r="D29" s="252">
        <v>20</v>
      </c>
      <c r="E29" s="252">
        <v>4</v>
      </c>
      <c r="F29" s="252">
        <v>12</v>
      </c>
      <c r="G29" s="252">
        <v>4</v>
      </c>
      <c r="H29" s="319"/>
      <c r="I29" s="319"/>
      <c r="J29" s="319"/>
      <c r="K29" s="319"/>
      <c r="L29" s="319"/>
      <c r="M29" s="319"/>
      <c r="N29" s="319"/>
      <c r="O29" s="319"/>
      <c r="P29" s="319"/>
      <c r="Q29" s="335">
        <f t="shared" si="9"/>
        <v>20</v>
      </c>
      <c r="R29" s="263">
        <f t="shared" si="10"/>
        <v>6.666666666666667</v>
      </c>
      <c r="S29" s="336">
        <f>IFERROR((T29/R29),0)</f>
        <v>0</v>
      </c>
      <c r="T29" s="307">
        <f t="shared" si="11"/>
        <v>0</v>
      </c>
      <c r="U29" s="233">
        <v>2017</v>
      </c>
      <c r="V29" s="234" t="s">
        <v>159</v>
      </c>
      <c r="W29" s="220"/>
      <c r="X29" s="220"/>
      <c r="Y29" s="220"/>
      <c r="Z29" s="220"/>
      <c r="AA29" s="458" t="s">
        <v>288</v>
      </c>
      <c r="AB29" s="458"/>
      <c r="AC29" s="458"/>
      <c r="AD29" s="458"/>
      <c r="AE29" s="458"/>
      <c r="AF29" s="220"/>
      <c r="AG29" s="220"/>
      <c r="AH29" s="220"/>
      <c r="AI29" s="220"/>
      <c r="AJ29" s="220"/>
      <c r="AK29" s="220"/>
    </row>
    <row r="30" spans="1:37" ht="15" customHeight="1" x14ac:dyDescent="0.25">
      <c r="A30" s="234">
        <v>11198</v>
      </c>
      <c r="B30" s="233">
        <v>2017</v>
      </c>
      <c r="C30" s="234" t="s">
        <v>46</v>
      </c>
      <c r="D30" s="252">
        <v>279</v>
      </c>
      <c r="E30" s="252">
        <v>16</v>
      </c>
      <c r="F30" s="252">
        <v>17</v>
      </c>
      <c r="G30" s="252">
        <v>22</v>
      </c>
      <c r="H30" s="252">
        <v>10</v>
      </c>
      <c r="I30" s="252">
        <f>214-181</f>
        <v>33</v>
      </c>
      <c r="J30" s="252">
        <v>27</v>
      </c>
      <c r="K30" s="252">
        <v>20</v>
      </c>
      <c r="L30" s="252">
        <v>16</v>
      </c>
      <c r="M30" s="252">
        <v>19</v>
      </c>
      <c r="N30" s="252">
        <v>19</v>
      </c>
      <c r="O30" s="252">
        <v>22</v>
      </c>
      <c r="P30" s="252">
        <f>10-5</f>
        <v>5</v>
      </c>
      <c r="Q30" s="335">
        <f t="shared" si="9"/>
        <v>226</v>
      </c>
      <c r="R30" s="263">
        <f t="shared" si="10"/>
        <v>18.833333333333332</v>
      </c>
      <c r="S30" s="336">
        <f>IFERROR((T30/R30),0)</f>
        <v>2.8141592920353986</v>
      </c>
      <c r="T30" s="307">
        <f t="shared" si="11"/>
        <v>53</v>
      </c>
      <c r="U30" s="233">
        <v>2017</v>
      </c>
      <c r="V30" s="234" t="s">
        <v>46</v>
      </c>
      <c r="W30" s="220"/>
      <c r="X30" s="220"/>
      <c r="Y30" s="220"/>
      <c r="Z30" s="220"/>
      <c r="AA30" s="353"/>
      <c r="AB30" s="354"/>
      <c r="AC30" s="355"/>
      <c r="AD30" s="355"/>
      <c r="AE30" s="363"/>
      <c r="AF30" s="220"/>
      <c r="AG30" s="220"/>
      <c r="AH30" s="220"/>
      <c r="AI30" s="220"/>
      <c r="AJ30" s="220"/>
      <c r="AK30" s="220"/>
    </row>
    <row r="31" spans="1:37" ht="15" customHeight="1" x14ac:dyDescent="0.25">
      <c r="A31" s="234">
        <v>28384</v>
      </c>
      <c r="B31" s="233">
        <v>2017</v>
      </c>
      <c r="C31" s="234" t="s">
        <v>271</v>
      </c>
      <c r="D31" s="252">
        <v>113</v>
      </c>
      <c r="E31" s="252">
        <v>0</v>
      </c>
      <c r="F31" s="252">
        <v>55</v>
      </c>
      <c r="G31" s="252">
        <v>0</v>
      </c>
      <c r="H31" s="252">
        <v>0</v>
      </c>
      <c r="I31" s="252">
        <v>0</v>
      </c>
      <c r="J31" s="252">
        <v>0</v>
      </c>
      <c r="K31" s="252">
        <v>0</v>
      </c>
      <c r="L31" s="252">
        <v>0</v>
      </c>
      <c r="M31" s="252">
        <v>1</v>
      </c>
      <c r="N31" s="252">
        <v>3</v>
      </c>
      <c r="O31" s="252">
        <v>7</v>
      </c>
      <c r="P31" s="252">
        <f>2-1</f>
        <v>1</v>
      </c>
      <c r="Q31" s="335">
        <f t="shared" si="9"/>
        <v>67</v>
      </c>
      <c r="R31" s="263">
        <f t="shared" si="10"/>
        <v>5.583333333333333</v>
      </c>
      <c r="S31" s="336">
        <f>IFERROR((T31/R31),0)</f>
        <v>8.2388059701492544</v>
      </c>
      <c r="T31" s="307">
        <f t="shared" si="11"/>
        <v>46</v>
      </c>
      <c r="U31" s="233">
        <v>2017</v>
      </c>
      <c r="V31" s="234" t="s">
        <v>272</v>
      </c>
      <c r="W31" s="220"/>
      <c r="X31" s="220"/>
      <c r="Y31" s="220"/>
      <c r="Z31" s="220"/>
      <c r="AA31" s="353"/>
      <c r="AB31" s="354"/>
      <c r="AC31" s="355"/>
      <c r="AD31" s="355"/>
      <c r="AE31" s="363"/>
      <c r="AF31" s="220"/>
      <c r="AG31" s="220"/>
      <c r="AH31" s="220"/>
      <c r="AI31" s="220"/>
      <c r="AJ31" s="220"/>
      <c r="AK31" s="220"/>
    </row>
    <row r="32" spans="1:37" ht="15" customHeight="1" x14ac:dyDescent="0.25">
      <c r="A32" s="234">
        <v>57632</v>
      </c>
      <c r="B32" s="233">
        <v>2017</v>
      </c>
      <c r="C32" s="234" t="s">
        <v>31</v>
      </c>
      <c r="D32" s="252">
        <v>448</v>
      </c>
      <c r="E32" s="369">
        <v>0</v>
      </c>
      <c r="F32" s="369">
        <v>42</v>
      </c>
      <c r="G32" s="369">
        <v>24</v>
      </c>
      <c r="H32" s="369">
        <v>28</v>
      </c>
      <c r="I32" s="369">
        <f>354-312</f>
        <v>42</v>
      </c>
      <c r="J32" s="369">
        <v>20</v>
      </c>
      <c r="K32" s="369">
        <v>30</v>
      </c>
      <c r="L32" s="369">
        <v>52</v>
      </c>
      <c r="M32" s="369">
        <f>210-178</f>
        <v>32</v>
      </c>
      <c r="N32" s="369">
        <v>23</v>
      </c>
      <c r="O32" s="369">
        <f>155-121</f>
        <v>34</v>
      </c>
      <c r="P32" s="369">
        <f>121-108-5</f>
        <v>8</v>
      </c>
      <c r="Q32" s="335">
        <f>SUM(E32:P32)</f>
        <v>335</v>
      </c>
      <c r="R32" s="263">
        <f>IFERROR((AVERAGE(E32:P32)),0)</f>
        <v>27.916666666666668</v>
      </c>
      <c r="S32" s="336">
        <f>IFERROR((T32/R32),0)</f>
        <v>4.0477611940298504</v>
      </c>
      <c r="T32" s="307">
        <f>SUM(D32-Q32)</f>
        <v>113</v>
      </c>
      <c r="U32" s="233">
        <v>2017</v>
      </c>
      <c r="V32" s="234" t="s">
        <v>31</v>
      </c>
      <c r="W32" s="220"/>
      <c r="X32" s="220"/>
      <c r="Y32" s="220"/>
      <c r="Z32" s="220"/>
      <c r="AA32" s="353">
        <v>43551</v>
      </c>
      <c r="AB32" s="354">
        <v>2018</v>
      </c>
      <c r="AC32" s="367" t="s">
        <v>295</v>
      </c>
      <c r="AD32" s="365">
        <v>75</v>
      </c>
      <c r="AE32" s="363" t="s">
        <v>102</v>
      </c>
      <c r="AF32" s="220"/>
      <c r="AG32" s="220"/>
      <c r="AH32" s="220"/>
      <c r="AI32" s="220"/>
      <c r="AJ32" s="220"/>
      <c r="AK32" s="220"/>
    </row>
    <row r="33" spans="1:40" ht="15" customHeight="1" x14ac:dyDescent="0.25">
      <c r="A33" s="234">
        <v>57630</v>
      </c>
      <c r="B33" s="233">
        <v>2017</v>
      </c>
      <c r="C33" s="234" t="s">
        <v>25</v>
      </c>
      <c r="D33" s="252">
        <v>865</v>
      </c>
      <c r="E33" s="369">
        <v>0</v>
      </c>
      <c r="F33" s="369">
        <v>0</v>
      </c>
      <c r="G33" s="369">
        <v>0</v>
      </c>
      <c r="H33" s="369">
        <v>0</v>
      </c>
      <c r="I33" s="369">
        <v>0</v>
      </c>
      <c r="J33" s="369">
        <v>0</v>
      </c>
      <c r="K33" s="369">
        <v>0</v>
      </c>
      <c r="L33" s="369">
        <v>0</v>
      </c>
      <c r="M33" s="369">
        <v>0</v>
      </c>
      <c r="N33" s="369">
        <v>0</v>
      </c>
      <c r="O33" s="369">
        <v>0</v>
      </c>
      <c r="P33" s="369">
        <f>865-848-6</f>
        <v>11</v>
      </c>
      <c r="Q33" s="335">
        <f t="shared" si="9"/>
        <v>11</v>
      </c>
      <c r="R33" s="263">
        <f t="shared" ref="R33:R56" si="13">IFERROR((AVERAGE(E33:P33)),0)</f>
        <v>0.91666666666666663</v>
      </c>
      <c r="S33" s="336">
        <f t="shared" ref="S33:S55" si="14">IFERROR((T33/R33),0)</f>
        <v>931.63636363636363</v>
      </c>
      <c r="T33" s="307">
        <f t="shared" si="11"/>
        <v>854</v>
      </c>
      <c r="U33" s="233">
        <v>2017</v>
      </c>
      <c r="V33" s="234" t="s">
        <v>25</v>
      </c>
      <c r="W33" s="220"/>
      <c r="X33" s="220"/>
      <c r="Y33" s="220"/>
      <c r="Z33" s="220"/>
      <c r="AA33" s="353">
        <v>43551</v>
      </c>
      <c r="AB33" s="354">
        <v>2018</v>
      </c>
      <c r="AC33" s="367" t="s">
        <v>296</v>
      </c>
      <c r="AD33" s="365">
        <v>75</v>
      </c>
      <c r="AE33" s="363" t="s">
        <v>102</v>
      </c>
      <c r="AF33" s="220"/>
      <c r="AG33" s="220"/>
      <c r="AH33" s="220"/>
      <c r="AI33" s="220"/>
      <c r="AJ33" s="220"/>
      <c r="AK33" s="220"/>
      <c r="AL33" s="220"/>
      <c r="AM33" s="220"/>
      <c r="AN33" s="220"/>
    </row>
    <row r="34" spans="1:40" ht="15" customHeight="1" x14ac:dyDescent="0.25">
      <c r="A34" s="234">
        <v>133688</v>
      </c>
      <c r="B34" s="233">
        <v>2017</v>
      </c>
      <c r="C34" s="234" t="s">
        <v>23</v>
      </c>
      <c r="D34" s="252">
        <v>620</v>
      </c>
      <c r="E34" s="369">
        <v>0</v>
      </c>
      <c r="F34" s="369">
        <v>0</v>
      </c>
      <c r="G34" s="369">
        <v>0</v>
      </c>
      <c r="H34" s="369">
        <v>3</v>
      </c>
      <c r="I34" s="369">
        <f>617-572</f>
        <v>45</v>
      </c>
      <c r="J34" s="369">
        <v>13</v>
      </c>
      <c r="K34" s="369">
        <v>4</v>
      </c>
      <c r="L34" s="369">
        <v>49</v>
      </c>
      <c r="M34" s="369">
        <f>506-458</f>
        <v>48</v>
      </c>
      <c r="N34" s="369">
        <v>44</v>
      </c>
      <c r="O34" s="369">
        <f>414-369</f>
        <v>45</v>
      </c>
      <c r="P34" s="369">
        <f>369-344-4</f>
        <v>21</v>
      </c>
      <c r="Q34" s="335">
        <f t="shared" ref="Q34:Q41" si="15">SUM(E34:P34)</f>
        <v>272</v>
      </c>
      <c r="R34" s="263">
        <f t="shared" si="13"/>
        <v>22.666666666666668</v>
      </c>
      <c r="S34" s="336">
        <f t="shared" si="14"/>
        <v>15.352941176470587</v>
      </c>
      <c r="T34" s="307">
        <f t="shared" si="11"/>
        <v>348</v>
      </c>
      <c r="U34" s="233">
        <v>2017</v>
      </c>
      <c r="V34" s="234" t="s">
        <v>23</v>
      </c>
      <c r="W34" s="220"/>
      <c r="X34" s="220"/>
      <c r="Y34" s="220"/>
      <c r="Z34" s="220"/>
      <c r="AA34" s="353">
        <v>43551</v>
      </c>
      <c r="AB34" s="354">
        <v>2018</v>
      </c>
      <c r="AC34" s="367" t="s">
        <v>297</v>
      </c>
      <c r="AD34" s="365">
        <v>75</v>
      </c>
      <c r="AE34" s="363" t="s">
        <v>102</v>
      </c>
      <c r="AF34" s="220"/>
      <c r="AG34" s="220"/>
      <c r="AH34" s="220"/>
      <c r="AI34" s="220"/>
      <c r="AJ34" s="220"/>
      <c r="AK34" s="220"/>
      <c r="AL34" s="220"/>
      <c r="AM34" s="220"/>
      <c r="AN34" s="220"/>
    </row>
    <row r="35" spans="1:40" ht="15" customHeight="1" x14ac:dyDescent="0.25">
      <c r="A35" s="234">
        <v>133687</v>
      </c>
      <c r="B35" s="233">
        <v>2017</v>
      </c>
      <c r="C35" s="234" t="s">
        <v>93</v>
      </c>
      <c r="D35" s="252">
        <v>149</v>
      </c>
      <c r="E35" s="253">
        <v>8</v>
      </c>
      <c r="F35" s="253">
        <v>0</v>
      </c>
      <c r="G35" s="253">
        <v>5</v>
      </c>
      <c r="H35" s="253">
        <v>0</v>
      </c>
      <c r="I35" s="253">
        <v>0</v>
      </c>
      <c r="J35" s="253">
        <v>1</v>
      </c>
      <c r="K35" s="253">
        <v>1</v>
      </c>
      <c r="L35" s="253">
        <v>0</v>
      </c>
      <c r="M35" s="253">
        <v>0</v>
      </c>
      <c r="N35" s="253">
        <v>0</v>
      </c>
      <c r="O35" s="253">
        <v>0</v>
      </c>
      <c r="P35" s="253">
        <v>0</v>
      </c>
      <c r="Q35" s="335">
        <f t="shared" si="15"/>
        <v>15</v>
      </c>
      <c r="R35" s="263">
        <f t="shared" si="13"/>
        <v>1.25</v>
      </c>
      <c r="S35" s="336">
        <f t="shared" si="14"/>
        <v>107.2</v>
      </c>
      <c r="T35" s="307">
        <f t="shared" si="11"/>
        <v>134</v>
      </c>
      <c r="U35" s="233">
        <v>2017</v>
      </c>
      <c r="V35" s="234" t="s">
        <v>93</v>
      </c>
      <c r="W35" s="220"/>
      <c r="X35" s="220"/>
      <c r="Y35" s="220"/>
      <c r="Z35" s="220"/>
      <c r="AA35" s="353">
        <v>43551</v>
      </c>
      <c r="AB35" s="354">
        <v>2018</v>
      </c>
      <c r="AC35" s="367" t="s">
        <v>298</v>
      </c>
      <c r="AD35" s="365">
        <v>282</v>
      </c>
      <c r="AE35" s="363" t="s">
        <v>102</v>
      </c>
      <c r="AF35" s="220"/>
      <c r="AG35" s="220"/>
      <c r="AH35" s="220"/>
      <c r="AI35" s="220"/>
      <c r="AJ35" s="220"/>
      <c r="AK35" s="220"/>
      <c r="AL35" s="220"/>
      <c r="AM35" s="220"/>
      <c r="AN35" s="220"/>
    </row>
    <row r="36" spans="1:40" ht="15" customHeight="1" x14ac:dyDescent="0.25">
      <c r="A36" s="234">
        <v>27736</v>
      </c>
      <c r="B36" s="233">
        <v>2017</v>
      </c>
      <c r="C36" s="234" t="s">
        <v>56</v>
      </c>
      <c r="D36" s="252">
        <v>406</v>
      </c>
      <c r="E36" s="253">
        <v>6</v>
      </c>
      <c r="F36" s="253">
        <v>0</v>
      </c>
      <c r="G36" s="253">
        <v>0</v>
      </c>
      <c r="H36" s="253">
        <v>5</v>
      </c>
      <c r="I36" s="253">
        <v>0</v>
      </c>
      <c r="J36" s="253">
        <v>1</v>
      </c>
      <c r="K36" s="253">
        <v>1</v>
      </c>
      <c r="L36" s="253">
        <v>0</v>
      </c>
      <c r="M36" s="253">
        <v>3</v>
      </c>
      <c r="N36" s="253">
        <v>0</v>
      </c>
      <c r="O36" s="253">
        <v>0</v>
      </c>
      <c r="P36" s="253">
        <f>10-4</f>
        <v>6</v>
      </c>
      <c r="Q36" s="335">
        <f t="shared" si="15"/>
        <v>22</v>
      </c>
      <c r="R36" s="263">
        <f t="shared" si="13"/>
        <v>1.8333333333333333</v>
      </c>
      <c r="S36" s="336">
        <f t="shared" si="14"/>
        <v>209.45454545454547</v>
      </c>
      <c r="T36" s="307">
        <f t="shared" si="11"/>
        <v>384</v>
      </c>
      <c r="U36" s="233">
        <v>2017</v>
      </c>
      <c r="V36" s="234" t="s">
        <v>56</v>
      </c>
      <c r="W36" s="220"/>
      <c r="X36" s="220"/>
      <c r="Y36" s="220"/>
      <c r="Z36" s="220"/>
      <c r="AA36" s="353">
        <v>43551</v>
      </c>
      <c r="AB36" s="354">
        <v>2018</v>
      </c>
      <c r="AC36" s="367" t="s">
        <v>299</v>
      </c>
      <c r="AD36" s="365">
        <v>446</v>
      </c>
      <c r="AE36" s="363" t="s">
        <v>102</v>
      </c>
      <c r="AF36" s="220"/>
      <c r="AG36" s="220"/>
      <c r="AH36" s="220"/>
      <c r="AI36" s="220"/>
      <c r="AJ36" s="220"/>
      <c r="AK36" s="220"/>
      <c r="AL36" s="220"/>
      <c r="AM36" s="220"/>
      <c r="AN36" s="220"/>
    </row>
    <row r="37" spans="1:40" ht="15" customHeight="1" x14ac:dyDescent="0.25">
      <c r="A37" s="234">
        <v>135371</v>
      </c>
      <c r="B37" s="233">
        <v>2017</v>
      </c>
      <c r="C37" s="234" t="s">
        <v>291</v>
      </c>
      <c r="D37" s="252">
        <v>280</v>
      </c>
      <c r="E37" s="253">
        <v>14</v>
      </c>
      <c r="F37" s="253">
        <v>20</v>
      </c>
      <c r="G37" s="253">
        <v>0</v>
      </c>
      <c r="H37" s="253">
        <v>0</v>
      </c>
      <c r="I37" s="253">
        <v>0</v>
      </c>
      <c r="J37" s="253">
        <v>0</v>
      </c>
      <c r="K37" s="253">
        <v>0</v>
      </c>
      <c r="L37" s="253">
        <v>0</v>
      </c>
      <c r="M37" s="253">
        <v>0</v>
      </c>
      <c r="N37" s="253">
        <v>0</v>
      </c>
      <c r="O37" s="253">
        <v>4</v>
      </c>
      <c r="P37" s="253">
        <f>242-235-1</f>
        <v>6</v>
      </c>
      <c r="Q37" s="335">
        <f t="shared" si="15"/>
        <v>44</v>
      </c>
      <c r="R37" s="263">
        <f t="shared" si="13"/>
        <v>3.6666666666666665</v>
      </c>
      <c r="S37" s="336">
        <f t="shared" si="14"/>
        <v>64.36363636363636</v>
      </c>
      <c r="T37" s="307">
        <f t="shared" si="11"/>
        <v>236</v>
      </c>
      <c r="U37" s="233">
        <v>2017</v>
      </c>
      <c r="V37" s="234" t="s">
        <v>291</v>
      </c>
      <c r="W37" s="220"/>
      <c r="X37" s="220"/>
      <c r="Y37" s="220"/>
      <c r="Z37" s="220"/>
      <c r="AA37" s="353">
        <v>43142</v>
      </c>
      <c r="AB37" s="354">
        <v>2018</v>
      </c>
      <c r="AC37" s="367" t="s">
        <v>300</v>
      </c>
      <c r="AD37" s="365">
        <v>50</v>
      </c>
      <c r="AE37" s="363" t="s">
        <v>102</v>
      </c>
      <c r="AF37" s="220"/>
      <c r="AG37" s="220"/>
      <c r="AH37" s="220"/>
      <c r="AI37" s="220"/>
      <c r="AJ37" s="220"/>
      <c r="AK37" s="220"/>
      <c r="AL37" s="220"/>
      <c r="AM37" s="220"/>
      <c r="AN37" s="220"/>
    </row>
    <row r="38" spans="1:40" ht="15" customHeight="1" x14ac:dyDescent="0.25">
      <c r="A38" s="234">
        <v>22921</v>
      </c>
      <c r="B38" s="233">
        <v>2017</v>
      </c>
      <c r="C38" s="234" t="s">
        <v>277</v>
      </c>
      <c r="D38" s="252">
        <v>784</v>
      </c>
      <c r="E38" s="253">
        <v>0</v>
      </c>
      <c r="F38" s="253">
        <v>26</v>
      </c>
      <c r="G38" s="253">
        <v>7</v>
      </c>
      <c r="H38" s="253">
        <v>3</v>
      </c>
      <c r="I38" s="253">
        <v>2</v>
      </c>
      <c r="J38" s="253">
        <v>1</v>
      </c>
      <c r="K38" s="253">
        <v>1</v>
      </c>
      <c r="L38" s="253">
        <v>6</v>
      </c>
      <c r="M38" s="253">
        <v>0</v>
      </c>
      <c r="N38" s="253">
        <v>0</v>
      </c>
      <c r="O38" s="253">
        <v>0</v>
      </c>
      <c r="P38" s="253">
        <v>0</v>
      </c>
      <c r="Q38" s="335">
        <f t="shared" si="15"/>
        <v>46</v>
      </c>
      <c r="R38" s="263">
        <f t="shared" si="13"/>
        <v>3.8333333333333335</v>
      </c>
      <c r="S38" s="336">
        <f t="shared" si="14"/>
        <v>192.52173913043478</v>
      </c>
      <c r="T38" s="307">
        <f t="shared" si="11"/>
        <v>738</v>
      </c>
      <c r="U38" s="233">
        <v>2017</v>
      </c>
      <c r="V38" s="234" t="s">
        <v>277</v>
      </c>
      <c r="W38" s="220"/>
      <c r="X38" s="220"/>
      <c r="Y38" s="220"/>
      <c r="Z38" s="220"/>
      <c r="AA38" s="353">
        <v>43142</v>
      </c>
      <c r="AB38" s="354">
        <v>2018</v>
      </c>
      <c r="AC38" s="367" t="s">
        <v>302</v>
      </c>
      <c r="AD38" s="365">
        <v>74</v>
      </c>
      <c r="AE38" s="363" t="s">
        <v>102</v>
      </c>
      <c r="AF38" s="220"/>
      <c r="AG38" s="220"/>
      <c r="AH38" s="220"/>
      <c r="AI38" s="220"/>
      <c r="AJ38" s="220"/>
      <c r="AK38" s="220"/>
      <c r="AL38" s="220"/>
      <c r="AM38" s="220"/>
      <c r="AN38" s="220"/>
    </row>
    <row r="39" spans="1:40" ht="15" customHeight="1" x14ac:dyDescent="0.25">
      <c r="A39" s="234">
        <v>135370</v>
      </c>
      <c r="B39" s="233">
        <v>2017</v>
      </c>
      <c r="C39" s="234" t="s">
        <v>217</v>
      </c>
      <c r="D39" s="252">
        <v>168</v>
      </c>
      <c r="E39" s="253">
        <v>0</v>
      </c>
      <c r="F39" s="253">
        <v>8</v>
      </c>
      <c r="G39" s="253">
        <v>0</v>
      </c>
      <c r="H39" s="253">
        <v>0</v>
      </c>
      <c r="I39" s="253">
        <v>0</v>
      </c>
      <c r="J39" s="253">
        <v>0</v>
      </c>
      <c r="K39" s="253">
        <v>0</v>
      </c>
      <c r="L39" s="253">
        <v>0</v>
      </c>
      <c r="M39" s="253">
        <v>0</v>
      </c>
      <c r="N39" s="253">
        <v>0</v>
      </c>
      <c r="O39" s="253">
        <v>0</v>
      </c>
      <c r="P39" s="253">
        <v>0</v>
      </c>
      <c r="Q39" s="335">
        <f t="shared" si="15"/>
        <v>8</v>
      </c>
      <c r="R39" s="263">
        <f t="shared" si="13"/>
        <v>0.66666666666666663</v>
      </c>
      <c r="S39" s="336">
        <f t="shared" si="14"/>
        <v>240</v>
      </c>
      <c r="T39" s="307">
        <f t="shared" si="11"/>
        <v>160</v>
      </c>
      <c r="U39" s="233">
        <v>2017</v>
      </c>
      <c r="V39" s="234" t="s">
        <v>217</v>
      </c>
      <c r="W39" s="220"/>
      <c r="X39" s="220"/>
      <c r="Y39" s="220"/>
      <c r="Z39" s="220"/>
      <c r="AA39" s="353">
        <v>43142</v>
      </c>
      <c r="AB39" s="354">
        <v>2018</v>
      </c>
      <c r="AC39" s="367" t="s">
        <v>303</v>
      </c>
      <c r="AD39" s="365">
        <v>618</v>
      </c>
      <c r="AE39" s="363" t="s">
        <v>102</v>
      </c>
      <c r="AF39" s="220"/>
      <c r="AG39" s="220"/>
      <c r="AH39" s="220"/>
      <c r="AI39" s="220"/>
      <c r="AJ39" s="220"/>
      <c r="AK39" s="220"/>
      <c r="AL39" s="220"/>
      <c r="AM39" s="220"/>
      <c r="AN39" s="220"/>
    </row>
    <row r="40" spans="1:40" ht="15" customHeight="1" x14ac:dyDescent="0.25">
      <c r="A40" s="234">
        <v>137519</v>
      </c>
      <c r="B40" s="233" t="s">
        <v>280</v>
      </c>
      <c r="C40" s="234" t="s">
        <v>94</v>
      </c>
      <c r="D40" s="252">
        <v>672</v>
      </c>
      <c r="E40" s="253">
        <v>0</v>
      </c>
      <c r="F40" s="253">
        <v>20</v>
      </c>
      <c r="G40" s="252">
        <v>14</v>
      </c>
      <c r="H40" s="252">
        <v>19</v>
      </c>
      <c r="I40" s="252">
        <f>619-508</f>
        <v>111</v>
      </c>
      <c r="J40" s="252">
        <v>0</v>
      </c>
      <c r="K40" s="252">
        <v>63</v>
      </c>
      <c r="L40" s="252">
        <v>25</v>
      </c>
      <c r="M40" s="252">
        <f>420-358</f>
        <v>62</v>
      </c>
      <c r="N40" s="252">
        <v>45</v>
      </c>
      <c r="O40" s="252">
        <f>313-202</f>
        <v>111</v>
      </c>
      <c r="P40" s="252">
        <f>202-171-4</f>
        <v>27</v>
      </c>
      <c r="Q40" s="335">
        <f t="shared" si="15"/>
        <v>497</v>
      </c>
      <c r="R40" s="263">
        <f t="shared" si="13"/>
        <v>41.416666666666664</v>
      </c>
      <c r="S40" s="336">
        <f t="shared" si="14"/>
        <v>4.2253521126760569</v>
      </c>
      <c r="T40" s="307">
        <f t="shared" si="11"/>
        <v>175</v>
      </c>
      <c r="U40" s="233">
        <v>2017</v>
      </c>
      <c r="V40" s="234" t="s">
        <v>94</v>
      </c>
      <c r="W40" s="220"/>
      <c r="X40" s="220"/>
      <c r="Y40" s="220"/>
      <c r="Z40" s="220"/>
      <c r="AA40" s="353">
        <v>43552</v>
      </c>
      <c r="AB40" s="354"/>
      <c r="AC40" s="367" t="s">
        <v>305</v>
      </c>
      <c r="AD40" s="365">
        <v>17</v>
      </c>
      <c r="AE40" s="363" t="s">
        <v>104</v>
      </c>
      <c r="AF40" s="220"/>
      <c r="AG40" s="220"/>
      <c r="AH40" s="220"/>
      <c r="AI40" s="220"/>
      <c r="AJ40" s="220"/>
      <c r="AK40" s="220"/>
      <c r="AL40" s="220"/>
      <c r="AM40" s="220"/>
      <c r="AN40" s="220"/>
    </row>
    <row r="41" spans="1:40" ht="15" customHeight="1" x14ac:dyDescent="0.25">
      <c r="A41" s="234">
        <v>28381</v>
      </c>
      <c r="B41" s="233">
        <v>2017</v>
      </c>
      <c r="C41" s="234" t="s">
        <v>269</v>
      </c>
      <c r="D41" s="252">
        <v>31</v>
      </c>
      <c r="E41" s="252">
        <v>3</v>
      </c>
      <c r="F41" s="252">
        <v>4</v>
      </c>
      <c r="G41" s="252">
        <v>1</v>
      </c>
      <c r="H41" s="252">
        <v>1</v>
      </c>
      <c r="I41" s="252">
        <v>12</v>
      </c>
      <c r="J41" s="252">
        <v>1</v>
      </c>
      <c r="K41" s="252">
        <v>5</v>
      </c>
      <c r="L41" s="252">
        <v>3</v>
      </c>
      <c r="M41" s="252">
        <v>1</v>
      </c>
      <c r="N41" s="319"/>
      <c r="O41" s="319"/>
      <c r="P41" s="319"/>
      <c r="Q41" s="335">
        <f t="shared" si="15"/>
        <v>31</v>
      </c>
      <c r="R41" s="263">
        <f t="shared" si="13"/>
        <v>3.4444444444444446</v>
      </c>
      <c r="S41" s="336">
        <f t="shared" si="14"/>
        <v>0</v>
      </c>
      <c r="T41" s="307">
        <f t="shared" si="11"/>
        <v>0</v>
      </c>
      <c r="U41" s="233">
        <v>2017</v>
      </c>
      <c r="V41" s="234" t="s">
        <v>269</v>
      </c>
      <c r="W41" s="220"/>
      <c r="X41" s="220"/>
      <c r="Y41" s="220"/>
      <c r="Z41" s="220"/>
      <c r="AA41" s="353">
        <v>43620</v>
      </c>
      <c r="AB41" s="354">
        <v>2018</v>
      </c>
      <c r="AC41" s="367" t="s">
        <v>312</v>
      </c>
      <c r="AD41" s="365">
        <v>7</v>
      </c>
      <c r="AE41" s="363" t="s">
        <v>104</v>
      </c>
      <c r="AF41" s="220"/>
      <c r="AG41" s="220"/>
      <c r="AH41" s="220"/>
      <c r="AI41" s="220"/>
      <c r="AJ41" s="220"/>
      <c r="AK41" s="220"/>
      <c r="AL41" s="220"/>
      <c r="AM41" s="220"/>
      <c r="AN41" s="220"/>
    </row>
    <row r="42" spans="1:40" ht="15" customHeight="1" x14ac:dyDescent="0.25">
      <c r="A42" s="234">
        <v>137517</v>
      </c>
      <c r="B42" s="233">
        <v>2017</v>
      </c>
      <c r="C42" s="234" t="s">
        <v>292</v>
      </c>
      <c r="D42" s="252">
        <v>167</v>
      </c>
      <c r="E42" s="252">
        <v>0</v>
      </c>
      <c r="F42" s="252">
        <v>29</v>
      </c>
      <c r="G42" s="252">
        <v>0</v>
      </c>
      <c r="H42" s="252">
        <v>17</v>
      </c>
      <c r="I42" s="252">
        <v>0</v>
      </c>
      <c r="J42" s="252">
        <v>0</v>
      </c>
      <c r="K42" s="252">
        <v>0</v>
      </c>
      <c r="L42" s="252">
        <v>0</v>
      </c>
      <c r="M42" s="252">
        <f>121-116</f>
        <v>5</v>
      </c>
      <c r="N42" s="252">
        <v>0</v>
      </c>
      <c r="O42" s="252">
        <v>0</v>
      </c>
      <c r="P42" s="252">
        <v>0</v>
      </c>
      <c r="Q42" s="335">
        <f t="shared" ref="Q42" si="16">SUM(E42:P42)</f>
        <v>51</v>
      </c>
      <c r="R42" s="263">
        <f t="shared" ref="R42" si="17">IFERROR((AVERAGE(E42:P42)),0)</f>
        <v>4.25</v>
      </c>
      <c r="S42" s="336">
        <f t="shared" ref="S42" si="18">IFERROR((T42/R42),0)</f>
        <v>27.294117647058822</v>
      </c>
      <c r="T42" s="307">
        <f t="shared" si="11"/>
        <v>116</v>
      </c>
      <c r="U42" s="233">
        <v>2017</v>
      </c>
      <c r="V42" s="234" t="s">
        <v>292</v>
      </c>
      <c r="W42" s="220"/>
      <c r="X42" s="220"/>
      <c r="Y42" s="220"/>
      <c r="Z42" s="220"/>
      <c r="AA42" s="353">
        <v>43626</v>
      </c>
      <c r="AB42" s="354">
        <v>2018</v>
      </c>
      <c r="AC42" s="367" t="s">
        <v>313</v>
      </c>
      <c r="AD42" s="365">
        <v>50</v>
      </c>
      <c r="AE42" s="363" t="s">
        <v>102</v>
      </c>
      <c r="AF42" s="220"/>
      <c r="AG42" s="220"/>
      <c r="AH42" s="220"/>
      <c r="AI42" s="220"/>
      <c r="AJ42" s="220"/>
      <c r="AK42" s="220"/>
      <c r="AL42" s="220"/>
      <c r="AM42" s="220"/>
      <c r="AN42" s="220"/>
    </row>
    <row r="43" spans="1:40" ht="15" customHeight="1" x14ac:dyDescent="0.25">
      <c r="A43" s="234">
        <v>116508</v>
      </c>
      <c r="B43" s="233" t="s">
        <v>273</v>
      </c>
      <c r="C43" s="234" t="s">
        <v>274</v>
      </c>
      <c r="D43" s="252">
        <v>437</v>
      </c>
      <c r="E43" s="252">
        <v>30</v>
      </c>
      <c r="F43" s="252">
        <v>16</v>
      </c>
      <c r="G43" s="252">
        <v>0</v>
      </c>
      <c r="H43" s="252">
        <v>0</v>
      </c>
      <c r="I43" s="252">
        <f>391-365</f>
        <v>26</v>
      </c>
      <c r="J43" s="252">
        <v>3</v>
      </c>
      <c r="K43" s="252">
        <v>13</v>
      </c>
      <c r="L43" s="252">
        <v>52</v>
      </c>
      <c r="M43" s="252">
        <f>297-191</f>
        <v>106</v>
      </c>
      <c r="N43" s="252">
        <v>0</v>
      </c>
      <c r="O43" s="252">
        <v>0</v>
      </c>
      <c r="P43" s="252">
        <v>0</v>
      </c>
      <c r="Q43" s="335">
        <f t="shared" ref="Q43:Q55" si="19">SUM(E43:P43)</f>
        <v>246</v>
      </c>
      <c r="R43" s="263">
        <f t="shared" si="13"/>
        <v>20.5</v>
      </c>
      <c r="S43" s="336">
        <f t="shared" si="14"/>
        <v>9.3170731707317067</v>
      </c>
      <c r="T43" s="307">
        <f t="shared" si="11"/>
        <v>191</v>
      </c>
      <c r="U43" s="233" t="s">
        <v>273</v>
      </c>
      <c r="V43" s="234" t="s">
        <v>274</v>
      </c>
      <c r="W43" s="220"/>
      <c r="X43" s="220"/>
      <c r="Y43" s="220"/>
      <c r="Z43" s="220"/>
      <c r="AA43" s="353">
        <v>43626</v>
      </c>
      <c r="AB43" s="354">
        <v>2018</v>
      </c>
      <c r="AC43" s="367" t="s">
        <v>314</v>
      </c>
      <c r="AD43" s="365">
        <v>352</v>
      </c>
      <c r="AE43" s="363" t="s">
        <v>102</v>
      </c>
      <c r="AF43" s="220"/>
      <c r="AG43" s="220"/>
      <c r="AH43" s="220"/>
      <c r="AI43" s="220"/>
      <c r="AJ43" s="220"/>
      <c r="AK43" s="220"/>
      <c r="AL43" s="220"/>
      <c r="AM43" s="220"/>
      <c r="AN43" s="220"/>
    </row>
    <row r="44" spans="1:40" ht="18" x14ac:dyDescent="0.25">
      <c r="A44" s="226"/>
      <c r="B44" s="342"/>
      <c r="C44" s="226"/>
      <c r="D44" s="338"/>
      <c r="E44" s="338"/>
      <c r="F44" s="338"/>
      <c r="G44" s="338"/>
      <c r="H44" s="338"/>
      <c r="I44" s="338"/>
      <c r="J44" s="338"/>
      <c r="K44" s="338"/>
      <c r="L44" s="338"/>
      <c r="M44" s="338"/>
      <c r="N44" s="338"/>
      <c r="O44" s="338"/>
      <c r="P44" s="338"/>
      <c r="Q44" s="243" t="s">
        <v>35</v>
      </c>
      <c r="R44" s="339">
        <f t="shared" si="13"/>
        <v>0</v>
      </c>
      <c r="S44" s="340">
        <f t="shared" si="14"/>
        <v>0</v>
      </c>
      <c r="T44" s="320" t="e">
        <f t="shared" si="11"/>
        <v>#VALUE!</v>
      </c>
      <c r="U44" s="342"/>
      <c r="V44" s="226"/>
      <c r="W44" s="220"/>
      <c r="X44" s="220"/>
      <c r="Y44" s="220"/>
      <c r="Z44" s="220"/>
      <c r="AA44" s="353">
        <v>43739</v>
      </c>
      <c r="AB44" s="354">
        <v>2017</v>
      </c>
      <c r="AC44" s="367" t="s">
        <v>331</v>
      </c>
      <c r="AD44" s="365">
        <v>275</v>
      </c>
      <c r="AE44" s="363" t="s">
        <v>104</v>
      </c>
      <c r="AF44" s="220"/>
      <c r="AG44" s="220"/>
      <c r="AH44" s="220"/>
      <c r="AI44" s="220"/>
      <c r="AJ44" s="220"/>
      <c r="AK44" s="220"/>
      <c r="AL44" s="220"/>
      <c r="AM44" s="220"/>
      <c r="AN44" s="220"/>
    </row>
    <row r="45" spans="1:40" ht="15" customHeight="1" x14ac:dyDescent="0.25">
      <c r="A45" s="234">
        <v>111575</v>
      </c>
      <c r="B45" s="233">
        <v>2018</v>
      </c>
      <c r="C45" s="234" t="s">
        <v>159</v>
      </c>
      <c r="D45" s="252">
        <v>580</v>
      </c>
      <c r="E45" s="369"/>
      <c r="F45" s="369"/>
      <c r="G45" s="369">
        <v>0</v>
      </c>
      <c r="H45" s="369">
        <v>8</v>
      </c>
      <c r="I45" s="369">
        <f>572-504</f>
        <v>68</v>
      </c>
      <c r="J45" s="369">
        <v>39</v>
      </c>
      <c r="K45" s="369">
        <v>33</v>
      </c>
      <c r="L45" s="369">
        <v>25</v>
      </c>
      <c r="M45" s="369">
        <f>407-369</f>
        <v>38</v>
      </c>
      <c r="N45" s="369">
        <v>28</v>
      </c>
      <c r="O45" s="369">
        <f>341-234</f>
        <v>107</v>
      </c>
      <c r="P45" s="369">
        <f>234-225-4</f>
        <v>5</v>
      </c>
      <c r="Q45" s="335">
        <f t="shared" si="19"/>
        <v>351</v>
      </c>
      <c r="R45" s="263">
        <f t="shared" si="13"/>
        <v>35.1</v>
      </c>
      <c r="S45" s="336">
        <f t="shared" si="14"/>
        <v>6.5242165242165235</v>
      </c>
      <c r="T45" s="307">
        <f t="shared" si="11"/>
        <v>229</v>
      </c>
      <c r="U45" s="233">
        <v>2018</v>
      </c>
      <c r="V45" s="234" t="s">
        <v>159</v>
      </c>
      <c r="W45" s="220"/>
      <c r="X45" s="220"/>
      <c r="Y45" s="220"/>
      <c r="Z45" s="220"/>
      <c r="AA45" s="364">
        <v>43739</v>
      </c>
      <c r="AB45" s="362">
        <v>2018</v>
      </c>
      <c r="AC45" s="367" t="s">
        <v>353</v>
      </c>
      <c r="AD45" s="365">
        <v>22</v>
      </c>
      <c r="AE45" s="363" t="s">
        <v>102</v>
      </c>
      <c r="AF45" s="220"/>
      <c r="AG45" s="220"/>
      <c r="AH45" s="220"/>
      <c r="AI45" s="220"/>
      <c r="AJ45" s="220"/>
      <c r="AK45" s="220"/>
      <c r="AL45" s="220"/>
      <c r="AM45" s="220"/>
      <c r="AN45" s="220"/>
    </row>
    <row r="46" spans="1:40" ht="15" customHeight="1" x14ac:dyDescent="0.25">
      <c r="A46" s="234">
        <v>11198</v>
      </c>
      <c r="B46" s="233">
        <v>2018</v>
      </c>
      <c r="C46" s="234" t="s">
        <v>46</v>
      </c>
      <c r="D46" s="252">
        <v>389</v>
      </c>
      <c r="E46" s="252"/>
      <c r="F46" s="252"/>
      <c r="G46" s="252">
        <v>6</v>
      </c>
      <c r="H46" s="252">
        <v>4</v>
      </c>
      <c r="I46" s="252">
        <v>1</v>
      </c>
      <c r="J46" s="252">
        <v>2</v>
      </c>
      <c r="K46" s="252">
        <v>15</v>
      </c>
      <c r="L46" s="252">
        <v>35</v>
      </c>
      <c r="M46" s="252">
        <f>326-312</f>
        <v>14</v>
      </c>
      <c r="N46" s="252">
        <v>6</v>
      </c>
      <c r="O46" s="252">
        <v>1</v>
      </c>
      <c r="P46" s="252">
        <v>3</v>
      </c>
      <c r="Q46" s="335">
        <f t="shared" si="19"/>
        <v>87</v>
      </c>
      <c r="R46" s="263">
        <f t="shared" si="13"/>
        <v>8.6999999999999993</v>
      </c>
      <c r="S46" s="336">
        <f t="shared" si="14"/>
        <v>34.712643678160923</v>
      </c>
      <c r="T46" s="307">
        <f t="shared" si="11"/>
        <v>302</v>
      </c>
      <c r="U46" s="233">
        <v>2018</v>
      </c>
      <c r="V46" s="234" t="s">
        <v>46</v>
      </c>
      <c r="W46" s="220"/>
      <c r="X46" s="220"/>
      <c r="Y46" s="220"/>
      <c r="Z46" s="220"/>
      <c r="AA46" s="364">
        <v>43746</v>
      </c>
      <c r="AB46" s="362">
        <v>2019</v>
      </c>
      <c r="AC46" s="367" t="s">
        <v>319</v>
      </c>
      <c r="AD46" s="365">
        <v>210</v>
      </c>
      <c r="AE46" s="363" t="s">
        <v>104</v>
      </c>
      <c r="AF46" s="220"/>
      <c r="AG46" s="220"/>
      <c r="AH46" s="220"/>
      <c r="AI46" s="220"/>
      <c r="AJ46" s="220"/>
      <c r="AK46" s="220"/>
      <c r="AL46" s="220"/>
      <c r="AM46" s="220"/>
      <c r="AN46" s="220"/>
    </row>
    <row r="47" spans="1:40" ht="15" customHeight="1" x14ac:dyDescent="0.25">
      <c r="A47" s="234">
        <v>28384</v>
      </c>
      <c r="B47" s="233">
        <v>2018</v>
      </c>
      <c r="C47" s="234" t="s">
        <v>271</v>
      </c>
      <c r="D47" s="252"/>
      <c r="E47" s="252"/>
      <c r="F47" s="252"/>
      <c r="G47" s="252"/>
      <c r="H47" s="252"/>
      <c r="I47" s="252"/>
      <c r="J47" s="252"/>
      <c r="K47" s="252"/>
      <c r="L47" s="252"/>
      <c r="M47" s="252"/>
      <c r="N47" s="252"/>
      <c r="O47" s="252"/>
      <c r="P47" s="252"/>
      <c r="Q47" s="335">
        <f t="shared" si="19"/>
        <v>0</v>
      </c>
      <c r="R47" s="263">
        <f t="shared" si="13"/>
        <v>0</v>
      </c>
      <c r="S47" s="336">
        <f t="shared" si="14"/>
        <v>0</v>
      </c>
      <c r="T47" s="307">
        <f t="shared" si="11"/>
        <v>0</v>
      </c>
      <c r="U47" s="233">
        <v>2018</v>
      </c>
      <c r="V47" s="234" t="s">
        <v>271</v>
      </c>
      <c r="W47" s="220"/>
      <c r="X47" s="220"/>
      <c r="Y47" s="220"/>
      <c r="Z47" s="220"/>
      <c r="AA47" s="364">
        <v>43746</v>
      </c>
      <c r="AB47" s="362">
        <v>2019</v>
      </c>
      <c r="AC47" s="367" t="s">
        <v>320</v>
      </c>
      <c r="AD47" s="365">
        <v>990</v>
      </c>
      <c r="AE47" s="363" t="s">
        <v>104</v>
      </c>
      <c r="AF47" s="220"/>
      <c r="AG47" s="220"/>
      <c r="AH47" s="220"/>
      <c r="AI47" s="220"/>
      <c r="AJ47" s="220"/>
      <c r="AK47" s="220"/>
      <c r="AL47" s="220"/>
      <c r="AM47" s="220"/>
      <c r="AN47" s="220"/>
    </row>
    <row r="48" spans="1:40" ht="15" customHeight="1" x14ac:dyDescent="0.25">
      <c r="A48" s="234">
        <v>57632</v>
      </c>
      <c r="B48" s="233">
        <v>2018</v>
      </c>
      <c r="C48" s="234" t="s">
        <v>31</v>
      </c>
      <c r="D48" s="252">
        <v>540</v>
      </c>
      <c r="E48" s="252"/>
      <c r="F48" s="252"/>
      <c r="G48" s="252"/>
      <c r="H48" s="252"/>
      <c r="I48" s="252"/>
      <c r="J48" s="252">
        <v>6</v>
      </c>
      <c r="K48" s="252">
        <v>4</v>
      </c>
      <c r="L48" s="252">
        <v>2</v>
      </c>
      <c r="M48" s="252">
        <v>6</v>
      </c>
      <c r="N48" s="252">
        <v>0</v>
      </c>
      <c r="O48" s="252">
        <v>0</v>
      </c>
      <c r="P48" s="252">
        <v>0</v>
      </c>
      <c r="Q48" s="335">
        <f t="shared" si="19"/>
        <v>18</v>
      </c>
      <c r="R48" s="263">
        <f t="shared" si="13"/>
        <v>2.5714285714285716</v>
      </c>
      <c r="S48" s="336">
        <f t="shared" si="14"/>
        <v>202.99999999999997</v>
      </c>
      <c r="T48" s="307">
        <f t="shared" si="11"/>
        <v>522</v>
      </c>
      <c r="U48" s="233">
        <v>2018</v>
      </c>
      <c r="V48" s="234" t="s">
        <v>31</v>
      </c>
      <c r="W48" s="220"/>
      <c r="X48" s="220"/>
      <c r="Y48" s="220"/>
      <c r="Z48" s="220"/>
      <c r="AA48" s="364">
        <v>43746</v>
      </c>
      <c r="AB48" s="362">
        <v>2019</v>
      </c>
      <c r="AC48" s="367" t="s">
        <v>321</v>
      </c>
      <c r="AD48" s="365">
        <v>570</v>
      </c>
      <c r="AE48" s="363" t="s">
        <v>104</v>
      </c>
      <c r="AF48" s="220"/>
      <c r="AG48" s="220"/>
      <c r="AH48" s="220"/>
      <c r="AI48" s="220"/>
      <c r="AJ48" s="220"/>
      <c r="AK48" s="220"/>
      <c r="AL48" s="220"/>
      <c r="AM48" s="220"/>
      <c r="AN48" s="220"/>
    </row>
    <row r="49" spans="1:40" ht="15" customHeight="1" x14ac:dyDescent="0.25">
      <c r="A49" s="234">
        <v>57630</v>
      </c>
      <c r="B49" s="233">
        <v>2018</v>
      </c>
      <c r="C49" s="234" t="s">
        <v>25</v>
      </c>
      <c r="D49" s="252">
        <v>383</v>
      </c>
      <c r="E49" s="252"/>
      <c r="F49" s="252"/>
      <c r="G49" s="252"/>
      <c r="H49" s="252"/>
      <c r="I49" s="252"/>
      <c r="J49" s="252"/>
      <c r="K49" s="252">
        <v>4</v>
      </c>
      <c r="L49" s="252">
        <v>5</v>
      </c>
      <c r="M49" s="252">
        <v>3</v>
      </c>
      <c r="N49" s="252">
        <v>0</v>
      </c>
      <c r="O49" s="252">
        <v>0</v>
      </c>
      <c r="P49" s="252">
        <f>371-367</f>
        <v>4</v>
      </c>
      <c r="Q49" s="335">
        <f t="shared" si="19"/>
        <v>16</v>
      </c>
      <c r="R49" s="263">
        <f t="shared" si="13"/>
        <v>2.6666666666666665</v>
      </c>
      <c r="S49" s="336">
        <f t="shared" si="14"/>
        <v>137.625</v>
      </c>
      <c r="T49" s="307">
        <f t="shared" si="11"/>
        <v>367</v>
      </c>
      <c r="U49" s="233">
        <v>2018</v>
      </c>
      <c r="V49" s="234" t="s">
        <v>25</v>
      </c>
      <c r="W49" s="220"/>
      <c r="X49" s="220"/>
      <c r="Y49" s="220"/>
      <c r="Z49" s="220"/>
      <c r="AA49" s="364">
        <v>43746</v>
      </c>
      <c r="AB49" s="362">
        <v>2019</v>
      </c>
      <c r="AC49" s="367" t="s">
        <v>322</v>
      </c>
      <c r="AD49" s="365">
        <v>660</v>
      </c>
      <c r="AE49" s="363" t="s">
        <v>104</v>
      </c>
      <c r="AF49" s="220"/>
      <c r="AG49" s="220"/>
      <c r="AH49" s="220"/>
      <c r="AI49" s="220"/>
      <c r="AJ49" s="220"/>
      <c r="AK49" s="220"/>
      <c r="AL49" s="220"/>
      <c r="AM49" s="220"/>
      <c r="AN49" s="220"/>
    </row>
    <row r="50" spans="1:40" ht="15" customHeight="1" x14ac:dyDescent="0.25">
      <c r="A50" s="234">
        <v>137518</v>
      </c>
      <c r="B50" s="233">
        <v>2018</v>
      </c>
      <c r="C50" s="234" t="s">
        <v>108</v>
      </c>
      <c r="D50" s="252">
        <v>273</v>
      </c>
      <c r="E50" s="252"/>
      <c r="F50" s="252"/>
      <c r="G50" s="252">
        <v>24</v>
      </c>
      <c r="H50" s="252">
        <v>3</v>
      </c>
      <c r="I50" s="252">
        <f>246-198</f>
        <v>48</v>
      </c>
      <c r="J50" s="252">
        <v>17</v>
      </c>
      <c r="K50" s="252">
        <v>22</v>
      </c>
      <c r="L50" s="252">
        <v>16</v>
      </c>
      <c r="M50" s="252">
        <f>143-118</f>
        <v>25</v>
      </c>
      <c r="N50" s="252">
        <v>20</v>
      </c>
      <c r="O50" s="252">
        <v>28</v>
      </c>
      <c r="P50" s="252">
        <f>70-59-5</f>
        <v>6</v>
      </c>
      <c r="Q50" s="335">
        <f t="shared" si="19"/>
        <v>209</v>
      </c>
      <c r="R50" s="263">
        <f t="shared" si="13"/>
        <v>20.9</v>
      </c>
      <c r="S50" s="336">
        <f t="shared" si="14"/>
        <v>3.062200956937799</v>
      </c>
      <c r="T50" s="307">
        <f t="shared" si="11"/>
        <v>64</v>
      </c>
      <c r="U50" s="233">
        <v>2018</v>
      </c>
      <c r="V50" s="234" t="s">
        <v>108</v>
      </c>
      <c r="W50" s="220"/>
      <c r="X50" s="220"/>
      <c r="Y50" s="220"/>
      <c r="Z50" s="220"/>
      <c r="AA50" s="364">
        <v>43746</v>
      </c>
      <c r="AB50" s="362">
        <v>2019</v>
      </c>
      <c r="AC50" s="367" t="s">
        <v>323</v>
      </c>
      <c r="AD50" s="365">
        <v>330</v>
      </c>
      <c r="AE50" s="363" t="s">
        <v>104</v>
      </c>
      <c r="AF50" s="220"/>
      <c r="AG50" s="220"/>
      <c r="AH50" s="220"/>
      <c r="AI50" s="220"/>
      <c r="AJ50" s="220"/>
      <c r="AK50" s="220"/>
      <c r="AL50" s="220"/>
      <c r="AM50" s="220"/>
      <c r="AN50" s="220"/>
    </row>
    <row r="51" spans="1:40" ht="15" customHeight="1" x14ac:dyDescent="0.25">
      <c r="A51" s="234">
        <v>133688</v>
      </c>
      <c r="B51" s="233">
        <v>2018</v>
      </c>
      <c r="C51" s="234" t="s">
        <v>23</v>
      </c>
      <c r="D51" s="252">
        <v>666</v>
      </c>
      <c r="E51" s="252"/>
      <c r="F51" s="252"/>
      <c r="G51" s="252"/>
      <c r="H51" s="252"/>
      <c r="I51" s="252"/>
      <c r="J51" s="252"/>
      <c r="K51" s="252">
        <v>0</v>
      </c>
      <c r="L51" s="252">
        <v>9</v>
      </c>
      <c r="M51" s="252">
        <v>5</v>
      </c>
      <c r="N51" s="252">
        <v>1</v>
      </c>
      <c r="O51" s="252">
        <f>651-649</f>
        <v>2</v>
      </c>
      <c r="P51" s="252">
        <f>6-1</f>
        <v>5</v>
      </c>
      <c r="Q51" s="335">
        <f t="shared" si="19"/>
        <v>22</v>
      </c>
      <c r="R51" s="263">
        <f t="shared" si="13"/>
        <v>3.6666666666666665</v>
      </c>
      <c r="S51" s="336">
        <f t="shared" si="14"/>
        <v>175.63636363636365</v>
      </c>
      <c r="T51" s="307">
        <f t="shared" si="11"/>
        <v>644</v>
      </c>
      <c r="U51" s="233">
        <v>2018</v>
      </c>
      <c r="V51" s="234" t="s">
        <v>23</v>
      </c>
      <c r="W51" s="220"/>
      <c r="X51" s="220"/>
      <c r="Y51" s="220"/>
      <c r="Z51" s="220"/>
      <c r="AA51" s="364">
        <v>43746</v>
      </c>
      <c r="AB51" s="362">
        <v>2019</v>
      </c>
      <c r="AC51" s="367" t="s">
        <v>324</v>
      </c>
      <c r="AD51" s="365">
        <v>660</v>
      </c>
      <c r="AE51" s="363" t="s">
        <v>104</v>
      </c>
      <c r="AF51" s="220"/>
      <c r="AG51" s="220"/>
      <c r="AH51" s="220"/>
      <c r="AI51" s="220"/>
      <c r="AJ51" s="220"/>
      <c r="AK51" s="220"/>
      <c r="AL51" s="220"/>
      <c r="AM51" s="220"/>
      <c r="AN51" s="220"/>
    </row>
    <row r="52" spans="1:40" ht="15" customHeight="1" x14ac:dyDescent="0.25">
      <c r="A52" s="234">
        <v>27736</v>
      </c>
      <c r="B52" s="233">
        <v>2018</v>
      </c>
      <c r="C52" s="234" t="s">
        <v>56</v>
      </c>
      <c r="D52" s="252">
        <v>513</v>
      </c>
      <c r="E52" s="252"/>
      <c r="F52" s="252"/>
      <c r="G52" s="252"/>
      <c r="H52" s="252"/>
      <c r="I52" s="252"/>
      <c r="J52" s="252"/>
      <c r="K52" s="252"/>
      <c r="L52" s="252"/>
      <c r="M52" s="252"/>
      <c r="N52" s="252"/>
      <c r="O52" s="252"/>
      <c r="P52" s="252">
        <f>513-468-2</f>
        <v>43</v>
      </c>
      <c r="Q52" s="335">
        <f t="shared" si="19"/>
        <v>43</v>
      </c>
      <c r="R52" s="263">
        <f t="shared" si="13"/>
        <v>43</v>
      </c>
      <c r="S52" s="336">
        <f t="shared" si="14"/>
        <v>10.930232558139535</v>
      </c>
      <c r="T52" s="307">
        <f t="shared" si="11"/>
        <v>470</v>
      </c>
      <c r="U52" s="233">
        <v>2018</v>
      </c>
      <c r="V52" s="234" t="s">
        <v>56</v>
      </c>
      <c r="W52" s="220"/>
      <c r="X52" s="220"/>
      <c r="Y52" s="220"/>
      <c r="Z52" s="220"/>
      <c r="AA52" s="364">
        <v>43746</v>
      </c>
      <c r="AB52" s="362">
        <v>2019</v>
      </c>
      <c r="AC52" s="367" t="s">
        <v>325</v>
      </c>
      <c r="AD52" s="365">
        <v>660</v>
      </c>
      <c r="AE52" s="363" t="s">
        <v>104</v>
      </c>
      <c r="AF52" s="220"/>
      <c r="AG52" s="220"/>
      <c r="AH52" s="220"/>
      <c r="AI52" s="220"/>
      <c r="AJ52" s="220"/>
      <c r="AK52" s="220"/>
      <c r="AL52" s="220"/>
      <c r="AM52" s="220"/>
      <c r="AN52" s="220"/>
    </row>
    <row r="53" spans="1:40" ht="15" customHeight="1" x14ac:dyDescent="0.25">
      <c r="A53" s="234">
        <v>135371</v>
      </c>
      <c r="B53" s="233">
        <v>2018</v>
      </c>
      <c r="C53" s="234" t="s">
        <v>291</v>
      </c>
      <c r="D53" s="252">
        <v>384</v>
      </c>
      <c r="E53" s="252"/>
      <c r="F53" s="252"/>
      <c r="G53" s="252"/>
      <c r="H53" s="252"/>
      <c r="I53" s="252"/>
      <c r="J53" s="252"/>
      <c r="K53" s="252"/>
      <c r="L53" s="252"/>
      <c r="M53" s="252"/>
      <c r="N53" s="252"/>
      <c r="O53" s="252"/>
      <c r="P53" s="252">
        <f>384-342-2</f>
        <v>40</v>
      </c>
      <c r="Q53" s="335">
        <f t="shared" si="19"/>
        <v>40</v>
      </c>
      <c r="R53" s="263">
        <f t="shared" si="13"/>
        <v>40</v>
      </c>
      <c r="S53" s="336">
        <f t="shared" si="14"/>
        <v>8.6</v>
      </c>
      <c r="T53" s="307">
        <f t="shared" si="11"/>
        <v>344</v>
      </c>
      <c r="U53" s="233">
        <v>2018</v>
      </c>
      <c r="V53" s="234" t="s">
        <v>291</v>
      </c>
      <c r="W53" s="220"/>
      <c r="X53" s="220"/>
      <c r="Y53" s="220"/>
      <c r="Z53" s="220"/>
      <c r="AA53" s="364">
        <v>43746</v>
      </c>
      <c r="AB53" s="362">
        <v>2019</v>
      </c>
      <c r="AC53" s="367" t="s">
        <v>326</v>
      </c>
      <c r="AD53" s="365">
        <v>275</v>
      </c>
      <c r="AE53" s="363" t="s">
        <v>104</v>
      </c>
      <c r="AF53" s="220"/>
      <c r="AG53" s="220"/>
      <c r="AH53" s="220"/>
      <c r="AI53" s="220"/>
      <c r="AJ53" s="220"/>
      <c r="AK53" s="220"/>
      <c r="AL53" s="220"/>
      <c r="AM53" s="220"/>
      <c r="AN53" s="220"/>
    </row>
    <row r="54" spans="1:40" ht="15" customHeight="1" x14ac:dyDescent="0.25">
      <c r="A54" s="234">
        <v>22921</v>
      </c>
      <c r="B54" s="233">
        <v>2018</v>
      </c>
      <c r="C54" s="234" t="s">
        <v>277</v>
      </c>
      <c r="D54" s="252">
        <v>1001</v>
      </c>
      <c r="E54" s="252"/>
      <c r="F54" s="252"/>
      <c r="G54" s="252"/>
      <c r="H54" s="252"/>
      <c r="I54" s="252"/>
      <c r="J54" s="252"/>
      <c r="K54" s="252"/>
      <c r="L54" s="252"/>
      <c r="M54" s="252"/>
      <c r="N54" s="252"/>
      <c r="O54" s="252"/>
      <c r="P54" s="252">
        <f>1001-994</f>
        <v>7</v>
      </c>
      <c r="Q54" s="335">
        <f t="shared" si="19"/>
        <v>7</v>
      </c>
      <c r="R54" s="263">
        <f t="shared" si="13"/>
        <v>7</v>
      </c>
      <c r="S54" s="336">
        <f t="shared" si="14"/>
        <v>142</v>
      </c>
      <c r="T54" s="307">
        <f t="shared" si="11"/>
        <v>994</v>
      </c>
      <c r="U54" s="233">
        <v>2018</v>
      </c>
      <c r="V54" s="234" t="s">
        <v>277</v>
      </c>
      <c r="W54" s="220"/>
      <c r="X54" s="220"/>
      <c r="Y54" s="220"/>
      <c r="Z54" s="220"/>
      <c r="AA54" s="364">
        <v>43746</v>
      </c>
      <c r="AB54" s="354">
        <v>2019</v>
      </c>
      <c r="AC54" s="367" t="s">
        <v>327</v>
      </c>
      <c r="AD54" s="355">
        <v>150</v>
      </c>
      <c r="AE54" s="363" t="s">
        <v>104</v>
      </c>
      <c r="AF54" s="220"/>
      <c r="AG54" s="220"/>
      <c r="AH54" s="220"/>
      <c r="AI54" s="220"/>
      <c r="AJ54" s="220"/>
      <c r="AK54" s="220"/>
      <c r="AL54" s="220"/>
      <c r="AM54" s="220"/>
      <c r="AN54" s="220"/>
    </row>
    <row r="55" spans="1:40" ht="15" customHeight="1" x14ac:dyDescent="0.25">
      <c r="A55" s="234"/>
      <c r="B55" s="233" t="s">
        <v>294</v>
      </c>
      <c r="C55" s="234" t="s">
        <v>94</v>
      </c>
      <c r="D55" s="252">
        <v>1173</v>
      </c>
      <c r="E55" s="252"/>
      <c r="F55" s="252"/>
      <c r="G55" s="252"/>
      <c r="H55" s="252"/>
      <c r="I55" s="252"/>
      <c r="J55" s="252"/>
      <c r="K55" s="252"/>
      <c r="L55" s="252"/>
      <c r="M55" s="252"/>
      <c r="N55" s="252"/>
      <c r="O55" s="252"/>
      <c r="P55" s="252">
        <f>1173-1148-2</f>
        <v>23</v>
      </c>
      <c r="Q55" s="335">
        <f t="shared" si="19"/>
        <v>23</v>
      </c>
      <c r="R55" s="263">
        <f t="shared" si="13"/>
        <v>23</v>
      </c>
      <c r="S55" s="336">
        <f t="shared" si="14"/>
        <v>50</v>
      </c>
      <c r="T55" s="307">
        <f t="shared" si="11"/>
        <v>1150</v>
      </c>
      <c r="U55" s="233" t="s">
        <v>294</v>
      </c>
      <c r="V55" s="234" t="s">
        <v>94</v>
      </c>
      <c r="W55" s="220"/>
      <c r="X55" s="220"/>
      <c r="Y55" s="220"/>
      <c r="Z55" s="220"/>
      <c r="AA55" s="364">
        <v>43746</v>
      </c>
      <c r="AB55" s="354">
        <v>2019</v>
      </c>
      <c r="AC55" s="367" t="s">
        <v>328</v>
      </c>
      <c r="AD55" s="355">
        <v>330</v>
      </c>
      <c r="AE55" s="363" t="s">
        <v>104</v>
      </c>
      <c r="AF55" s="220"/>
      <c r="AG55" s="220"/>
      <c r="AH55" s="220"/>
      <c r="AI55" s="220"/>
      <c r="AJ55" s="220"/>
      <c r="AK55" s="220"/>
      <c r="AL55" s="220"/>
      <c r="AM55" s="220"/>
      <c r="AN55" s="220"/>
    </row>
    <row r="56" spans="1:40" ht="15" customHeight="1" x14ac:dyDescent="0.25">
      <c r="A56" s="234">
        <v>22384</v>
      </c>
      <c r="B56" s="233">
        <v>2018</v>
      </c>
      <c r="C56" s="234" t="s">
        <v>26</v>
      </c>
      <c r="D56" s="252">
        <v>415</v>
      </c>
      <c r="E56" s="252"/>
      <c r="F56" s="252"/>
      <c r="G56" s="252"/>
      <c r="H56" s="252"/>
      <c r="I56" s="252"/>
      <c r="J56" s="252"/>
      <c r="K56" s="252">
        <v>0</v>
      </c>
      <c r="L56" s="252">
        <v>0</v>
      </c>
      <c r="M56" s="252">
        <v>0</v>
      </c>
      <c r="N56" s="252">
        <v>16</v>
      </c>
      <c r="O56" s="252">
        <v>40</v>
      </c>
      <c r="P56" s="252">
        <f>359-342-3</f>
        <v>14</v>
      </c>
      <c r="Q56" s="335">
        <f t="shared" ref="Q56" si="20">SUM(E56:P56)</f>
        <v>70</v>
      </c>
      <c r="R56" s="263">
        <f t="shared" si="13"/>
        <v>11.666666666666666</v>
      </c>
      <c r="S56" s="336">
        <f t="shared" ref="S56" si="21">IFERROR((T56/R56),0)</f>
        <v>29.571428571428573</v>
      </c>
      <c r="T56" s="307">
        <f t="shared" ref="T56" si="22">SUM(D56-Q56)</f>
        <v>345</v>
      </c>
      <c r="U56" s="233">
        <v>2018</v>
      </c>
      <c r="V56" s="234" t="str">
        <f>+C56</f>
        <v>Merlot</v>
      </c>
      <c r="W56" s="220"/>
      <c r="X56" s="220"/>
      <c r="Y56" s="220"/>
      <c r="Z56" s="220"/>
      <c r="AA56" s="364">
        <v>43746</v>
      </c>
      <c r="AB56" s="354">
        <v>2019</v>
      </c>
      <c r="AC56" s="367" t="s">
        <v>329</v>
      </c>
      <c r="AD56" s="355">
        <v>330</v>
      </c>
      <c r="AE56" s="363" t="s">
        <v>104</v>
      </c>
      <c r="AF56" s="220"/>
      <c r="AG56" s="220"/>
      <c r="AH56" s="220"/>
      <c r="AI56" s="220"/>
      <c r="AJ56" s="220"/>
      <c r="AK56" s="220"/>
      <c r="AL56" s="220"/>
      <c r="AM56" s="220"/>
      <c r="AN56" s="220"/>
    </row>
    <row r="57" spans="1:40" ht="15" customHeight="1" x14ac:dyDescent="0.25">
      <c r="A57" s="234"/>
      <c r="B57" s="266" t="s">
        <v>133</v>
      </c>
      <c r="C57" s="234" t="s">
        <v>358</v>
      </c>
      <c r="D57" s="252">
        <v>132</v>
      </c>
      <c r="E57" s="252"/>
      <c r="F57" s="252"/>
      <c r="G57" s="252"/>
      <c r="H57" s="252"/>
      <c r="I57" s="252"/>
      <c r="J57" s="252"/>
      <c r="K57" s="252"/>
      <c r="L57" s="252"/>
      <c r="M57" s="252"/>
      <c r="N57" s="252"/>
      <c r="O57" s="252"/>
      <c r="P57" s="252"/>
      <c r="Q57" s="236"/>
      <c r="R57" s="323"/>
      <c r="S57" s="336"/>
      <c r="T57" s="307"/>
      <c r="U57" s="266" t="s">
        <v>133</v>
      </c>
      <c r="V57" s="234" t="s">
        <v>358</v>
      </c>
      <c r="W57" s="220"/>
      <c r="X57" s="220"/>
      <c r="Y57" s="220"/>
      <c r="Z57" s="220"/>
      <c r="AA57" s="364">
        <v>43746</v>
      </c>
      <c r="AB57" s="354">
        <v>2019</v>
      </c>
      <c r="AC57" s="367" t="s">
        <v>330</v>
      </c>
      <c r="AD57" s="355">
        <v>405</v>
      </c>
      <c r="AE57" s="363" t="s">
        <v>104</v>
      </c>
      <c r="AF57" s="220"/>
      <c r="AG57" s="220"/>
      <c r="AH57" s="220"/>
      <c r="AI57" s="220"/>
      <c r="AJ57" s="220"/>
      <c r="AK57" s="220"/>
      <c r="AL57" s="220"/>
      <c r="AM57" s="220"/>
      <c r="AN57" s="220"/>
    </row>
    <row r="58" spans="1:40" ht="15" customHeight="1" x14ac:dyDescent="0.25">
      <c r="A58" s="234"/>
      <c r="B58" s="233"/>
      <c r="C58" s="234"/>
      <c r="D58" s="252"/>
      <c r="E58" s="252"/>
      <c r="F58" s="252"/>
      <c r="G58" s="252"/>
      <c r="H58" s="252"/>
      <c r="I58" s="252"/>
      <c r="J58" s="252"/>
      <c r="K58" s="252"/>
      <c r="L58" s="252"/>
      <c r="M58" s="252"/>
      <c r="N58" s="252"/>
      <c r="O58" s="252"/>
      <c r="P58" s="252"/>
      <c r="Q58" s="236"/>
      <c r="R58" s="323"/>
      <c r="S58" s="336"/>
      <c r="T58" s="307"/>
      <c r="U58" s="233"/>
      <c r="V58" s="234"/>
      <c r="W58" s="220"/>
      <c r="X58" s="220"/>
      <c r="Y58" s="220"/>
      <c r="Z58" s="220"/>
      <c r="AA58" s="364">
        <v>43753</v>
      </c>
      <c r="AB58" s="362">
        <v>2016</v>
      </c>
      <c r="AC58" s="367" t="s">
        <v>331</v>
      </c>
      <c r="AD58" s="365">
        <v>120</v>
      </c>
      <c r="AE58" s="363" t="s">
        <v>104</v>
      </c>
      <c r="AF58" s="220"/>
      <c r="AG58" s="220"/>
      <c r="AH58" s="220"/>
      <c r="AI58" s="220"/>
      <c r="AJ58" s="220"/>
      <c r="AK58" s="220"/>
      <c r="AL58" s="220"/>
      <c r="AM58" s="220"/>
      <c r="AN58" s="220"/>
    </row>
    <row r="59" spans="1:40" ht="18" x14ac:dyDescent="0.25">
      <c r="A59" s="226"/>
      <c r="B59" s="342"/>
      <c r="C59" s="226"/>
      <c r="D59" s="338"/>
      <c r="E59" s="338"/>
      <c r="F59" s="338"/>
      <c r="G59" s="338"/>
      <c r="H59" s="338"/>
      <c r="I59" s="338"/>
      <c r="J59" s="338"/>
      <c r="K59" s="338"/>
      <c r="L59" s="338"/>
      <c r="M59" s="338"/>
      <c r="N59" s="338"/>
      <c r="O59" s="338"/>
      <c r="P59" s="338"/>
      <c r="Q59" s="243"/>
      <c r="R59" s="339"/>
      <c r="S59" s="340"/>
      <c r="T59" s="320"/>
      <c r="U59" s="342"/>
      <c r="V59" s="226"/>
      <c r="W59" s="220"/>
      <c r="X59" s="220"/>
      <c r="Y59" s="220"/>
      <c r="Z59" s="220"/>
      <c r="AA59" s="364">
        <v>43753</v>
      </c>
      <c r="AB59" s="362">
        <v>2016</v>
      </c>
      <c r="AC59" s="367" t="s">
        <v>332</v>
      </c>
      <c r="AD59" s="365">
        <v>390</v>
      </c>
      <c r="AE59" s="363" t="s">
        <v>104</v>
      </c>
      <c r="AF59" s="220"/>
      <c r="AG59" s="220"/>
      <c r="AH59" s="220"/>
      <c r="AI59" s="220"/>
      <c r="AJ59" s="220"/>
      <c r="AK59" s="220"/>
      <c r="AL59" s="220"/>
      <c r="AM59" s="220"/>
      <c r="AN59" s="220"/>
    </row>
    <row r="60" spans="1:40" ht="15.75" customHeight="1" x14ac:dyDescent="0.25">
      <c r="A60" s="234" t="s">
        <v>35</v>
      </c>
      <c r="B60" s="266" t="s">
        <v>133</v>
      </c>
      <c r="C60" s="234" t="s">
        <v>356</v>
      </c>
      <c r="D60" s="252">
        <v>0</v>
      </c>
      <c r="E60" s="253"/>
      <c r="F60" s="253"/>
      <c r="G60" s="253" t="s">
        <v>35</v>
      </c>
      <c r="H60" s="253" t="s">
        <v>35</v>
      </c>
      <c r="I60" s="253" t="s">
        <v>35</v>
      </c>
      <c r="J60" s="253" t="s">
        <v>35</v>
      </c>
      <c r="K60" s="253" t="s">
        <v>35</v>
      </c>
      <c r="L60" s="253" t="s">
        <v>35</v>
      </c>
      <c r="M60" s="253" t="s">
        <v>35</v>
      </c>
      <c r="N60" s="253" t="s">
        <v>35</v>
      </c>
      <c r="O60" s="253" t="s">
        <v>35</v>
      </c>
      <c r="P60" s="253"/>
      <c r="Q60" s="335">
        <f t="shared" ref="Q60:Q70" si="23">SUM(E60:P60)</f>
        <v>0</v>
      </c>
      <c r="R60" s="263">
        <f t="shared" ref="R60:R69" si="24">IFERROR((AVERAGE(E60:P60)),0)</f>
        <v>0</v>
      </c>
      <c r="S60" s="336">
        <f t="shared" ref="S60:S70" si="25">IFERROR((T60/R60),0)</f>
        <v>0</v>
      </c>
      <c r="T60" s="307">
        <f t="shared" ref="T60:T70" si="26">SUM(D60-Q60)</f>
        <v>0</v>
      </c>
      <c r="U60" s="233">
        <v>2019</v>
      </c>
      <c r="V60" s="234" t="s">
        <v>356</v>
      </c>
      <c r="W60" s="220"/>
      <c r="X60" s="220"/>
      <c r="Y60" s="220"/>
      <c r="Z60" s="220"/>
      <c r="AA60" s="364">
        <v>43753</v>
      </c>
      <c r="AB60" s="362">
        <v>2018</v>
      </c>
      <c r="AC60" s="367" t="s">
        <v>333</v>
      </c>
      <c r="AD60" s="365">
        <v>180</v>
      </c>
      <c r="AE60" s="363" t="s">
        <v>104</v>
      </c>
      <c r="AF60" s="220"/>
      <c r="AG60" s="220"/>
      <c r="AH60" s="220"/>
      <c r="AI60" s="220"/>
      <c r="AJ60" s="220"/>
      <c r="AK60" s="220"/>
      <c r="AL60" s="220"/>
      <c r="AM60" s="220"/>
      <c r="AN60" s="220"/>
    </row>
    <row r="61" spans="1:40" ht="15.75" customHeight="1" x14ac:dyDescent="0.25">
      <c r="A61" s="234">
        <v>11198</v>
      </c>
      <c r="B61" s="233">
        <v>2019</v>
      </c>
      <c r="C61" s="234" t="s">
        <v>46</v>
      </c>
      <c r="D61" s="252">
        <v>0</v>
      </c>
      <c r="E61" s="253"/>
      <c r="F61" s="253"/>
      <c r="G61" s="253" t="s">
        <v>35</v>
      </c>
      <c r="H61" s="253" t="s">
        <v>35</v>
      </c>
      <c r="I61" s="253" t="s">
        <v>35</v>
      </c>
      <c r="J61" s="253" t="s">
        <v>35</v>
      </c>
      <c r="K61" s="253" t="s">
        <v>35</v>
      </c>
      <c r="L61" s="253" t="s">
        <v>35</v>
      </c>
      <c r="M61" s="253" t="s">
        <v>35</v>
      </c>
      <c r="N61" s="253" t="s">
        <v>35</v>
      </c>
      <c r="O61" s="253" t="s">
        <v>35</v>
      </c>
      <c r="P61" s="253"/>
      <c r="Q61" s="335">
        <f t="shared" si="23"/>
        <v>0</v>
      </c>
      <c r="R61" s="263">
        <f t="shared" si="24"/>
        <v>0</v>
      </c>
      <c r="S61" s="336">
        <f t="shared" si="25"/>
        <v>0</v>
      </c>
      <c r="T61" s="307">
        <f t="shared" si="26"/>
        <v>0</v>
      </c>
      <c r="U61" s="233">
        <v>2019</v>
      </c>
      <c r="V61" s="234" t="s">
        <v>46</v>
      </c>
      <c r="W61" s="220"/>
      <c r="X61" s="220"/>
      <c r="Y61" s="220"/>
      <c r="Z61" s="220"/>
      <c r="AA61" s="364">
        <v>43753</v>
      </c>
      <c r="AB61" s="362">
        <v>2018</v>
      </c>
      <c r="AC61" s="367" t="s">
        <v>332</v>
      </c>
      <c r="AD61" s="365">
        <v>120</v>
      </c>
      <c r="AE61" s="363" t="s">
        <v>104</v>
      </c>
      <c r="AF61" s="220"/>
      <c r="AG61" s="220"/>
      <c r="AH61" s="220"/>
      <c r="AI61" s="220"/>
      <c r="AJ61" s="220"/>
      <c r="AK61" s="220"/>
      <c r="AL61" s="220"/>
      <c r="AM61" s="220"/>
      <c r="AN61" s="220"/>
    </row>
    <row r="62" spans="1:40" ht="15.75" customHeight="1" x14ac:dyDescent="0.25">
      <c r="A62" s="234" t="s">
        <v>35</v>
      </c>
      <c r="B62" s="233">
        <v>2019</v>
      </c>
      <c r="C62" s="234" t="s">
        <v>359</v>
      </c>
      <c r="D62" s="252">
        <v>0</v>
      </c>
      <c r="E62" s="253"/>
      <c r="F62" s="253"/>
      <c r="G62" s="253"/>
      <c r="H62" s="253"/>
      <c r="I62" s="253"/>
      <c r="J62" s="253"/>
      <c r="K62" s="253"/>
      <c r="L62" s="253"/>
      <c r="M62" s="253"/>
      <c r="N62" s="253"/>
      <c r="O62" s="253"/>
      <c r="P62" s="253"/>
      <c r="Q62" s="335">
        <f t="shared" si="23"/>
        <v>0</v>
      </c>
      <c r="R62" s="263">
        <f t="shared" si="24"/>
        <v>0</v>
      </c>
      <c r="S62" s="336">
        <f t="shared" si="25"/>
        <v>0</v>
      </c>
      <c r="T62" s="307">
        <f t="shared" si="26"/>
        <v>0</v>
      </c>
      <c r="U62" s="233">
        <v>2019</v>
      </c>
      <c r="V62" s="234" t="s">
        <v>359</v>
      </c>
      <c r="W62" s="220"/>
      <c r="X62" s="220"/>
      <c r="Y62" s="220"/>
      <c r="Z62" s="220"/>
      <c r="AA62" s="364">
        <v>43753</v>
      </c>
      <c r="AB62" s="362">
        <v>2018</v>
      </c>
      <c r="AC62" s="367" t="s">
        <v>334</v>
      </c>
      <c r="AD62" s="365">
        <v>360</v>
      </c>
      <c r="AE62" s="363" t="s">
        <v>104</v>
      </c>
      <c r="AF62" s="220"/>
      <c r="AG62" s="220"/>
      <c r="AH62" s="220"/>
      <c r="AI62" s="220"/>
      <c r="AJ62" s="220"/>
      <c r="AK62" s="220"/>
      <c r="AL62" s="220"/>
      <c r="AM62" s="220"/>
      <c r="AN62" s="220"/>
    </row>
    <row r="63" spans="1:40" ht="15.75" customHeight="1" x14ac:dyDescent="0.25">
      <c r="A63" s="234">
        <v>57632</v>
      </c>
      <c r="B63" s="233">
        <v>2019</v>
      </c>
      <c r="C63" s="234" t="s">
        <v>31</v>
      </c>
      <c r="D63" s="252">
        <v>0</v>
      </c>
      <c r="E63" s="253"/>
      <c r="F63" s="253"/>
      <c r="G63" s="253"/>
      <c r="H63" s="253"/>
      <c r="I63" s="253"/>
      <c r="J63" s="253" t="s">
        <v>35</v>
      </c>
      <c r="K63" s="253" t="s">
        <v>35</v>
      </c>
      <c r="L63" s="253" t="s">
        <v>35</v>
      </c>
      <c r="M63" s="253" t="s">
        <v>35</v>
      </c>
      <c r="N63" s="253" t="s">
        <v>35</v>
      </c>
      <c r="O63" s="253" t="s">
        <v>35</v>
      </c>
      <c r="P63" s="253"/>
      <c r="Q63" s="335">
        <f t="shared" si="23"/>
        <v>0</v>
      </c>
      <c r="R63" s="263">
        <f t="shared" si="24"/>
        <v>0</v>
      </c>
      <c r="S63" s="336">
        <f t="shared" si="25"/>
        <v>0</v>
      </c>
      <c r="T63" s="307">
        <f t="shared" si="26"/>
        <v>0</v>
      </c>
      <c r="U63" s="233">
        <v>2019</v>
      </c>
      <c r="V63" s="234" t="s">
        <v>31</v>
      </c>
      <c r="W63" s="220"/>
      <c r="X63" s="220"/>
      <c r="Y63" s="220"/>
      <c r="Z63" s="220"/>
      <c r="AA63" s="364">
        <v>43767</v>
      </c>
      <c r="AB63" s="362">
        <v>2019</v>
      </c>
      <c r="AC63" s="367" t="s">
        <v>335</v>
      </c>
      <c r="AD63" s="365">
        <v>275</v>
      </c>
      <c r="AE63" s="363" t="s">
        <v>104</v>
      </c>
      <c r="AF63" s="220"/>
      <c r="AG63" s="220"/>
      <c r="AH63" s="220"/>
      <c r="AI63" s="220"/>
      <c r="AJ63" s="220"/>
      <c r="AK63" s="220"/>
      <c r="AL63" s="220"/>
      <c r="AM63" s="220"/>
      <c r="AN63" s="220"/>
    </row>
    <row r="64" spans="1:40" ht="15.75" customHeight="1" x14ac:dyDescent="0.25">
      <c r="A64" s="234">
        <v>57630</v>
      </c>
      <c r="B64" s="233">
        <v>2019</v>
      </c>
      <c r="C64" s="234" t="s">
        <v>25</v>
      </c>
      <c r="D64" s="252">
        <v>0</v>
      </c>
      <c r="E64" s="253"/>
      <c r="F64" s="253"/>
      <c r="G64" s="253"/>
      <c r="H64" s="253"/>
      <c r="I64" s="253"/>
      <c r="J64" s="253"/>
      <c r="K64" s="253" t="s">
        <v>35</v>
      </c>
      <c r="L64" s="253" t="s">
        <v>35</v>
      </c>
      <c r="M64" s="253" t="s">
        <v>35</v>
      </c>
      <c r="N64" s="253" t="s">
        <v>35</v>
      </c>
      <c r="O64" s="253" t="s">
        <v>35</v>
      </c>
      <c r="P64" s="253"/>
      <c r="Q64" s="335">
        <f t="shared" si="23"/>
        <v>0</v>
      </c>
      <c r="R64" s="263">
        <f t="shared" si="24"/>
        <v>0</v>
      </c>
      <c r="S64" s="336">
        <f t="shared" si="25"/>
        <v>0</v>
      </c>
      <c r="T64" s="307">
        <f t="shared" si="26"/>
        <v>0</v>
      </c>
      <c r="U64" s="233">
        <v>2019</v>
      </c>
      <c r="V64" s="234" t="s">
        <v>25</v>
      </c>
      <c r="W64" s="220"/>
      <c r="X64" s="220"/>
      <c r="Y64" s="220"/>
      <c r="Z64" s="220"/>
      <c r="AA64" s="364">
        <v>43767</v>
      </c>
      <c r="AB64" s="362">
        <v>2019</v>
      </c>
      <c r="AC64" s="367" t="s">
        <v>336</v>
      </c>
      <c r="AD64" s="365">
        <v>275</v>
      </c>
      <c r="AE64" s="363" t="s">
        <v>104</v>
      </c>
      <c r="AF64" s="220"/>
      <c r="AG64" s="220"/>
      <c r="AH64" s="220"/>
      <c r="AI64" s="220"/>
      <c r="AJ64" s="220"/>
      <c r="AK64" s="220"/>
      <c r="AL64" s="220"/>
      <c r="AM64" s="220"/>
      <c r="AN64" s="220"/>
    </row>
    <row r="65" spans="1:40" ht="15.75" customHeight="1" x14ac:dyDescent="0.25">
      <c r="A65" s="234" t="s">
        <v>35</v>
      </c>
      <c r="B65" s="233">
        <v>2019</v>
      </c>
      <c r="C65" s="234" t="s">
        <v>35</v>
      </c>
      <c r="D65" s="252">
        <v>0</v>
      </c>
      <c r="E65" s="253"/>
      <c r="F65" s="253"/>
      <c r="G65" s="253" t="s">
        <v>35</v>
      </c>
      <c r="H65" s="253" t="s">
        <v>35</v>
      </c>
      <c r="I65" s="253" t="s">
        <v>35</v>
      </c>
      <c r="J65" s="253" t="s">
        <v>35</v>
      </c>
      <c r="K65" s="253" t="s">
        <v>35</v>
      </c>
      <c r="L65" s="253" t="s">
        <v>35</v>
      </c>
      <c r="M65" s="253" t="s">
        <v>35</v>
      </c>
      <c r="N65" s="253" t="s">
        <v>35</v>
      </c>
      <c r="O65" s="253" t="s">
        <v>35</v>
      </c>
      <c r="P65" s="253"/>
      <c r="Q65" s="335">
        <f t="shared" si="23"/>
        <v>0</v>
      </c>
      <c r="R65" s="263">
        <f t="shared" si="24"/>
        <v>0</v>
      </c>
      <c r="S65" s="336">
        <f t="shared" si="25"/>
        <v>0</v>
      </c>
      <c r="T65" s="307">
        <f t="shared" si="26"/>
        <v>0</v>
      </c>
      <c r="U65" s="233" t="s">
        <v>35</v>
      </c>
      <c r="V65" s="234" t="s">
        <v>35</v>
      </c>
      <c r="W65" s="220"/>
      <c r="X65" s="220"/>
      <c r="Y65" s="220"/>
      <c r="Z65" s="220"/>
      <c r="AA65" s="364">
        <v>43767</v>
      </c>
      <c r="AB65" s="362">
        <v>2019</v>
      </c>
      <c r="AC65" s="367" t="s">
        <v>329</v>
      </c>
      <c r="AD65" s="365">
        <v>330</v>
      </c>
      <c r="AE65" s="363" t="s">
        <v>104</v>
      </c>
      <c r="AF65" s="220"/>
      <c r="AG65" s="220"/>
      <c r="AH65" s="220"/>
      <c r="AI65" s="220"/>
      <c r="AJ65" s="220"/>
      <c r="AK65" s="220"/>
      <c r="AL65" s="220"/>
      <c r="AM65" s="220"/>
      <c r="AN65" s="220"/>
    </row>
    <row r="66" spans="1:40" ht="15.75" customHeight="1" x14ac:dyDescent="0.25">
      <c r="A66" s="234">
        <v>133688</v>
      </c>
      <c r="B66" s="233">
        <v>2019</v>
      </c>
      <c r="C66" s="234" t="s">
        <v>23</v>
      </c>
      <c r="D66" s="252">
        <v>0</v>
      </c>
      <c r="E66" s="253"/>
      <c r="F66" s="253"/>
      <c r="G66" s="253"/>
      <c r="H66" s="253"/>
      <c r="I66" s="253"/>
      <c r="J66" s="253"/>
      <c r="K66" s="253" t="s">
        <v>35</v>
      </c>
      <c r="L66" s="253" t="s">
        <v>35</v>
      </c>
      <c r="M66" s="253" t="s">
        <v>35</v>
      </c>
      <c r="N66" s="253" t="s">
        <v>35</v>
      </c>
      <c r="O66" s="253" t="s">
        <v>35</v>
      </c>
      <c r="P66" s="253"/>
      <c r="Q66" s="335">
        <f t="shared" si="23"/>
        <v>0</v>
      </c>
      <c r="R66" s="263">
        <f t="shared" si="24"/>
        <v>0</v>
      </c>
      <c r="S66" s="336">
        <f t="shared" si="25"/>
        <v>0</v>
      </c>
      <c r="T66" s="307">
        <f t="shared" si="26"/>
        <v>0</v>
      </c>
      <c r="U66" s="233">
        <v>2019</v>
      </c>
      <c r="V66" s="234" t="s">
        <v>23</v>
      </c>
      <c r="W66" s="220"/>
      <c r="X66" s="220"/>
      <c r="Y66" s="220"/>
      <c r="Z66" s="220"/>
      <c r="AA66" s="364">
        <v>43767</v>
      </c>
      <c r="AB66" s="362">
        <v>2019</v>
      </c>
      <c r="AC66" s="367" t="s">
        <v>337</v>
      </c>
      <c r="AD66" s="365">
        <v>330</v>
      </c>
      <c r="AE66" s="363" t="s">
        <v>104</v>
      </c>
      <c r="AF66" s="220"/>
      <c r="AG66" s="220"/>
      <c r="AH66" s="220"/>
      <c r="AI66" s="220"/>
      <c r="AJ66" s="220"/>
      <c r="AK66" s="220"/>
      <c r="AL66" s="220"/>
      <c r="AM66" s="220"/>
      <c r="AN66" s="220"/>
    </row>
    <row r="67" spans="1:40" ht="15.75" customHeight="1" x14ac:dyDescent="0.25">
      <c r="A67" s="234">
        <v>27736</v>
      </c>
      <c r="B67" s="233">
        <v>2019</v>
      </c>
      <c r="C67" s="234" t="s">
        <v>56</v>
      </c>
      <c r="D67" s="252">
        <v>0</v>
      </c>
      <c r="E67" s="253"/>
      <c r="F67" s="253"/>
      <c r="G67" s="253"/>
      <c r="H67" s="253"/>
      <c r="I67" s="253"/>
      <c r="J67" s="253"/>
      <c r="K67" s="253"/>
      <c r="L67" s="253"/>
      <c r="M67" s="253"/>
      <c r="N67" s="253"/>
      <c r="O67" s="253"/>
      <c r="P67" s="253"/>
      <c r="Q67" s="335">
        <f t="shared" si="23"/>
        <v>0</v>
      </c>
      <c r="R67" s="263">
        <f t="shared" si="24"/>
        <v>0</v>
      </c>
      <c r="S67" s="336">
        <f t="shared" si="25"/>
        <v>0</v>
      </c>
      <c r="T67" s="307">
        <f t="shared" si="26"/>
        <v>0</v>
      </c>
      <c r="U67" s="233">
        <v>2019</v>
      </c>
      <c r="V67" s="234" t="s">
        <v>56</v>
      </c>
      <c r="W67" s="220"/>
      <c r="X67" s="220"/>
      <c r="Y67" s="220"/>
      <c r="Z67" s="220"/>
      <c r="AA67" s="364">
        <v>43767</v>
      </c>
      <c r="AB67" s="362">
        <v>2019</v>
      </c>
      <c r="AC67" s="367" t="s">
        <v>338</v>
      </c>
      <c r="AD67" s="365">
        <v>275</v>
      </c>
      <c r="AE67" s="363" t="s">
        <v>104</v>
      </c>
      <c r="AF67" s="220"/>
      <c r="AG67" s="220"/>
      <c r="AH67" s="220"/>
      <c r="AI67" s="220"/>
      <c r="AJ67" s="220"/>
      <c r="AK67" s="220"/>
      <c r="AL67" s="220"/>
      <c r="AM67" s="220"/>
      <c r="AN67" s="220"/>
    </row>
    <row r="68" spans="1:40" ht="15.75" customHeight="1" x14ac:dyDescent="0.25">
      <c r="A68" s="234">
        <v>135371</v>
      </c>
      <c r="B68" s="233">
        <v>2019</v>
      </c>
      <c r="C68" s="234" t="s">
        <v>291</v>
      </c>
      <c r="D68" s="252">
        <v>0</v>
      </c>
      <c r="E68" s="253"/>
      <c r="F68" s="253"/>
      <c r="G68" s="253"/>
      <c r="H68" s="253"/>
      <c r="I68" s="253"/>
      <c r="J68" s="253"/>
      <c r="K68" s="253"/>
      <c r="L68" s="253"/>
      <c r="M68" s="253"/>
      <c r="N68" s="253"/>
      <c r="O68" s="253"/>
      <c r="P68" s="253"/>
      <c r="Q68" s="335">
        <f t="shared" si="23"/>
        <v>0</v>
      </c>
      <c r="R68" s="263">
        <f t="shared" si="24"/>
        <v>0</v>
      </c>
      <c r="S68" s="336">
        <f t="shared" si="25"/>
        <v>0</v>
      </c>
      <c r="T68" s="307">
        <f t="shared" si="26"/>
        <v>0</v>
      </c>
      <c r="U68" s="233">
        <v>2019</v>
      </c>
      <c r="V68" s="234" t="s">
        <v>291</v>
      </c>
      <c r="W68" s="220"/>
      <c r="X68" s="220"/>
      <c r="Y68" s="220"/>
      <c r="Z68" s="220"/>
      <c r="AA68" s="364">
        <v>43767</v>
      </c>
      <c r="AB68" s="362">
        <v>2019</v>
      </c>
      <c r="AC68" s="367" t="s">
        <v>340</v>
      </c>
      <c r="AD68" s="365">
        <v>330</v>
      </c>
      <c r="AE68" s="363" t="s">
        <v>104</v>
      </c>
      <c r="AF68" s="220"/>
      <c r="AG68" s="220"/>
      <c r="AH68" s="220"/>
      <c r="AI68" s="220"/>
      <c r="AJ68" s="220"/>
      <c r="AK68" s="220"/>
      <c r="AL68" s="220"/>
      <c r="AM68" s="220"/>
      <c r="AN68" s="220"/>
    </row>
    <row r="69" spans="1:40" ht="15.75" customHeight="1" x14ac:dyDescent="0.25">
      <c r="A69" s="234">
        <v>22921</v>
      </c>
      <c r="B69" s="233">
        <v>2019</v>
      </c>
      <c r="C69" s="234" t="s">
        <v>277</v>
      </c>
      <c r="D69" s="252">
        <v>0</v>
      </c>
      <c r="E69" s="253"/>
      <c r="F69" s="253"/>
      <c r="G69" s="253"/>
      <c r="H69" s="253"/>
      <c r="I69" s="253"/>
      <c r="J69" s="253"/>
      <c r="K69" s="253"/>
      <c r="L69" s="253"/>
      <c r="M69" s="253"/>
      <c r="N69" s="253"/>
      <c r="O69" s="253"/>
      <c r="P69" s="253"/>
      <c r="Q69" s="335">
        <f t="shared" si="23"/>
        <v>0</v>
      </c>
      <c r="R69" s="263">
        <f t="shared" si="24"/>
        <v>0</v>
      </c>
      <c r="S69" s="336">
        <f t="shared" si="25"/>
        <v>0</v>
      </c>
      <c r="T69" s="307">
        <f t="shared" si="26"/>
        <v>0</v>
      </c>
      <c r="U69" s="233">
        <v>2019</v>
      </c>
      <c r="V69" s="234" t="s">
        <v>277</v>
      </c>
      <c r="W69" s="220"/>
      <c r="X69" s="220"/>
      <c r="Y69" s="220"/>
      <c r="Z69" s="220"/>
      <c r="AA69" s="364">
        <v>76639</v>
      </c>
      <c r="AB69" s="362">
        <v>2019</v>
      </c>
      <c r="AC69" s="367" t="s">
        <v>339</v>
      </c>
      <c r="AD69" s="365">
        <v>330</v>
      </c>
      <c r="AE69" s="363" t="s">
        <v>104</v>
      </c>
      <c r="AF69" s="220"/>
      <c r="AG69" s="220"/>
      <c r="AH69" s="220"/>
      <c r="AI69" s="220"/>
      <c r="AJ69" s="220"/>
      <c r="AK69" s="220"/>
      <c r="AL69" s="220"/>
      <c r="AM69" s="220"/>
      <c r="AN69" s="220"/>
    </row>
    <row r="70" spans="1:40" ht="15.75" customHeight="1" x14ac:dyDescent="0.25">
      <c r="A70" s="234"/>
      <c r="B70" s="233" t="s">
        <v>357</v>
      </c>
      <c r="C70" s="234" t="s">
        <v>94</v>
      </c>
      <c r="D70" s="252">
        <v>0</v>
      </c>
      <c r="E70" s="253"/>
      <c r="F70" s="253"/>
      <c r="G70" s="253"/>
      <c r="H70" s="253"/>
      <c r="I70" s="253"/>
      <c r="J70" s="253"/>
      <c r="K70" s="253"/>
      <c r="L70" s="253"/>
      <c r="M70" s="253"/>
      <c r="N70" s="253"/>
      <c r="O70" s="253"/>
      <c r="P70" s="253"/>
      <c r="Q70" s="335">
        <f t="shared" si="23"/>
        <v>0</v>
      </c>
      <c r="R70" s="358"/>
      <c r="S70" s="336">
        <f t="shared" si="25"/>
        <v>0</v>
      </c>
      <c r="T70" s="307">
        <f t="shared" si="26"/>
        <v>0</v>
      </c>
      <c r="U70" s="233" t="s">
        <v>357</v>
      </c>
      <c r="V70" s="234" t="s">
        <v>94</v>
      </c>
      <c r="W70" s="220"/>
      <c r="X70" s="220"/>
      <c r="Y70" s="220"/>
      <c r="Z70" s="220"/>
      <c r="AA70" s="364">
        <v>76639</v>
      </c>
      <c r="AB70" s="362">
        <v>2019</v>
      </c>
      <c r="AC70" s="367" t="s">
        <v>341</v>
      </c>
      <c r="AD70" s="365">
        <v>330</v>
      </c>
      <c r="AE70" s="363" t="s">
        <v>104</v>
      </c>
      <c r="AF70" s="220"/>
      <c r="AG70" s="220"/>
      <c r="AH70" s="220"/>
      <c r="AI70" s="220"/>
      <c r="AJ70" s="220"/>
      <c r="AK70" s="220"/>
      <c r="AL70" s="220"/>
      <c r="AM70" s="220"/>
      <c r="AN70" s="220"/>
    </row>
    <row r="71" spans="1:40" ht="15.75" customHeight="1" x14ac:dyDescent="0.25">
      <c r="A71" s="234" t="s">
        <v>35</v>
      </c>
      <c r="B71" s="233" t="s">
        <v>35</v>
      </c>
      <c r="C71" s="234" t="s">
        <v>35</v>
      </c>
      <c r="D71" s="252" t="s">
        <v>35</v>
      </c>
      <c r="E71" s="252"/>
      <c r="F71" s="252"/>
      <c r="G71" s="252"/>
      <c r="H71" s="252"/>
      <c r="I71" s="252"/>
      <c r="J71" s="252"/>
      <c r="K71" s="252" t="s">
        <v>35</v>
      </c>
      <c r="L71" s="252" t="s">
        <v>35</v>
      </c>
      <c r="M71" s="252" t="s">
        <v>35</v>
      </c>
      <c r="N71" s="252" t="s">
        <v>35</v>
      </c>
      <c r="O71" s="252" t="s">
        <v>35</v>
      </c>
      <c r="P71" s="252"/>
      <c r="Q71" s="335" t="s">
        <v>35</v>
      </c>
      <c r="R71" s="358"/>
      <c r="S71" s="336" t="s">
        <v>35</v>
      </c>
      <c r="T71" s="307" t="s">
        <v>35</v>
      </c>
      <c r="U71" s="233" t="s">
        <v>35</v>
      </c>
      <c r="V71" s="234" t="str">
        <f>+C71</f>
        <v xml:space="preserve"> </v>
      </c>
      <c r="W71" s="220"/>
      <c r="X71" s="220"/>
      <c r="Y71" s="220"/>
      <c r="Z71" s="220"/>
      <c r="AA71" s="364">
        <v>76639</v>
      </c>
      <c r="AB71" s="362">
        <v>2019</v>
      </c>
      <c r="AC71" s="367" t="s">
        <v>343</v>
      </c>
      <c r="AD71" s="365">
        <v>330</v>
      </c>
      <c r="AE71" s="363" t="s">
        <v>104</v>
      </c>
      <c r="AF71" s="220"/>
      <c r="AG71" s="220"/>
      <c r="AH71" s="220"/>
      <c r="AI71" s="220"/>
      <c r="AJ71" s="220"/>
      <c r="AK71" s="220"/>
      <c r="AL71" s="220"/>
      <c r="AM71" s="220"/>
      <c r="AN71" s="220"/>
    </row>
    <row r="72" spans="1:40" ht="15.75" customHeight="1" x14ac:dyDescent="0.25">
      <c r="A72" s="234"/>
      <c r="B72" s="233"/>
      <c r="C72" s="234"/>
      <c r="D72" s="252"/>
      <c r="E72" s="252"/>
      <c r="F72" s="252"/>
      <c r="G72" s="252"/>
      <c r="H72" s="252"/>
      <c r="I72" s="252"/>
      <c r="J72" s="252"/>
      <c r="K72" s="252"/>
      <c r="L72" s="252"/>
      <c r="M72" s="252"/>
      <c r="N72" s="252"/>
      <c r="O72" s="252"/>
      <c r="P72" s="252"/>
      <c r="Q72" s="236"/>
      <c r="R72" s="323"/>
      <c r="S72" s="336"/>
      <c r="T72" s="307"/>
      <c r="U72" s="233"/>
      <c r="V72" s="234"/>
      <c r="W72" s="220"/>
      <c r="X72" s="220"/>
      <c r="Y72" s="220"/>
      <c r="Z72" s="220"/>
      <c r="AA72" s="364">
        <v>76639</v>
      </c>
      <c r="AB72" s="362">
        <v>2019</v>
      </c>
      <c r="AC72" s="367" t="s">
        <v>342</v>
      </c>
      <c r="AD72" s="365">
        <v>330</v>
      </c>
      <c r="AE72" s="363" t="s">
        <v>104</v>
      </c>
      <c r="AF72" s="220"/>
      <c r="AG72" s="220"/>
      <c r="AH72" s="220"/>
      <c r="AI72" s="220"/>
      <c r="AJ72" s="220"/>
      <c r="AK72" s="220"/>
      <c r="AL72" s="220"/>
      <c r="AM72" s="220"/>
      <c r="AN72" s="220"/>
    </row>
    <row r="73" spans="1:40" ht="15.75" customHeight="1" x14ac:dyDescent="0.25">
      <c r="A73" s="234"/>
      <c r="B73" s="233"/>
      <c r="C73" s="234"/>
      <c r="D73" s="252"/>
      <c r="E73" s="252"/>
      <c r="F73" s="252"/>
      <c r="G73" s="252"/>
      <c r="H73" s="252"/>
      <c r="I73" s="252"/>
      <c r="J73" s="252"/>
      <c r="K73" s="252"/>
      <c r="L73" s="252"/>
      <c r="M73" s="252"/>
      <c r="N73" s="252"/>
      <c r="O73" s="252"/>
      <c r="P73" s="252"/>
      <c r="Q73" s="236"/>
      <c r="R73" s="323"/>
      <c r="S73" s="336"/>
      <c r="T73" s="307"/>
      <c r="U73" s="233"/>
      <c r="V73" s="234"/>
      <c r="W73" s="220"/>
      <c r="X73" s="220"/>
      <c r="Y73" s="220"/>
      <c r="Z73" s="220"/>
      <c r="AA73" s="364">
        <v>43769</v>
      </c>
      <c r="AB73" s="362">
        <v>2018</v>
      </c>
      <c r="AC73" s="367" t="s">
        <v>344</v>
      </c>
      <c r="AD73" s="365">
        <v>280</v>
      </c>
      <c r="AE73" s="363" t="s">
        <v>104</v>
      </c>
      <c r="AF73" s="220"/>
      <c r="AG73" s="220"/>
      <c r="AH73" s="220"/>
      <c r="AI73" s="220"/>
      <c r="AJ73" s="220"/>
      <c r="AK73" s="220"/>
      <c r="AL73" s="220"/>
      <c r="AM73" s="220"/>
      <c r="AN73" s="220"/>
    </row>
    <row r="74" spans="1:40" ht="18" x14ac:dyDescent="0.25">
      <c r="A74" s="226"/>
      <c r="B74" s="342"/>
      <c r="C74" s="226"/>
      <c r="D74" s="338"/>
      <c r="E74" s="338"/>
      <c r="F74" s="338"/>
      <c r="G74" s="338"/>
      <c r="H74" s="338"/>
      <c r="I74" s="338"/>
      <c r="J74" s="338"/>
      <c r="K74" s="338"/>
      <c r="L74" s="338"/>
      <c r="M74" s="338"/>
      <c r="N74" s="338"/>
      <c r="O74" s="338"/>
      <c r="P74" s="338"/>
      <c r="Q74" s="243"/>
      <c r="R74" s="339"/>
      <c r="S74" s="340"/>
      <c r="T74" s="320"/>
      <c r="U74" s="342"/>
      <c r="V74" s="226"/>
      <c r="W74" s="220"/>
      <c r="X74" s="220"/>
      <c r="Y74" s="220"/>
      <c r="Z74" s="220"/>
      <c r="AA74" s="364">
        <v>43769</v>
      </c>
      <c r="AB74" s="362">
        <v>2018</v>
      </c>
      <c r="AC74" s="367" t="s">
        <v>345</v>
      </c>
      <c r="AD74" s="365">
        <v>60</v>
      </c>
      <c r="AE74" s="363" t="s">
        <v>104</v>
      </c>
      <c r="AF74" s="220"/>
      <c r="AG74" s="220"/>
      <c r="AH74" s="220"/>
      <c r="AI74" s="220"/>
      <c r="AJ74" s="220"/>
      <c r="AK74" s="220"/>
      <c r="AL74" s="220"/>
      <c r="AM74" s="220"/>
      <c r="AN74" s="220"/>
    </row>
    <row r="75" spans="1:40" ht="18" x14ac:dyDescent="0.25">
      <c r="A75" s="234"/>
      <c r="B75" s="233">
        <v>2014</v>
      </c>
      <c r="C75" s="234"/>
      <c r="D75" s="263">
        <f t="shared" ref="D75:Q75" si="27">SUM(D10:D11)</f>
        <v>131</v>
      </c>
      <c r="E75" s="263">
        <f t="shared" si="27"/>
        <v>18</v>
      </c>
      <c r="F75" s="263">
        <f t="shared" si="27"/>
        <v>11</v>
      </c>
      <c r="G75" s="263">
        <f t="shared" si="27"/>
        <v>10</v>
      </c>
      <c r="H75" s="263">
        <f t="shared" si="27"/>
        <v>9</v>
      </c>
      <c r="I75" s="263">
        <f t="shared" si="27"/>
        <v>14</v>
      </c>
      <c r="J75" s="263">
        <f t="shared" si="27"/>
        <v>5</v>
      </c>
      <c r="K75" s="263">
        <f t="shared" si="27"/>
        <v>9</v>
      </c>
      <c r="L75" s="263">
        <f t="shared" si="27"/>
        <v>4</v>
      </c>
      <c r="M75" s="263">
        <f t="shared" si="27"/>
        <v>8</v>
      </c>
      <c r="N75" s="263">
        <f t="shared" si="27"/>
        <v>12</v>
      </c>
      <c r="O75" s="263">
        <f t="shared" si="27"/>
        <v>13</v>
      </c>
      <c r="P75" s="263">
        <f t="shared" si="27"/>
        <v>3</v>
      </c>
      <c r="Q75" s="335">
        <f t="shared" si="27"/>
        <v>116</v>
      </c>
      <c r="R75" s="263">
        <f>AVERAGE(E75:P75)</f>
        <v>9.6666666666666661</v>
      </c>
      <c r="S75" s="336">
        <f>T75/R75</f>
        <v>1.5517241379310345</v>
      </c>
      <c r="T75" s="307">
        <f>SUM(D75-Q75)</f>
        <v>15</v>
      </c>
      <c r="U75" s="233">
        <v>2014</v>
      </c>
      <c r="V75" s="234"/>
      <c r="W75" s="220"/>
      <c r="X75" s="220"/>
      <c r="Y75" s="220"/>
      <c r="Z75" s="220"/>
      <c r="AA75" s="364">
        <v>43769</v>
      </c>
      <c r="AB75" s="362">
        <v>2019</v>
      </c>
      <c r="AC75" s="367" t="s">
        <v>346</v>
      </c>
      <c r="AD75" s="365">
        <v>140</v>
      </c>
      <c r="AE75" s="363" t="s">
        <v>104</v>
      </c>
      <c r="AF75" s="220"/>
      <c r="AG75" s="220"/>
      <c r="AH75" s="220"/>
      <c r="AI75" s="220"/>
      <c r="AJ75" s="220"/>
      <c r="AK75" s="220"/>
      <c r="AL75" s="220"/>
      <c r="AM75" s="220"/>
      <c r="AN75" s="220"/>
    </row>
    <row r="76" spans="1:40" ht="18" x14ac:dyDescent="0.25">
      <c r="A76" s="234"/>
      <c r="B76" s="233">
        <v>2015</v>
      </c>
      <c r="C76" s="234"/>
      <c r="D76" s="263">
        <f t="shared" ref="D76:Q76" si="28">SUM(D13:D14)</f>
        <v>390</v>
      </c>
      <c r="E76" s="263">
        <f t="shared" si="28"/>
        <v>12</v>
      </c>
      <c r="F76" s="263">
        <f t="shared" si="28"/>
        <v>12</v>
      </c>
      <c r="G76" s="263">
        <f t="shared" si="28"/>
        <v>8</v>
      </c>
      <c r="H76" s="263">
        <f t="shared" si="28"/>
        <v>7</v>
      </c>
      <c r="I76" s="263">
        <f t="shared" si="28"/>
        <v>8</v>
      </c>
      <c r="J76" s="263">
        <f t="shared" si="28"/>
        <v>6</v>
      </c>
      <c r="K76" s="263">
        <f t="shared" si="28"/>
        <v>11</v>
      </c>
      <c r="L76" s="263">
        <f t="shared" si="28"/>
        <v>18</v>
      </c>
      <c r="M76" s="263">
        <f t="shared" si="28"/>
        <v>13</v>
      </c>
      <c r="N76" s="263">
        <f t="shared" si="28"/>
        <v>16</v>
      </c>
      <c r="O76" s="263">
        <f t="shared" si="28"/>
        <v>15</v>
      </c>
      <c r="P76" s="263">
        <f t="shared" si="28"/>
        <v>14</v>
      </c>
      <c r="Q76" s="335">
        <f t="shared" si="28"/>
        <v>140</v>
      </c>
      <c r="R76" s="263">
        <f>AVERAGE(E76:P76)</f>
        <v>11.666666666666666</v>
      </c>
      <c r="S76" s="336">
        <f>T76/R76</f>
        <v>21.428571428571431</v>
      </c>
      <c r="T76" s="307">
        <f>SUM(D76-Q76)</f>
        <v>250</v>
      </c>
      <c r="U76" s="233">
        <v>2015</v>
      </c>
      <c r="V76" s="234"/>
      <c r="W76" s="220"/>
      <c r="X76" s="220"/>
      <c r="Y76" s="220"/>
      <c r="Z76" s="220"/>
      <c r="AA76" s="364">
        <v>43769</v>
      </c>
      <c r="AB76" s="366">
        <v>2019</v>
      </c>
      <c r="AC76" s="367" t="s">
        <v>347</v>
      </c>
      <c r="AD76" s="365">
        <v>200</v>
      </c>
      <c r="AE76" s="363" t="s">
        <v>104</v>
      </c>
      <c r="AF76" s="220"/>
      <c r="AG76" s="220"/>
      <c r="AH76" s="220"/>
      <c r="AI76" s="220"/>
      <c r="AJ76" s="220"/>
      <c r="AK76" s="220"/>
      <c r="AL76" s="220"/>
      <c r="AM76" s="220"/>
      <c r="AN76" s="220"/>
    </row>
    <row r="77" spans="1:40" ht="14.25" customHeight="1" x14ac:dyDescent="0.25">
      <c r="A77" s="234"/>
      <c r="B77" s="233">
        <v>2016</v>
      </c>
      <c r="C77" s="234"/>
      <c r="D77" s="263">
        <f t="shared" ref="D77:Q77" si="29">SUM(D16:D25)</f>
        <v>2812</v>
      </c>
      <c r="E77" s="263">
        <f t="shared" si="29"/>
        <v>204</v>
      </c>
      <c r="F77" s="263">
        <f t="shared" si="29"/>
        <v>280</v>
      </c>
      <c r="G77" s="263">
        <f t="shared" si="29"/>
        <v>156</v>
      </c>
      <c r="H77" s="263">
        <f t="shared" si="29"/>
        <v>139</v>
      </c>
      <c r="I77" s="263">
        <f t="shared" si="29"/>
        <v>266</v>
      </c>
      <c r="J77" s="263">
        <f t="shared" si="29"/>
        <v>119</v>
      </c>
      <c r="K77" s="263">
        <f t="shared" si="29"/>
        <v>156</v>
      </c>
      <c r="L77" s="263">
        <f t="shared" si="29"/>
        <v>139</v>
      </c>
      <c r="M77" s="263">
        <f t="shared" si="29"/>
        <v>205</v>
      </c>
      <c r="N77" s="263">
        <f t="shared" si="29"/>
        <v>184</v>
      </c>
      <c r="O77" s="263">
        <f t="shared" si="29"/>
        <v>189</v>
      </c>
      <c r="P77" s="263">
        <f t="shared" si="29"/>
        <v>64</v>
      </c>
      <c r="Q77" s="335">
        <f t="shared" si="29"/>
        <v>2101</v>
      </c>
      <c r="R77" s="263">
        <f t="shared" ref="R77:R81" si="30">AVERAGE(E77:P77)</f>
        <v>175.08333333333334</v>
      </c>
      <c r="S77" s="336">
        <f t="shared" ref="S77:S79" si="31">T77/R77</f>
        <v>4.0609233698238931</v>
      </c>
      <c r="T77" s="307">
        <f t="shared" ref="T77:T79" si="32">SUM(D77-Q77)</f>
        <v>711</v>
      </c>
      <c r="U77" s="233">
        <v>2016</v>
      </c>
      <c r="V77" s="234"/>
      <c r="W77" s="220"/>
      <c r="X77" s="220"/>
      <c r="Y77" s="220"/>
      <c r="Z77" s="220"/>
      <c r="AA77" s="364">
        <v>43781</v>
      </c>
      <c r="AB77" s="362">
        <v>2019</v>
      </c>
      <c r="AC77" s="367" t="s">
        <v>348</v>
      </c>
      <c r="AD77" s="365">
        <v>150</v>
      </c>
      <c r="AE77" s="363" t="s">
        <v>104</v>
      </c>
      <c r="AF77" s="220"/>
      <c r="AG77" s="220"/>
      <c r="AH77" s="220"/>
      <c r="AI77" s="220"/>
      <c r="AJ77" s="220"/>
      <c r="AK77" s="220"/>
      <c r="AL77" s="220"/>
      <c r="AM77" s="220"/>
      <c r="AN77" s="220"/>
    </row>
    <row r="78" spans="1:40" ht="18" x14ac:dyDescent="0.25">
      <c r="A78" s="234"/>
      <c r="B78" s="233">
        <v>2017</v>
      </c>
      <c r="C78" s="234"/>
      <c r="D78" s="263">
        <f t="shared" ref="D78:Q78" si="33">SUM(D27:D43)</f>
        <v>5851</v>
      </c>
      <c r="E78" s="263">
        <f t="shared" si="33"/>
        <v>107</v>
      </c>
      <c r="F78" s="263">
        <f t="shared" si="33"/>
        <v>270</v>
      </c>
      <c r="G78" s="263">
        <f t="shared" si="33"/>
        <v>106</v>
      </c>
      <c r="H78" s="263">
        <f t="shared" si="33"/>
        <v>132</v>
      </c>
      <c r="I78" s="263">
        <f t="shared" si="33"/>
        <v>343</v>
      </c>
      <c r="J78" s="263">
        <f t="shared" si="33"/>
        <v>118</v>
      </c>
      <c r="K78" s="263">
        <f t="shared" si="33"/>
        <v>199</v>
      </c>
      <c r="L78" s="263">
        <f t="shared" si="33"/>
        <v>281</v>
      </c>
      <c r="M78" s="263">
        <f t="shared" si="33"/>
        <v>299</v>
      </c>
      <c r="N78" s="263">
        <f t="shared" si="33"/>
        <v>140</v>
      </c>
      <c r="O78" s="263">
        <f t="shared" si="33"/>
        <v>223</v>
      </c>
      <c r="P78" s="263">
        <f t="shared" si="33"/>
        <v>85</v>
      </c>
      <c r="Q78" s="335">
        <f t="shared" si="33"/>
        <v>2303</v>
      </c>
      <c r="R78" s="263">
        <f t="shared" si="30"/>
        <v>191.91666666666666</v>
      </c>
      <c r="S78" s="336">
        <f t="shared" si="31"/>
        <v>18.487190620929223</v>
      </c>
      <c r="T78" s="307">
        <f t="shared" si="32"/>
        <v>3548</v>
      </c>
      <c r="U78" s="233">
        <v>2017</v>
      </c>
      <c r="V78" s="234"/>
      <c r="W78" s="220"/>
      <c r="X78" s="220"/>
      <c r="Y78" s="220"/>
      <c r="Z78" s="220"/>
      <c r="AA78" s="364">
        <v>43790</v>
      </c>
      <c r="AB78" s="362">
        <v>2018</v>
      </c>
      <c r="AC78" s="367" t="s">
        <v>349</v>
      </c>
      <c r="AD78" s="365">
        <v>105</v>
      </c>
      <c r="AE78" s="363" t="s">
        <v>104</v>
      </c>
      <c r="AF78" s="220"/>
      <c r="AG78" s="220"/>
      <c r="AH78" s="220"/>
      <c r="AI78" s="220"/>
      <c r="AJ78" s="220"/>
      <c r="AK78" s="220"/>
      <c r="AL78" s="220"/>
      <c r="AM78" s="220"/>
      <c r="AN78" s="220"/>
    </row>
    <row r="79" spans="1:40" ht="18" x14ac:dyDescent="0.25">
      <c r="A79" s="234"/>
      <c r="B79" s="233">
        <v>2018</v>
      </c>
      <c r="C79" s="234"/>
      <c r="D79" s="263">
        <f t="shared" ref="D79:Q79" si="34">SUM(D45:D58)</f>
        <v>6449</v>
      </c>
      <c r="E79" s="263">
        <f t="shared" si="34"/>
        <v>0</v>
      </c>
      <c r="F79" s="263">
        <f t="shared" si="34"/>
        <v>0</v>
      </c>
      <c r="G79" s="263">
        <f t="shared" si="34"/>
        <v>30</v>
      </c>
      <c r="H79" s="263">
        <f t="shared" si="34"/>
        <v>15</v>
      </c>
      <c r="I79" s="263">
        <f t="shared" si="34"/>
        <v>117</v>
      </c>
      <c r="J79" s="263">
        <f t="shared" si="34"/>
        <v>64</v>
      </c>
      <c r="K79" s="263">
        <f t="shared" si="34"/>
        <v>78</v>
      </c>
      <c r="L79" s="263">
        <f t="shared" si="34"/>
        <v>92</v>
      </c>
      <c r="M79" s="263">
        <f t="shared" si="34"/>
        <v>91</v>
      </c>
      <c r="N79" s="263">
        <f t="shared" si="34"/>
        <v>71</v>
      </c>
      <c r="O79" s="263">
        <f t="shared" si="34"/>
        <v>178</v>
      </c>
      <c r="P79" s="263">
        <f t="shared" si="34"/>
        <v>150</v>
      </c>
      <c r="Q79" s="370">
        <f t="shared" si="34"/>
        <v>886</v>
      </c>
      <c r="R79" s="263">
        <f t="shared" si="30"/>
        <v>73.833333333333329</v>
      </c>
      <c r="S79" s="336">
        <f t="shared" si="31"/>
        <v>75.34537246049662</v>
      </c>
      <c r="T79" s="307">
        <f t="shared" si="32"/>
        <v>5563</v>
      </c>
      <c r="U79" s="233">
        <v>2018</v>
      </c>
      <c r="V79" s="234"/>
      <c r="W79" s="220"/>
      <c r="X79" s="220"/>
      <c r="Y79" s="220"/>
      <c r="Z79" s="220"/>
      <c r="AA79" s="364">
        <v>43790</v>
      </c>
      <c r="AB79" s="362">
        <v>2019</v>
      </c>
      <c r="AC79" s="367" t="s">
        <v>350</v>
      </c>
      <c r="AD79" s="365">
        <v>120</v>
      </c>
      <c r="AE79" s="363" t="s">
        <v>104</v>
      </c>
      <c r="AF79" s="220"/>
      <c r="AG79" s="220"/>
      <c r="AH79" s="220"/>
      <c r="AI79" s="220"/>
      <c r="AJ79" s="220"/>
      <c r="AK79" s="220"/>
      <c r="AL79" s="220"/>
      <c r="AM79" s="220"/>
      <c r="AN79" s="220"/>
    </row>
    <row r="80" spans="1:40" ht="18" x14ac:dyDescent="0.25">
      <c r="A80" s="234"/>
      <c r="B80" s="233">
        <v>2019</v>
      </c>
      <c r="C80" s="234"/>
      <c r="D80" s="263">
        <f>SUM(D60:D73)</f>
        <v>0</v>
      </c>
      <c r="E80" s="263">
        <f t="shared" ref="E80:P80" si="35">SUM(E60:E73)</f>
        <v>0</v>
      </c>
      <c r="F80" s="263">
        <f t="shared" si="35"/>
        <v>0</v>
      </c>
      <c r="G80" s="263">
        <f t="shared" si="35"/>
        <v>0</v>
      </c>
      <c r="H80" s="263">
        <f t="shared" si="35"/>
        <v>0</v>
      </c>
      <c r="I80" s="263">
        <f t="shared" si="35"/>
        <v>0</v>
      </c>
      <c r="J80" s="263">
        <f t="shared" si="35"/>
        <v>0</v>
      </c>
      <c r="K80" s="263">
        <f t="shared" si="35"/>
        <v>0</v>
      </c>
      <c r="L80" s="263">
        <f t="shared" si="35"/>
        <v>0</v>
      </c>
      <c r="M80" s="263">
        <f t="shared" si="35"/>
        <v>0</v>
      </c>
      <c r="N80" s="263">
        <f t="shared" si="35"/>
        <v>0</v>
      </c>
      <c r="O80" s="263">
        <f t="shared" si="35"/>
        <v>0</v>
      </c>
      <c r="P80" s="263">
        <f t="shared" si="35"/>
        <v>0</v>
      </c>
      <c r="Q80" s="370">
        <f>SUM(Q60:Q73)</f>
        <v>0</v>
      </c>
      <c r="R80" s="263"/>
      <c r="S80" s="336"/>
      <c r="T80" s="307"/>
      <c r="U80" s="233">
        <v>2019</v>
      </c>
      <c r="V80" s="234"/>
      <c r="W80" s="220"/>
      <c r="X80" s="220"/>
      <c r="Y80" s="220"/>
      <c r="Z80" s="220"/>
      <c r="AA80" s="364"/>
      <c r="AB80" s="362"/>
      <c r="AC80" s="367"/>
      <c r="AD80" s="365"/>
      <c r="AE80" s="363"/>
      <c r="AF80" s="220"/>
      <c r="AG80" s="220"/>
      <c r="AH80" s="220"/>
      <c r="AI80" s="220"/>
      <c r="AJ80" s="220"/>
      <c r="AK80" s="220"/>
      <c r="AL80" s="220"/>
      <c r="AM80" s="220"/>
      <c r="AN80" s="220"/>
    </row>
    <row r="81" spans="1:40" ht="18" x14ac:dyDescent="0.25">
      <c r="A81" s="234"/>
      <c r="B81" s="266" t="s">
        <v>59</v>
      </c>
      <c r="C81" s="234"/>
      <c r="D81" s="263">
        <f t="shared" ref="D81:P81" si="36">SUM(D75:D79)</f>
        <v>15633</v>
      </c>
      <c r="E81" s="263">
        <f t="shared" si="36"/>
        <v>341</v>
      </c>
      <c r="F81" s="263">
        <f t="shared" si="36"/>
        <v>573</v>
      </c>
      <c r="G81" s="263">
        <f t="shared" si="36"/>
        <v>310</v>
      </c>
      <c r="H81" s="263">
        <f t="shared" si="36"/>
        <v>302</v>
      </c>
      <c r="I81" s="263">
        <f t="shared" si="36"/>
        <v>748</v>
      </c>
      <c r="J81" s="263">
        <f t="shared" si="36"/>
        <v>312</v>
      </c>
      <c r="K81" s="263">
        <f t="shared" si="36"/>
        <v>453</v>
      </c>
      <c r="L81" s="263">
        <f t="shared" si="36"/>
        <v>534</v>
      </c>
      <c r="M81" s="263">
        <f t="shared" si="36"/>
        <v>616</v>
      </c>
      <c r="N81" s="263">
        <f t="shared" si="36"/>
        <v>423</v>
      </c>
      <c r="O81" s="263">
        <f t="shared" si="36"/>
        <v>618</v>
      </c>
      <c r="P81" s="263">
        <f t="shared" si="36"/>
        <v>316</v>
      </c>
      <c r="Q81" s="335">
        <f>SUM(Q10:Q73)</f>
        <v>5546</v>
      </c>
      <c r="R81" s="263">
        <f t="shared" si="30"/>
        <v>462.16666666666669</v>
      </c>
      <c r="S81" s="336">
        <f>T81/R81</f>
        <v>21.825459790840245</v>
      </c>
      <c r="T81" s="307">
        <f>SUM(T75+T76+T77+T78+T79+T80)</f>
        <v>10087</v>
      </c>
      <c r="U81" s="266" t="s">
        <v>59</v>
      </c>
      <c r="V81" s="234"/>
      <c r="W81" s="220"/>
      <c r="X81" s="220"/>
      <c r="Y81" s="220"/>
      <c r="Z81" s="220"/>
      <c r="AA81" s="364">
        <v>43790</v>
      </c>
      <c r="AB81" s="362">
        <v>2019</v>
      </c>
      <c r="AC81" s="367" t="s">
        <v>351</v>
      </c>
      <c r="AD81" s="365">
        <v>210</v>
      </c>
      <c r="AE81" s="363" t="s">
        <v>104</v>
      </c>
      <c r="AF81" s="220"/>
      <c r="AG81" s="220"/>
      <c r="AH81" s="220"/>
      <c r="AI81" s="220"/>
      <c r="AJ81" s="220"/>
      <c r="AK81" s="220"/>
      <c r="AL81" s="220"/>
      <c r="AM81" s="220"/>
      <c r="AN81" s="220"/>
    </row>
    <row r="82" spans="1:40" ht="18" x14ac:dyDescent="0.25">
      <c r="A82" s="226"/>
      <c r="B82" s="269"/>
      <c r="C82" s="269"/>
      <c r="D82" s="271"/>
      <c r="E82" s="271"/>
      <c r="F82" s="271"/>
      <c r="G82" s="271"/>
      <c r="H82" s="271"/>
      <c r="I82" s="271"/>
      <c r="J82" s="272"/>
      <c r="K82" s="272"/>
      <c r="L82" s="272"/>
      <c r="M82" s="272"/>
      <c r="N82" s="272"/>
      <c r="O82" s="272"/>
      <c r="P82" s="272"/>
      <c r="Q82" s="272"/>
      <c r="R82" s="343"/>
      <c r="S82" s="344"/>
      <c r="T82" s="328"/>
      <c r="U82" s="269"/>
      <c r="V82" s="269"/>
      <c r="W82" s="220"/>
      <c r="X82" s="220"/>
      <c r="Y82" s="220"/>
      <c r="Z82" s="220"/>
      <c r="AA82" s="364">
        <v>43790</v>
      </c>
      <c r="AB82" s="362">
        <v>2019</v>
      </c>
      <c r="AC82" s="367" t="s">
        <v>352</v>
      </c>
      <c r="AD82" s="365">
        <v>330</v>
      </c>
      <c r="AE82" s="363" t="s">
        <v>104</v>
      </c>
      <c r="AF82" s="220"/>
      <c r="AG82" s="220"/>
      <c r="AH82" s="220"/>
      <c r="AI82" s="220"/>
      <c r="AJ82" s="220"/>
      <c r="AK82" s="220"/>
      <c r="AL82" s="220"/>
      <c r="AM82" s="220"/>
      <c r="AN82" s="220"/>
    </row>
    <row r="83" spans="1:40" ht="18" x14ac:dyDescent="0.25">
      <c r="A83" s="220"/>
      <c r="B83" s="220"/>
      <c r="C83" s="220"/>
      <c r="D83" s="276"/>
      <c r="E83" s="276"/>
      <c r="F83" s="276"/>
      <c r="G83" s="276"/>
      <c r="H83" s="276"/>
      <c r="I83" s="276"/>
      <c r="J83" s="221"/>
      <c r="K83" s="221"/>
      <c r="L83" s="221"/>
      <c r="M83" s="221"/>
      <c r="N83" s="221"/>
      <c r="O83" s="221"/>
      <c r="P83" s="221"/>
      <c r="Q83" s="221"/>
      <c r="R83" s="276"/>
      <c r="S83" s="345"/>
      <c r="T83" s="221"/>
      <c r="U83" s="220"/>
      <c r="V83" s="220"/>
      <c r="W83" s="220"/>
      <c r="X83" s="220"/>
      <c r="Y83" s="220"/>
      <c r="Z83" s="220"/>
      <c r="AA83" s="353"/>
      <c r="AB83" s="354"/>
      <c r="AC83" s="367"/>
      <c r="AD83" s="355"/>
      <c r="AE83" s="363"/>
      <c r="AF83" s="220"/>
      <c r="AG83" s="220"/>
      <c r="AH83" s="220"/>
      <c r="AI83" s="220"/>
      <c r="AJ83" s="220"/>
      <c r="AK83" s="220"/>
      <c r="AL83" s="220"/>
      <c r="AM83" s="220"/>
      <c r="AN83" s="220"/>
    </row>
    <row r="84" spans="1:40" ht="18" x14ac:dyDescent="0.25">
      <c r="A84" s="226"/>
      <c r="B84" s="269"/>
      <c r="C84" s="269"/>
      <c r="D84" s="271"/>
      <c r="E84" s="271"/>
      <c r="F84" s="271"/>
      <c r="G84" s="271"/>
      <c r="H84" s="271"/>
      <c r="I84" s="271"/>
      <c r="J84" s="272"/>
      <c r="K84" s="272"/>
      <c r="L84" s="272"/>
      <c r="M84" s="272"/>
      <c r="N84" s="272"/>
      <c r="O84" s="272"/>
      <c r="P84" s="272"/>
      <c r="Q84" s="272"/>
      <c r="R84" s="343"/>
      <c r="S84" s="344"/>
      <c r="T84" s="328"/>
      <c r="U84" s="269"/>
      <c r="V84" s="269"/>
      <c r="W84" s="220"/>
      <c r="X84" s="220"/>
      <c r="Y84" s="220"/>
      <c r="Z84" s="220"/>
      <c r="AA84" s="353"/>
      <c r="AB84" s="354"/>
      <c r="AC84" s="367"/>
      <c r="AD84" s="355"/>
      <c r="AE84" s="363"/>
      <c r="AF84" s="220"/>
      <c r="AG84" s="220"/>
      <c r="AH84" s="220"/>
      <c r="AI84" s="220"/>
      <c r="AJ84" s="220"/>
      <c r="AK84" s="220"/>
      <c r="AL84" s="220"/>
      <c r="AM84" s="220"/>
      <c r="AN84" s="220"/>
    </row>
    <row r="85" spans="1:40" ht="18" x14ac:dyDescent="0.25">
      <c r="A85" s="220"/>
      <c r="B85" s="220">
        <v>2017</v>
      </c>
      <c r="C85" s="220" t="s">
        <v>361</v>
      </c>
      <c r="D85" s="276">
        <v>168</v>
      </c>
      <c r="E85" s="276"/>
      <c r="F85" s="276"/>
      <c r="G85" s="276"/>
      <c r="H85" s="276"/>
      <c r="I85" s="276"/>
      <c r="J85" s="221"/>
      <c r="K85" s="221"/>
      <c r="L85" s="221"/>
      <c r="M85" s="221"/>
      <c r="N85" s="221"/>
      <c r="O85" s="221"/>
      <c r="P85" s="221"/>
      <c r="Q85" s="221"/>
      <c r="R85" s="276"/>
      <c r="S85" s="345"/>
      <c r="T85" s="221"/>
      <c r="U85" s="220"/>
      <c r="V85" s="220"/>
      <c r="W85" s="220"/>
      <c r="X85" s="220"/>
      <c r="Y85" s="220"/>
      <c r="Z85" s="220"/>
      <c r="AA85" s="353"/>
      <c r="AB85" s="354"/>
      <c r="AC85" s="367"/>
      <c r="AD85" s="355"/>
      <c r="AE85" s="363"/>
      <c r="AF85" s="220"/>
      <c r="AG85" s="220"/>
      <c r="AH85" s="220"/>
      <c r="AI85" s="220"/>
      <c r="AJ85" s="220"/>
      <c r="AK85" s="220"/>
      <c r="AL85" s="220"/>
      <c r="AM85" s="220"/>
      <c r="AN85" s="220"/>
    </row>
    <row r="86" spans="1:40" ht="18" x14ac:dyDescent="0.25">
      <c r="A86" s="220"/>
      <c r="B86" s="220">
        <v>2018</v>
      </c>
      <c r="C86" s="220" t="s">
        <v>362</v>
      </c>
      <c r="D86" s="276">
        <v>112</v>
      </c>
      <c r="E86" s="276"/>
      <c r="F86" s="276"/>
      <c r="G86" s="276"/>
      <c r="H86" s="276"/>
      <c r="I86" s="276"/>
      <c r="J86" s="221"/>
      <c r="K86" s="221"/>
      <c r="L86" s="221"/>
      <c r="M86" s="221"/>
      <c r="N86" s="221"/>
      <c r="O86" s="221"/>
      <c r="P86" s="221"/>
      <c r="Q86" s="221"/>
      <c r="R86" s="276"/>
      <c r="S86" s="345"/>
      <c r="T86" s="221"/>
      <c r="U86" s="220"/>
      <c r="V86" s="220"/>
      <c r="W86" s="220"/>
      <c r="X86" s="220"/>
      <c r="Y86" s="220"/>
      <c r="Z86" s="220"/>
      <c r="AA86" s="353"/>
      <c r="AB86" s="354"/>
      <c r="AC86" s="367"/>
      <c r="AD86" s="355"/>
      <c r="AE86" s="363"/>
      <c r="AF86" s="220"/>
      <c r="AG86" s="220"/>
      <c r="AH86" s="220"/>
      <c r="AI86" s="220"/>
      <c r="AJ86" s="220"/>
      <c r="AK86" s="220"/>
      <c r="AL86" s="220"/>
      <c r="AM86" s="220"/>
      <c r="AN86" s="220"/>
    </row>
    <row r="87" spans="1:40" ht="18" x14ac:dyDescent="0.25">
      <c r="A87" s="220"/>
      <c r="B87" s="220">
        <v>2018</v>
      </c>
      <c r="C87" s="220" t="s">
        <v>363</v>
      </c>
      <c r="D87" s="276">
        <v>112</v>
      </c>
      <c r="E87" s="276"/>
      <c r="F87" s="276"/>
      <c r="G87" s="276"/>
      <c r="H87" s="276"/>
      <c r="I87" s="276"/>
      <c r="J87" s="221"/>
      <c r="K87" s="221"/>
      <c r="L87" s="221"/>
      <c r="M87" s="221"/>
      <c r="N87" s="221"/>
      <c r="O87" s="221"/>
      <c r="P87" s="221"/>
      <c r="Q87" s="221"/>
      <c r="R87" s="276"/>
      <c r="S87" s="345"/>
      <c r="T87" s="221"/>
      <c r="U87" s="220"/>
      <c r="V87" s="220"/>
      <c r="W87" s="220"/>
      <c r="X87" s="220"/>
      <c r="Y87" s="220"/>
      <c r="Z87" s="220"/>
      <c r="AA87" s="353"/>
      <c r="AB87" s="354"/>
      <c r="AC87" s="367"/>
      <c r="AD87" s="355"/>
      <c r="AE87" s="363"/>
      <c r="AF87" s="220"/>
      <c r="AG87" s="220"/>
      <c r="AH87" s="220"/>
      <c r="AI87" s="220"/>
      <c r="AJ87" s="220"/>
      <c r="AK87" s="220"/>
      <c r="AL87" s="220"/>
      <c r="AM87" s="220"/>
      <c r="AN87" s="220"/>
    </row>
    <row r="88" spans="1:40" ht="18" x14ac:dyDescent="0.25">
      <c r="A88" s="226"/>
      <c r="B88" s="269"/>
      <c r="C88" s="269"/>
      <c r="D88" s="271"/>
      <c r="E88" s="271"/>
      <c r="F88" s="271"/>
      <c r="G88" s="271"/>
      <c r="H88" s="271"/>
      <c r="I88" s="271"/>
      <c r="J88" s="272"/>
      <c r="K88" s="272"/>
      <c r="L88" s="272"/>
      <c r="M88" s="272"/>
      <c r="N88" s="272"/>
      <c r="O88" s="272"/>
      <c r="P88" s="272"/>
      <c r="Q88" s="272"/>
      <c r="R88" s="343"/>
      <c r="S88" s="344"/>
      <c r="T88" s="328"/>
      <c r="U88" s="269"/>
      <c r="V88" s="269"/>
      <c r="W88" s="220"/>
      <c r="X88" s="220"/>
      <c r="Y88" s="220"/>
      <c r="Z88" s="220"/>
      <c r="AA88" s="353"/>
      <c r="AB88" s="354"/>
      <c r="AC88" s="367"/>
      <c r="AD88" s="355"/>
      <c r="AE88" s="363"/>
      <c r="AF88" s="220"/>
      <c r="AG88" s="220"/>
      <c r="AH88" s="220"/>
      <c r="AI88" s="220"/>
      <c r="AJ88" s="220"/>
      <c r="AK88" s="220"/>
      <c r="AL88" s="220"/>
      <c r="AM88" s="220"/>
      <c r="AN88" s="220"/>
    </row>
    <row r="89" spans="1:40" ht="18.75" thickBot="1" x14ac:dyDescent="0.3">
      <c r="A89" s="220"/>
      <c r="B89" s="220"/>
      <c r="C89" s="220"/>
      <c r="D89" s="221"/>
      <c r="E89" s="221"/>
      <c r="F89" s="221"/>
      <c r="G89" s="221"/>
      <c r="H89" s="221"/>
      <c r="I89" s="221"/>
      <c r="J89" s="221"/>
      <c r="K89" s="221"/>
      <c r="L89" s="221"/>
      <c r="M89" s="221"/>
      <c r="N89" s="221"/>
      <c r="O89" s="221"/>
      <c r="P89" s="221"/>
      <c r="Q89" s="221"/>
      <c r="R89" s="276"/>
      <c r="S89" s="345"/>
      <c r="T89" s="276"/>
      <c r="U89" s="220"/>
      <c r="V89" s="220"/>
      <c r="W89" s="220"/>
      <c r="X89" s="220"/>
      <c r="Y89" s="220"/>
      <c r="Z89" s="220"/>
      <c r="AA89" s="353"/>
      <c r="AB89" s="354"/>
      <c r="AC89" s="367"/>
      <c r="AD89" s="355"/>
      <c r="AE89" s="363"/>
      <c r="AF89" s="220"/>
      <c r="AG89" s="220"/>
      <c r="AH89" s="220"/>
      <c r="AI89" s="220"/>
      <c r="AJ89" s="220"/>
      <c r="AK89" s="220"/>
      <c r="AL89" s="220"/>
      <c r="AM89" s="220"/>
      <c r="AN89" s="220"/>
    </row>
    <row r="90" spans="1:40" ht="48" thickBot="1" x14ac:dyDescent="0.3">
      <c r="A90" s="220"/>
      <c r="B90" s="286" t="s">
        <v>60</v>
      </c>
      <c r="C90" s="287"/>
      <c r="D90" s="127" t="s">
        <v>138</v>
      </c>
      <c r="E90" s="452" t="s">
        <v>139</v>
      </c>
      <c r="F90" s="453"/>
      <c r="G90" s="453"/>
      <c r="H90" s="453"/>
      <c r="I90" s="453"/>
      <c r="J90" s="453"/>
      <c r="K90" s="453"/>
      <c r="L90" s="453"/>
      <c r="M90" s="453"/>
      <c r="N90" s="453"/>
      <c r="O90" s="453"/>
      <c r="P90" s="453"/>
      <c r="Q90" s="119" t="s">
        <v>63</v>
      </c>
      <c r="R90" s="331"/>
      <c r="S90" s="331"/>
      <c r="T90" s="221"/>
      <c r="U90" s="286" t="s">
        <v>60</v>
      </c>
      <c r="V90" s="287"/>
      <c r="W90" s="220"/>
      <c r="X90" s="220"/>
      <c r="Y90" s="220"/>
      <c r="Z90" s="220"/>
      <c r="AA90" s="353"/>
      <c r="AB90" s="354"/>
      <c r="AC90" s="367"/>
      <c r="AD90" s="355"/>
      <c r="AE90" s="363"/>
      <c r="AF90" s="220"/>
      <c r="AG90" s="220"/>
      <c r="AH90" s="220"/>
      <c r="AI90" s="220"/>
      <c r="AJ90" s="220"/>
      <c r="AK90" s="220"/>
      <c r="AL90" s="220"/>
      <c r="AM90" s="220"/>
      <c r="AN90" s="220"/>
    </row>
    <row r="91" spans="1:40" ht="18" x14ac:dyDescent="0.25">
      <c r="A91" s="220"/>
      <c r="B91" s="289"/>
      <c r="C91" s="289"/>
      <c r="D91" s="290"/>
      <c r="E91" s="291"/>
      <c r="F91" s="291"/>
      <c r="G91" s="291"/>
      <c r="H91" s="291"/>
      <c r="I91" s="291"/>
      <c r="J91" s="291"/>
      <c r="K91" s="291"/>
      <c r="L91" s="291"/>
      <c r="M91" s="291"/>
      <c r="N91" s="291"/>
      <c r="O91" s="291"/>
      <c r="P91" s="292"/>
      <c r="Q91" s="291"/>
      <c r="R91" s="221"/>
      <c r="S91" s="221"/>
      <c r="T91" s="331"/>
      <c r="U91" s="289"/>
      <c r="V91" s="289"/>
      <c r="W91" s="220"/>
      <c r="X91" s="220"/>
      <c r="Y91" s="220"/>
      <c r="Z91" s="220"/>
      <c r="AA91" s="353"/>
      <c r="AB91" s="354"/>
      <c r="AC91" s="367"/>
      <c r="AD91" s="355"/>
      <c r="AE91" s="363"/>
      <c r="AF91" s="220"/>
      <c r="AG91" s="220"/>
      <c r="AH91" s="220"/>
      <c r="AI91" s="220"/>
      <c r="AJ91" s="220"/>
      <c r="AK91" s="220"/>
      <c r="AL91" s="220"/>
      <c r="AM91" s="220"/>
      <c r="AN91" s="220"/>
    </row>
    <row r="92" spans="1:40" ht="18" x14ac:dyDescent="0.25">
      <c r="A92" s="220"/>
      <c r="B92" s="234"/>
      <c r="C92" s="234"/>
      <c r="D92" s="291"/>
      <c r="E92" s="236"/>
      <c r="F92" s="236"/>
      <c r="G92" s="236"/>
      <c r="H92" s="236"/>
      <c r="I92" s="236"/>
      <c r="J92" s="236"/>
      <c r="K92" s="236"/>
      <c r="L92" s="236"/>
      <c r="M92" s="236"/>
      <c r="N92" s="236"/>
      <c r="O92" s="236"/>
      <c r="P92" s="293"/>
      <c r="Q92" s="236"/>
      <c r="R92" s="221"/>
      <c r="S92" s="221"/>
      <c r="T92" s="221"/>
      <c r="U92" s="234"/>
      <c r="V92" s="234"/>
      <c r="W92" s="220"/>
      <c r="X92" s="220"/>
      <c r="Y92" s="220"/>
      <c r="Z92" s="220"/>
      <c r="AA92" s="353"/>
      <c r="AB92" s="354"/>
      <c r="AC92" s="367"/>
      <c r="AD92" s="355"/>
      <c r="AE92" s="363"/>
      <c r="AF92" s="220"/>
      <c r="AG92" s="220"/>
      <c r="AH92" s="220"/>
      <c r="AI92" s="220"/>
      <c r="AJ92" s="220"/>
      <c r="AK92" s="220"/>
      <c r="AL92" s="220"/>
      <c r="AM92" s="220"/>
      <c r="AN92" s="220"/>
    </row>
    <row r="93" spans="1:40" ht="18" x14ac:dyDescent="0.25">
      <c r="A93" s="220"/>
      <c r="B93" s="228"/>
      <c r="C93" s="228"/>
      <c r="D93" s="229"/>
      <c r="E93" s="229"/>
      <c r="F93" s="229"/>
      <c r="G93" s="229"/>
      <c r="H93" s="229"/>
      <c r="I93" s="229"/>
      <c r="J93" s="229"/>
      <c r="K93" s="229"/>
      <c r="L93" s="229"/>
      <c r="M93" s="229"/>
      <c r="N93" s="229"/>
      <c r="O93" s="229"/>
      <c r="P93" s="294"/>
      <c r="Q93" s="229"/>
      <c r="R93" s="221"/>
      <c r="S93" s="221"/>
      <c r="T93" s="221"/>
      <c r="U93" s="228"/>
      <c r="V93" s="228"/>
      <c r="W93" s="220"/>
      <c r="X93" s="220"/>
      <c r="Y93" s="220"/>
      <c r="Z93" s="220"/>
      <c r="AA93" s="353"/>
      <c r="AB93" s="354"/>
      <c r="AC93" s="367"/>
      <c r="AD93" s="355"/>
      <c r="AE93" s="363"/>
      <c r="AF93" s="220"/>
      <c r="AG93" s="220"/>
      <c r="AH93" s="220"/>
      <c r="AI93" s="220"/>
      <c r="AJ93" s="220"/>
      <c r="AK93" s="220"/>
      <c r="AL93" s="220"/>
      <c r="AM93" s="220"/>
      <c r="AN93" s="220"/>
    </row>
    <row r="94" spans="1:40" x14ac:dyDescent="0.2">
      <c r="A94" s="220"/>
      <c r="B94" s="234"/>
      <c r="C94" s="234"/>
      <c r="D94" s="236"/>
      <c r="E94" s="236"/>
      <c r="F94" s="236"/>
      <c r="G94" s="236"/>
      <c r="H94" s="236"/>
      <c r="I94" s="236"/>
      <c r="J94" s="236"/>
      <c r="K94" s="236"/>
      <c r="L94" s="236"/>
      <c r="M94" s="236"/>
      <c r="N94" s="236"/>
      <c r="O94" s="236"/>
      <c r="P94" s="293"/>
      <c r="Q94" s="236"/>
      <c r="R94" s="221"/>
      <c r="S94" s="221"/>
      <c r="T94" s="221"/>
      <c r="U94" s="234"/>
      <c r="V94" s="234"/>
      <c r="W94" s="220"/>
      <c r="X94" s="220"/>
      <c r="Y94" s="220"/>
      <c r="Z94" s="220"/>
      <c r="AA94" s="310"/>
      <c r="AB94" s="221"/>
      <c r="AC94" s="220" t="s">
        <v>304</v>
      </c>
      <c r="AD94" s="220"/>
      <c r="AE94" s="220"/>
      <c r="AF94" s="220"/>
      <c r="AG94" s="220"/>
      <c r="AH94" s="220"/>
      <c r="AI94" s="220"/>
      <c r="AJ94" s="220"/>
      <c r="AK94" s="220"/>
      <c r="AL94" s="220"/>
      <c r="AM94" s="220"/>
      <c r="AN94" s="220"/>
    </row>
    <row r="95" spans="1:40" x14ac:dyDescent="0.2">
      <c r="A95" s="220"/>
      <c r="B95" s="234"/>
      <c r="C95" s="234"/>
      <c r="D95" s="236"/>
      <c r="E95" s="236"/>
      <c r="F95" s="236"/>
      <c r="G95" s="236"/>
      <c r="H95" s="236"/>
      <c r="I95" s="236"/>
      <c r="J95" s="236"/>
      <c r="K95" s="236"/>
      <c r="L95" s="236"/>
      <c r="M95" s="236"/>
      <c r="N95" s="236"/>
      <c r="O95" s="236"/>
      <c r="P95" s="293"/>
      <c r="Q95" s="236"/>
      <c r="R95" s="221"/>
      <c r="S95" s="221"/>
      <c r="T95" s="221"/>
      <c r="U95" s="234"/>
      <c r="V95" s="234"/>
      <c r="W95" s="220"/>
      <c r="X95" s="220"/>
      <c r="Y95" s="220"/>
      <c r="Z95" s="220"/>
      <c r="AA95" s="359"/>
      <c r="AB95" s="360"/>
      <c r="AC95" s="361"/>
      <c r="AD95" s="361"/>
      <c r="AE95" s="220"/>
      <c r="AF95" s="220"/>
      <c r="AG95" s="220"/>
      <c r="AH95" s="220"/>
      <c r="AI95" s="220"/>
      <c r="AJ95" s="220"/>
      <c r="AK95" s="220"/>
      <c r="AL95" s="220"/>
      <c r="AM95" s="220"/>
      <c r="AN95" s="220"/>
    </row>
    <row r="96" spans="1:40" x14ac:dyDescent="0.2">
      <c r="A96" s="220"/>
      <c r="B96" s="282"/>
      <c r="C96" s="282"/>
      <c r="D96" s="271"/>
      <c r="E96" s="271"/>
      <c r="F96" s="271"/>
      <c r="G96" s="271"/>
      <c r="H96" s="271"/>
      <c r="I96" s="271"/>
      <c r="J96" s="271"/>
      <c r="K96" s="271"/>
      <c r="L96" s="271"/>
      <c r="M96" s="271"/>
      <c r="N96" s="271"/>
      <c r="O96" s="271"/>
      <c r="P96" s="271"/>
      <c r="Q96" s="229"/>
      <c r="R96" s="221"/>
      <c r="S96" s="221"/>
      <c r="T96" s="221"/>
      <c r="U96" s="282"/>
      <c r="V96" s="282"/>
      <c r="W96" s="220"/>
      <c r="X96" s="220"/>
      <c r="Y96" s="220"/>
      <c r="Z96" s="220"/>
      <c r="AA96" s="359">
        <v>43496</v>
      </c>
      <c r="AB96" s="360"/>
      <c r="AC96" s="361" t="s">
        <v>369</v>
      </c>
      <c r="AD96" s="361" t="s">
        <v>368</v>
      </c>
      <c r="AE96" s="220"/>
      <c r="AF96" s="220"/>
      <c r="AG96" s="220"/>
      <c r="AH96" s="220"/>
      <c r="AI96" s="220"/>
      <c r="AJ96" s="220"/>
      <c r="AK96" s="220"/>
      <c r="AL96" s="220"/>
      <c r="AM96" s="220"/>
      <c r="AN96" s="220"/>
    </row>
    <row r="97" spans="1:40" x14ac:dyDescent="0.2">
      <c r="A97" s="220"/>
      <c r="B97" s="220"/>
      <c r="C97" s="220"/>
      <c r="D97" s="221"/>
      <c r="E97" s="221"/>
      <c r="F97" s="221"/>
      <c r="G97" s="221"/>
      <c r="H97" s="221"/>
      <c r="I97" s="221"/>
      <c r="J97" s="221"/>
      <c r="K97" s="221"/>
      <c r="L97" s="221"/>
      <c r="M97" s="221"/>
      <c r="N97" s="221"/>
      <c r="O97" s="221"/>
      <c r="P97" s="221"/>
      <c r="Q97" s="221"/>
      <c r="R97" s="221"/>
      <c r="S97" s="221"/>
      <c r="T97" s="221"/>
      <c r="U97" s="220"/>
      <c r="V97" s="220"/>
      <c r="W97" s="220"/>
      <c r="X97" s="220"/>
      <c r="Y97" s="220"/>
      <c r="Z97" s="220"/>
      <c r="AA97" s="359">
        <v>43496</v>
      </c>
      <c r="AB97" s="360"/>
      <c r="AC97" s="361" t="s">
        <v>33</v>
      </c>
      <c r="AD97" s="361" t="s">
        <v>370</v>
      </c>
      <c r="AE97" s="220"/>
      <c r="AF97" s="220"/>
      <c r="AG97" s="220"/>
      <c r="AH97" s="220"/>
      <c r="AI97" s="220"/>
      <c r="AJ97" s="220"/>
      <c r="AK97" s="220"/>
      <c r="AL97" s="220"/>
      <c r="AM97" s="220"/>
      <c r="AN97" s="220"/>
    </row>
    <row r="98" spans="1:40" ht="15.75" x14ac:dyDescent="0.25">
      <c r="A98" s="220"/>
      <c r="B98" s="289"/>
      <c r="C98" s="289"/>
      <c r="D98" s="122"/>
      <c r="E98" s="291"/>
      <c r="F98" s="291"/>
      <c r="G98" s="291"/>
      <c r="H98" s="291"/>
      <c r="I98" s="291"/>
      <c r="J98" s="291"/>
      <c r="K98" s="291"/>
      <c r="L98" s="291"/>
      <c r="M98" s="291"/>
      <c r="N98" s="291"/>
      <c r="O98" s="291"/>
      <c r="P98" s="291"/>
      <c r="Q98" s="291"/>
      <c r="R98" s="221"/>
      <c r="S98" s="221"/>
      <c r="T98" s="221"/>
      <c r="U98" s="289"/>
      <c r="V98" s="289"/>
      <c r="W98" s="220"/>
      <c r="X98" s="220"/>
      <c r="Y98" s="220"/>
      <c r="Z98" s="220"/>
      <c r="AA98" s="383">
        <v>43739</v>
      </c>
      <c r="AB98" s="360">
        <v>2018</v>
      </c>
      <c r="AC98" s="361" t="s">
        <v>371</v>
      </c>
      <c r="AD98" s="361">
        <v>15</v>
      </c>
      <c r="AE98" s="220"/>
      <c r="AF98" s="220"/>
      <c r="AG98" s="220"/>
      <c r="AH98" s="220"/>
      <c r="AI98" s="220"/>
      <c r="AJ98" s="220"/>
      <c r="AK98" s="220"/>
      <c r="AL98" s="220"/>
      <c r="AM98" s="220"/>
      <c r="AN98" s="220"/>
    </row>
    <row r="99" spans="1:40" x14ac:dyDescent="0.2">
      <c r="A99" s="220"/>
      <c r="B99" s="234"/>
      <c r="C99" s="234"/>
      <c r="D99" s="291"/>
      <c r="E99" s="236"/>
      <c r="F99" s="236"/>
      <c r="G99" s="236"/>
      <c r="H99" s="236"/>
      <c r="I99" s="236"/>
      <c r="J99" s="236"/>
      <c r="K99" s="236"/>
      <c r="L99" s="236"/>
      <c r="M99" s="236"/>
      <c r="N99" s="236"/>
      <c r="O99" s="236"/>
      <c r="P99" s="236"/>
      <c r="Q99" s="236"/>
      <c r="R99" s="221"/>
      <c r="S99" s="221"/>
      <c r="T99" s="221"/>
      <c r="U99" s="234"/>
      <c r="V99" s="234"/>
      <c r="W99" s="220"/>
      <c r="X99" s="220"/>
      <c r="Y99" s="220"/>
      <c r="Z99" s="220"/>
      <c r="AA99" s="359">
        <v>43739</v>
      </c>
      <c r="AB99" s="360">
        <v>2018</v>
      </c>
      <c r="AC99" s="361" t="s">
        <v>372</v>
      </c>
      <c r="AD99" s="361">
        <v>5</v>
      </c>
      <c r="AE99" s="220"/>
      <c r="AF99" s="220"/>
      <c r="AG99" s="220"/>
      <c r="AH99" s="220"/>
      <c r="AI99" s="220"/>
      <c r="AJ99" s="220"/>
      <c r="AK99" s="220"/>
      <c r="AL99" s="220"/>
      <c r="AM99" s="220"/>
      <c r="AN99" s="220"/>
    </row>
    <row r="100" spans="1:40" x14ac:dyDescent="0.2">
      <c r="A100" s="220"/>
      <c r="B100" s="228"/>
      <c r="C100" s="228"/>
      <c r="D100" s="229"/>
      <c r="E100" s="229"/>
      <c r="F100" s="229"/>
      <c r="G100" s="229"/>
      <c r="H100" s="229"/>
      <c r="I100" s="229"/>
      <c r="J100" s="229"/>
      <c r="K100" s="229"/>
      <c r="L100" s="229"/>
      <c r="M100" s="229"/>
      <c r="N100" s="229"/>
      <c r="O100" s="229"/>
      <c r="P100" s="229"/>
      <c r="Q100" s="229"/>
      <c r="R100" s="221"/>
      <c r="S100" s="221"/>
      <c r="T100" s="221"/>
      <c r="U100" s="228"/>
      <c r="V100" s="228"/>
      <c r="W100" s="220"/>
      <c r="X100" s="220"/>
      <c r="Y100" s="220"/>
      <c r="Z100" s="220"/>
      <c r="AA100" s="359">
        <v>43739</v>
      </c>
      <c r="AB100" s="360">
        <v>2018</v>
      </c>
      <c r="AC100" s="361" t="s">
        <v>373</v>
      </c>
      <c r="AD100" s="361">
        <v>10</v>
      </c>
      <c r="AE100" s="220"/>
      <c r="AF100" s="220"/>
      <c r="AG100" s="220"/>
      <c r="AH100" s="220"/>
      <c r="AI100" s="220"/>
      <c r="AJ100" s="220"/>
      <c r="AK100" s="220"/>
      <c r="AL100" s="220"/>
      <c r="AM100" s="220"/>
      <c r="AN100" s="220"/>
    </row>
    <row r="101" spans="1:40" x14ac:dyDescent="0.2">
      <c r="A101" s="220"/>
      <c r="B101" s="234"/>
      <c r="C101" s="234"/>
      <c r="D101" s="236"/>
      <c r="E101" s="236"/>
      <c r="F101" s="236"/>
      <c r="G101" s="236"/>
      <c r="H101" s="236"/>
      <c r="I101" s="236"/>
      <c r="J101" s="236"/>
      <c r="K101" s="236"/>
      <c r="L101" s="236"/>
      <c r="M101" s="236"/>
      <c r="N101" s="236"/>
      <c r="O101" s="236"/>
      <c r="P101" s="236"/>
      <c r="Q101" s="236"/>
      <c r="R101" s="221"/>
      <c r="S101" s="221"/>
      <c r="T101" s="221"/>
      <c r="U101" s="234"/>
      <c r="V101" s="234"/>
      <c r="W101" s="220"/>
      <c r="X101" s="220"/>
      <c r="Y101" s="220"/>
      <c r="Z101" s="220"/>
      <c r="AA101" s="359">
        <v>43739</v>
      </c>
      <c r="AB101" s="360">
        <v>2018</v>
      </c>
      <c r="AC101" s="361" t="s">
        <v>374</v>
      </c>
      <c r="AD101" s="361">
        <v>2</v>
      </c>
      <c r="AE101" s="220"/>
      <c r="AF101" s="220"/>
      <c r="AG101" s="220"/>
      <c r="AH101" s="220"/>
      <c r="AI101" s="220"/>
      <c r="AJ101" s="220"/>
      <c r="AK101" s="220"/>
      <c r="AL101" s="220"/>
      <c r="AM101" s="220"/>
      <c r="AN101" s="220"/>
    </row>
    <row r="102" spans="1:40" x14ac:dyDescent="0.2">
      <c r="A102" s="220"/>
      <c r="B102" s="234"/>
      <c r="C102" s="234"/>
      <c r="D102" s="236"/>
      <c r="E102" s="236"/>
      <c r="F102" s="236"/>
      <c r="G102" s="236"/>
      <c r="H102" s="236"/>
      <c r="I102" s="236"/>
      <c r="J102" s="236"/>
      <c r="K102" s="236"/>
      <c r="L102" s="236"/>
      <c r="M102" s="236"/>
      <c r="N102" s="236"/>
      <c r="O102" s="236"/>
      <c r="P102" s="236"/>
      <c r="Q102" s="236"/>
      <c r="R102" s="221"/>
      <c r="S102" s="221"/>
      <c r="T102" s="221"/>
      <c r="U102" s="234"/>
      <c r="V102" s="234"/>
      <c r="W102" s="220"/>
      <c r="X102" s="220"/>
      <c r="Y102" s="220"/>
      <c r="Z102" s="220"/>
      <c r="AA102" s="359">
        <v>43739</v>
      </c>
      <c r="AB102" s="360">
        <v>2018</v>
      </c>
      <c r="AC102" s="361" t="s">
        <v>375</v>
      </c>
      <c r="AD102" s="361">
        <v>10</v>
      </c>
      <c r="AE102" s="220"/>
      <c r="AF102" s="220"/>
      <c r="AG102" s="220"/>
      <c r="AH102" s="220"/>
      <c r="AI102" s="220"/>
      <c r="AJ102" s="220"/>
      <c r="AK102" s="220"/>
      <c r="AL102" s="220"/>
      <c r="AM102" s="220"/>
      <c r="AN102" s="220"/>
    </row>
    <row r="103" spans="1:40" x14ac:dyDescent="0.2">
      <c r="A103" s="220"/>
      <c r="B103" s="220"/>
      <c r="C103" s="220"/>
      <c r="D103" s="221"/>
      <c r="E103" s="221"/>
      <c r="F103" s="221"/>
      <c r="G103" s="221"/>
      <c r="H103" s="221"/>
      <c r="I103" s="221"/>
      <c r="J103" s="221"/>
      <c r="K103" s="221"/>
      <c r="L103" s="221"/>
      <c r="M103" s="221"/>
      <c r="N103" s="221"/>
      <c r="O103" s="221"/>
      <c r="P103" s="221"/>
      <c r="Q103" s="221"/>
      <c r="R103" s="221"/>
      <c r="S103" s="221"/>
      <c r="T103" s="221"/>
      <c r="U103" s="220"/>
      <c r="V103" s="220"/>
      <c r="W103" s="220"/>
      <c r="X103" s="220"/>
      <c r="Y103" s="220"/>
      <c r="Z103" s="220"/>
      <c r="AA103" s="359">
        <v>43739</v>
      </c>
      <c r="AB103" s="360">
        <v>2018</v>
      </c>
      <c r="AC103" s="361" t="s">
        <v>376</v>
      </c>
      <c r="AD103" s="361">
        <v>5</v>
      </c>
      <c r="AE103" s="220"/>
      <c r="AF103" s="220"/>
      <c r="AG103" s="220"/>
      <c r="AH103" s="220"/>
      <c r="AI103" s="220"/>
      <c r="AJ103" s="220"/>
      <c r="AK103" s="220"/>
      <c r="AL103" s="220"/>
      <c r="AM103" s="220"/>
      <c r="AN103" s="220"/>
    </row>
    <row r="104" spans="1:40" x14ac:dyDescent="0.2">
      <c r="A104" s="220"/>
      <c r="B104" s="220"/>
      <c r="C104" s="220"/>
      <c r="D104" s="221"/>
      <c r="E104" s="221"/>
      <c r="F104" s="221"/>
      <c r="G104" s="221"/>
      <c r="H104" s="221"/>
      <c r="I104" s="221"/>
      <c r="J104" s="221"/>
      <c r="K104" s="221"/>
      <c r="L104" s="221"/>
      <c r="M104" s="221"/>
      <c r="N104" s="221"/>
      <c r="O104" s="221"/>
      <c r="P104" s="221"/>
      <c r="Q104" s="221"/>
      <c r="R104" s="221"/>
      <c r="S104" s="221"/>
      <c r="T104" s="221"/>
      <c r="U104" s="220"/>
      <c r="V104" s="220"/>
      <c r="W104" s="220"/>
      <c r="X104" s="220"/>
      <c r="Y104" s="220"/>
      <c r="Z104" s="220"/>
      <c r="AA104" s="359">
        <v>43739</v>
      </c>
      <c r="AB104" s="360">
        <v>2018</v>
      </c>
      <c r="AC104" s="361" t="s">
        <v>377</v>
      </c>
      <c r="AD104" s="361">
        <v>10</v>
      </c>
      <c r="AE104" s="220"/>
      <c r="AF104" s="220"/>
      <c r="AG104" s="220"/>
      <c r="AH104" s="220"/>
      <c r="AI104" s="220"/>
      <c r="AJ104" s="220"/>
      <c r="AK104" s="220"/>
      <c r="AL104" s="220"/>
      <c r="AM104" s="220"/>
      <c r="AN104" s="220"/>
    </row>
    <row r="105" spans="1:40" ht="15.75" x14ac:dyDescent="0.25">
      <c r="A105" s="220"/>
      <c r="B105" s="278" t="s">
        <v>318</v>
      </c>
      <c r="C105" s="220"/>
      <c r="D105" s="221"/>
      <c r="E105" s="221"/>
      <c r="F105" s="221"/>
      <c r="G105" s="221"/>
      <c r="H105" s="221"/>
      <c r="I105" s="221"/>
      <c r="J105" s="221"/>
      <c r="K105" s="221"/>
      <c r="L105" s="221"/>
      <c r="M105" s="221"/>
      <c r="N105" s="221"/>
      <c r="O105" s="221"/>
      <c r="P105" s="221"/>
      <c r="Q105" s="221"/>
      <c r="R105" s="221"/>
      <c r="S105" s="221"/>
      <c r="T105" s="221"/>
      <c r="U105" s="220"/>
      <c r="V105" s="220"/>
      <c r="W105" s="220"/>
      <c r="X105" s="220"/>
      <c r="Y105" s="220"/>
      <c r="Z105" s="220"/>
      <c r="AA105" s="359">
        <v>43739</v>
      </c>
      <c r="AB105" s="360">
        <v>2018</v>
      </c>
      <c r="AC105" s="361" t="s">
        <v>378</v>
      </c>
      <c r="AD105" s="361">
        <v>9</v>
      </c>
      <c r="AE105" s="220"/>
      <c r="AF105" s="220"/>
      <c r="AG105" s="220"/>
      <c r="AH105" s="220"/>
      <c r="AI105" s="220"/>
      <c r="AJ105" s="220"/>
      <c r="AK105" s="220"/>
      <c r="AL105" s="220"/>
      <c r="AM105" s="220"/>
      <c r="AN105" s="220"/>
    </row>
    <row r="106" spans="1:40" ht="15.75" x14ac:dyDescent="0.25">
      <c r="A106" s="220"/>
      <c r="B106" s="278" t="s">
        <v>306</v>
      </c>
      <c r="C106" s="1" t="s">
        <v>307</v>
      </c>
      <c r="D106" s="1" t="s">
        <v>308</v>
      </c>
      <c r="E106" s="372" t="s">
        <v>4</v>
      </c>
      <c r="F106" s="373" t="s">
        <v>5</v>
      </c>
      <c r="G106" s="373" t="s">
        <v>6</v>
      </c>
      <c r="H106" s="373" t="s">
        <v>7</v>
      </c>
      <c r="I106" s="373" t="s">
        <v>8</v>
      </c>
      <c r="J106" s="373" t="s">
        <v>9</v>
      </c>
      <c r="K106" s="373" t="s">
        <v>10</v>
      </c>
      <c r="L106" s="373" t="s">
        <v>11</v>
      </c>
      <c r="M106" s="373" t="s">
        <v>12</v>
      </c>
      <c r="N106" s="373" t="s">
        <v>13</v>
      </c>
      <c r="O106" s="373" t="s">
        <v>14</v>
      </c>
      <c r="P106" s="373" t="s">
        <v>15</v>
      </c>
      <c r="Q106" s="221"/>
      <c r="R106" s="221"/>
      <c r="S106" s="221"/>
      <c r="T106" s="221"/>
      <c r="U106" s="220"/>
      <c r="V106" s="220"/>
      <c r="W106" s="220"/>
      <c r="X106" s="220"/>
      <c r="Y106" s="220"/>
      <c r="Z106" s="220"/>
      <c r="AA106" s="359">
        <v>43739</v>
      </c>
      <c r="AB106" s="360"/>
      <c r="AC106" s="361" t="s">
        <v>379</v>
      </c>
      <c r="AD106" s="361">
        <v>1</v>
      </c>
      <c r="AE106" s="220"/>
      <c r="AF106" s="220"/>
      <c r="AG106" s="220"/>
      <c r="AH106" s="220"/>
      <c r="AI106" s="220"/>
      <c r="AJ106" s="220"/>
      <c r="AK106" s="220"/>
      <c r="AL106" s="220"/>
      <c r="AM106" s="220"/>
      <c r="AN106" s="220"/>
    </row>
    <row r="107" spans="1:40" x14ac:dyDescent="0.2">
      <c r="A107" s="220"/>
      <c r="B107" s="234">
        <v>2016</v>
      </c>
      <c r="C107" s="234" t="s">
        <v>26</v>
      </c>
      <c r="D107" s="236">
        <v>800</v>
      </c>
      <c r="E107" s="236"/>
      <c r="F107" s="236"/>
      <c r="G107" s="236"/>
      <c r="H107" s="236">
        <v>140</v>
      </c>
      <c r="I107" s="236"/>
      <c r="J107" s="236"/>
      <c r="K107" s="236"/>
      <c r="L107" s="236"/>
      <c r="M107" s="236"/>
      <c r="N107" s="236"/>
      <c r="O107" s="236"/>
      <c r="P107" s="236">
        <v>0</v>
      </c>
      <c r="Q107" s="221"/>
      <c r="R107" s="221"/>
      <c r="S107" s="221"/>
      <c r="T107" s="221"/>
      <c r="U107" s="220"/>
      <c r="V107" s="220"/>
      <c r="W107" s="220"/>
      <c r="X107" s="220"/>
      <c r="Y107" s="220"/>
      <c r="AE107" s="220"/>
      <c r="AF107" s="220"/>
      <c r="AG107" s="220"/>
      <c r="AH107" s="220"/>
      <c r="AI107" s="220"/>
      <c r="AJ107" s="220"/>
      <c r="AK107" s="220"/>
      <c r="AL107" s="220"/>
      <c r="AM107" s="220"/>
      <c r="AN107" s="220"/>
    </row>
    <row r="108" spans="1:40" x14ac:dyDescent="0.2">
      <c r="A108" s="220"/>
      <c r="B108" s="234"/>
      <c r="C108" s="234" t="s">
        <v>311</v>
      </c>
      <c r="D108" s="236"/>
      <c r="E108" s="236"/>
      <c r="F108" s="236"/>
      <c r="G108" s="236"/>
      <c r="H108" s="236">
        <v>55</v>
      </c>
      <c r="I108" s="374"/>
      <c r="J108" s="236"/>
      <c r="K108" s="236"/>
      <c r="L108" s="236"/>
      <c r="M108" s="236"/>
      <c r="N108" s="236"/>
      <c r="O108" s="236"/>
      <c r="P108" s="236">
        <v>0</v>
      </c>
      <c r="Q108" s="221"/>
      <c r="R108" s="221"/>
      <c r="S108" s="221"/>
      <c r="T108" s="221"/>
      <c r="U108" s="220"/>
      <c r="V108" s="220"/>
      <c r="W108" s="220"/>
      <c r="X108" s="220"/>
      <c r="Y108" s="220"/>
      <c r="AE108" s="220"/>
      <c r="AF108" s="220"/>
      <c r="AG108" s="220"/>
      <c r="AH108" s="220"/>
      <c r="AI108" s="220"/>
      <c r="AJ108" s="220"/>
      <c r="AK108" s="220"/>
      <c r="AL108" s="220"/>
      <c r="AM108" s="220"/>
      <c r="AN108" s="220"/>
    </row>
    <row r="109" spans="1:40" ht="15.75" customHeight="1" x14ac:dyDescent="0.2">
      <c r="A109" s="220"/>
      <c r="B109" s="234">
        <v>2017</v>
      </c>
      <c r="C109" s="234" t="s">
        <v>26</v>
      </c>
      <c r="D109" s="236">
        <v>0</v>
      </c>
      <c r="E109" s="236"/>
      <c r="F109" s="236"/>
      <c r="G109" s="236"/>
      <c r="H109" s="236"/>
      <c r="I109" s="374"/>
      <c r="J109" s="236"/>
      <c r="K109" s="236"/>
      <c r="L109" s="236"/>
      <c r="M109" s="236"/>
      <c r="N109" s="236"/>
      <c r="O109" s="236"/>
      <c r="P109" s="236">
        <v>0</v>
      </c>
      <c r="Q109" s="221"/>
      <c r="R109" s="221"/>
      <c r="S109" s="221"/>
      <c r="T109" s="221"/>
      <c r="U109" s="220"/>
      <c r="V109" s="220"/>
      <c r="W109" s="220"/>
      <c r="X109" s="220"/>
      <c r="Y109" s="220"/>
      <c r="AE109" s="220"/>
      <c r="AF109" s="220"/>
      <c r="AG109" s="220"/>
      <c r="AH109" s="220"/>
      <c r="AI109" s="220"/>
      <c r="AJ109" s="220"/>
      <c r="AK109" s="220"/>
      <c r="AL109" s="220"/>
      <c r="AM109" s="220"/>
      <c r="AN109" s="220"/>
    </row>
    <row r="110" spans="1:40" ht="15.75" customHeight="1" x14ac:dyDescent="0.2">
      <c r="A110" s="220"/>
      <c r="B110" s="234"/>
      <c r="C110" s="234" t="s">
        <v>56</v>
      </c>
      <c r="D110" s="236">
        <v>38</v>
      </c>
      <c r="E110" s="236"/>
      <c r="F110" s="236"/>
      <c r="G110" s="236"/>
      <c r="H110" s="236"/>
      <c r="I110" s="374"/>
      <c r="J110" s="236"/>
      <c r="K110" s="236"/>
      <c r="L110" s="236"/>
      <c r="M110" s="236"/>
      <c r="N110" s="236"/>
      <c r="O110" s="236"/>
      <c r="P110" s="236">
        <v>0</v>
      </c>
      <c r="Q110" s="221"/>
      <c r="R110" s="221"/>
      <c r="S110" s="221"/>
      <c r="T110" s="221"/>
      <c r="U110" s="220"/>
      <c r="V110" s="220"/>
      <c r="W110" s="220"/>
      <c r="X110" s="220"/>
      <c r="Y110" s="220"/>
      <c r="AE110" s="220"/>
      <c r="AF110" s="220"/>
      <c r="AG110" s="220"/>
      <c r="AH110" s="220"/>
      <c r="AI110" s="220"/>
      <c r="AJ110" s="220"/>
      <c r="AK110" s="220"/>
      <c r="AL110" s="220"/>
      <c r="AM110" s="220"/>
      <c r="AN110" s="220"/>
    </row>
    <row r="111" spans="1:40" x14ac:dyDescent="0.2">
      <c r="A111" s="220"/>
      <c r="B111" s="234"/>
      <c r="C111" s="234" t="s">
        <v>309</v>
      </c>
      <c r="D111" s="236">
        <v>210</v>
      </c>
      <c r="E111" s="236"/>
      <c r="F111" s="236"/>
      <c r="G111" s="236"/>
      <c r="H111" s="236"/>
      <c r="I111" s="374"/>
      <c r="J111" s="236"/>
      <c r="K111" s="236"/>
      <c r="L111" s="236"/>
      <c r="M111" s="236"/>
      <c r="N111" s="236"/>
      <c r="O111" s="236"/>
      <c r="P111" s="236">
        <v>0</v>
      </c>
      <c r="Q111" s="221"/>
      <c r="R111" s="221"/>
      <c r="S111" s="221"/>
      <c r="T111" s="221"/>
      <c r="U111" s="220"/>
      <c r="V111" s="220"/>
      <c r="W111" s="220"/>
      <c r="X111" s="220"/>
      <c r="Y111" s="220"/>
      <c r="AE111" s="220"/>
      <c r="AF111" s="220"/>
      <c r="AG111" s="220"/>
      <c r="AH111" s="220"/>
      <c r="AI111" s="220"/>
      <c r="AJ111" s="220"/>
      <c r="AK111" s="220"/>
      <c r="AL111" s="220"/>
      <c r="AM111" s="220"/>
      <c r="AN111" s="220"/>
    </row>
    <row r="112" spans="1:40" x14ac:dyDescent="0.2">
      <c r="A112" s="220"/>
      <c r="B112" s="234"/>
      <c r="C112" s="234" t="s">
        <v>311</v>
      </c>
      <c r="D112" s="236"/>
      <c r="E112" s="236"/>
      <c r="F112" s="236"/>
      <c r="G112" s="236"/>
      <c r="H112" s="236"/>
      <c r="I112" s="374"/>
      <c r="J112" s="236"/>
      <c r="K112" s="236"/>
      <c r="L112" s="236"/>
      <c r="M112" s="236"/>
      <c r="N112" s="236">
        <v>275</v>
      </c>
      <c r="O112" s="236">
        <v>275</v>
      </c>
      <c r="P112" s="236">
        <v>275</v>
      </c>
      <c r="Q112" s="221"/>
      <c r="R112" s="221"/>
      <c r="S112" s="221"/>
      <c r="T112" s="221"/>
      <c r="U112" s="220"/>
      <c r="V112" s="220"/>
      <c r="W112" s="220"/>
      <c r="X112" s="220"/>
      <c r="Y112" s="220"/>
      <c r="AE112" s="220"/>
      <c r="AF112" s="220"/>
      <c r="AG112" s="220"/>
      <c r="AH112" s="220"/>
      <c r="AI112" s="220"/>
      <c r="AJ112" s="220"/>
      <c r="AK112" s="220"/>
      <c r="AL112" s="220"/>
      <c r="AM112" s="220"/>
      <c r="AN112" s="220"/>
    </row>
    <row r="113" spans="1:40" x14ac:dyDescent="0.2">
      <c r="A113" s="220"/>
      <c r="B113" s="234">
        <v>2018</v>
      </c>
      <c r="C113" s="234" t="s">
        <v>46</v>
      </c>
      <c r="D113" s="236">
        <v>1845</v>
      </c>
      <c r="E113" s="236"/>
      <c r="F113" s="236"/>
      <c r="G113" s="236"/>
      <c r="H113" s="236"/>
      <c r="I113" s="374"/>
      <c r="J113" s="236"/>
      <c r="K113" s="236"/>
      <c r="L113" s="236"/>
      <c r="M113" s="236"/>
      <c r="N113" s="236"/>
      <c r="O113" s="236"/>
      <c r="P113" s="236">
        <v>0</v>
      </c>
      <c r="Q113" s="221"/>
      <c r="R113" s="221"/>
      <c r="S113" s="221"/>
      <c r="T113" s="221"/>
      <c r="U113" s="220"/>
      <c r="V113" s="220"/>
      <c r="W113" s="220"/>
      <c r="X113" s="220"/>
      <c r="Y113" s="220"/>
      <c r="AE113" s="220"/>
      <c r="AF113" s="220"/>
      <c r="AG113" s="220"/>
      <c r="AH113" s="220"/>
      <c r="AI113" s="220"/>
      <c r="AJ113" s="220"/>
      <c r="AK113" s="220"/>
      <c r="AL113" s="220"/>
      <c r="AM113" s="220"/>
      <c r="AN113" s="220"/>
    </row>
    <row r="114" spans="1:40" x14ac:dyDescent="0.2">
      <c r="A114" s="220"/>
      <c r="B114" s="234"/>
      <c r="C114" s="234" t="s">
        <v>107</v>
      </c>
      <c r="D114" s="236">
        <v>1515</v>
      </c>
      <c r="E114" s="236"/>
      <c r="F114" s="236"/>
      <c r="G114" s="236"/>
      <c r="H114" s="236"/>
      <c r="I114" s="374"/>
      <c r="J114" s="236"/>
      <c r="K114" s="236"/>
      <c r="L114" s="236"/>
      <c r="M114" s="236"/>
      <c r="N114" s="236"/>
      <c r="O114" s="236"/>
      <c r="P114" s="236">
        <v>0</v>
      </c>
      <c r="Q114" s="221"/>
      <c r="R114" s="221"/>
      <c r="S114" s="221"/>
      <c r="T114" s="221"/>
      <c r="U114" s="220"/>
      <c r="V114" s="220"/>
      <c r="W114" s="220"/>
      <c r="X114" s="220"/>
      <c r="Y114" s="220"/>
      <c r="AE114" s="220"/>
      <c r="AF114" s="220"/>
      <c r="AG114" s="220"/>
      <c r="AH114" s="220"/>
      <c r="AI114" s="220"/>
      <c r="AJ114" s="220"/>
      <c r="AK114" s="220"/>
      <c r="AL114" s="220"/>
      <c r="AM114" s="220"/>
      <c r="AN114" s="220"/>
    </row>
    <row r="115" spans="1:40" x14ac:dyDescent="0.2">
      <c r="A115" s="220"/>
      <c r="B115" s="234"/>
      <c r="C115" s="234" t="s">
        <v>310</v>
      </c>
      <c r="D115" s="279">
        <v>800</v>
      </c>
      <c r="E115" s="236"/>
      <c r="F115" s="236"/>
      <c r="G115" s="236"/>
      <c r="H115" s="236"/>
      <c r="I115" s="374"/>
      <c r="J115" s="236"/>
      <c r="K115" s="236"/>
      <c r="L115" s="236"/>
      <c r="M115" s="236"/>
      <c r="N115" s="236"/>
      <c r="O115" s="236"/>
      <c r="P115" s="236">
        <v>0</v>
      </c>
      <c r="Q115" s="221"/>
      <c r="R115" s="221"/>
      <c r="S115" s="221"/>
      <c r="T115" s="221"/>
      <c r="U115" s="220"/>
      <c r="V115" s="220"/>
      <c r="W115" s="220"/>
      <c r="X115" s="220"/>
      <c r="Y115" s="220"/>
      <c r="AE115" s="220"/>
      <c r="AF115" s="220"/>
      <c r="AG115" s="220"/>
      <c r="AH115" s="220"/>
      <c r="AI115" s="220"/>
      <c r="AJ115" s="220"/>
      <c r="AK115" s="220"/>
      <c r="AL115" s="220"/>
      <c r="AM115" s="220"/>
      <c r="AN115" s="220"/>
    </row>
    <row r="116" spans="1:40" x14ac:dyDescent="0.2">
      <c r="A116" s="220"/>
      <c r="B116" s="234" t="s">
        <v>35</v>
      </c>
      <c r="C116" s="234" t="s">
        <v>31</v>
      </c>
      <c r="D116" s="236">
        <v>3010</v>
      </c>
      <c r="E116" s="236"/>
      <c r="F116" s="236"/>
      <c r="G116" s="236"/>
      <c r="H116" s="236">
        <f>1326+1308</f>
        <v>2634</v>
      </c>
      <c r="I116" s="374"/>
      <c r="J116" s="236"/>
      <c r="K116" s="236"/>
      <c r="L116" s="236"/>
      <c r="M116" s="236"/>
      <c r="N116" s="236"/>
      <c r="O116" s="236"/>
      <c r="P116" s="236">
        <v>0</v>
      </c>
      <c r="Q116" s="221"/>
      <c r="R116" s="221"/>
      <c r="S116" s="221"/>
      <c r="T116" s="221"/>
      <c r="U116" s="220"/>
      <c r="V116" s="220"/>
      <c r="W116" s="220"/>
      <c r="X116" s="220"/>
      <c r="Y116" s="220"/>
      <c r="AE116" s="220"/>
      <c r="AF116" s="220"/>
      <c r="AG116" s="220"/>
      <c r="AH116" s="220"/>
      <c r="AI116" s="220"/>
      <c r="AJ116" s="220"/>
      <c r="AK116" s="220"/>
      <c r="AL116" s="220"/>
      <c r="AM116" s="220"/>
      <c r="AN116" s="220"/>
    </row>
    <row r="117" spans="1:40" x14ac:dyDescent="0.2">
      <c r="A117" s="220"/>
      <c r="B117" s="234"/>
      <c r="C117" s="234" t="s">
        <v>25</v>
      </c>
      <c r="D117" s="236">
        <v>2800</v>
      </c>
      <c r="E117" s="236"/>
      <c r="F117" s="236"/>
      <c r="G117" s="236"/>
      <c r="H117" s="236">
        <f>770+1820</f>
        <v>2590</v>
      </c>
      <c r="I117" s="374"/>
      <c r="J117" s="236"/>
      <c r="K117" s="236"/>
      <c r="L117" s="236"/>
      <c r="M117" s="236"/>
      <c r="N117" s="236"/>
      <c r="O117" s="236"/>
      <c r="P117" s="236">
        <v>0</v>
      </c>
      <c r="Q117" s="221"/>
      <c r="R117" s="221"/>
      <c r="S117" s="221"/>
      <c r="T117" s="221"/>
      <c r="U117" s="220"/>
      <c r="V117" s="220"/>
      <c r="W117" s="220"/>
      <c r="X117" s="220"/>
      <c r="Y117" s="220"/>
      <c r="AE117" s="220"/>
      <c r="AF117" s="220"/>
      <c r="AG117" s="220"/>
      <c r="AH117" s="220"/>
      <c r="AI117" s="220"/>
      <c r="AJ117" s="220"/>
      <c r="AK117" s="220"/>
      <c r="AL117" s="220"/>
      <c r="AM117" s="220"/>
      <c r="AN117" s="220"/>
    </row>
    <row r="118" spans="1:40" x14ac:dyDescent="0.2">
      <c r="A118" s="220"/>
      <c r="B118" s="234"/>
      <c r="C118" s="234" t="s">
        <v>110</v>
      </c>
      <c r="D118" s="236">
        <v>1540</v>
      </c>
      <c r="E118" s="236"/>
      <c r="F118" s="236"/>
      <c r="G118" s="236"/>
      <c r="H118" s="236"/>
      <c r="I118" s="374"/>
      <c r="J118" s="236"/>
      <c r="K118" s="236"/>
      <c r="L118" s="236"/>
      <c r="M118" s="236"/>
      <c r="N118" s="236"/>
      <c r="O118" s="236"/>
      <c r="P118" s="236">
        <v>0</v>
      </c>
      <c r="Q118" s="221"/>
      <c r="R118" s="221"/>
      <c r="S118" s="221"/>
      <c r="T118" s="221"/>
      <c r="U118" s="220"/>
      <c r="V118" s="220"/>
      <c r="W118" s="220"/>
      <c r="X118" s="220"/>
      <c r="Y118" s="220"/>
      <c r="AE118" s="220"/>
      <c r="AF118" s="220"/>
      <c r="AG118" s="220"/>
      <c r="AH118" s="220"/>
      <c r="AI118" s="220"/>
      <c r="AJ118" s="220"/>
      <c r="AK118" s="220"/>
      <c r="AL118" s="220"/>
      <c r="AM118" s="220"/>
      <c r="AN118" s="220"/>
    </row>
    <row r="119" spans="1:40" x14ac:dyDescent="0.2">
      <c r="A119" s="220"/>
      <c r="B119" s="234"/>
      <c r="C119" s="234" t="s">
        <v>26</v>
      </c>
      <c r="D119" s="236">
        <v>1960</v>
      </c>
      <c r="E119" s="236"/>
      <c r="F119" s="236"/>
      <c r="G119" s="236"/>
      <c r="H119" s="236">
        <f>280+700+1050</f>
        <v>2030</v>
      </c>
      <c r="I119" s="374"/>
      <c r="J119" s="236"/>
      <c r="K119" s="236"/>
      <c r="L119" s="236"/>
      <c r="M119" s="374">
        <v>770</v>
      </c>
      <c r="N119" s="236"/>
      <c r="O119" s="236">
        <v>105</v>
      </c>
      <c r="P119" s="236">
        <v>0</v>
      </c>
      <c r="Q119" s="221"/>
      <c r="R119" s="221"/>
      <c r="S119" s="221"/>
      <c r="T119" s="221"/>
      <c r="U119" s="220"/>
      <c r="V119" s="220"/>
      <c r="W119" s="220"/>
      <c r="X119" s="220"/>
      <c r="Y119" s="220"/>
      <c r="AE119" s="220"/>
      <c r="AF119" s="220"/>
      <c r="AG119" s="220"/>
      <c r="AH119" s="220"/>
      <c r="AI119" s="220"/>
      <c r="AJ119" s="220"/>
      <c r="AK119" s="220"/>
      <c r="AL119" s="220"/>
      <c r="AM119" s="220"/>
      <c r="AN119" s="220"/>
    </row>
    <row r="120" spans="1:40" x14ac:dyDescent="0.2">
      <c r="A120" s="220"/>
      <c r="B120" s="234"/>
      <c r="C120" s="234" t="s">
        <v>23</v>
      </c>
      <c r="D120" s="236">
        <v>3030</v>
      </c>
      <c r="E120" s="236"/>
      <c r="F120" s="236"/>
      <c r="G120" s="236"/>
      <c r="H120" s="236">
        <f>970+940+60</f>
        <v>1970</v>
      </c>
      <c r="I120" s="374"/>
      <c r="J120" s="236"/>
      <c r="K120" s="236"/>
      <c r="L120" s="236"/>
      <c r="M120" s="374">
        <v>490</v>
      </c>
      <c r="N120" s="236"/>
      <c r="O120" s="236"/>
      <c r="P120" s="236">
        <v>0</v>
      </c>
      <c r="Q120" s="221"/>
      <c r="R120" s="221"/>
      <c r="S120" s="221"/>
      <c r="T120" s="221"/>
      <c r="U120" s="220"/>
      <c r="V120" s="220"/>
      <c r="W120" s="220"/>
      <c r="X120" s="220"/>
      <c r="Y120" s="220"/>
      <c r="AE120" s="220"/>
      <c r="AF120" s="220"/>
      <c r="AG120" s="220"/>
      <c r="AH120" s="220"/>
      <c r="AI120" s="220"/>
      <c r="AJ120" s="220"/>
      <c r="AK120" s="220"/>
      <c r="AL120" s="220"/>
      <c r="AM120" s="220"/>
      <c r="AN120" s="220"/>
    </row>
    <row r="121" spans="1:40" x14ac:dyDescent="0.2">
      <c r="A121" s="220"/>
      <c r="B121" s="234"/>
      <c r="C121" s="234" t="s">
        <v>317</v>
      </c>
      <c r="D121" s="236">
        <v>0</v>
      </c>
      <c r="E121" s="236"/>
      <c r="F121" s="236"/>
      <c r="G121" s="236"/>
      <c r="H121" s="236">
        <v>430</v>
      </c>
      <c r="I121" s="374"/>
      <c r="J121" s="236"/>
      <c r="K121" s="236"/>
      <c r="L121" s="236"/>
      <c r="M121" s="374">
        <v>410</v>
      </c>
      <c r="N121" s="236"/>
      <c r="O121" s="236"/>
      <c r="P121" s="236">
        <v>0</v>
      </c>
      <c r="Q121" s="221"/>
      <c r="R121" s="221"/>
      <c r="S121" s="221"/>
      <c r="T121" s="221"/>
      <c r="U121" s="220"/>
      <c r="V121" s="220"/>
      <c r="W121" s="220"/>
      <c r="X121" s="220"/>
      <c r="Y121" s="220"/>
      <c r="AE121" s="220"/>
      <c r="AF121" s="220"/>
      <c r="AG121" s="220"/>
      <c r="AH121" s="220"/>
      <c r="AI121" s="220"/>
      <c r="AJ121" s="220"/>
      <c r="AK121" s="220"/>
      <c r="AL121" s="220"/>
      <c r="AM121" s="220"/>
      <c r="AN121" s="220"/>
    </row>
    <row r="122" spans="1:40" x14ac:dyDescent="0.2">
      <c r="A122" s="220"/>
      <c r="B122" s="234"/>
      <c r="C122" s="234" t="s">
        <v>56</v>
      </c>
      <c r="D122" s="236">
        <v>1590</v>
      </c>
      <c r="E122" s="236"/>
      <c r="F122" s="236"/>
      <c r="G122" s="236"/>
      <c r="H122" s="236">
        <v>910</v>
      </c>
      <c r="I122" s="374"/>
      <c r="J122" s="236"/>
      <c r="K122" s="236"/>
      <c r="L122" s="236"/>
      <c r="M122" s="374">
        <v>770</v>
      </c>
      <c r="N122" s="236">
        <v>1160</v>
      </c>
      <c r="O122" s="236">
        <v>1160</v>
      </c>
      <c r="P122" s="236">
        <v>0</v>
      </c>
      <c r="Q122" s="221"/>
      <c r="R122" s="221"/>
      <c r="S122" s="221"/>
      <c r="T122" s="221"/>
      <c r="U122" s="220"/>
      <c r="V122" s="220"/>
      <c r="W122" s="220"/>
      <c r="X122" s="220"/>
      <c r="Y122" s="220"/>
      <c r="AE122" s="220"/>
      <c r="AF122" s="220"/>
      <c r="AG122" s="220"/>
      <c r="AH122" s="220"/>
      <c r="AI122" s="220"/>
      <c r="AJ122" s="220"/>
      <c r="AK122" s="220"/>
      <c r="AL122" s="220"/>
      <c r="AM122" s="220"/>
      <c r="AN122" s="220"/>
    </row>
    <row r="123" spans="1:40" x14ac:dyDescent="0.2">
      <c r="A123" s="220"/>
      <c r="B123" s="234"/>
      <c r="C123" s="234" t="s">
        <v>29</v>
      </c>
      <c r="D123" s="236">
        <v>1210</v>
      </c>
      <c r="E123" s="236"/>
      <c r="F123" s="236"/>
      <c r="G123" s="236"/>
      <c r="H123" s="236">
        <v>910</v>
      </c>
      <c r="I123" s="374"/>
      <c r="J123" s="236"/>
      <c r="K123" s="236"/>
      <c r="L123" s="236"/>
      <c r="M123" s="374">
        <v>840</v>
      </c>
      <c r="N123" s="236"/>
      <c r="O123" s="236"/>
      <c r="P123" s="236">
        <v>0</v>
      </c>
      <c r="Q123" s="221"/>
      <c r="R123" s="221"/>
      <c r="S123" s="221"/>
      <c r="T123" s="221"/>
      <c r="U123" s="220"/>
      <c r="V123" s="220"/>
      <c r="W123" s="220"/>
      <c r="X123" s="220"/>
      <c r="Y123" s="220"/>
      <c r="AE123" s="220"/>
      <c r="AF123" s="220"/>
      <c r="AG123" s="220"/>
      <c r="AH123" s="220"/>
      <c r="AI123" s="220"/>
      <c r="AJ123" s="220"/>
      <c r="AK123" s="220"/>
      <c r="AL123" s="220"/>
      <c r="AM123" s="220"/>
      <c r="AN123" s="220"/>
    </row>
    <row r="124" spans="1:40" x14ac:dyDescent="0.2">
      <c r="A124" s="220"/>
      <c r="B124" s="234"/>
      <c r="C124" s="234" t="s">
        <v>24</v>
      </c>
      <c r="D124" s="236">
        <v>3095</v>
      </c>
      <c r="E124" s="236"/>
      <c r="F124" s="236"/>
      <c r="G124" s="236"/>
      <c r="H124" s="236">
        <f>625+910+610+630</f>
        <v>2775</v>
      </c>
      <c r="I124" s="374"/>
      <c r="J124" s="236"/>
      <c r="K124" s="236"/>
      <c r="L124" s="236"/>
      <c r="M124" s="374">
        <v>2750</v>
      </c>
      <c r="N124" s="236">
        <v>330</v>
      </c>
      <c r="O124" s="236">
        <v>330</v>
      </c>
      <c r="P124" s="236">
        <v>330</v>
      </c>
      <c r="Q124" s="221"/>
      <c r="R124" s="221"/>
      <c r="S124" s="221"/>
      <c r="T124" s="221"/>
      <c r="U124" s="220"/>
      <c r="V124" s="220"/>
      <c r="W124" s="220"/>
      <c r="X124" s="220"/>
      <c r="Y124" s="220"/>
      <c r="AE124" s="220"/>
      <c r="AF124" s="220"/>
      <c r="AG124" s="220"/>
      <c r="AH124" s="220"/>
      <c r="AI124" s="220"/>
      <c r="AJ124" s="220"/>
      <c r="AK124" s="220"/>
      <c r="AL124" s="220"/>
      <c r="AM124" s="220"/>
      <c r="AN124" s="220"/>
    </row>
    <row r="125" spans="1:40" x14ac:dyDescent="0.2">
      <c r="A125" s="220"/>
      <c r="B125" s="234"/>
      <c r="C125" s="234" t="s">
        <v>291</v>
      </c>
      <c r="D125" s="236"/>
      <c r="E125" s="236"/>
      <c r="F125" s="236"/>
      <c r="G125" s="236"/>
      <c r="H125" s="236"/>
      <c r="I125" s="374"/>
      <c r="J125" s="236"/>
      <c r="K125" s="236"/>
      <c r="L125" s="236"/>
      <c r="M125" s="374"/>
      <c r="N125" s="236">
        <v>935</v>
      </c>
      <c r="O125" s="236">
        <v>935</v>
      </c>
      <c r="P125" s="236">
        <v>0</v>
      </c>
      <c r="Q125" s="221"/>
      <c r="R125" s="221"/>
      <c r="S125" s="221"/>
      <c r="T125" s="221"/>
      <c r="U125" s="220"/>
      <c r="V125" s="220"/>
      <c r="W125" s="220"/>
      <c r="X125" s="220"/>
      <c r="Y125" s="220"/>
      <c r="AE125" s="220"/>
      <c r="AF125" s="220"/>
      <c r="AG125" s="220"/>
      <c r="AH125" s="220"/>
      <c r="AI125" s="220"/>
      <c r="AJ125" s="220"/>
      <c r="AK125" s="220"/>
      <c r="AL125" s="220"/>
      <c r="AM125" s="220"/>
      <c r="AN125" s="220"/>
    </row>
    <row r="126" spans="1:40" x14ac:dyDescent="0.2">
      <c r="A126" s="220"/>
      <c r="B126" s="234"/>
      <c r="C126" s="234" t="s">
        <v>311</v>
      </c>
      <c r="D126" s="236"/>
      <c r="E126" s="236"/>
      <c r="F126" s="236"/>
      <c r="G126" s="236"/>
      <c r="H126" s="236"/>
      <c r="I126" s="374"/>
      <c r="J126" s="236"/>
      <c r="K126" s="236"/>
      <c r="L126" s="236"/>
      <c r="M126" s="374">
        <v>330</v>
      </c>
      <c r="N126" s="236"/>
      <c r="O126" s="236"/>
      <c r="P126" s="236">
        <v>0</v>
      </c>
      <c r="Q126" s="221"/>
      <c r="R126" s="221"/>
      <c r="S126" s="221"/>
      <c r="T126" s="221"/>
      <c r="U126" s="220"/>
      <c r="V126" s="220"/>
      <c r="W126" s="220"/>
      <c r="X126" s="220"/>
      <c r="Y126" s="220"/>
      <c r="AE126" s="220"/>
      <c r="AF126" s="220"/>
      <c r="AG126" s="220"/>
      <c r="AH126" s="220"/>
      <c r="AI126" s="220"/>
      <c r="AJ126" s="220"/>
      <c r="AK126" s="220"/>
      <c r="AL126" s="220"/>
      <c r="AM126" s="220"/>
      <c r="AN126" s="220"/>
    </row>
    <row r="127" spans="1:40" x14ac:dyDescent="0.2">
      <c r="A127" s="220"/>
      <c r="B127" s="234"/>
      <c r="C127" s="234" t="s">
        <v>94</v>
      </c>
      <c r="D127" s="236"/>
      <c r="E127" s="236"/>
      <c r="F127" s="236"/>
      <c r="G127" s="236"/>
      <c r="H127" s="236"/>
      <c r="I127" s="374"/>
      <c r="J127" s="236"/>
      <c r="K127" s="236"/>
      <c r="L127" s="236"/>
      <c r="M127" s="374"/>
      <c r="N127" s="236">
        <v>2950</v>
      </c>
      <c r="O127" s="236">
        <v>2950</v>
      </c>
      <c r="P127" s="236">
        <v>0</v>
      </c>
      <c r="Q127" s="221"/>
      <c r="R127" s="221"/>
      <c r="S127" s="221"/>
      <c r="T127" s="221"/>
      <c r="U127" s="220"/>
      <c r="V127" s="220"/>
      <c r="W127" s="220"/>
      <c r="X127" s="220"/>
      <c r="Y127" s="220"/>
      <c r="AE127" s="220"/>
      <c r="AF127" s="220"/>
      <c r="AG127" s="220"/>
      <c r="AH127" s="220"/>
      <c r="AI127" s="220"/>
      <c r="AJ127" s="220"/>
      <c r="AK127" s="220"/>
      <c r="AL127" s="220"/>
      <c r="AM127" s="220"/>
      <c r="AN127" s="220"/>
    </row>
    <row r="128" spans="1:40" x14ac:dyDescent="0.2">
      <c r="A128" s="220"/>
      <c r="B128" s="234"/>
      <c r="C128" s="234" t="s">
        <v>22</v>
      </c>
      <c r="D128" s="236"/>
      <c r="E128" s="236"/>
      <c r="F128" s="236"/>
      <c r="G128" s="236"/>
      <c r="H128" s="236"/>
      <c r="I128" s="374"/>
      <c r="J128" s="236"/>
      <c r="K128" s="236"/>
      <c r="L128" s="236"/>
      <c r="M128" s="374"/>
      <c r="N128" s="236">
        <v>2350</v>
      </c>
      <c r="O128" s="236">
        <v>2350</v>
      </c>
      <c r="P128" s="236">
        <v>0</v>
      </c>
      <c r="Q128" s="221"/>
      <c r="R128" s="221"/>
      <c r="S128" s="221"/>
      <c r="T128" s="221"/>
      <c r="U128" s="220"/>
      <c r="V128" s="220"/>
      <c r="W128" s="220"/>
      <c r="X128" s="220"/>
      <c r="Y128" s="220"/>
      <c r="AF128" s="220"/>
      <c r="AG128" s="220"/>
      <c r="AH128" s="220"/>
      <c r="AI128" s="220"/>
      <c r="AJ128" s="220"/>
      <c r="AK128" s="220"/>
      <c r="AL128" s="220"/>
      <c r="AM128" s="220"/>
      <c r="AN128" s="220"/>
    </row>
    <row r="129" spans="1:40" x14ac:dyDescent="0.2">
      <c r="A129" s="220"/>
      <c r="B129" s="234">
        <v>2019</v>
      </c>
      <c r="C129" s="234" t="s">
        <v>26</v>
      </c>
      <c r="D129" s="236"/>
      <c r="E129" s="236"/>
      <c r="F129" s="236"/>
      <c r="G129" s="236"/>
      <c r="H129" s="236"/>
      <c r="I129" s="236"/>
      <c r="J129" s="236"/>
      <c r="K129" s="236"/>
      <c r="L129" s="236"/>
      <c r="M129" s="236"/>
      <c r="N129" s="236">
        <v>1610</v>
      </c>
      <c r="O129" s="236">
        <v>1610</v>
      </c>
      <c r="P129" s="236">
        <v>1610</v>
      </c>
      <c r="Q129" s="221"/>
      <c r="R129" s="221"/>
      <c r="S129" s="221"/>
      <c r="T129" s="221"/>
      <c r="U129" s="220"/>
      <c r="V129" s="220"/>
      <c r="W129" s="220"/>
      <c r="X129" s="220"/>
      <c r="Y129" s="220"/>
      <c r="AF129" s="220"/>
      <c r="AG129" s="220"/>
      <c r="AH129" s="220"/>
      <c r="AI129" s="220"/>
      <c r="AJ129" s="220"/>
      <c r="AK129" s="220"/>
      <c r="AL129" s="220"/>
      <c r="AM129" s="220"/>
      <c r="AN129" s="220"/>
    </row>
    <row r="130" spans="1:40" x14ac:dyDescent="0.2">
      <c r="A130" s="220"/>
      <c r="B130" s="234"/>
      <c r="C130" s="234" t="s">
        <v>56</v>
      </c>
      <c r="D130" s="236"/>
      <c r="E130" s="236"/>
      <c r="F130" s="236"/>
      <c r="G130" s="236"/>
      <c r="H130" s="236"/>
      <c r="I130" s="236"/>
      <c r="J130" s="236"/>
      <c r="K130" s="236"/>
      <c r="L130" s="236"/>
      <c r="M130" s="236"/>
      <c r="N130" s="236">
        <v>1260</v>
      </c>
      <c r="O130" s="236">
        <v>1260</v>
      </c>
      <c r="P130" s="236">
        <v>1260</v>
      </c>
      <c r="Q130" s="221"/>
      <c r="R130" s="221"/>
      <c r="S130" s="221"/>
      <c r="T130" s="221"/>
      <c r="U130" s="220"/>
      <c r="V130" s="220"/>
      <c r="W130" s="220"/>
      <c r="X130" s="220"/>
      <c r="Y130" s="220"/>
      <c r="AF130" s="220"/>
      <c r="AG130" s="220"/>
      <c r="AH130" s="220"/>
      <c r="AI130" s="220"/>
      <c r="AJ130" s="220"/>
      <c r="AK130" s="220"/>
      <c r="AL130" s="220"/>
      <c r="AM130" s="220"/>
      <c r="AN130" s="220"/>
    </row>
    <row r="131" spans="1:40" x14ac:dyDescent="0.2">
      <c r="A131" s="220"/>
      <c r="B131" s="234"/>
      <c r="C131" s="234" t="s">
        <v>24</v>
      </c>
      <c r="D131" s="236"/>
      <c r="E131" s="236"/>
      <c r="F131" s="236"/>
      <c r="G131" s="236"/>
      <c r="H131" s="236"/>
      <c r="I131" s="236"/>
      <c r="J131" s="236"/>
      <c r="K131" s="236"/>
      <c r="L131" s="236"/>
      <c r="M131" s="236"/>
      <c r="N131" s="236">
        <v>1540</v>
      </c>
      <c r="O131" s="236">
        <f>1540+810-120-120-330</f>
        <v>1780</v>
      </c>
      <c r="P131" s="236">
        <v>1780</v>
      </c>
      <c r="Q131" s="221"/>
      <c r="R131" s="221"/>
      <c r="S131" s="221"/>
      <c r="T131" s="221"/>
      <c r="U131" s="220"/>
      <c r="V131" s="220"/>
      <c r="W131" s="220"/>
      <c r="X131" s="220"/>
      <c r="Y131" s="220"/>
      <c r="AF131" s="220"/>
      <c r="AG131" s="220"/>
      <c r="AH131" s="220"/>
      <c r="AI131" s="220"/>
      <c r="AJ131" s="220"/>
      <c r="AK131" s="220"/>
      <c r="AL131" s="220"/>
      <c r="AM131" s="220"/>
      <c r="AN131" s="220"/>
    </row>
    <row r="132" spans="1:40" x14ac:dyDescent="0.2">
      <c r="A132" s="220"/>
      <c r="B132" s="234"/>
      <c r="C132" s="234" t="s">
        <v>23</v>
      </c>
      <c r="D132" s="236"/>
      <c r="E132" s="236"/>
      <c r="F132" s="236"/>
      <c r="G132" s="236"/>
      <c r="H132" s="236"/>
      <c r="I132" s="236"/>
      <c r="J132" s="236"/>
      <c r="K132" s="236"/>
      <c r="L132" s="236"/>
      <c r="M132" s="236"/>
      <c r="N132" s="236">
        <v>2450</v>
      </c>
      <c r="O132" s="236">
        <v>2450</v>
      </c>
      <c r="P132" s="236">
        <v>2450</v>
      </c>
      <c r="Q132" s="221"/>
      <c r="R132" s="221"/>
      <c r="S132" s="221"/>
      <c r="T132" s="221"/>
      <c r="U132" s="220"/>
      <c r="V132" s="220"/>
      <c r="W132" s="220"/>
      <c r="X132" s="220"/>
      <c r="Y132" s="220"/>
      <c r="AF132" s="220"/>
      <c r="AG132" s="220"/>
      <c r="AH132" s="220"/>
      <c r="AI132" s="220"/>
      <c r="AJ132" s="220"/>
      <c r="AK132" s="220"/>
      <c r="AL132" s="220"/>
      <c r="AM132" s="220"/>
      <c r="AN132" s="220"/>
    </row>
    <row r="133" spans="1:40" x14ac:dyDescent="0.2">
      <c r="A133" s="220"/>
      <c r="B133" s="234"/>
      <c r="C133" s="234" t="s">
        <v>354</v>
      </c>
      <c r="D133" s="236"/>
      <c r="E133" s="236"/>
      <c r="F133" s="236"/>
      <c r="G133" s="236"/>
      <c r="H133" s="236"/>
      <c r="I133" s="236"/>
      <c r="J133" s="236"/>
      <c r="K133" s="236"/>
      <c r="L133" s="236"/>
      <c r="M133" s="236"/>
      <c r="N133" s="236">
        <v>70</v>
      </c>
      <c r="O133" s="236">
        <v>70</v>
      </c>
      <c r="P133" s="236">
        <v>70</v>
      </c>
      <c r="Q133" s="221"/>
      <c r="R133" s="221"/>
      <c r="S133" s="221"/>
      <c r="T133" s="221"/>
      <c r="U133" s="220"/>
      <c r="V133" s="220"/>
      <c r="W133" s="220"/>
      <c r="X133" s="220"/>
      <c r="Y133" s="220"/>
      <c r="AF133" s="220"/>
      <c r="AG133" s="220"/>
      <c r="AH133" s="220"/>
      <c r="AI133" s="220"/>
      <c r="AJ133" s="220"/>
      <c r="AK133" s="220"/>
      <c r="AL133" s="220"/>
      <c r="AM133" s="220"/>
      <c r="AN133" s="220"/>
    </row>
    <row r="134" spans="1:40" x14ac:dyDescent="0.2">
      <c r="A134" s="220"/>
      <c r="B134" s="234"/>
      <c r="C134" s="234" t="s">
        <v>25</v>
      </c>
      <c r="D134" s="236"/>
      <c r="E134" s="236"/>
      <c r="F134" s="236"/>
      <c r="G134" s="236"/>
      <c r="H134" s="236"/>
      <c r="I134" s="236"/>
      <c r="J134" s="236"/>
      <c r="K134" s="236"/>
      <c r="L134" s="236"/>
      <c r="M134" s="236"/>
      <c r="N134" s="236">
        <v>2800</v>
      </c>
      <c r="O134" s="236">
        <v>2800</v>
      </c>
      <c r="P134" s="236">
        <v>2800</v>
      </c>
      <c r="Q134" s="221"/>
      <c r="R134" s="221"/>
      <c r="S134" s="221"/>
      <c r="T134" s="221"/>
      <c r="U134" s="220"/>
      <c r="V134" s="220"/>
      <c r="W134" s="220"/>
      <c r="X134" s="220"/>
      <c r="Y134" s="220"/>
      <c r="AF134" s="220"/>
      <c r="AG134" s="220"/>
      <c r="AH134" s="220"/>
      <c r="AI134" s="220"/>
      <c r="AJ134" s="220"/>
      <c r="AK134" s="220"/>
      <c r="AL134" s="220"/>
      <c r="AM134" s="220"/>
      <c r="AN134" s="220"/>
    </row>
    <row r="135" spans="1:40" x14ac:dyDescent="0.2">
      <c r="A135" s="220"/>
      <c r="B135" s="234"/>
      <c r="C135" s="234" t="s">
        <v>31</v>
      </c>
      <c r="D135" s="236"/>
      <c r="E135" s="236"/>
      <c r="F135" s="236"/>
      <c r="G135" s="236"/>
      <c r="H135" s="236"/>
      <c r="I135" s="236"/>
      <c r="J135" s="236"/>
      <c r="K135" s="236"/>
      <c r="L135" s="236"/>
      <c r="M135" s="236"/>
      <c r="N135" s="236">
        <v>2305</v>
      </c>
      <c r="O135" s="236">
        <v>2305</v>
      </c>
      <c r="P135" s="236">
        <v>2305</v>
      </c>
      <c r="Q135" s="221"/>
      <c r="R135" s="221"/>
      <c r="S135" s="221"/>
      <c r="T135" s="221"/>
      <c r="U135" s="220"/>
      <c r="V135" s="220"/>
      <c r="W135" s="220"/>
      <c r="X135" s="220"/>
      <c r="Y135" s="220"/>
      <c r="AF135" s="220"/>
      <c r="AG135" s="220"/>
      <c r="AH135" s="220"/>
      <c r="AI135" s="220"/>
      <c r="AJ135" s="220"/>
      <c r="AK135" s="220"/>
      <c r="AL135" s="220"/>
      <c r="AM135" s="220"/>
      <c r="AN135" s="220"/>
    </row>
    <row r="136" spans="1:40" x14ac:dyDescent="0.2">
      <c r="A136" s="220"/>
      <c r="B136" s="234"/>
      <c r="C136" s="234" t="s">
        <v>46</v>
      </c>
      <c r="D136" s="236"/>
      <c r="E136" s="236"/>
      <c r="F136" s="236"/>
      <c r="G136" s="236"/>
      <c r="H136" s="236"/>
      <c r="I136" s="236"/>
      <c r="J136" s="236"/>
      <c r="K136" s="236"/>
      <c r="L136" s="236"/>
      <c r="M136" s="236"/>
      <c r="N136" s="236">
        <v>1475</v>
      </c>
      <c r="O136" s="236">
        <v>1475</v>
      </c>
      <c r="P136" s="236">
        <v>1475</v>
      </c>
      <c r="Q136" s="221"/>
      <c r="R136" s="221"/>
      <c r="S136" s="221"/>
      <c r="T136" s="221"/>
      <c r="U136" s="220"/>
      <c r="V136" s="220"/>
      <c r="W136" s="220"/>
      <c r="X136" s="220"/>
      <c r="Y136" s="220"/>
      <c r="AF136" s="220"/>
      <c r="AG136" s="220"/>
      <c r="AH136" s="220"/>
      <c r="AI136" s="220"/>
      <c r="AJ136" s="220"/>
      <c r="AK136" s="220"/>
      <c r="AL136" s="220"/>
      <c r="AM136" s="220"/>
      <c r="AN136" s="220"/>
    </row>
    <row r="137" spans="1:40" x14ac:dyDescent="0.2">
      <c r="A137" s="220"/>
      <c r="B137" s="234"/>
      <c r="C137" s="234" t="s">
        <v>107</v>
      </c>
      <c r="D137" s="236"/>
      <c r="E137" s="236"/>
      <c r="F137" s="236"/>
      <c r="G137" s="236"/>
      <c r="H137" s="236"/>
      <c r="I137" s="236"/>
      <c r="J137" s="236"/>
      <c r="K137" s="236"/>
      <c r="L137" s="236"/>
      <c r="M137" s="236"/>
      <c r="N137" s="236">
        <v>775</v>
      </c>
      <c r="O137" s="236">
        <v>775</v>
      </c>
      <c r="P137" s="236">
        <v>775</v>
      </c>
      <c r="Q137" s="221"/>
      <c r="R137" s="221"/>
      <c r="S137" s="221"/>
      <c r="T137" s="221"/>
      <c r="U137" s="220"/>
      <c r="V137" s="220"/>
      <c r="W137" s="220"/>
      <c r="X137" s="220"/>
      <c r="Y137" s="220"/>
      <c r="AF137" s="220"/>
      <c r="AG137" s="220"/>
      <c r="AH137" s="220"/>
      <c r="AI137" s="220"/>
      <c r="AJ137" s="220"/>
      <c r="AK137" s="220"/>
      <c r="AL137" s="220"/>
      <c r="AM137" s="220"/>
      <c r="AN137" s="220"/>
    </row>
    <row r="138" spans="1:40" x14ac:dyDescent="0.2">
      <c r="A138" s="220"/>
      <c r="B138" s="234"/>
      <c r="C138" s="234" t="s">
        <v>30</v>
      </c>
      <c r="D138" s="236"/>
      <c r="E138" s="236"/>
      <c r="F138" s="236"/>
      <c r="G138" s="236"/>
      <c r="H138" s="236"/>
      <c r="I138" s="236"/>
      <c r="J138" s="236"/>
      <c r="K138" s="236"/>
      <c r="L138" s="236"/>
      <c r="M138" s="236"/>
      <c r="N138" s="236">
        <v>275</v>
      </c>
      <c r="O138" s="236">
        <v>275</v>
      </c>
      <c r="P138" s="236">
        <v>275</v>
      </c>
      <c r="Q138" s="221"/>
      <c r="R138" s="221"/>
      <c r="S138" s="221"/>
      <c r="T138" s="221"/>
      <c r="U138" s="220"/>
      <c r="V138" s="220"/>
      <c r="W138" s="220"/>
      <c r="X138" s="220"/>
      <c r="Y138" s="220"/>
      <c r="AF138" s="220"/>
      <c r="AG138" s="220"/>
      <c r="AH138" s="220"/>
      <c r="AI138" s="220"/>
      <c r="AJ138" s="220"/>
      <c r="AK138" s="220"/>
      <c r="AL138" s="220"/>
      <c r="AM138" s="220"/>
      <c r="AN138" s="220"/>
    </row>
    <row r="139" spans="1:40" x14ac:dyDescent="0.2">
      <c r="A139" s="220"/>
      <c r="B139" s="234"/>
      <c r="C139" s="234" t="s">
        <v>108</v>
      </c>
      <c r="D139" s="236"/>
      <c r="E139" s="236"/>
      <c r="F139" s="236"/>
      <c r="G139" s="236"/>
      <c r="H139" s="236"/>
      <c r="I139" s="236"/>
      <c r="J139" s="236"/>
      <c r="K139" s="236"/>
      <c r="L139" s="236"/>
      <c r="M139" s="236"/>
      <c r="N139" s="236">
        <v>210</v>
      </c>
      <c r="O139" s="236">
        <v>210</v>
      </c>
      <c r="P139" s="236">
        <v>210</v>
      </c>
      <c r="Q139" s="221"/>
      <c r="R139" s="221"/>
      <c r="S139" s="221"/>
      <c r="T139" s="221"/>
      <c r="U139" s="220"/>
      <c r="V139" s="220"/>
      <c r="W139" s="220"/>
      <c r="X139" s="220"/>
      <c r="Y139" s="220"/>
      <c r="AF139" s="220"/>
      <c r="AG139" s="220"/>
      <c r="AH139" s="220"/>
      <c r="AI139" s="220"/>
      <c r="AJ139" s="220"/>
      <c r="AK139" s="220"/>
      <c r="AL139" s="220"/>
      <c r="AM139" s="220"/>
      <c r="AN139" s="220"/>
    </row>
    <row r="140" spans="1:40" x14ac:dyDescent="0.2">
      <c r="A140" s="220"/>
      <c r="B140" s="234"/>
      <c r="C140" s="234" t="s">
        <v>110</v>
      </c>
      <c r="D140" s="236"/>
      <c r="E140" s="236"/>
      <c r="F140" s="236"/>
      <c r="G140" s="236"/>
      <c r="H140" s="236"/>
      <c r="I140" s="236"/>
      <c r="J140" s="236"/>
      <c r="K140" s="236"/>
      <c r="L140" s="236"/>
      <c r="M140" s="236"/>
      <c r="N140" s="236">
        <v>2840</v>
      </c>
      <c r="O140" s="236">
        <v>2840</v>
      </c>
      <c r="P140" s="236">
        <v>2840</v>
      </c>
      <c r="Q140" s="221"/>
      <c r="R140" s="221"/>
      <c r="S140" s="221"/>
      <c r="T140" s="221"/>
      <c r="U140" s="220"/>
      <c r="V140" s="220"/>
      <c r="W140" s="220"/>
      <c r="X140" s="220"/>
      <c r="Y140" s="220"/>
      <c r="AF140" s="220"/>
      <c r="AG140" s="220"/>
      <c r="AH140" s="220"/>
      <c r="AI140" s="220"/>
      <c r="AJ140" s="220"/>
      <c r="AK140" s="220"/>
      <c r="AL140" s="220"/>
      <c r="AM140" s="220"/>
      <c r="AN140" s="220"/>
    </row>
    <row r="141" spans="1:40" x14ac:dyDescent="0.2">
      <c r="A141" s="220"/>
      <c r="B141" s="220"/>
      <c r="C141" s="220"/>
      <c r="D141" s="221"/>
      <c r="E141" s="221"/>
      <c r="F141" s="221"/>
      <c r="G141" s="221"/>
      <c r="H141" s="221"/>
      <c r="I141" s="221"/>
      <c r="J141" s="221"/>
      <c r="K141" s="221"/>
      <c r="L141" s="221"/>
      <c r="M141" s="221"/>
      <c r="N141" s="221"/>
      <c r="O141" s="221"/>
      <c r="P141" s="221"/>
      <c r="Q141" s="221"/>
      <c r="R141" s="221"/>
      <c r="S141" s="221"/>
      <c r="T141" s="221"/>
      <c r="U141" s="220"/>
      <c r="V141" s="220"/>
      <c r="W141" s="220"/>
      <c r="X141" s="220"/>
      <c r="Y141" s="220"/>
      <c r="AF141" s="220"/>
      <c r="AG141" s="220"/>
      <c r="AH141" s="220"/>
      <c r="AI141" s="220"/>
      <c r="AJ141" s="220"/>
      <c r="AK141" s="220"/>
      <c r="AL141" s="220"/>
      <c r="AM141" s="220"/>
      <c r="AN141" s="220"/>
    </row>
    <row r="142" spans="1:40" x14ac:dyDescent="0.2">
      <c r="A142" s="220"/>
      <c r="B142" s="220"/>
      <c r="C142" s="220"/>
      <c r="D142" s="221"/>
      <c r="E142" s="221"/>
      <c r="F142" s="221"/>
      <c r="G142" s="221"/>
      <c r="H142" s="221"/>
      <c r="I142" s="221"/>
      <c r="J142" s="221"/>
      <c r="K142" s="221"/>
      <c r="L142" s="221"/>
      <c r="M142" s="221"/>
      <c r="N142" s="221"/>
      <c r="O142" s="221"/>
      <c r="P142" s="221"/>
      <c r="Q142" s="221"/>
      <c r="R142" s="221"/>
      <c r="S142" s="221"/>
      <c r="T142" s="221"/>
      <c r="U142" s="220"/>
      <c r="V142" s="220"/>
      <c r="W142" s="220"/>
      <c r="X142" s="220"/>
      <c r="Y142" s="220"/>
      <c r="AF142" s="220"/>
      <c r="AG142" s="220"/>
      <c r="AH142" s="220"/>
      <c r="AI142" s="220"/>
      <c r="AJ142" s="220"/>
      <c r="AK142" s="220"/>
      <c r="AL142" s="220"/>
      <c r="AM142" s="220"/>
      <c r="AN142" s="220"/>
    </row>
    <row r="143" spans="1:40" x14ac:dyDescent="0.2">
      <c r="A143" s="220"/>
      <c r="B143" s="220"/>
      <c r="C143" s="220"/>
      <c r="D143" s="221"/>
      <c r="E143" s="221"/>
      <c r="F143" s="221"/>
      <c r="G143" s="221"/>
      <c r="H143" s="221"/>
      <c r="I143" s="221"/>
      <c r="J143" s="221"/>
      <c r="K143" s="221"/>
      <c r="L143" s="221"/>
      <c r="M143" s="221"/>
      <c r="N143" s="221"/>
      <c r="O143" s="221"/>
      <c r="P143" s="221"/>
      <c r="Q143" s="221"/>
      <c r="R143" s="221"/>
      <c r="S143" s="221"/>
      <c r="T143" s="221"/>
      <c r="U143" s="220"/>
      <c r="V143" s="220"/>
      <c r="W143" s="220"/>
      <c r="X143" s="220"/>
      <c r="Y143" s="220"/>
      <c r="AF143" s="220"/>
      <c r="AG143" s="220"/>
      <c r="AH143" s="220"/>
      <c r="AI143" s="220"/>
      <c r="AJ143" s="220"/>
      <c r="AK143" s="220"/>
      <c r="AL143" s="220"/>
      <c r="AM143" s="220"/>
      <c r="AN143" s="220"/>
    </row>
    <row r="144" spans="1:40" x14ac:dyDescent="0.2">
      <c r="A144" s="220"/>
      <c r="B144" s="220"/>
      <c r="C144" s="220"/>
      <c r="D144" s="221"/>
      <c r="E144" s="221"/>
      <c r="F144" s="221"/>
      <c r="G144" s="221"/>
      <c r="H144" s="221"/>
      <c r="I144" s="221"/>
      <c r="J144" s="221"/>
      <c r="K144" s="221"/>
      <c r="L144" s="221"/>
      <c r="M144" s="221"/>
      <c r="N144" s="221"/>
      <c r="O144" s="221"/>
      <c r="P144" s="221"/>
      <c r="Q144" s="221"/>
      <c r="R144" s="221"/>
      <c r="S144" s="221"/>
      <c r="T144" s="221"/>
      <c r="U144" s="220"/>
      <c r="V144" s="220"/>
      <c r="W144" s="220"/>
      <c r="X144" s="220"/>
      <c r="Y144" s="220"/>
      <c r="AF144" s="220"/>
      <c r="AG144" s="220"/>
      <c r="AH144" s="220"/>
      <c r="AI144" s="220"/>
      <c r="AJ144" s="220"/>
      <c r="AK144" s="220"/>
      <c r="AL144" s="220"/>
      <c r="AM144" s="220"/>
      <c r="AN144" s="220"/>
    </row>
    <row r="145" spans="1:40" x14ac:dyDescent="0.2">
      <c r="A145" s="220"/>
      <c r="B145" s="220"/>
      <c r="C145" s="220"/>
      <c r="D145" s="221"/>
      <c r="E145" s="221"/>
      <c r="F145" s="221"/>
      <c r="G145" s="221"/>
      <c r="H145" s="221"/>
      <c r="I145" s="221"/>
      <c r="J145" s="221"/>
      <c r="K145" s="221"/>
      <c r="L145" s="221"/>
      <c r="M145" s="221"/>
      <c r="N145" s="221"/>
      <c r="O145" s="221"/>
      <c r="P145" s="221"/>
      <c r="Q145" s="221"/>
      <c r="R145" s="221"/>
      <c r="S145" s="221"/>
      <c r="T145" s="221"/>
      <c r="U145" s="220"/>
      <c r="V145" s="220"/>
      <c r="W145" s="220"/>
      <c r="X145" s="220"/>
      <c r="Y145" s="220"/>
      <c r="AF145" s="220"/>
      <c r="AG145" s="220"/>
      <c r="AH145" s="220"/>
      <c r="AI145" s="220"/>
      <c r="AJ145" s="220"/>
      <c r="AK145" s="220"/>
      <c r="AL145" s="220"/>
      <c r="AM145" s="220"/>
      <c r="AN145" s="220"/>
    </row>
    <row r="146" spans="1:40" x14ac:dyDescent="0.2">
      <c r="A146" s="220"/>
      <c r="B146" s="220"/>
      <c r="C146" s="220"/>
      <c r="D146" s="221"/>
      <c r="E146" s="221"/>
      <c r="F146" s="221"/>
      <c r="G146" s="221"/>
      <c r="H146" s="221"/>
      <c r="I146" s="221"/>
      <c r="J146" s="221"/>
      <c r="K146" s="221"/>
      <c r="L146" s="221"/>
      <c r="M146" s="221"/>
      <c r="N146" s="221"/>
      <c r="O146" s="221"/>
      <c r="P146" s="221"/>
      <c r="Q146" s="221"/>
      <c r="R146" s="221"/>
      <c r="S146" s="221"/>
      <c r="T146" s="221"/>
      <c r="U146" s="220"/>
      <c r="V146" s="220"/>
      <c r="W146" s="220"/>
      <c r="X146" s="220"/>
      <c r="Y146" s="220"/>
      <c r="AF146" s="220"/>
      <c r="AG146" s="220"/>
      <c r="AH146" s="220"/>
      <c r="AI146" s="220"/>
      <c r="AJ146" s="220"/>
      <c r="AK146" s="220"/>
      <c r="AL146" s="220"/>
      <c r="AM146" s="220"/>
      <c r="AN146" s="220"/>
    </row>
    <row r="147" spans="1:40" x14ac:dyDescent="0.2">
      <c r="A147" s="220"/>
      <c r="B147" s="220"/>
      <c r="C147" s="220"/>
      <c r="D147" s="221"/>
      <c r="E147" s="221"/>
      <c r="F147" s="221"/>
      <c r="G147" s="221"/>
      <c r="H147" s="221"/>
      <c r="I147" s="221"/>
      <c r="J147" s="221"/>
      <c r="K147" s="221"/>
      <c r="L147" s="221"/>
      <c r="M147" s="221"/>
      <c r="N147" s="221"/>
      <c r="O147" s="221"/>
      <c r="P147" s="221"/>
      <c r="Q147" s="221"/>
      <c r="R147" s="221"/>
      <c r="S147" s="221"/>
      <c r="T147" s="221"/>
      <c r="U147" s="220"/>
      <c r="V147" s="220"/>
      <c r="W147" s="220"/>
      <c r="X147" s="220"/>
      <c r="Y147" s="220"/>
      <c r="AF147" s="220"/>
      <c r="AG147" s="220"/>
      <c r="AH147" s="220"/>
      <c r="AI147" s="220"/>
      <c r="AJ147" s="220"/>
      <c r="AK147" s="220"/>
      <c r="AL147" s="220"/>
      <c r="AM147" s="220"/>
      <c r="AN147" s="220"/>
    </row>
    <row r="148" spans="1:40" x14ac:dyDescent="0.2">
      <c r="A148" s="220"/>
      <c r="B148" s="220"/>
      <c r="C148" s="220"/>
      <c r="D148" s="221"/>
      <c r="E148" s="221"/>
      <c r="F148" s="221"/>
      <c r="G148" s="221"/>
      <c r="H148" s="221"/>
      <c r="I148" s="221"/>
      <c r="J148" s="221"/>
      <c r="K148" s="221"/>
      <c r="L148" s="221"/>
      <c r="M148" s="221"/>
      <c r="N148" s="221"/>
      <c r="O148" s="221"/>
      <c r="P148" s="221"/>
      <c r="Q148" s="221"/>
      <c r="R148" s="221"/>
      <c r="S148" s="221"/>
      <c r="T148" s="221"/>
      <c r="U148" s="220"/>
      <c r="V148" s="220"/>
    </row>
    <row r="149" spans="1:40" x14ac:dyDescent="0.2">
      <c r="A149" s="220"/>
      <c r="B149" s="220"/>
      <c r="C149" s="220"/>
      <c r="D149" s="221"/>
      <c r="E149" s="221"/>
      <c r="F149" s="221"/>
      <c r="G149" s="221"/>
      <c r="H149" s="221"/>
      <c r="I149" s="221"/>
      <c r="J149" s="221"/>
      <c r="K149" s="221"/>
      <c r="L149" s="221"/>
      <c r="M149" s="221"/>
      <c r="N149" s="221"/>
      <c r="O149" s="221"/>
      <c r="P149" s="221"/>
      <c r="Q149" s="221"/>
      <c r="R149" s="221"/>
      <c r="S149" s="221"/>
      <c r="T149" s="221"/>
      <c r="U149" s="220"/>
      <c r="V149" s="220"/>
    </row>
    <row r="150" spans="1:40" x14ac:dyDescent="0.2">
      <c r="A150" s="220"/>
      <c r="B150" s="220"/>
      <c r="C150" s="220"/>
      <c r="D150" s="221"/>
      <c r="E150" s="221"/>
      <c r="F150" s="221"/>
      <c r="G150" s="221"/>
      <c r="H150" s="221"/>
      <c r="I150" s="221"/>
      <c r="J150" s="221"/>
      <c r="K150" s="221"/>
      <c r="L150" s="221"/>
      <c r="M150" s="221"/>
      <c r="N150" s="221"/>
      <c r="O150" s="221"/>
      <c r="P150" s="221"/>
      <c r="Q150" s="221"/>
      <c r="R150" s="221"/>
      <c r="S150" s="221"/>
      <c r="T150" s="221"/>
      <c r="U150" s="220"/>
      <c r="V150" s="220"/>
    </row>
    <row r="151" spans="1:40" x14ac:dyDescent="0.2">
      <c r="A151" s="220"/>
      <c r="B151" s="220"/>
      <c r="C151" s="220"/>
      <c r="D151" s="221"/>
      <c r="E151" s="221"/>
      <c r="F151" s="221"/>
      <c r="G151" s="221"/>
      <c r="H151" s="221"/>
      <c r="I151" s="221"/>
      <c r="J151" s="221"/>
      <c r="K151" s="221"/>
      <c r="L151" s="221"/>
      <c r="M151" s="221"/>
      <c r="N151" s="221"/>
      <c r="O151" s="221"/>
      <c r="P151" s="221"/>
      <c r="Q151" s="221"/>
      <c r="R151" s="221"/>
      <c r="S151" s="221"/>
      <c r="T151" s="221"/>
      <c r="U151" s="220"/>
      <c r="V151" s="220"/>
    </row>
    <row r="152" spans="1:40" x14ac:dyDescent="0.2">
      <c r="A152" s="220"/>
      <c r="B152" s="220"/>
      <c r="C152" s="220"/>
      <c r="D152" s="221"/>
      <c r="E152" s="221"/>
      <c r="F152" s="221"/>
      <c r="G152" s="221"/>
      <c r="H152" s="221"/>
      <c r="I152" s="221"/>
      <c r="J152" s="221"/>
      <c r="K152" s="221"/>
      <c r="L152" s="221"/>
      <c r="M152" s="221"/>
      <c r="N152" s="221"/>
      <c r="O152" s="221"/>
      <c r="P152" s="221"/>
      <c r="Q152" s="221"/>
      <c r="R152" s="221"/>
      <c r="S152" s="221"/>
      <c r="T152" s="221"/>
      <c r="U152" s="220"/>
      <c r="V152" s="220"/>
    </row>
    <row r="153" spans="1:40" x14ac:dyDescent="0.2">
      <c r="A153" s="220"/>
      <c r="B153" s="220"/>
      <c r="C153" s="220"/>
      <c r="D153" s="221"/>
      <c r="E153" s="221"/>
      <c r="F153" s="221"/>
      <c r="G153" s="221"/>
      <c r="H153" s="221"/>
      <c r="I153" s="221"/>
      <c r="J153" s="221"/>
      <c r="K153" s="221"/>
      <c r="L153" s="221"/>
      <c r="M153" s="221"/>
      <c r="N153" s="221"/>
      <c r="O153" s="221"/>
      <c r="P153" s="221"/>
      <c r="Q153" s="221"/>
      <c r="R153" s="221"/>
      <c r="S153" s="221"/>
      <c r="T153" s="221"/>
      <c r="U153" s="220"/>
      <c r="V153" s="220"/>
    </row>
    <row r="154" spans="1:40" x14ac:dyDescent="0.2">
      <c r="A154" s="220"/>
      <c r="B154" s="220"/>
      <c r="C154" s="220"/>
      <c r="D154" s="221"/>
      <c r="E154" s="221"/>
      <c r="F154" s="221"/>
      <c r="G154" s="221"/>
      <c r="H154" s="221"/>
      <c r="I154" s="221"/>
      <c r="J154" s="221"/>
      <c r="K154" s="221"/>
      <c r="L154" s="221"/>
      <c r="M154" s="221"/>
      <c r="N154" s="221"/>
      <c r="O154" s="221"/>
      <c r="P154" s="221"/>
      <c r="Q154" s="221"/>
      <c r="R154" s="221"/>
      <c r="S154" s="221"/>
      <c r="T154" s="221"/>
      <c r="U154" s="220"/>
      <c r="V154" s="220"/>
    </row>
    <row r="155" spans="1:40" x14ac:dyDescent="0.2">
      <c r="A155" s="220"/>
      <c r="B155" s="220"/>
      <c r="C155" s="220"/>
      <c r="D155" s="221"/>
      <c r="E155" s="221"/>
      <c r="F155" s="221"/>
      <c r="G155" s="221"/>
      <c r="H155" s="221"/>
      <c r="I155" s="221"/>
      <c r="J155" s="221"/>
      <c r="K155" s="221"/>
      <c r="L155" s="221"/>
      <c r="M155" s="221"/>
      <c r="N155" s="221"/>
      <c r="O155" s="221"/>
      <c r="P155" s="221"/>
      <c r="Q155" s="221"/>
      <c r="R155" s="221"/>
      <c r="S155" s="221"/>
      <c r="T155" s="221"/>
      <c r="U155" s="220"/>
      <c r="V155" s="220"/>
    </row>
    <row r="156" spans="1:40" x14ac:dyDescent="0.2">
      <c r="A156" s="220"/>
      <c r="B156" s="220"/>
      <c r="C156" s="220"/>
      <c r="D156" s="221"/>
      <c r="E156" s="221"/>
      <c r="F156" s="221"/>
      <c r="G156" s="221"/>
      <c r="H156" s="221"/>
      <c r="I156" s="221"/>
      <c r="J156" s="221"/>
      <c r="K156" s="221"/>
      <c r="L156" s="221"/>
      <c r="M156" s="221"/>
      <c r="N156" s="221"/>
      <c r="O156" s="221"/>
      <c r="P156" s="221"/>
      <c r="Q156" s="221"/>
      <c r="R156" s="221"/>
      <c r="S156" s="221"/>
      <c r="T156" s="221"/>
      <c r="U156" s="220"/>
      <c r="V156" s="220"/>
    </row>
    <row r="157" spans="1:40" x14ac:dyDescent="0.2">
      <c r="A157" s="220"/>
      <c r="B157" s="220"/>
      <c r="C157" s="220"/>
      <c r="D157" s="221"/>
      <c r="E157" s="221"/>
      <c r="F157" s="221"/>
      <c r="G157" s="221"/>
      <c r="H157" s="221"/>
      <c r="I157" s="221"/>
      <c r="J157" s="221"/>
      <c r="K157" s="221"/>
      <c r="L157" s="221"/>
      <c r="M157" s="221"/>
      <c r="N157" s="221"/>
      <c r="O157" s="221"/>
      <c r="P157" s="221"/>
      <c r="Q157" s="221"/>
      <c r="R157" s="221"/>
      <c r="S157" s="221"/>
      <c r="T157" s="221"/>
      <c r="U157" s="220"/>
      <c r="V157" s="220"/>
    </row>
    <row r="158" spans="1:40" x14ac:dyDescent="0.2">
      <c r="A158" s="220"/>
      <c r="B158" s="220"/>
      <c r="C158" s="220"/>
      <c r="D158" s="221"/>
      <c r="E158" s="221"/>
      <c r="F158" s="221"/>
      <c r="G158" s="221"/>
      <c r="H158" s="221"/>
      <c r="I158" s="221"/>
      <c r="J158" s="221"/>
      <c r="K158" s="221"/>
      <c r="L158" s="221"/>
      <c r="M158" s="221"/>
      <c r="N158" s="221"/>
      <c r="O158" s="221"/>
      <c r="P158" s="221"/>
      <c r="Q158" s="221"/>
      <c r="R158" s="221"/>
      <c r="S158" s="221"/>
      <c r="T158" s="221"/>
      <c r="U158" s="220"/>
      <c r="V158" s="220"/>
    </row>
    <row r="159" spans="1:40" x14ac:dyDescent="0.2">
      <c r="A159" s="220"/>
      <c r="B159" s="220"/>
      <c r="C159" s="220"/>
      <c r="D159" s="221"/>
      <c r="E159" s="221"/>
      <c r="F159" s="221"/>
      <c r="G159" s="221"/>
      <c r="H159" s="221"/>
      <c r="I159" s="221"/>
      <c r="J159" s="221"/>
      <c r="K159" s="221"/>
      <c r="L159" s="221"/>
      <c r="M159" s="221"/>
      <c r="N159" s="221"/>
      <c r="O159" s="221"/>
      <c r="P159" s="221"/>
      <c r="Q159" s="221"/>
      <c r="R159" s="221"/>
      <c r="S159" s="221"/>
      <c r="T159" s="221"/>
      <c r="U159" s="220"/>
      <c r="V159" s="220"/>
    </row>
    <row r="160" spans="1:40" x14ac:dyDescent="0.2">
      <c r="A160" s="220"/>
      <c r="B160" s="220"/>
      <c r="C160" s="220"/>
      <c r="D160" s="221"/>
      <c r="E160" s="221"/>
      <c r="F160" s="221"/>
      <c r="G160" s="221"/>
      <c r="H160" s="221"/>
      <c r="I160" s="221"/>
      <c r="J160" s="221"/>
      <c r="K160" s="221"/>
      <c r="L160" s="221"/>
      <c r="M160" s="221"/>
      <c r="N160" s="221"/>
      <c r="O160" s="221"/>
      <c r="P160" s="221"/>
      <c r="Q160" s="221"/>
      <c r="R160" s="221"/>
      <c r="S160" s="221"/>
      <c r="T160" s="221"/>
      <c r="U160" s="220"/>
      <c r="V160" s="220"/>
    </row>
    <row r="161" spans="1:22" x14ac:dyDescent="0.2">
      <c r="A161" s="220"/>
      <c r="B161" s="220"/>
      <c r="C161" s="220"/>
      <c r="D161" s="221"/>
      <c r="E161" s="221"/>
      <c r="F161" s="221"/>
      <c r="G161" s="221"/>
      <c r="H161" s="221"/>
      <c r="I161" s="221"/>
      <c r="J161" s="221"/>
      <c r="K161" s="221"/>
      <c r="L161" s="221"/>
      <c r="M161" s="221"/>
      <c r="N161" s="221"/>
      <c r="O161" s="221"/>
      <c r="P161" s="221"/>
      <c r="Q161" s="221"/>
      <c r="R161" s="221"/>
      <c r="S161" s="221"/>
      <c r="T161" s="221"/>
      <c r="U161" s="220"/>
      <c r="V161" s="220"/>
    </row>
    <row r="162" spans="1:22" x14ac:dyDescent="0.2">
      <c r="A162" s="220"/>
      <c r="B162" s="220"/>
      <c r="C162" s="220"/>
      <c r="D162" s="221"/>
      <c r="E162" s="221"/>
      <c r="F162" s="221"/>
      <c r="G162" s="221"/>
      <c r="H162" s="221"/>
      <c r="I162" s="221"/>
      <c r="J162" s="221"/>
      <c r="K162" s="221"/>
      <c r="L162" s="221"/>
      <c r="M162" s="221"/>
      <c r="N162" s="221"/>
      <c r="O162" s="221"/>
      <c r="P162" s="221"/>
      <c r="Q162" s="221"/>
      <c r="R162" s="221"/>
      <c r="S162" s="221"/>
      <c r="T162" s="221"/>
      <c r="U162" s="220"/>
      <c r="V162" s="220"/>
    </row>
  </sheetData>
  <mergeCells count="2">
    <mergeCell ref="E90:P90"/>
    <mergeCell ref="AA29:AE29"/>
  </mergeCells>
  <pageMargins left="0.7" right="0.7" top="0.75" bottom="0.75" header="0.3" footer="0.3"/>
  <pageSetup scale="48"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168"/>
  <sheetViews>
    <sheetView topLeftCell="A39" zoomScale="89" zoomScaleNormal="70" workbookViewId="0">
      <selection activeCell="A35" sqref="A35:C36"/>
    </sheetView>
  </sheetViews>
  <sheetFormatPr defaultColWidth="9.28515625" defaultRowHeight="15" x14ac:dyDescent="0.2"/>
  <cols>
    <col min="1" max="2" width="9.28515625" style="297"/>
    <col min="3" max="3" width="29" style="297" customWidth="1"/>
    <col min="4" max="4" width="10.28515625" style="298" customWidth="1"/>
    <col min="5" max="5" width="11.7109375" style="298" customWidth="1"/>
    <col min="6" max="6" width="7.42578125" style="298" customWidth="1"/>
    <col min="7" max="7" width="8.28515625" style="298" customWidth="1"/>
    <col min="8" max="9" width="7.42578125" style="298" customWidth="1"/>
    <col min="10" max="10" width="8.42578125" style="298" customWidth="1"/>
    <col min="11" max="11" width="6.7109375" style="298" customWidth="1"/>
    <col min="12" max="12" width="8.42578125" style="298" customWidth="1"/>
    <col min="13" max="17" width="8.7109375" style="298" customWidth="1"/>
    <col min="18" max="18" width="10.28515625" style="298" customWidth="1"/>
    <col min="19" max="19" width="13" style="298" customWidth="1"/>
    <col min="20" max="20" width="12.7109375" style="298" customWidth="1"/>
    <col min="21" max="21" width="13.28515625" style="297" customWidth="1"/>
    <col min="22" max="22" width="11.28515625" style="297" customWidth="1"/>
    <col min="23" max="23" width="22.7109375" style="297" bestFit="1" customWidth="1"/>
    <col min="24" max="24" width="20.7109375" style="297" customWidth="1"/>
    <col min="25" max="25" width="9.28515625" style="297"/>
    <col min="26" max="26" width="12.5703125" style="298" bestFit="1" customWidth="1"/>
    <col min="27" max="27" width="12.7109375" style="297" customWidth="1"/>
    <col min="28" max="28" width="42" style="297" customWidth="1"/>
    <col min="29" max="29" width="12" style="297" bestFit="1" customWidth="1"/>
    <col min="30" max="34" width="9.28515625" style="297"/>
    <col min="35" max="38" width="24.42578125" style="297" customWidth="1"/>
    <col min="39" max="16384" width="9.28515625" style="297"/>
  </cols>
  <sheetData>
    <row r="1" spans="1:36" x14ac:dyDescent="0.2">
      <c r="F1" s="356"/>
      <c r="U1" s="298"/>
      <c r="Z1" s="301"/>
      <c r="AA1" s="298"/>
    </row>
    <row r="2" spans="1:36" x14ac:dyDescent="0.2">
      <c r="A2" s="220"/>
      <c r="B2" s="220"/>
      <c r="C2" s="315">
        <v>44196</v>
      </c>
      <c r="F2" s="221"/>
      <c r="G2" s="221"/>
      <c r="H2" s="221"/>
      <c r="I2" s="221"/>
      <c r="J2" s="221"/>
      <c r="K2" s="221"/>
      <c r="L2" s="221"/>
      <c r="M2" s="221"/>
      <c r="N2" s="221"/>
      <c r="O2" s="221"/>
      <c r="P2" s="221"/>
      <c r="Q2" s="221"/>
      <c r="R2" s="221"/>
      <c r="S2" s="221"/>
      <c r="T2" s="221"/>
      <c r="U2" s="221"/>
      <c r="V2" s="220"/>
      <c r="W2" s="220"/>
      <c r="X2" s="220"/>
      <c r="Y2" s="220"/>
      <c r="Z2" s="310"/>
      <c r="AA2" s="221"/>
      <c r="AB2" s="220"/>
      <c r="AC2" s="220"/>
      <c r="AD2" s="220"/>
      <c r="AE2" s="220"/>
      <c r="AF2" s="220"/>
      <c r="AG2" s="220"/>
      <c r="AH2" s="220"/>
      <c r="AI2" s="220"/>
      <c r="AJ2" s="220"/>
    </row>
    <row r="3" spans="1:36" x14ac:dyDescent="0.2">
      <c r="A3" s="220"/>
      <c r="B3" s="220"/>
      <c r="C3" s="221"/>
      <c r="E3" s="221"/>
      <c r="F3" s="221"/>
      <c r="G3" s="221"/>
      <c r="H3" s="221"/>
      <c r="I3" s="221"/>
      <c r="J3" s="221"/>
      <c r="K3" s="221"/>
      <c r="L3" s="221"/>
      <c r="M3" s="221"/>
      <c r="N3" s="221"/>
      <c r="O3" s="221"/>
      <c r="P3" s="221"/>
      <c r="Q3" s="221"/>
      <c r="R3" s="221"/>
      <c r="S3" s="221"/>
      <c r="T3" s="221"/>
      <c r="U3" s="221"/>
      <c r="V3" s="220"/>
      <c r="W3" s="220"/>
      <c r="X3" s="220"/>
      <c r="Y3" s="220"/>
      <c r="Z3" s="459" t="s">
        <v>385</v>
      </c>
      <c r="AA3" s="459"/>
      <c r="AB3" s="459"/>
      <c r="AC3" s="459"/>
      <c r="AD3" s="459"/>
      <c r="AE3" s="220"/>
      <c r="AF3" s="220"/>
      <c r="AG3" s="220"/>
      <c r="AH3" s="220"/>
      <c r="AI3" s="220"/>
      <c r="AJ3" s="220"/>
    </row>
    <row r="4" spans="1:36" x14ac:dyDescent="0.2">
      <c r="A4" s="220"/>
      <c r="B4" s="220"/>
      <c r="C4" s="220"/>
      <c r="E4" s="221"/>
      <c r="F4" s="221"/>
      <c r="G4" s="221"/>
      <c r="H4" s="221"/>
      <c r="I4" s="221"/>
      <c r="J4" s="221"/>
      <c r="K4" s="221"/>
      <c r="L4" s="221"/>
      <c r="M4" s="221"/>
      <c r="N4" s="221"/>
      <c r="O4" s="221"/>
      <c r="P4" s="221"/>
      <c r="Q4" s="221"/>
      <c r="R4" s="221"/>
      <c r="S4" s="221"/>
      <c r="T4" s="221"/>
      <c r="U4" s="221"/>
      <c r="V4" s="220"/>
      <c r="W4" s="220"/>
      <c r="X4" s="220"/>
      <c r="Y4" s="220"/>
      <c r="Z4" s="384">
        <v>43881</v>
      </c>
      <c r="AA4" s="385" t="s">
        <v>388</v>
      </c>
      <c r="AB4" s="386" t="s">
        <v>356</v>
      </c>
      <c r="AC4" s="387">
        <v>1545</v>
      </c>
      <c r="AD4" s="386" t="s">
        <v>389</v>
      </c>
      <c r="AE4" s="220"/>
      <c r="AF4" s="220"/>
      <c r="AG4" s="220"/>
      <c r="AH4" s="220"/>
      <c r="AI4" s="220"/>
      <c r="AJ4" s="220"/>
    </row>
    <row r="5" spans="1:36" ht="15.75" thickBot="1" x14ac:dyDescent="0.25">
      <c r="A5" s="220"/>
      <c r="B5" s="220"/>
      <c r="C5" s="220"/>
      <c r="E5" s="221"/>
      <c r="F5" s="221"/>
      <c r="G5" s="221"/>
      <c r="H5" s="221"/>
      <c r="I5" s="221"/>
      <c r="J5" s="221"/>
      <c r="K5" s="221"/>
      <c r="L5" s="221"/>
      <c r="M5" s="221" t="s">
        <v>360</v>
      </c>
      <c r="N5" s="221"/>
      <c r="O5" s="221"/>
      <c r="P5" s="221"/>
      <c r="Q5" s="221"/>
      <c r="R5" s="221"/>
      <c r="S5" s="221"/>
      <c r="T5" s="221"/>
      <c r="U5" s="221"/>
      <c r="V5" s="220"/>
      <c r="W5" s="220"/>
      <c r="X5" s="220"/>
      <c r="Y5" s="220"/>
      <c r="Z5" s="384">
        <v>43881</v>
      </c>
      <c r="AA5" s="385">
        <v>2019</v>
      </c>
      <c r="AB5" s="386" t="s">
        <v>390</v>
      </c>
      <c r="AC5" s="387">
        <v>115</v>
      </c>
      <c r="AD5" s="386" t="s">
        <v>389</v>
      </c>
      <c r="AE5" s="220"/>
      <c r="AF5" s="220"/>
      <c r="AG5" s="220"/>
      <c r="AH5" s="220"/>
      <c r="AI5" s="220"/>
      <c r="AJ5" s="220"/>
    </row>
    <row r="6" spans="1:36" ht="16.5" thickBot="1" x14ac:dyDescent="0.3">
      <c r="A6" s="222"/>
      <c r="B6" s="223" t="s">
        <v>0</v>
      </c>
      <c r="C6" s="224"/>
      <c r="D6" s="224"/>
      <c r="E6" s="349"/>
      <c r="F6" s="349"/>
      <c r="G6" s="349"/>
      <c r="H6" s="349"/>
      <c r="I6" s="349"/>
      <c r="J6" s="349"/>
      <c r="K6" s="349"/>
      <c r="L6" s="349"/>
      <c r="M6" s="349"/>
      <c r="N6" s="349"/>
      <c r="O6" s="349"/>
      <c r="P6" s="349"/>
      <c r="Q6" s="349"/>
      <c r="R6" s="349"/>
      <c r="S6" s="349"/>
      <c r="T6" s="349"/>
      <c r="U6" s="311"/>
      <c r="V6" s="223" t="s">
        <v>0</v>
      </c>
      <c r="W6" s="224"/>
      <c r="X6" s="220"/>
      <c r="Y6" s="220"/>
      <c r="Z6" s="384">
        <v>43934</v>
      </c>
      <c r="AA6" s="385">
        <v>2019</v>
      </c>
      <c r="AB6" s="386" t="s">
        <v>46</v>
      </c>
      <c r="AC6" s="387">
        <v>189</v>
      </c>
      <c r="AD6" s="386" t="s">
        <v>389</v>
      </c>
      <c r="AE6" s="220"/>
      <c r="AF6" s="220"/>
      <c r="AG6" s="220"/>
      <c r="AH6" s="220"/>
      <c r="AI6" s="220"/>
      <c r="AJ6" s="220"/>
    </row>
    <row r="7" spans="1:36" ht="48" thickBot="1" x14ac:dyDescent="0.3">
      <c r="A7" s="160" t="s">
        <v>79</v>
      </c>
      <c r="B7" s="156" t="s">
        <v>3</v>
      </c>
      <c r="C7" s="107" t="s">
        <v>2</v>
      </c>
      <c r="D7" s="108" t="s">
        <v>364</v>
      </c>
      <c r="E7" s="109" t="s">
        <v>366</v>
      </c>
      <c r="F7" s="219" t="s">
        <v>4</v>
      </c>
      <c r="G7" s="110" t="s">
        <v>5</v>
      </c>
      <c r="H7" s="110" t="s">
        <v>6</v>
      </c>
      <c r="I7" s="110" t="s">
        <v>7</v>
      </c>
      <c r="J7" s="110" t="s">
        <v>8</v>
      </c>
      <c r="K7" s="110" t="s">
        <v>9</v>
      </c>
      <c r="L7" s="110" t="s">
        <v>10</v>
      </c>
      <c r="M7" s="110" t="s">
        <v>11</v>
      </c>
      <c r="N7" s="110" t="s">
        <v>12</v>
      </c>
      <c r="O7" s="110" t="s">
        <v>13</v>
      </c>
      <c r="P7" s="110" t="s">
        <v>14</v>
      </c>
      <c r="Q7" s="110" t="s">
        <v>15</v>
      </c>
      <c r="R7" s="111" t="s">
        <v>16</v>
      </c>
      <c r="S7" s="112" t="s">
        <v>367</v>
      </c>
      <c r="T7" s="109" t="s">
        <v>19</v>
      </c>
      <c r="U7" s="113" t="s">
        <v>41</v>
      </c>
      <c r="V7" s="156" t="s">
        <v>3</v>
      </c>
      <c r="W7" s="107" t="s">
        <v>2</v>
      </c>
      <c r="X7" s="220"/>
      <c r="Y7" s="220"/>
      <c r="Z7" s="384">
        <v>43934</v>
      </c>
      <c r="AA7" s="385">
        <v>2019</v>
      </c>
      <c r="AB7" s="386" t="s">
        <v>359</v>
      </c>
      <c r="AC7" s="387">
        <v>491</v>
      </c>
      <c r="AD7" s="386" t="s">
        <v>389</v>
      </c>
      <c r="AE7" s="220"/>
      <c r="AF7" s="220"/>
      <c r="AG7" s="220"/>
      <c r="AH7" s="220"/>
      <c r="AI7" s="220"/>
      <c r="AJ7" s="220"/>
    </row>
    <row r="8" spans="1:36" x14ac:dyDescent="0.2">
      <c r="A8" s="226"/>
      <c r="B8" s="227"/>
      <c r="C8" s="228"/>
      <c r="D8" s="228"/>
      <c r="E8" s="229"/>
      <c r="F8" s="229">
        <v>1</v>
      </c>
      <c r="G8" s="229"/>
      <c r="H8" s="229"/>
      <c r="I8" s="229"/>
      <c r="J8" s="229"/>
      <c r="K8" s="229"/>
      <c r="L8" s="229"/>
      <c r="M8" s="229"/>
      <c r="N8" s="229"/>
      <c r="O8" s="229"/>
      <c r="P8" s="229"/>
      <c r="Q8" s="229"/>
      <c r="R8" s="229"/>
      <c r="S8" s="333"/>
      <c r="T8" s="334"/>
      <c r="U8" s="313"/>
      <c r="V8" s="227"/>
      <c r="W8" s="228"/>
      <c r="X8" s="220"/>
      <c r="Y8" s="220"/>
      <c r="Z8" s="384">
        <v>43934</v>
      </c>
      <c r="AA8" s="385">
        <v>2019</v>
      </c>
      <c r="AB8" s="386" t="s">
        <v>394</v>
      </c>
      <c r="AC8" s="387">
        <v>105</v>
      </c>
      <c r="AD8" s="386" t="s">
        <v>389</v>
      </c>
      <c r="AE8" s="220"/>
      <c r="AF8" s="220"/>
      <c r="AG8" s="220"/>
      <c r="AH8" s="220"/>
      <c r="AI8" s="220"/>
      <c r="AJ8" s="220"/>
    </row>
    <row r="9" spans="1:36" x14ac:dyDescent="0.2">
      <c r="A9" s="234">
        <v>115264</v>
      </c>
      <c r="B9" s="255">
        <v>2014</v>
      </c>
      <c r="C9" s="234" t="s">
        <v>225</v>
      </c>
      <c r="D9" s="376">
        <v>9</v>
      </c>
      <c r="E9" s="236">
        <v>15</v>
      </c>
      <c r="F9" s="236">
        <v>7</v>
      </c>
      <c r="G9" s="236">
        <v>8</v>
      </c>
      <c r="H9" s="242"/>
      <c r="I9" s="242"/>
      <c r="J9" s="242"/>
      <c r="K9" s="242"/>
      <c r="L9" s="242"/>
      <c r="M9" s="242"/>
      <c r="N9" s="242"/>
      <c r="O9" s="242"/>
      <c r="P9" s="242"/>
      <c r="Q9" s="242"/>
      <c r="R9" s="337">
        <f>SUM(F9:Q9)</f>
        <v>15</v>
      </c>
      <c r="S9" s="263">
        <f t="shared" ref="S9" si="0">IFERROR((AVERAGE(F9:Q9)),0)</f>
        <v>7.5</v>
      </c>
      <c r="T9" s="336">
        <f>IFERROR((U9/S9),0)</f>
        <v>0</v>
      </c>
      <c r="U9" s="307">
        <f>SUM(E9-R9)</f>
        <v>0</v>
      </c>
      <c r="V9" s="255">
        <f>+B9</f>
        <v>2014</v>
      </c>
      <c r="W9" s="234" t="s">
        <v>225</v>
      </c>
      <c r="X9" s="220"/>
      <c r="Y9" s="220"/>
      <c r="Z9" s="384">
        <v>43934</v>
      </c>
      <c r="AA9" s="385">
        <v>2019</v>
      </c>
      <c r="AB9" s="386" t="s">
        <v>295</v>
      </c>
      <c r="AC9" s="387">
        <v>50</v>
      </c>
      <c r="AD9" s="386" t="s">
        <v>389</v>
      </c>
      <c r="AE9" s="220"/>
      <c r="AF9" s="220"/>
      <c r="AG9" s="220"/>
      <c r="AH9" s="220"/>
      <c r="AI9" s="220"/>
      <c r="AJ9" s="220"/>
    </row>
    <row r="10" spans="1:36" x14ac:dyDescent="0.2">
      <c r="A10" s="226"/>
      <c r="B10" s="226"/>
      <c r="C10" s="226"/>
      <c r="D10" s="333"/>
      <c r="E10" s="243"/>
      <c r="F10" s="243"/>
      <c r="G10" s="243"/>
      <c r="H10" s="243"/>
      <c r="I10" s="243"/>
      <c r="J10" s="243"/>
      <c r="K10" s="243"/>
      <c r="L10" s="243"/>
      <c r="M10" s="243"/>
      <c r="N10" s="243"/>
      <c r="O10" s="243"/>
      <c r="P10" s="243"/>
      <c r="Q10" s="243"/>
      <c r="R10" s="338"/>
      <c r="S10" s="339"/>
      <c r="T10" s="340"/>
      <c r="U10" s="320"/>
      <c r="V10" s="226"/>
      <c r="W10" s="226"/>
      <c r="X10" s="220"/>
      <c r="Y10" s="220"/>
      <c r="Z10" s="384">
        <v>43934</v>
      </c>
      <c r="AA10" s="385">
        <v>2019</v>
      </c>
      <c r="AB10" s="386" t="s">
        <v>297</v>
      </c>
      <c r="AC10" s="387">
        <v>100</v>
      </c>
      <c r="AD10" s="386" t="s">
        <v>389</v>
      </c>
      <c r="AE10" s="220"/>
      <c r="AF10" s="220"/>
      <c r="AG10" s="220"/>
      <c r="AH10" s="220"/>
      <c r="AI10" s="220"/>
      <c r="AJ10" s="220"/>
    </row>
    <row r="11" spans="1:36" x14ac:dyDescent="0.2">
      <c r="A11" s="234">
        <v>30306</v>
      </c>
      <c r="B11" s="255">
        <v>2015</v>
      </c>
      <c r="C11" s="234" t="s">
        <v>244</v>
      </c>
      <c r="D11" s="376">
        <v>2</v>
      </c>
      <c r="E11" s="236">
        <v>195</v>
      </c>
      <c r="F11" s="236">
        <v>0</v>
      </c>
      <c r="G11" s="236">
        <v>17</v>
      </c>
      <c r="H11" s="236">
        <v>2</v>
      </c>
      <c r="I11" s="236">
        <v>1</v>
      </c>
      <c r="J11" s="236">
        <v>0</v>
      </c>
      <c r="K11" s="236">
        <v>0</v>
      </c>
      <c r="L11" s="236">
        <v>0</v>
      </c>
      <c r="M11" s="236">
        <v>0</v>
      </c>
      <c r="N11" s="236">
        <v>0</v>
      </c>
      <c r="O11" s="236">
        <v>0</v>
      </c>
      <c r="P11" s="236">
        <v>0</v>
      </c>
      <c r="Q11" s="236">
        <v>0</v>
      </c>
      <c r="R11" s="335">
        <f>SUM(F11:Q11)</f>
        <v>20</v>
      </c>
      <c r="S11" s="263">
        <f>IFERROR((AVERAGE(F11:Q11)),0)</f>
        <v>1.6666666666666667</v>
      </c>
      <c r="T11" s="336">
        <f t="shared" ref="T11:T12" si="1">IFERROR((U11/S11),0)</f>
        <v>105</v>
      </c>
      <c r="U11" s="307">
        <f>SUM(E11-R11)</f>
        <v>175</v>
      </c>
      <c r="V11" s="255">
        <v>2015</v>
      </c>
      <c r="W11" s="234" t="s">
        <v>84</v>
      </c>
      <c r="X11" s="220"/>
      <c r="Y11" s="220"/>
      <c r="Z11" s="384">
        <v>43934</v>
      </c>
      <c r="AA11" s="385">
        <v>2019</v>
      </c>
      <c r="AB11" s="386" t="s">
        <v>395</v>
      </c>
      <c r="AC11" s="387">
        <v>75</v>
      </c>
      <c r="AD11" s="386" t="s">
        <v>389</v>
      </c>
      <c r="AE11" s="220"/>
      <c r="AF11" s="220"/>
      <c r="AG11" s="220"/>
      <c r="AH11" s="220"/>
      <c r="AI11" s="220"/>
      <c r="AJ11" s="220"/>
    </row>
    <row r="12" spans="1:36" x14ac:dyDescent="0.2">
      <c r="A12" s="234">
        <v>84802</v>
      </c>
      <c r="B12" s="255">
        <v>2015</v>
      </c>
      <c r="C12" s="234" t="s">
        <v>93</v>
      </c>
      <c r="D12" s="376">
        <v>10</v>
      </c>
      <c r="E12" s="236">
        <v>34</v>
      </c>
      <c r="F12" s="236">
        <v>19</v>
      </c>
      <c r="G12" s="236">
        <v>9</v>
      </c>
      <c r="H12" s="236">
        <v>6</v>
      </c>
      <c r="I12" s="236">
        <v>0</v>
      </c>
      <c r="J12" s="242"/>
      <c r="K12" s="242"/>
      <c r="L12" s="242"/>
      <c r="M12" s="242"/>
      <c r="N12" s="242"/>
      <c r="O12" s="242"/>
      <c r="P12" s="242"/>
      <c r="Q12" s="242"/>
      <c r="R12" s="335">
        <f t="shared" ref="R12" si="2">SUM(F12:Q12)</f>
        <v>34</v>
      </c>
      <c r="S12" s="263">
        <f t="shared" ref="S12" si="3">IFERROR((AVERAGE(F12:Q12)),0)</f>
        <v>8.5</v>
      </c>
      <c r="T12" s="336">
        <f t="shared" si="1"/>
        <v>0</v>
      </c>
      <c r="U12" s="307">
        <f t="shared" ref="U12" si="4">SUM(E12-R12)</f>
        <v>0</v>
      </c>
      <c r="V12" s="255">
        <v>2015</v>
      </c>
      <c r="W12" s="234" t="s">
        <v>93</v>
      </c>
      <c r="X12" s="220"/>
      <c r="Y12" s="220"/>
      <c r="Z12" s="384">
        <v>43934</v>
      </c>
      <c r="AA12" s="385">
        <v>2019</v>
      </c>
      <c r="AB12" s="386" t="s">
        <v>299</v>
      </c>
      <c r="AC12" s="387">
        <v>383</v>
      </c>
      <c r="AD12" s="386" t="s">
        <v>389</v>
      </c>
      <c r="AE12" s="220"/>
      <c r="AF12" s="220"/>
      <c r="AG12" s="220"/>
      <c r="AH12" s="220"/>
      <c r="AI12" s="220"/>
      <c r="AJ12" s="220"/>
    </row>
    <row r="13" spans="1:36" x14ac:dyDescent="0.2">
      <c r="A13" s="226"/>
      <c r="B13" s="226"/>
      <c r="C13" s="226"/>
      <c r="D13" s="243"/>
      <c r="E13" s="243"/>
      <c r="F13" s="243"/>
      <c r="G13" s="243"/>
      <c r="H13" s="243"/>
      <c r="I13" s="243"/>
      <c r="J13" s="243"/>
      <c r="K13" s="243"/>
      <c r="L13" s="243"/>
      <c r="M13" s="243"/>
      <c r="N13" s="243"/>
      <c r="O13" s="243"/>
      <c r="P13" s="243"/>
      <c r="Q13" s="243"/>
      <c r="R13" s="243"/>
      <c r="S13" s="243"/>
      <c r="T13" s="243"/>
      <c r="U13" s="243"/>
      <c r="V13" s="226"/>
      <c r="W13" s="226"/>
      <c r="X13" s="220"/>
      <c r="Y13" s="220"/>
      <c r="Z13" s="384">
        <v>43992</v>
      </c>
      <c r="AA13" s="385">
        <v>2019</v>
      </c>
      <c r="AB13" s="386" t="s">
        <v>406</v>
      </c>
      <c r="AC13" s="387">
        <v>502</v>
      </c>
      <c r="AD13" s="386" t="s">
        <v>389</v>
      </c>
      <c r="AE13" s="220"/>
      <c r="AF13" s="220"/>
      <c r="AG13" s="220"/>
      <c r="AH13" s="220"/>
      <c r="AI13" s="220"/>
      <c r="AJ13" s="220"/>
    </row>
    <row r="14" spans="1:36" ht="16.149999999999999" customHeight="1" x14ac:dyDescent="0.2">
      <c r="A14" s="234">
        <v>57630</v>
      </c>
      <c r="B14" s="255">
        <v>2016</v>
      </c>
      <c r="C14" s="234" t="s">
        <v>25</v>
      </c>
      <c r="D14" s="376">
        <v>32</v>
      </c>
      <c r="E14" s="236">
        <v>15</v>
      </c>
      <c r="F14" s="236">
        <v>2</v>
      </c>
      <c r="G14" s="236">
        <v>1</v>
      </c>
      <c r="H14" s="236">
        <v>1</v>
      </c>
      <c r="I14" s="236">
        <v>1</v>
      </c>
      <c r="J14" s="236">
        <v>1</v>
      </c>
      <c r="K14" s="242" t="s">
        <v>35</v>
      </c>
      <c r="L14" s="242"/>
      <c r="M14" s="242"/>
      <c r="N14" s="242"/>
      <c r="O14" s="242"/>
      <c r="P14" s="242"/>
      <c r="Q14" s="242"/>
      <c r="R14" s="335">
        <f>SUM(F14:Q14)</f>
        <v>6</v>
      </c>
      <c r="S14" s="263">
        <f t="shared" ref="S14:S19" si="5">IFERROR((AVERAGE(F14:Q14)),0)</f>
        <v>1.2</v>
      </c>
      <c r="T14" s="336">
        <f t="shared" ref="T14:T19" si="6">IFERROR((U14/S14),0)</f>
        <v>0</v>
      </c>
      <c r="U14" s="307">
        <v>0</v>
      </c>
      <c r="V14" s="233">
        <f>+B14</f>
        <v>2016</v>
      </c>
      <c r="W14" s="234" t="str">
        <f>+C14</f>
        <v>Chardonnay</v>
      </c>
      <c r="X14" s="220"/>
      <c r="Y14" s="220"/>
      <c r="Z14" s="384">
        <v>43992</v>
      </c>
      <c r="AA14" s="385">
        <v>2019</v>
      </c>
      <c r="AB14" s="386" t="s">
        <v>407</v>
      </c>
      <c r="AC14" s="387">
        <v>297</v>
      </c>
      <c r="AD14" s="386" t="s">
        <v>389</v>
      </c>
      <c r="AE14" s="220"/>
      <c r="AF14" s="220"/>
      <c r="AG14" s="220"/>
      <c r="AH14" s="220"/>
      <c r="AI14" s="220"/>
      <c r="AJ14" s="220"/>
    </row>
    <row r="15" spans="1:36" x14ac:dyDescent="0.2">
      <c r="A15" s="234">
        <v>133687</v>
      </c>
      <c r="B15" s="255">
        <v>2016</v>
      </c>
      <c r="C15" s="234" t="s">
        <v>93</v>
      </c>
      <c r="D15" s="376">
        <v>10</v>
      </c>
      <c r="E15" s="236">
        <v>112</v>
      </c>
      <c r="F15" s="236">
        <v>0</v>
      </c>
      <c r="G15" s="236">
        <v>1</v>
      </c>
      <c r="H15" s="236">
        <v>5</v>
      </c>
      <c r="I15" s="236">
        <v>5</v>
      </c>
      <c r="J15" s="236">
        <v>12</v>
      </c>
      <c r="K15" s="236">
        <v>9</v>
      </c>
      <c r="L15" s="236">
        <v>10</v>
      </c>
      <c r="M15" s="236">
        <v>8</v>
      </c>
      <c r="N15" s="236">
        <v>13</v>
      </c>
      <c r="O15" s="236">
        <v>16</v>
      </c>
      <c r="P15" s="236">
        <v>16</v>
      </c>
      <c r="Q15" s="236">
        <v>17</v>
      </c>
      <c r="R15" s="335">
        <f t="shared" ref="R15:R19" si="7">SUM(F15:Q15)</f>
        <v>112</v>
      </c>
      <c r="S15" s="263">
        <f t="shared" si="5"/>
        <v>9.3333333333333339</v>
      </c>
      <c r="T15" s="336">
        <f t="shared" si="6"/>
        <v>0</v>
      </c>
      <c r="U15" s="307">
        <f t="shared" ref="U15:U19" si="8">SUM(E15-R15)</f>
        <v>0</v>
      </c>
      <c r="V15" s="233">
        <f t="shared" ref="V15:V19" si="9">+B15</f>
        <v>2016</v>
      </c>
      <c r="W15" s="234" t="str">
        <f t="shared" ref="W15:W19" si="10">+C15</f>
        <v>Cab Franc Res</v>
      </c>
      <c r="X15" s="220"/>
      <c r="Y15" s="220"/>
      <c r="Z15" s="384">
        <v>43992</v>
      </c>
      <c r="AA15" s="385">
        <v>2019</v>
      </c>
      <c r="AB15" s="386" t="s">
        <v>408</v>
      </c>
      <c r="AC15" s="387">
        <v>412</v>
      </c>
      <c r="AD15" s="386" t="s">
        <v>389</v>
      </c>
      <c r="AE15" s="220"/>
      <c r="AF15" s="220"/>
      <c r="AG15" s="220"/>
      <c r="AH15" s="220"/>
      <c r="AI15" s="220"/>
      <c r="AJ15" s="220"/>
    </row>
    <row r="16" spans="1:36" x14ac:dyDescent="0.2">
      <c r="A16" s="250">
        <v>28361</v>
      </c>
      <c r="B16" s="255">
        <v>2016</v>
      </c>
      <c r="C16" s="250" t="s">
        <v>24</v>
      </c>
      <c r="D16" s="244"/>
      <c r="E16" s="236">
        <v>6</v>
      </c>
      <c r="F16" s="236">
        <v>6</v>
      </c>
      <c r="G16" s="242"/>
      <c r="H16" s="242"/>
      <c r="I16" s="242"/>
      <c r="J16" s="242"/>
      <c r="K16" s="242"/>
      <c r="L16" s="242"/>
      <c r="M16" s="242"/>
      <c r="N16" s="242"/>
      <c r="O16" s="242"/>
      <c r="P16" s="242"/>
      <c r="Q16" s="242"/>
      <c r="R16" s="335">
        <f t="shared" ref="R16" si="11">SUM(F16:Q16)</f>
        <v>6</v>
      </c>
      <c r="S16" s="263">
        <f t="shared" ref="S16" si="12">IFERROR((AVERAGE(F16:Q16)),0)</f>
        <v>6</v>
      </c>
      <c r="T16" s="336">
        <f t="shared" ref="T16" si="13">IFERROR((U16/S16),0)</f>
        <v>0</v>
      </c>
      <c r="U16" s="307">
        <f t="shared" ref="U16" si="14">SUM(E16-R16)</f>
        <v>0</v>
      </c>
      <c r="V16" s="233">
        <f t="shared" si="9"/>
        <v>2016</v>
      </c>
      <c r="W16" s="234" t="str">
        <f t="shared" si="10"/>
        <v>Cab Sauv</v>
      </c>
      <c r="X16" s="220"/>
      <c r="Y16" s="220"/>
      <c r="Z16" s="384">
        <v>43992</v>
      </c>
      <c r="AA16" s="385">
        <v>2019</v>
      </c>
      <c r="AB16" s="386" t="s">
        <v>409</v>
      </c>
      <c r="AC16" s="387">
        <v>14</v>
      </c>
      <c r="AD16" s="386" t="s">
        <v>389</v>
      </c>
      <c r="AE16" s="220"/>
      <c r="AF16" s="220"/>
      <c r="AG16" s="220"/>
      <c r="AH16" s="220"/>
      <c r="AI16" s="220"/>
      <c r="AJ16" s="220"/>
    </row>
    <row r="17" spans="1:39" x14ac:dyDescent="0.2">
      <c r="A17" s="234">
        <v>22921</v>
      </c>
      <c r="B17" s="255">
        <v>2016</v>
      </c>
      <c r="C17" s="234" t="s">
        <v>221</v>
      </c>
      <c r="D17" s="376"/>
      <c r="E17" s="236">
        <v>144</v>
      </c>
      <c r="F17" s="236">
        <v>57</v>
      </c>
      <c r="G17" s="236">
        <v>70</v>
      </c>
      <c r="H17" s="236">
        <v>11</v>
      </c>
      <c r="I17" s="236">
        <v>1</v>
      </c>
      <c r="J17" s="236">
        <v>2</v>
      </c>
      <c r="K17" s="242">
        <v>0</v>
      </c>
      <c r="L17" s="242"/>
      <c r="M17" s="242"/>
      <c r="N17" s="242"/>
      <c r="O17" s="242"/>
      <c r="P17" s="242"/>
      <c r="Q17" s="242"/>
      <c r="R17" s="335">
        <f>SUM(F17:Q17)</f>
        <v>141</v>
      </c>
      <c r="S17" s="263">
        <f>IFERROR((AVERAGE(F17:Q17)),0)</f>
        <v>23.5</v>
      </c>
      <c r="T17" s="336">
        <f>IFERROR((U17/S17),0)</f>
        <v>0</v>
      </c>
      <c r="U17" s="307">
        <v>0</v>
      </c>
      <c r="V17" s="233">
        <f t="shared" si="9"/>
        <v>2016</v>
      </c>
      <c r="W17" s="234" t="s">
        <v>22</v>
      </c>
      <c r="X17" s="220"/>
      <c r="Y17" s="220"/>
      <c r="Z17" s="384">
        <v>44172</v>
      </c>
      <c r="AA17" s="385">
        <v>2019</v>
      </c>
      <c r="AB17" s="386" t="s">
        <v>450</v>
      </c>
      <c r="AC17" s="387">
        <v>50</v>
      </c>
      <c r="AD17" s="386" t="s">
        <v>389</v>
      </c>
      <c r="AE17" s="220"/>
      <c r="AF17" s="220"/>
      <c r="AG17" s="220"/>
      <c r="AH17" s="220"/>
      <c r="AI17" s="220"/>
      <c r="AJ17" s="220"/>
    </row>
    <row r="18" spans="1:39" x14ac:dyDescent="0.2">
      <c r="A18" s="250">
        <v>133685</v>
      </c>
      <c r="B18" s="255">
        <v>2016</v>
      </c>
      <c r="C18" s="250" t="s">
        <v>52</v>
      </c>
      <c r="D18" s="244"/>
      <c r="E18" s="236">
        <v>232</v>
      </c>
      <c r="F18" s="236">
        <v>30</v>
      </c>
      <c r="G18" s="236">
        <v>24</v>
      </c>
      <c r="H18" s="236">
        <v>22</v>
      </c>
      <c r="I18" s="236">
        <v>16</v>
      </c>
      <c r="J18" s="236">
        <v>14</v>
      </c>
      <c r="K18" s="236">
        <v>15</v>
      </c>
      <c r="L18" s="236">
        <v>11</v>
      </c>
      <c r="M18" s="236">
        <v>23</v>
      </c>
      <c r="N18" s="236">
        <v>20</v>
      </c>
      <c r="O18" s="236">
        <v>26</v>
      </c>
      <c r="P18" s="236">
        <v>27</v>
      </c>
      <c r="Q18" s="236">
        <v>4</v>
      </c>
      <c r="R18" s="335">
        <f>SUM(F18:Q18)</f>
        <v>232</v>
      </c>
      <c r="S18" s="263">
        <f>IFERROR((AVERAGE(F18:Q18)),0)</f>
        <v>19.333333333333332</v>
      </c>
      <c r="T18" s="336">
        <f>IFERROR((U18/S18),0)</f>
        <v>0</v>
      </c>
      <c r="U18" s="307">
        <f>SUM(E18-R18)</f>
        <v>0</v>
      </c>
      <c r="V18" s="233">
        <f t="shared" si="9"/>
        <v>2016</v>
      </c>
      <c r="W18" s="234" t="str">
        <f t="shared" si="10"/>
        <v>Ameritage Res</v>
      </c>
      <c r="X18" s="220"/>
      <c r="Y18" s="220"/>
      <c r="Z18" s="384">
        <v>44172</v>
      </c>
      <c r="AA18" s="385">
        <v>2019</v>
      </c>
      <c r="AB18" s="386" t="s">
        <v>451</v>
      </c>
      <c r="AC18" s="387">
        <v>25</v>
      </c>
      <c r="AD18" s="386" t="s">
        <v>389</v>
      </c>
      <c r="AE18" s="220"/>
      <c r="AF18" s="220"/>
      <c r="AG18" s="220"/>
      <c r="AH18" s="220"/>
      <c r="AI18" s="220"/>
      <c r="AJ18" s="220"/>
    </row>
    <row r="19" spans="1:39" ht="14.25" customHeight="1" x14ac:dyDescent="0.2">
      <c r="A19" s="234">
        <v>135370</v>
      </c>
      <c r="B19" s="255">
        <v>2016</v>
      </c>
      <c r="C19" s="234" t="s">
        <v>217</v>
      </c>
      <c r="D19" s="244"/>
      <c r="E19" s="236">
        <v>202</v>
      </c>
      <c r="F19" s="357">
        <v>20</v>
      </c>
      <c r="G19" s="357">
        <v>8</v>
      </c>
      <c r="H19" s="357">
        <v>2</v>
      </c>
      <c r="I19" s="357">
        <v>9</v>
      </c>
      <c r="J19" s="357">
        <v>21</v>
      </c>
      <c r="K19" s="357">
        <v>7</v>
      </c>
      <c r="L19" s="357">
        <v>8</v>
      </c>
      <c r="M19" s="357">
        <v>8</v>
      </c>
      <c r="N19" s="357">
        <v>10</v>
      </c>
      <c r="O19" s="357">
        <v>14</v>
      </c>
      <c r="P19" s="357">
        <v>14</v>
      </c>
      <c r="Q19" s="236">
        <v>11</v>
      </c>
      <c r="R19" s="335">
        <f t="shared" si="7"/>
        <v>132</v>
      </c>
      <c r="S19" s="263">
        <f t="shared" si="5"/>
        <v>11</v>
      </c>
      <c r="T19" s="336">
        <f t="shared" si="6"/>
        <v>6.3636363636363633</v>
      </c>
      <c r="U19" s="307">
        <f t="shared" si="8"/>
        <v>70</v>
      </c>
      <c r="V19" s="233">
        <f t="shared" si="9"/>
        <v>2016</v>
      </c>
      <c r="W19" s="234" t="str">
        <f t="shared" si="10"/>
        <v>Petit Verdot Reserve</v>
      </c>
      <c r="X19" s="220"/>
      <c r="Y19" s="220"/>
      <c r="Z19" s="384">
        <v>44172</v>
      </c>
      <c r="AA19" s="385">
        <v>2019</v>
      </c>
      <c r="AB19" s="386" t="s">
        <v>452</v>
      </c>
      <c r="AC19" s="387">
        <v>36</v>
      </c>
      <c r="AD19" s="386" t="s">
        <v>389</v>
      </c>
      <c r="AE19" s="220"/>
      <c r="AF19" s="220"/>
      <c r="AG19" s="220"/>
      <c r="AH19" s="220"/>
      <c r="AI19" s="220"/>
      <c r="AJ19" s="220"/>
    </row>
    <row r="20" spans="1:39" x14ac:dyDescent="0.2">
      <c r="A20" s="226"/>
      <c r="B20" s="226"/>
      <c r="C20" s="226"/>
      <c r="D20" s="243"/>
      <c r="E20" s="243"/>
      <c r="F20" s="243"/>
      <c r="G20" s="243"/>
      <c r="H20" s="243"/>
      <c r="I20" s="243"/>
      <c r="J20" s="243"/>
      <c r="K20" s="243"/>
      <c r="L20" s="243"/>
      <c r="M20" s="243"/>
      <c r="N20" s="243"/>
      <c r="O20" s="243"/>
      <c r="P20" s="243"/>
      <c r="Q20" s="243"/>
      <c r="R20" s="243"/>
      <c r="S20" s="243"/>
      <c r="T20" s="243"/>
      <c r="U20" s="243"/>
      <c r="V20" s="226"/>
      <c r="W20" s="226"/>
      <c r="X20" s="220"/>
      <c r="Y20" s="220"/>
      <c r="Z20" s="384">
        <v>44172</v>
      </c>
      <c r="AA20" s="385">
        <v>2019</v>
      </c>
      <c r="AB20" s="386" t="s">
        <v>453</v>
      </c>
      <c r="AC20" s="387">
        <v>164</v>
      </c>
      <c r="AD20" s="386" t="s">
        <v>389</v>
      </c>
      <c r="AE20" s="220"/>
      <c r="AF20" s="220"/>
      <c r="AG20" s="220"/>
      <c r="AH20" s="220"/>
      <c r="AI20" s="220"/>
      <c r="AJ20" s="220"/>
    </row>
    <row r="21" spans="1:39" ht="15" customHeight="1" x14ac:dyDescent="0.2">
      <c r="A21" s="234">
        <v>11198</v>
      </c>
      <c r="B21" s="233">
        <v>2017</v>
      </c>
      <c r="C21" s="234" t="s">
        <v>46</v>
      </c>
      <c r="D21" s="244">
        <v>26</v>
      </c>
      <c r="E21" s="252">
        <v>53</v>
      </c>
      <c r="F21" s="252">
        <v>19</v>
      </c>
      <c r="G21" s="252">
        <v>21</v>
      </c>
      <c r="H21" s="252">
        <v>9</v>
      </c>
      <c r="I21" s="252">
        <v>4</v>
      </c>
      <c r="J21" s="319"/>
      <c r="K21" s="319"/>
      <c r="L21" s="319"/>
      <c r="M21" s="319"/>
      <c r="N21" s="319"/>
      <c r="O21" s="319"/>
      <c r="P21" s="319"/>
      <c r="Q21" s="319"/>
      <c r="R21" s="335">
        <f t="shared" ref="R21:R24" si="15">SUM(F21:Q21)</f>
        <v>53</v>
      </c>
      <c r="S21" s="263">
        <f t="shared" ref="S21:S22" si="16">IFERROR((AVERAGE(F21:Q21)),0)</f>
        <v>13.25</v>
      </c>
      <c r="T21" s="336">
        <f>IFERROR((U21/S21),0)</f>
        <v>0</v>
      </c>
      <c r="U21" s="307">
        <f t="shared" ref="U21:U47" si="17">SUM(E21-R21)</f>
        <v>0</v>
      </c>
      <c r="V21" s="233">
        <v>2017</v>
      </c>
      <c r="W21" s="234" t="s">
        <v>46</v>
      </c>
      <c r="X21" s="220"/>
      <c r="Y21" s="220"/>
      <c r="Z21" s="384">
        <v>44172</v>
      </c>
      <c r="AA21" s="385">
        <v>2019</v>
      </c>
      <c r="AB21" s="386" t="s">
        <v>25</v>
      </c>
      <c r="AC21" s="387">
        <v>400</v>
      </c>
      <c r="AD21" s="386" t="s">
        <v>389</v>
      </c>
      <c r="AE21" s="220"/>
      <c r="AF21" s="220"/>
      <c r="AG21" s="220"/>
      <c r="AH21" s="220"/>
      <c r="AI21" s="220"/>
      <c r="AJ21" s="220"/>
    </row>
    <row r="22" spans="1:39" ht="15" customHeight="1" x14ac:dyDescent="0.2">
      <c r="A22" s="234">
        <v>28384</v>
      </c>
      <c r="B22" s="233">
        <v>2017</v>
      </c>
      <c r="C22" s="234" t="s">
        <v>271</v>
      </c>
      <c r="D22" s="244" t="s">
        <v>35</v>
      </c>
      <c r="E22" s="252">
        <v>46</v>
      </c>
      <c r="F22" s="252">
        <v>4</v>
      </c>
      <c r="G22" s="252">
        <v>1</v>
      </c>
      <c r="H22" s="252">
        <v>6</v>
      </c>
      <c r="I22" s="252">
        <v>15</v>
      </c>
      <c r="J22" s="252">
        <v>18</v>
      </c>
      <c r="K22" s="252">
        <v>2</v>
      </c>
      <c r="L22" s="319"/>
      <c r="M22" s="319"/>
      <c r="N22" s="319"/>
      <c r="O22" s="319"/>
      <c r="P22" s="319"/>
      <c r="Q22" s="319"/>
      <c r="R22" s="335">
        <f t="shared" si="15"/>
        <v>46</v>
      </c>
      <c r="S22" s="263">
        <f t="shared" si="16"/>
        <v>7.666666666666667</v>
      </c>
      <c r="T22" s="336">
        <f>IFERROR((U22/S22),0)</f>
        <v>0</v>
      </c>
      <c r="U22" s="307">
        <f t="shared" si="17"/>
        <v>0</v>
      </c>
      <c r="V22" s="233">
        <v>2017</v>
      </c>
      <c r="W22" s="234" t="s">
        <v>272</v>
      </c>
      <c r="X22" s="220"/>
      <c r="Y22" s="220"/>
      <c r="Z22" s="384">
        <v>44172</v>
      </c>
      <c r="AA22" s="385">
        <v>2019</v>
      </c>
      <c r="AB22" s="386" t="s">
        <v>26</v>
      </c>
      <c r="AC22" s="387">
        <v>227</v>
      </c>
      <c r="AD22" s="386" t="s">
        <v>389</v>
      </c>
      <c r="AF22" s="220"/>
      <c r="AG22" s="220"/>
      <c r="AH22" s="220"/>
      <c r="AI22" s="220"/>
      <c r="AJ22" s="220"/>
    </row>
    <row r="23" spans="1:39" ht="15" customHeight="1" x14ac:dyDescent="0.2">
      <c r="A23" s="234">
        <v>57632</v>
      </c>
      <c r="B23" s="233">
        <v>2017</v>
      </c>
      <c r="C23" s="234" t="s">
        <v>31</v>
      </c>
      <c r="D23" s="244">
        <v>35</v>
      </c>
      <c r="E23" s="252">
        <v>113</v>
      </c>
      <c r="F23" s="369">
        <v>17</v>
      </c>
      <c r="G23" s="369">
        <v>15</v>
      </c>
      <c r="H23" s="369">
        <v>16</v>
      </c>
      <c r="I23" s="369">
        <v>44</v>
      </c>
      <c r="J23" s="369">
        <v>21</v>
      </c>
      <c r="K23" s="319"/>
      <c r="L23" s="319"/>
      <c r="M23" s="319"/>
      <c r="N23" s="319"/>
      <c r="O23" s="319"/>
      <c r="P23" s="319"/>
      <c r="Q23" s="319"/>
      <c r="R23" s="335">
        <f>SUM(F23:Q23)</f>
        <v>113</v>
      </c>
      <c r="S23" s="263">
        <f>IFERROR((AVERAGE(F23:Q23)),0)</f>
        <v>22.6</v>
      </c>
      <c r="T23" s="336">
        <f>IFERROR((U23/S23),0)</f>
        <v>0</v>
      </c>
      <c r="U23" s="307">
        <f>SUM(E23-R23)</f>
        <v>0</v>
      </c>
      <c r="V23" s="233">
        <v>2017</v>
      </c>
      <c r="W23" s="234" t="s">
        <v>31</v>
      </c>
      <c r="X23" s="220"/>
      <c r="Y23" s="220"/>
      <c r="Z23" s="384">
        <v>44172</v>
      </c>
      <c r="AA23" s="385">
        <v>2019</v>
      </c>
      <c r="AB23" s="386" t="s">
        <v>23</v>
      </c>
      <c r="AC23" s="387">
        <v>676</v>
      </c>
      <c r="AD23" s="386" t="s">
        <v>389</v>
      </c>
      <c r="AE23" s="220"/>
      <c r="AF23" s="220"/>
      <c r="AG23" s="220"/>
      <c r="AH23" s="220"/>
      <c r="AI23" s="220"/>
      <c r="AJ23" s="220"/>
    </row>
    <row r="24" spans="1:39" ht="15" customHeight="1" x14ac:dyDescent="0.2">
      <c r="A24" s="234">
        <v>57630</v>
      </c>
      <c r="B24" s="233">
        <v>2017</v>
      </c>
      <c r="C24" s="234" t="s">
        <v>25</v>
      </c>
      <c r="D24" s="244">
        <v>32</v>
      </c>
      <c r="E24" s="252">
        <v>854</v>
      </c>
      <c r="F24" s="369">
        <v>29</v>
      </c>
      <c r="G24" s="369">
        <v>19</v>
      </c>
      <c r="H24" s="369">
        <v>16</v>
      </c>
      <c r="I24" s="369">
        <v>16</v>
      </c>
      <c r="J24" s="369">
        <v>30</v>
      </c>
      <c r="K24" s="369">
        <v>23</v>
      </c>
      <c r="L24" s="369">
        <v>28</v>
      </c>
      <c r="M24" s="369">
        <v>33</v>
      </c>
      <c r="N24" s="369">
        <v>32</v>
      </c>
      <c r="O24" s="369">
        <v>38</v>
      </c>
      <c r="P24" s="369">
        <v>58</v>
      </c>
      <c r="Q24" s="369">
        <v>40</v>
      </c>
      <c r="R24" s="335">
        <f t="shared" si="15"/>
        <v>362</v>
      </c>
      <c r="S24" s="263">
        <f t="shared" ref="S24:S47" si="18">IFERROR((AVERAGE(F24:Q24)),0)</f>
        <v>30.166666666666668</v>
      </c>
      <c r="T24" s="336">
        <f t="shared" ref="T24:T47" si="19">IFERROR((U24/S24),0)</f>
        <v>16.30939226519337</v>
      </c>
      <c r="U24" s="307">
        <f t="shared" si="17"/>
        <v>492</v>
      </c>
      <c r="V24" s="233">
        <v>2017</v>
      </c>
      <c r="W24" s="234" t="s">
        <v>25</v>
      </c>
      <c r="X24" s="220"/>
      <c r="Y24" s="220"/>
      <c r="Z24" s="384">
        <v>44173</v>
      </c>
      <c r="AA24" s="385">
        <v>2019</v>
      </c>
      <c r="AB24" s="386" t="s">
        <v>441</v>
      </c>
      <c r="AC24" s="387">
        <v>298</v>
      </c>
      <c r="AD24" s="386" t="s">
        <v>389</v>
      </c>
      <c r="AE24" s="220"/>
      <c r="AF24" s="220"/>
      <c r="AG24" s="220"/>
      <c r="AH24" s="220"/>
      <c r="AI24" s="220"/>
      <c r="AJ24" s="220"/>
      <c r="AK24" s="220"/>
      <c r="AL24" s="220"/>
      <c r="AM24" s="220"/>
    </row>
    <row r="25" spans="1:39" ht="15" customHeight="1" x14ac:dyDescent="0.2">
      <c r="A25" s="234">
        <v>133688</v>
      </c>
      <c r="B25" s="233">
        <v>2017</v>
      </c>
      <c r="C25" s="234" t="s">
        <v>23</v>
      </c>
      <c r="D25" s="244" t="s">
        <v>35</v>
      </c>
      <c r="E25" s="252">
        <v>348</v>
      </c>
      <c r="F25" s="369">
        <v>32</v>
      </c>
      <c r="G25" s="369">
        <v>32</v>
      </c>
      <c r="H25" s="369">
        <v>27</v>
      </c>
      <c r="I25" s="369">
        <v>28</v>
      </c>
      <c r="J25" s="369">
        <v>41</v>
      </c>
      <c r="K25" s="369">
        <v>21</v>
      </c>
      <c r="L25" s="369">
        <v>27</v>
      </c>
      <c r="M25" s="369">
        <v>69</v>
      </c>
      <c r="N25" s="369">
        <v>41</v>
      </c>
      <c r="O25" s="369">
        <v>30</v>
      </c>
      <c r="P25" s="319"/>
      <c r="Q25" s="319"/>
      <c r="R25" s="335">
        <f t="shared" ref="R25:R31" si="20">SUM(F25:Q25)</f>
        <v>348</v>
      </c>
      <c r="S25" s="263">
        <f t="shared" si="18"/>
        <v>34.799999999999997</v>
      </c>
      <c r="T25" s="336">
        <f t="shared" si="19"/>
        <v>0</v>
      </c>
      <c r="U25" s="307">
        <f t="shared" si="17"/>
        <v>0</v>
      </c>
      <c r="V25" s="233">
        <v>2017</v>
      </c>
      <c r="W25" s="234" t="s">
        <v>23</v>
      </c>
      <c r="X25" s="220"/>
      <c r="Y25" s="220"/>
      <c r="Z25" s="384">
        <v>44173</v>
      </c>
      <c r="AA25" s="385">
        <v>2019</v>
      </c>
      <c r="AB25" s="386" t="s">
        <v>291</v>
      </c>
      <c r="AC25" s="387">
        <v>116</v>
      </c>
      <c r="AD25" s="386" t="s">
        <v>389</v>
      </c>
      <c r="AE25" s="220"/>
      <c r="AF25" s="220"/>
      <c r="AG25" s="220"/>
      <c r="AH25" s="220"/>
      <c r="AI25" s="220"/>
      <c r="AJ25" s="220"/>
      <c r="AK25" s="220"/>
      <c r="AL25" s="220"/>
      <c r="AM25" s="220"/>
    </row>
    <row r="26" spans="1:39" ht="15" customHeight="1" x14ac:dyDescent="0.2">
      <c r="A26" s="234">
        <v>133687</v>
      </c>
      <c r="B26" s="233">
        <v>2017</v>
      </c>
      <c r="C26" s="234" t="s">
        <v>93</v>
      </c>
      <c r="D26" s="244">
        <v>15</v>
      </c>
      <c r="E26" s="252">
        <v>134</v>
      </c>
      <c r="F26" s="252">
        <v>0</v>
      </c>
      <c r="G26" s="252">
        <v>0</v>
      </c>
      <c r="H26" s="252">
        <v>0</v>
      </c>
      <c r="I26" s="252">
        <v>0</v>
      </c>
      <c r="J26" s="252">
        <v>0</v>
      </c>
      <c r="K26" s="252">
        <v>0</v>
      </c>
      <c r="L26" s="252">
        <v>0</v>
      </c>
      <c r="M26" s="252">
        <v>0</v>
      </c>
      <c r="N26" s="252">
        <v>5</v>
      </c>
      <c r="O26" s="252">
        <v>11</v>
      </c>
      <c r="P26" s="252">
        <v>4</v>
      </c>
      <c r="Q26" s="252">
        <v>14</v>
      </c>
      <c r="R26" s="335">
        <f t="shared" si="20"/>
        <v>34</v>
      </c>
      <c r="S26" s="263">
        <f t="shared" si="18"/>
        <v>2.8333333333333335</v>
      </c>
      <c r="T26" s="336">
        <f t="shared" si="19"/>
        <v>35.294117647058819</v>
      </c>
      <c r="U26" s="307">
        <f t="shared" si="17"/>
        <v>100</v>
      </c>
      <c r="V26" s="233">
        <v>2017</v>
      </c>
      <c r="W26" s="234" t="s">
        <v>93</v>
      </c>
      <c r="X26" s="220"/>
      <c r="Y26" s="220"/>
      <c r="Z26" s="384">
        <v>44173</v>
      </c>
      <c r="AA26" s="385">
        <v>2019</v>
      </c>
      <c r="AB26" s="386" t="s">
        <v>56</v>
      </c>
      <c r="AC26" s="387">
        <v>391</v>
      </c>
      <c r="AD26" s="386" t="s">
        <v>389</v>
      </c>
      <c r="AE26" s="220"/>
      <c r="AF26" s="220"/>
      <c r="AG26" s="220"/>
      <c r="AH26" s="220"/>
      <c r="AI26" s="220"/>
      <c r="AJ26" s="220"/>
      <c r="AK26" s="220"/>
      <c r="AL26" s="220"/>
      <c r="AM26" s="220"/>
    </row>
    <row r="27" spans="1:39" ht="15" customHeight="1" x14ac:dyDescent="0.2">
      <c r="A27" s="234">
        <v>27736</v>
      </c>
      <c r="B27" s="233">
        <v>2017</v>
      </c>
      <c r="C27" s="234" t="s">
        <v>56</v>
      </c>
      <c r="D27" s="244"/>
      <c r="E27" s="252">
        <v>384</v>
      </c>
      <c r="F27" s="252">
        <v>27</v>
      </c>
      <c r="G27" s="252">
        <v>17</v>
      </c>
      <c r="H27" s="252">
        <v>19</v>
      </c>
      <c r="I27" s="252">
        <v>52</v>
      </c>
      <c r="J27" s="252">
        <v>52</v>
      </c>
      <c r="K27" s="252">
        <v>22</v>
      </c>
      <c r="L27" s="252">
        <v>16</v>
      </c>
      <c r="M27" s="252">
        <v>16</v>
      </c>
      <c r="N27" s="252">
        <v>32</v>
      </c>
      <c r="O27" s="252">
        <v>24</v>
      </c>
      <c r="P27" s="252">
        <v>23</v>
      </c>
      <c r="Q27" s="252">
        <v>23</v>
      </c>
      <c r="R27" s="335">
        <f t="shared" si="20"/>
        <v>323</v>
      </c>
      <c r="S27" s="263">
        <f t="shared" si="18"/>
        <v>26.916666666666668</v>
      </c>
      <c r="T27" s="336">
        <f t="shared" si="19"/>
        <v>2.2662538699690402</v>
      </c>
      <c r="U27" s="307">
        <f t="shared" si="17"/>
        <v>61</v>
      </c>
      <c r="V27" s="233">
        <v>2017</v>
      </c>
      <c r="W27" s="234" t="s">
        <v>56</v>
      </c>
      <c r="X27" s="220"/>
      <c r="Y27" s="220"/>
      <c r="Z27" s="384">
        <v>44173</v>
      </c>
      <c r="AA27" s="385">
        <v>2019</v>
      </c>
      <c r="AB27" s="386" t="s">
        <v>22</v>
      </c>
      <c r="AC27" s="387">
        <v>566</v>
      </c>
      <c r="AD27" s="386" t="s">
        <v>389</v>
      </c>
      <c r="AE27" s="220"/>
      <c r="AF27" s="220"/>
      <c r="AG27" s="220"/>
      <c r="AH27" s="220"/>
      <c r="AI27" s="220"/>
      <c r="AJ27" s="220"/>
      <c r="AK27" s="220"/>
      <c r="AL27" s="220"/>
      <c r="AM27" s="220"/>
    </row>
    <row r="28" spans="1:39" ht="15" customHeight="1" x14ac:dyDescent="0.2">
      <c r="A28" s="234">
        <v>135371</v>
      </c>
      <c r="B28" s="233">
        <v>2017</v>
      </c>
      <c r="C28" s="234" t="s">
        <v>291</v>
      </c>
      <c r="D28" s="244"/>
      <c r="E28" s="252">
        <v>236</v>
      </c>
      <c r="F28" s="252">
        <v>12</v>
      </c>
      <c r="G28" s="252">
        <v>4</v>
      </c>
      <c r="H28" s="252">
        <v>5</v>
      </c>
      <c r="I28" s="252">
        <v>10</v>
      </c>
      <c r="J28" s="252">
        <v>14</v>
      </c>
      <c r="K28" s="252">
        <v>7</v>
      </c>
      <c r="L28" s="252">
        <v>6</v>
      </c>
      <c r="M28" s="252">
        <v>6</v>
      </c>
      <c r="N28" s="252">
        <v>7</v>
      </c>
      <c r="O28" s="252">
        <v>12</v>
      </c>
      <c r="P28" s="252">
        <v>15</v>
      </c>
      <c r="Q28" s="252">
        <v>24</v>
      </c>
      <c r="R28" s="335">
        <f t="shared" si="20"/>
        <v>122</v>
      </c>
      <c r="S28" s="263">
        <f t="shared" si="18"/>
        <v>10.166666666666666</v>
      </c>
      <c r="T28" s="336">
        <f t="shared" si="19"/>
        <v>11.213114754098362</v>
      </c>
      <c r="U28" s="307">
        <f t="shared" si="17"/>
        <v>114</v>
      </c>
      <c r="V28" s="233">
        <v>2017</v>
      </c>
      <c r="W28" s="234" t="s">
        <v>291</v>
      </c>
      <c r="X28" s="220"/>
      <c r="Y28" s="220"/>
      <c r="Z28" s="384"/>
      <c r="AA28" s="385"/>
      <c r="AB28" s="386"/>
      <c r="AC28" s="387"/>
      <c r="AD28" s="386"/>
      <c r="AE28" s="220"/>
      <c r="AF28" s="220"/>
      <c r="AG28" s="220"/>
      <c r="AH28" s="220"/>
      <c r="AI28" s="220"/>
      <c r="AJ28" s="220"/>
      <c r="AK28" s="220"/>
      <c r="AL28" s="220"/>
      <c r="AM28" s="220"/>
    </row>
    <row r="29" spans="1:39" ht="15" customHeight="1" x14ac:dyDescent="0.2">
      <c r="A29" s="234">
        <v>22921</v>
      </c>
      <c r="B29" s="233">
        <v>2017</v>
      </c>
      <c r="C29" s="234" t="s">
        <v>277</v>
      </c>
      <c r="D29" s="322"/>
      <c r="E29" s="252">
        <v>738</v>
      </c>
      <c r="F29" s="252">
        <v>9</v>
      </c>
      <c r="G29" s="252">
        <v>78</v>
      </c>
      <c r="H29" s="252">
        <v>45</v>
      </c>
      <c r="I29" s="252">
        <v>51</v>
      </c>
      <c r="J29" s="252">
        <v>49</v>
      </c>
      <c r="K29" s="252">
        <v>45</v>
      </c>
      <c r="L29" s="252">
        <v>27</v>
      </c>
      <c r="M29" s="252">
        <v>46</v>
      </c>
      <c r="N29" s="252">
        <v>52</v>
      </c>
      <c r="O29" s="252">
        <v>49</v>
      </c>
      <c r="P29" s="252">
        <v>37</v>
      </c>
      <c r="Q29" s="252">
        <v>57</v>
      </c>
      <c r="R29" s="335">
        <f t="shared" si="20"/>
        <v>545</v>
      </c>
      <c r="S29" s="263">
        <f t="shared" si="18"/>
        <v>45.416666666666664</v>
      </c>
      <c r="T29" s="336">
        <f t="shared" si="19"/>
        <v>4.2495412844036702</v>
      </c>
      <c r="U29" s="307">
        <f t="shared" si="17"/>
        <v>193</v>
      </c>
      <c r="V29" s="233">
        <v>2017</v>
      </c>
      <c r="W29" s="234" t="s">
        <v>277</v>
      </c>
      <c r="X29" s="220"/>
      <c r="Y29" s="220"/>
      <c r="Z29" s="384"/>
      <c r="AA29" s="385"/>
      <c r="AB29" s="386"/>
      <c r="AC29" s="387"/>
      <c r="AD29" s="386"/>
      <c r="AE29" s="220"/>
      <c r="AF29" s="220"/>
      <c r="AG29" s="220"/>
      <c r="AH29" s="220"/>
      <c r="AI29" s="220"/>
      <c r="AJ29" s="220"/>
      <c r="AK29" s="220"/>
      <c r="AL29" s="220"/>
      <c r="AM29" s="220"/>
    </row>
    <row r="30" spans="1:39" ht="15" customHeight="1" x14ac:dyDescent="0.2">
      <c r="A30" s="234">
        <v>135370</v>
      </c>
      <c r="B30" s="233">
        <v>2017</v>
      </c>
      <c r="C30" s="234" t="s">
        <v>217</v>
      </c>
      <c r="D30" s="322"/>
      <c r="E30" s="252">
        <v>160</v>
      </c>
      <c r="F30" s="252">
        <v>0</v>
      </c>
      <c r="G30" s="252">
        <v>2</v>
      </c>
      <c r="H30" s="252">
        <v>0</v>
      </c>
      <c r="I30" s="252">
        <v>0</v>
      </c>
      <c r="J30" s="252">
        <v>0</v>
      </c>
      <c r="K30" s="252">
        <v>0</v>
      </c>
      <c r="L30" s="252">
        <v>2</v>
      </c>
      <c r="M30" s="252">
        <v>0</v>
      </c>
      <c r="N30" s="252">
        <v>0</v>
      </c>
      <c r="O30" s="252">
        <v>0</v>
      </c>
      <c r="P30" s="252">
        <v>0</v>
      </c>
      <c r="Q30" s="252">
        <v>0</v>
      </c>
      <c r="R30" s="335">
        <f t="shared" si="20"/>
        <v>4</v>
      </c>
      <c r="S30" s="263">
        <f t="shared" si="18"/>
        <v>0.33333333333333331</v>
      </c>
      <c r="T30" s="336">
        <f t="shared" si="19"/>
        <v>468</v>
      </c>
      <c r="U30" s="307">
        <f t="shared" si="17"/>
        <v>156</v>
      </c>
      <c r="V30" s="233">
        <v>2017</v>
      </c>
      <c r="W30" s="234" t="s">
        <v>217</v>
      </c>
      <c r="X30" s="220"/>
      <c r="Y30" s="220"/>
      <c r="AE30" s="220"/>
      <c r="AF30" s="220"/>
      <c r="AG30" s="220"/>
      <c r="AH30" s="220"/>
      <c r="AI30" s="220"/>
      <c r="AJ30" s="220"/>
      <c r="AK30" s="220"/>
      <c r="AL30" s="220"/>
      <c r="AM30" s="220"/>
    </row>
    <row r="31" spans="1:39" ht="15" customHeight="1" x14ac:dyDescent="0.2">
      <c r="A31" s="234">
        <v>137519</v>
      </c>
      <c r="B31" s="233" t="s">
        <v>280</v>
      </c>
      <c r="C31" s="234" t="s">
        <v>94</v>
      </c>
      <c r="D31" s="322"/>
      <c r="E31" s="252">
        <v>175</v>
      </c>
      <c r="F31" s="252">
        <v>49</v>
      </c>
      <c r="G31" s="252">
        <v>29</v>
      </c>
      <c r="H31" s="252">
        <v>22</v>
      </c>
      <c r="I31" s="252">
        <v>29</v>
      </c>
      <c r="J31" s="252">
        <v>46</v>
      </c>
      <c r="K31" s="319"/>
      <c r="L31" s="319"/>
      <c r="M31" s="319"/>
      <c r="N31" s="319"/>
      <c r="O31" s="319"/>
      <c r="P31" s="319"/>
      <c r="Q31" s="319"/>
      <c r="R31" s="335">
        <f t="shared" si="20"/>
        <v>175</v>
      </c>
      <c r="S31" s="263">
        <f t="shared" si="18"/>
        <v>35</v>
      </c>
      <c r="T31" s="336">
        <f t="shared" si="19"/>
        <v>0</v>
      </c>
      <c r="U31" s="307">
        <f t="shared" si="17"/>
        <v>0</v>
      </c>
      <c r="V31" s="233">
        <v>2017</v>
      </c>
      <c r="W31" s="234" t="s">
        <v>94</v>
      </c>
      <c r="X31" s="220"/>
      <c r="Y31" s="220"/>
      <c r="AE31" s="220"/>
      <c r="AF31" s="220"/>
      <c r="AG31" s="220"/>
      <c r="AH31" s="220"/>
      <c r="AI31" s="220"/>
      <c r="AJ31" s="220"/>
      <c r="AK31" s="220"/>
      <c r="AL31" s="220"/>
      <c r="AM31" s="220"/>
    </row>
    <row r="32" spans="1:39" ht="15" customHeight="1" x14ac:dyDescent="0.25">
      <c r="A32" s="234">
        <v>137517</v>
      </c>
      <c r="B32" s="233">
        <v>2017</v>
      </c>
      <c r="C32" s="234" t="s">
        <v>292</v>
      </c>
      <c r="D32" s="322">
        <v>4</v>
      </c>
      <c r="E32" s="252">
        <v>116</v>
      </c>
      <c r="F32" s="252">
        <v>0</v>
      </c>
      <c r="G32" s="252">
        <v>6</v>
      </c>
      <c r="H32" s="252">
        <v>4</v>
      </c>
      <c r="I32" s="252">
        <v>1</v>
      </c>
      <c r="J32" s="252">
        <v>1</v>
      </c>
      <c r="K32" s="252">
        <v>0</v>
      </c>
      <c r="L32" s="252">
        <v>1</v>
      </c>
      <c r="M32" s="252">
        <v>0</v>
      </c>
      <c r="N32" s="252">
        <v>0</v>
      </c>
      <c r="O32" s="252">
        <v>0</v>
      </c>
      <c r="P32" s="252">
        <v>3</v>
      </c>
      <c r="Q32" s="252">
        <v>0</v>
      </c>
      <c r="R32" s="335">
        <f t="shared" ref="R32" si="21">SUM(F32:Q32)</f>
        <v>16</v>
      </c>
      <c r="S32" s="263">
        <f t="shared" si="18"/>
        <v>1.3333333333333333</v>
      </c>
      <c r="T32" s="336">
        <f t="shared" si="19"/>
        <v>75</v>
      </c>
      <c r="U32" s="307">
        <f t="shared" si="17"/>
        <v>100</v>
      </c>
      <c r="V32" s="233">
        <v>2017</v>
      </c>
      <c r="W32" s="234" t="s">
        <v>292</v>
      </c>
      <c r="X32" s="220"/>
      <c r="Y32" s="220"/>
      <c r="Z32" s="460" t="s">
        <v>386</v>
      </c>
      <c r="AA32" s="460"/>
      <c r="AB32" s="460"/>
      <c r="AC32" s="460"/>
      <c r="AD32" s="460"/>
      <c r="AE32" s="220"/>
      <c r="AF32" s="220"/>
      <c r="AG32" s="220"/>
      <c r="AH32" s="220"/>
      <c r="AI32" s="220"/>
      <c r="AJ32" s="220"/>
      <c r="AK32" s="220"/>
      <c r="AL32" s="220"/>
      <c r="AM32" s="220"/>
    </row>
    <row r="33" spans="1:39" ht="15" customHeight="1" x14ac:dyDescent="0.2">
      <c r="A33" s="234">
        <v>116508</v>
      </c>
      <c r="B33" s="233" t="s">
        <v>273</v>
      </c>
      <c r="C33" s="234" t="s">
        <v>274</v>
      </c>
      <c r="D33" s="327">
        <v>21</v>
      </c>
      <c r="E33" s="252">
        <v>191</v>
      </c>
      <c r="F33" s="252">
        <v>0</v>
      </c>
      <c r="G33" s="252">
        <v>0</v>
      </c>
      <c r="H33" s="252">
        <v>0</v>
      </c>
      <c r="I33" s="252">
        <v>2</v>
      </c>
      <c r="J33" s="252">
        <v>3</v>
      </c>
      <c r="K33" s="252">
        <v>0</v>
      </c>
      <c r="L33" s="252">
        <v>2</v>
      </c>
      <c r="M33" s="252">
        <v>4</v>
      </c>
      <c r="N33" s="252">
        <v>2</v>
      </c>
      <c r="O33" s="252">
        <v>17</v>
      </c>
      <c r="P33" s="252">
        <v>45</v>
      </c>
      <c r="Q33" s="252">
        <v>20</v>
      </c>
      <c r="R33" s="335">
        <f t="shared" ref="R33:R45" si="22">SUM(F33:Q33)</f>
        <v>95</v>
      </c>
      <c r="S33" s="263">
        <f t="shared" si="18"/>
        <v>7.916666666666667</v>
      </c>
      <c r="T33" s="336">
        <f t="shared" si="19"/>
        <v>12.126315789473685</v>
      </c>
      <c r="U33" s="307">
        <f t="shared" si="17"/>
        <v>96</v>
      </c>
      <c r="V33" s="233" t="s">
        <v>273</v>
      </c>
      <c r="W33" s="234" t="s">
        <v>274</v>
      </c>
      <c r="X33" s="220"/>
      <c r="Y33" s="220"/>
      <c r="Z33" s="388" t="s">
        <v>380</v>
      </c>
      <c r="AA33" s="389" t="s">
        <v>383</v>
      </c>
      <c r="AB33" s="390" t="s">
        <v>381</v>
      </c>
      <c r="AC33" s="390" t="s">
        <v>384</v>
      </c>
      <c r="AD33" s="390" t="s">
        <v>382</v>
      </c>
      <c r="AE33" s="220"/>
      <c r="AF33" s="220"/>
      <c r="AG33" s="220"/>
      <c r="AH33" s="220"/>
      <c r="AI33" s="220"/>
      <c r="AJ33" s="220"/>
      <c r="AK33" s="220"/>
      <c r="AL33" s="220"/>
      <c r="AM33" s="220"/>
    </row>
    <row r="34" spans="1:39" x14ac:dyDescent="0.2">
      <c r="A34" s="226"/>
      <c r="B34" s="342"/>
      <c r="C34" s="226"/>
      <c r="D34" s="375"/>
      <c r="E34" s="338" t="e">
        <v>#VALUE!</v>
      </c>
      <c r="F34" s="338"/>
      <c r="G34" s="338"/>
      <c r="H34" s="338"/>
      <c r="I34" s="338"/>
      <c r="J34" s="338"/>
      <c r="K34" s="338"/>
      <c r="L34" s="338"/>
      <c r="M34" s="338"/>
      <c r="N34" s="338"/>
      <c r="O34" s="338"/>
      <c r="P34" s="338"/>
      <c r="Q34" s="338"/>
      <c r="R34" s="243" t="s">
        <v>35</v>
      </c>
      <c r="S34" s="339">
        <f t="shared" si="18"/>
        <v>0</v>
      </c>
      <c r="T34" s="340">
        <f t="shared" si="19"/>
        <v>0</v>
      </c>
      <c r="U34" s="320" t="e">
        <f t="shared" si="17"/>
        <v>#VALUE!</v>
      </c>
      <c r="V34" s="342"/>
      <c r="W34" s="226"/>
      <c r="X34" s="220"/>
      <c r="Y34" s="220"/>
      <c r="Z34" s="388">
        <v>43846</v>
      </c>
      <c r="AA34" s="402" t="s">
        <v>413</v>
      </c>
      <c r="AB34" s="388" t="s">
        <v>412</v>
      </c>
      <c r="AC34" s="403">
        <v>75</v>
      </c>
      <c r="AD34" s="388" t="s">
        <v>104</v>
      </c>
      <c r="AE34" s="220"/>
      <c r="AF34" s="220"/>
      <c r="AG34" s="220"/>
      <c r="AH34" s="220"/>
      <c r="AI34" s="220"/>
      <c r="AJ34" s="220"/>
      <c r="AK34" s="220"/>
      <c r="AL34" s="220"/>
      <c r="AM34" s="220"/>
    </row>
    <row r="35" spans="1:39" ht="15" customHeight="1" x14ac:dyDescent="0.2">
      <c r="A35" s="234">
        <v>111575</v>
      </c>
      <c r="B35" s="233">
        <v>2018</v>
      </c>
      <c r="C35" s="234" t="s">
        <v>159</v>
      </c>
      <c r="D35" s="327">
        <v>35</v>
      </c>
      <c r="E35" s="252">
        <v>229</v>
      </c>
      <c r="F35" s="369">
        <v>31</v>
      </c>
      <c r="G35" s="369">
        <v>36</v>
      </c>
      <c r="H35" s="369">
        <v>29</v>
      </c>
      <c r="I35" s="369">
        <v>19</v>
      </c>
      <c r="J35" s="369">
        <v>57</v>
      </c>
      <c r="K35" s="369">
        <v>57</v>
      </c>
      <c r="L35" s="319"/>
      <c r="M35" s="319"/>
      <c r="N35" s="319"/>
      <c r="O35" s="319"/>
      <c r="P35" s="319"/>
      <c r="Q35" s="319"/>
      <c r="R35" s="335">
        <f t="shared" si="22"/>
        <v>229</v>
      </c>
      <c r="S35" s="263">
        <f t="shared" si="18"/>
        <v>38.166666666666664</v>
      </c>
      <c r="T35" s="336">
        <f t="shared" si="19"/>
        <v>0</v>
      </c>
      <c r="U35" s="307">
        <f t="shared" si="17"/>
        <v>0</v>
      </c>
      <c r="V35" s="233">
        <v>2018</v>
      </c>
      <c r="W35" s="234" t="s">
        <v>159</v>
      </c>
      <c r="X35" s="220"/>
      <c r="Y35" s="220"/>
      <c r="Z35" s="388">
        <v>43915</v>
      </c>
      <c r="AA35" s="402" t="s">
        <v>396</v>
      </c>
      <c r="AB35" s="388" t="s">
        <v>414</v>
      </c>
      <c r="AC35" s="403">
        <v>95</v>
      </c>
      <c r="AD35" s="388" t="s">
        <v>104</v>
      </c>
      <c r="AE35" s="220"/>
      <c r="AF35" s="220"/>
      <c r="AG35" s="220"/>
      <c r="AH35" s="220"/>
      <c r="AI35" s="220"/>
      <c r="AJ35" s="220"/>
      <c r="AK35" s="220"/>
      <c r="AL35" s="220"/>
      <c r="AM35" s="220"/>
    </row>
    <row r="36" spans="1:39" ht="15" customHeight="1" x14ac:dyDescent="0.2">
      <c r="A36" s="234">
        <v>111575</v>
      </c>
      <c r="B36" s="233">
        <v>2018</v>
      </c>
      <c r="C36" s="234" t="s">
        <v>403</v>
      </c>
      <c r="D36" s="327">
        <v>0</v>
      </c>
      <c r="E36" s="252">
        <v>52</v>
      </c>
      <c r="F36" s="369">
        <v>0</v>
      </c>
      <c r="G36" s="369">
        <v>7</v>
      </c>
      <c r="H36" s="369">
        <v>12</v>
      </c>
      <c r="I36" s="369">
        <v>7</v>
      </c>
      <c r="J36" s="369">
        <v>15</v>
      </c>
      <c r="K36" s="369">
        <v>11</v>
      </c>
      <c r="L36" s="319"/>
      <c r="M36" s="319"/>
      <c r="N36" s="319"/>
      <c r="O36" s="319"/>
      <c r="P36" s="319"/>
      <c r="Q36" s="319"/>
      <c r="R36" s="335">
        <f t="shared" ref="R36" si="23">SUM(F36:Q36)</f>
        <v>52</v>
      </c>
      <c r="S36" s="263">
        <f t="shared" ref="S36" si="24">IFERROR((AVERAGE(F36:Q36)),0)</f>
        <v>8.6666666666666661</v>
      </c>
      <c r="T36" s="336">
        <f t="shared" ref="T36" si="25">IFERROR((U36/S36),0)</f>
        <v>0</v>
      </c>
      <c r="U36" s="307">
        <f t="shared" ref="U36" si="26">SUM(E36-R36)</f>
        <v>0</v>
      </c>
      <c r="V36" s="233">
        <v>2018</v>
      </c>
      <c r="W36" s="234" t="s">
        <v>159</v>
      </c>
      <c r="X36" s="220"/>
      <c r="Y36" s="220"/>
      <c r="Z36" s="388">
        <v>43881</v>
      </c>
      <c r="AA36" s="402" t="s">
        <v>396</v>
      </c>
      <c r="AB36" s="388" t="s">
        <v>391</v>
      </c>
      <c r="AC36" s="403">
        <v>115</v>
      </c>
      <c r="AD36" s="388" t="s">
        <v>389</v>
      </c>
      <c r="AE36" s="220"/>
      <c r="AF36" s="220"/>
      <c r="AG36" s="220"/>
      <c r="AH36" s="220"/>
      <c r="AI36" s="220"/>
      <c r="AJ36" s="220"/>
      <c r="AK36" s="220"/>
      <c r="AL36" s="220"/>
      <c r="AM36" s="220"/>
    </row>
    <row r="37" spans="1:39" ht="15" customHeight="1" x14ac:dyDescent="0.2">
      <c r="A37" s="234">
        <v>11198</v>
      </c>
      <c r="B37" s="233">
        <v>2018</v>
      </c>
      <c r="C37" s="234" t="s">
        <v>46</v>
      </c>
      <c r="D37" s="327">
        <v>26</v>
      </c>
      <c r="E37" s="252">
        <v>302</v>
      </c>
      <c r="F37" s="252">
        <v>0</v>
      </c>
      <c r="G37" s="252">
        <v>1</v>
      </c>
      <c r="H37" s="252">
        <v>1</v>
      </c>
      <c r="I37" s="252">
        <v>29</v>
      </c>
      <c r="J37" s="252">
        <v>59</v>
      </c>
      <c r="K37" s="252">
        <v>32</v>
      </c>
      <c r="L37" s="252">
        <v>17</v>
      </c>
      <c r="M37" s="252">
        <v>17</v>
      </c>
      <c r="N37" s="252">
        <v>24</v>
      </c>
      <c r="O37" s="252">
        <v>14</v>
      </c>
      <c r="P37" s="252">
        <v>24</v>
      </c>
      <c r="Q37" s="252">
        <v>18</v>
      </c>
      <c r="R37" s="335">
        <f t="shared" si="22"/>
        <v>236</v>
      </c>
      <c r="S37" s="263">
        <f t="shared" si="18"/>
        <v>19.666666666666668</v>
      </c>
      <c r="T37" s="336">
        <f t="shared" si="19"/>
        <v>3.3559322033898304</v>
      </c>
      <c r="U37" s="307">
        <f t="shared" si="17"/>
        <v>66</v>
      </c>
      <c r="V37" s="233">
        <v>2018</v>
      </c>
      <c r="W37" s="234" t="s">
        <v>46</v>
      </c>
      <c r="X37" s="220"/>
      <c r="Y37" s="220"/>
      <c r="Z37" s="388">
        <v>43934</v>
      </c>
      <c r="AA37" s="402" t="s">
        <v>396</v>
      </c>
      <c r="AB37" s="388" t="s">
        <v>397</v>
      </c>
      <c r="AC37" s="403">
        <v>105</v>
      </c>
      <c r="AD37" s="388" t="s">
        <v>389</v>
      </c>
      <c r="AE37" s="220"/>
      <c r="AF37" s="220"/>
      <c r="AG37" s="220"/>
      <c r="AH37" s="220"/>
      <c r="AI37" s="220"/>
      <c r="AJ37" s="220"/>
      <c r="AK37" s="220"/>
      <c r="AL37" s="220"/>
      <c r="AM37" s="220"/>
    </row>
    <row r="38" spans="1:39" ht="15" customHeight="1" x14ac:dyDescent="0.2">
      <c r="A38" s="234">
        <v>57632</v>
      </c>
      <c r="B38" s="233">
        <v>2018</v>
      </c>
      <c r="C38" s="234" t="s">
        <v>31</v>
      </c>
      <c r="D38" s="327">
        <v>35</v>
      </c>
      <c r="E38" s="252">
        <v>522</v>
      </c>
      <c r="F38" s="252">
        <v>0</v>
      </c>
      <c r="G38" s="252">
        <v>5</v>
      </c>
      <c r="H38" s="252">
        <v>0</v>
      </c>
      <c r="I38" s="252">
        <v>0</v>
      </c>
      <c r="J38" s="252">
        <v>47</v>
      </c>
      <c r="K38" s="252">
        <v>39</v>
      </c>
      <c r="L38" s="252">
        <v>40</v>
      </c>
      <c r="M38" s="252">
        <v>33</v>
      </c>
      <c r="N38" s="252">
        <v>41</v>
      </c>
      <c r="O38" s="252">
        <v>33</v>
      </c>
      <c r="P38" s="252">
        <v>27</v>
      </c>
      <c r="Q38" s="252">
        <v>22</v>
      </c>
      <c r="R38" s="335">
        <f t="shared" si="22"/>
        <v>287</v>
      </c>
      <c r="S38" s="263">
        <f t="shared" si="18"/>
        <v>23.916666666666668</v>
      </c>
      <c r="T38" s="336">
        <f t="shared" si="19"/>
        <v>9.8257839721254356</v>
      </c>
      <c r="U38" s="307">
        <f t="shared" si="17"/>
        <v>235</v>
      </c>
      <c r="V38" s="233">
        <v>2018</v>
      </c>
      <c r="W38" s="234" t="s">
        <v>31</v>
      </c>
      <c r="X38" s="220"/>
      <c r="Y38" s="220"/>
      <c r="Z38" s="388">
        <v>43934</v>
      </c>
      <c r="AA38" s="402" t="s">
        <v>396</v>
      </c>
      <c r="AB38" s="388" t="s">
        <v>398</v>
      </c>
      <c r="AC38" s="403">
        <v>50</v>
      </c>
      <c r="AD38" s="388" t="s">
        <v>389</v>
      </c>
      <c r="AE38" s="220"/>
      <c r="AF38" s="220"/>
      <c r="AG38" s="220"/>
      <c r="AH38" s="220"/>
      <c r="AI38" s="220"/>
      <c r="AJ38" s="220"/>
      <c r="AK38" s="220"/>
      <c r="AL38" s="220"/>
      <c r="AM38" s="220"/>
    </row>
    <row r="39" spans="1:39" ht="15" customHeight="1" x14ac:dyDescent="0.2">
      <c r="A39" s="234">
        <v>57630</v>
      </c>
      <c r="B39" s="233">
        <v>2018</v>
      </c>
      <c r="C39" s="234" t="s">
        <v>25</v>
      </c>
      <c r="D39" s="327">
        <v>32</v>
      </c>
      <c r="E39" s="252">
        <v>367</v>
      </c>
      <c r="F39" s="252">
        <v>0</v>
      </c>
      <c r="G39" s="252">
        <v>7</v>
      </c>
      <c r="H39" s="252">
        <v>0</v>
      </c>
      <c r="I39" s="252">
        <v>0</v>
      </c>
      <c r="J39" s="252">
        <v>0</v>
      </c>
      <c r="K39" s="252">
        <v>0</v>
      </c>
      <c r="L39" s="252">
        <v>0</v>
      </c>
      <c r="M39" s="252">
        <v>0</v>
      </c>
      <c r="N39" s="252">
        <v>0</v>
      </c>
      <c r="O39" s="252">
        <v>0</v>
      </c>
      <c r="P39" s="252">
        <v>0</v>
      </c>
      <c r="Q39" s="252">
        <v>0</v>
      </c>
      <c r="R39" s="335">
        <f t="shared" si="22"/>
        <v>7</v>
      </c>
      <c r="S39" s="263">
        <f t="shared" si="18"/>
        <v>0.58333333333333337</v>
      </c>
      <c r="T39" s="336">
        <f t="shared" si="19"/>
        <v>617.14285714285711</v>
      </c>
      <c r="U39" s="307">
        <f t="shared" si="17"/>
        <v>360</v>
      </c>
      <c r="V39" s="233">
        <v>2018</v>
      </c>
      <c r="W39" s="234" t="s">
        <v>25</v>
      </c>
      <c r="X39" s="220"/>
      <c r="Y39" s="220"/>
      <c r="Z39" s="388">
        <v>43934</v>
      </c>
      <c r="AA39" s="402" t="s">
        <v>396</v>
      </c>
      <c r="AB39" s="388" t="s">
        <v>399</v>
      </c>
      <c r="AC39" s="403">
        <v>100</v>
      </c>
      <c r="AD39" s="388" t="s">
        <v>389</v>
      </c>
      <c r="AE39" s="220"/>
      <c r="AF39" s="220"/>
      <c r="AG39" s="220"/>
      <c r="AH39" s="220"/>
      <c r="AI39" s="220"/>
      <c r="AJ39" s="220"/>
      <c r="AK39" s="220"/>
      <c r="AL39" s="220"/>
      <c r="AM39" s="220"/>
    </row>
    <row r="40" spans="1:39" ht="15" customHeight="1" x14ac:dyDescent="0.2">
      <c r="A40" s="234">
        <v>137518</v>
      </c>
      <c r="B40" s="233">
        <v>2018</v>
      </c>
      <c r="C40" s="234" t="s">
        <v>108</v>
      </c>
      <c r="D40" s="327">
        <v>21</v>
      </c>
      <c r="E40" s="252">
        <v>64</v>
      </c>
      <c r="F40" s="252">
        <v>19</v>
      </c>
      <c r="G40" s="252">
        <v>19</v>
      </c>
      <c r="H40" s="252">
        <v>9</v>
      </c>
      <c r="I40" s="252">
        <v>5</v>
      </c>
      <c r="J40" s="252">
        <v>12</v>
      </c>
      <c r="K40" s="319"/>
      <c r="L40" s="319"/>
      <c r="M40" s="319"/>
      <c r="N40" s="319"/>
      <c r="O40" s="319"/>
      <c r="P40" s="319"/>
      <c r="Q40" s="319"/>
      <c r="R40" s="335">
        <f t="shared" si="22"/>
        <v>64</v>
      </c>
      <c r="S40" s="263">
        <f t="shared" si="18"/>
        <v>12.8</v>
      </c>
      <c r="T40" s="336">
        <f t="shared" si="19"/>
        <v>0</v>
      </c>
      <c r="U40" s="307">
        <f>SUM(E40-R40)</f>
        <v>0</v>
      </c>
      <c r="V40" s="233">
        <v>2018</v>
      </c>
      <c r="W40" s="234" t="s">
        <v>108</v>
      </c>
      <c r="X40" s="220"/>
      <c r="Y40" s="220"/>
      <c r="Z40" s="388">
        <v>43934</v>
      </c>
      <c r="AA40" s="402" t="s">
        <v>396</v>
      </c>
      <c r="AB40" s="388" t="s">
        <v>400</v>
      </c>
      <c r="AC40" s="403">
        <v>75</v>
      </c>
      <c r="AD40" s="388" t="s">
        <v>389</v>
      </c>
      <c r="AE40" s="220"/>
      <c r="AF40" s="220"/>
      <c r="AG40" s="220"/>
      <c r="AH40" s="220"/>
      <c r="AI40" s="220"/>
      <c r="AJ40" s="220"/>
      <c r="AK40" s="220"/>
      <c r="AL40" s="220"/>
      <c r="AM40" s="220"/>
    </row>
    <row r="41" spans="1:39" ht="15" customHeight="1" x14ac:dyDescent="0.2">
      <c r="A41" s="234">
        <v>133688</v>
      </c>
      <c r="B41" s="233">
        <v>2018</v>
      </c>
      <c r="C41" s="234" t="s">
        <v>23</v>
      </c>
      <c r="D41" s="327">
        <v>39</v>
      </c>
      <c r="E41" s="252">
        <v>644</v>
      </c>
      <c r="F41" s="252">
        <v>1</v>
      </c>
      <c r="G41" s="252">
        <v>5</v>
      </c>
      <c r="H41" s="252">
        <v>0</v>
      </c>
      <c r="I41" s="252">
        <v>0</v>
      </c>
      <c r="J41" s="252">
        <v>1</v>
      </c>
      <c r="K41" s="252">
        <v>4</v>
      </c>
      <c r="L41" s="252">
        <v>3</v>
      </c>
      <c r="M41" s="252">
        <v>3</v>
      </c>
      <c r="N41" s="252">
        <v>4</v>
      </c>
      <c r="O41" s="252">
        <v>21</v>
      </c>
      <c r="P41" s="252">
        <v>34</v>
      </c>
      <c r="Q41" s="252">
        <v>32</v>
      </c>
      <c r="R41" s="335">
        <f t="shared" si="22"/>
        <v>108</v>
      </c>
      <c r="S41" s="263">
        <f t="shared" si="18"/>
        <v>9</v>
      </c>
      <c r="T41" s="336">
        <f t="shared" si="19"/>
        <v>59.555555555555557</v>
      </c>
      <c r="U41" s="307">
        <f t="shared" si="17"/>
        <v>536</v>
      </c>
      <c r="V41" s="233">
        <v>2018</v>
      </c>
      <c r="W41" s="234" t="s">
        <v>23</v>
      </c>
      <c r="X41" s="220"/>
      <c r="Y41" s="220"/>
      <c r="Z41" s="388">
        <v>43934</v>
      </c>
      <c r="AA41" s="402" t="s">
        <v>396</v>
      </c>
      <c r="AB41" s="388" t="s">
        <v>401</v>
      </c>
      <c r="AC41" s="403">
        <v>383</v>
      </c>
      <c r="AD41" s="388" t="s">
        <v>389</v>
      </c>
      <c r="AE41" s="220"/>
      <c r="AF41" s="220"/>
      <c r="AG41" s="220"/>
      <c r="AH41" s="220"/>
      <c r="AI41" s="220"/>
      <c r="AJ41" s="220"/>
      <c r="AK41" s="220"/>
      <c r="AL41" s="220"/>
      <c r="AM41" s="220"/>
    </row>
    <row r="42" spans="1:39" ht="15" customHeight="1" x14ac:dyDescent="0.2">
      <c r="A42" s="234">
        <v>27736</v>
      </c>
      <c r="B42" s="233">
        <v>2018</v>
      </c>
      <c r="C42" s="234" t="s">
        <v>56</v>
      </c>
      <c r="D42" s="327">
        <v>29</v>
      </c>
      <c r="E42" s="252">
        <v>470</v>
      </c>
      <c r="F42" s="252">
        <v>5</v>
      </c>
      <c r="G42" s="252">
        <v>3</v>
      </c>
      <c r="H42" s="252">
        <v>1</v>
      </c>
      <c r="I42" s="252">
        <v>1</v>
      </c>
      <c r="J42" s="252">
        <v>7</v>
      </c>
      <c r="K42" s="252">
        <v>0</v>
      </c>
      <c r="L42" s="252">
        <v>5</v>
      </c>
      <c r="M42" s="252">
        <v>0</v>
      </c>
      <c r="N42" s="252">
        <v>0</v>
      </c>
      <c r="O42" s="252">
        <v>0</v>
      </c>
      <c r="P42" s="252">
        <v>0</v>
      </c>
      <c r="Q42" s="252">
        <v>0</v>
      </c>
      <c r="R42" s="335">
        <f t="shared" si="22"/>
        <v>22</v>
      </c>
      <c r="S42" s="263">
        <f t="shared" si="18"/>
        <v>1.8333333333333333</v>
      </c>
      <c r="T42" s="336">
        <f t="shared" si="19"/>
        <v>244.36363636363637</v>
      </c>
      <c r="U42" s="307">
        <f t="shared" si="17"/>
        <v>448</v>
      </c>
      <c r="V42" s="233">
        <v>2018</v>
      </c>
      <c r="W42" s="234" t="s">
        <v>56</v>
      </c>
      <c r="X42" s="220"/>
      <c r="Y42" s="220"/>
      <c r="Z42" s="388">
        <v>43992</v>
      </c>
      <c r="AA42" s="402" t="s">
        <v>396</v>
      </c>
      <c r="AB42" s="388" t="s">
        <v>410</v>
      </c>
      <c r="AC42" s="403">
        <v>297</v>
      </c>
      <c r="AD42" s="388" t="s">
        <v>389</v>
      </c>
      <c r="AE42" s="220"/>
      <c r="AF42" s="220"/>
      <c r="AG42" s="220"/>
      <c r="AH42" s="220"/>
      <c r="AI42" s="220"/>
      <c r="AJ42" s="220"/>
      <c r="AK42" s="220"/>
      <c r="AL42" s="220"/>
      <c r="AM42" s="220"/>
    </row>
    <row r="43" spans="1:39" ht="15" customHeight="1" x14ac:dyDescent="0.2">
      <c r="A43" s="234">
        <v>135371</v>
      </c>
      <c r="B43" s="233">
        <v>2018</v>
      </c>
      <c r="C43" s="234" t="s">
        <v>291</v>
      </c>
      <c r="D43" s="327"/>
      <c r="E43" s="252">
        <v>344</v>
      </c>
      <c r="F43" s="252">
        <v>0</v>
      </c>
      <c r="G43" s="252">
        <v>6</v>
      </c>
      <c r="H43" s="252">
        <v>3</v>
      </c>
      <c r="I43" s="252">
        <v>0</v>
      </c>
      <c r="J43" s="252">
        <v>3</v>
      </c>
      <c r="K43" s="252">
        <v>0</v>
      </c>
      <c r="L43" s="252">
        <v>2</v>
      </c>
      <c r="M43" s="252">
        <v>0</v>
      </c>
      <c r="N43" s="252">
        <v>0</v>
      </c>
      <c r="O43" s="252">
        <v>0</v>
      </c>
      <c r="P43" s="252">
        <v>0</v>
      </c>
      <c r="Q43" s="252">
        <v>0</v>
      </c>
      <c r="R43" s="335">
        <f t="shared" si="22"/>
        <v>14</v>
      </c>
      <c r="S43" s="263">
        <f t="shared" si="18"/>
        <v>1.1666666666666667</v>
      </c>
      <c r="T43" s="336">
        <f t="shared" si="19"/>
        <v>282.85714285714283</v>
      </c>
      <c r="U43" s="307">
        <f t="shared" si="17"/>
        <v>330</v>
      </c>
      <c r="V43" s="233">
        <v>2018</v>
      </c>
      <c r="W43" s="234" t="s">
        <v>291</v>
      </c>
      <c r="X43" s="220"/>
      <c r="Y43" s="220"/>
      <c r="Z43" s="388">
        <v>43992</v>
      </c>
      <c r="AA43" s="402" t="s">
        <v>396</v>
      </c>
      <c r="AB43" s="388" t="s">
        <v>411</v>
      </c>
      <c r="AC43" s="403">
        <v>412</v>
      </c>
      <c r="AD43" s="388" t="s">
        <v>389</v>
      </c>
      <c r="AE43" s="220"/>
      <c r="AF43" s="220"/>
      <c r="AG43" s="220"/>
      <c r="AH43" s="220"/>
      <c r="AI43" s="220"/>
      <c r="AJ43" s="220"/>
      <c r="AK43" s="220"/>
      <c r="AL43" s="220"/>
      <c r="AM43" s="220"/>
    </row>
    <row r="44" spans="1:39" ht="15" customHeight="1" x14ac:dyDescent="0.2">
      <c r="A44" s="234">
        <v>22921</v>
      </c>
      <c r="B44" s="233">
        <v>2018</v>
      </c>
      <c r="C44" s="234" t="s">
        <v>277</v>
      </c>
      <c r="D44" s="327">
        <v>54</v>
      </c>
      <c r="E44" s="252">
        <v>994</v>
      </c>
      <c r="F44" s="252">
        <v>0</v>
      </c>
      <c r="G44" s="252">
        <v>3</v>
      </c>
      <c r="H44" s="252">
        <v>0</v>
      </c>
      <c r="I44" s="252">
        <v>0</v>
      </c>
      <c r="J44" s="252">
        <v>0</v>
      </c>
      <c r="K44" s="252">
        <v>1</v>
      </c>
      <c r="L44" s="252">
        <v>4</v>
      </c>
      <c r="M44" s="252">
        <v>0</v>
      </c>
      <c r="N44" s="252">
        <v>0</v>
      </c>
      <c r="O44" s="252">
        <v>0</v>
      </c>
      <c r="P44" s="252">
        <v>0</v>
      </c>
      <c r="Q44" s="252">
        <v>0</v>
      </c>
      <c r="R44" s="335">
        <f t="shared" si="22"/>
        <v>8</v>
      </c>
      <c r="S44" s="263">
        <f t="shared" si="18"/>
        <v>0.66666666666666663</v>
      </c>
      <c r="T44" s="336">
        <f t="shared" si="19"/>
        <v>1479</v>
      </c>
      <c r="U44" s="307">
        <f t="shared" si="17"/>
        <v>986</v>
      </c>
      <c r="V44" s="233">
        <v>2018</v>
      </c>
      <c r="W44" s="234" t="s">
        <v>277</v>
      </c>
      <c r="X44" s="220"/>
      <c r="Y44" s="220"/>
      <c r="Z44" s="388">
        <v>44053</v>
      </c>
      <c r="AA44" s="405">
        <v>2017</v>
      </c>
      <c r="AB44" s="388" t="s">
        <v>415</v>
      </c>
      <c r="AC44" s="403">
        <v>42</v>
      </c>
      <c r="AD44" s="388" t="s">
        <v>389</v>
      </c>
      <c r="AE44" s="220"/>
      <c r="AF44" s="220"/>
      <c r="AG44" s="220"/>
      <c r="AH44" s="220"/>
      <c r="AI44" s="220"/>
      <c r="AJ44" s="220"/>
      <c r="AK44" s="220"/>
      <c r="AL44" s="220"/>
      <c r="AM44" s="220"/>
    </row>
    <row r="45" spans="1:39" ht="15" customHeight="1" x14ac:dyDescent="0.2">
      <c r="A45" s="234">
        <v>137519</v>
      </c>
      <c r="B45" s="233" t="s">
        <v>294</v>
      </c>
      <c r="C45" s="234" t="s">
        <v>94</v>
      </c>
      <c r="D45" s="327"/>
      <c r="E45" s="252">
        <v>1150</v>
      </c>
      <c r="F45" s="252">
        <v>7</v>
      </c>
      <c r="G45" s="252">
        <v>1</v>
      </c>
      <c r="H45" s="252">
        <v>4</v>
      </c>
      <c r="I45" s="252">
        <v>0</v>
      </c>
      <c r="J45" s="252">
        <v>7</v>
      </c>
      <c r="K45" s="252">
        <v>25</v>
      </c>
      <c r="L45" s="252">
        <v>34</v>
      </c>
      <c r="M45" s="252">
        <v>39</v>
      </c>
      <c r="N45" s="252">
        <v>43</v>
      </c>
      <c r="O45" s="252">
        <v>28</v>
      </c>
      <c r="P45" s="252">
        <v>117</v>
      </c>
      <c r="Q45" s="252">
        <v>26</v>
      </c>
      <c r="R45" s="335">
        <f t="shared" si="22"/>
        <v>331</v>
      </c>
      <c r="S45" s="263">
        <f t="shared" si="18"/>
        <v>27.583333333333332</v>
      </c>
      <c r="T45" s="336">
        <f t="shared" si="19"/>
        <v>29.691842900302117</v>
      </c>
      <c r="U45" s="307">
        <f t="shared" si="17"/>
        <v>819</v>
      </c>
      <c r="V45" s="233" t="s">
        <v>294</v>
      </c>
      <c r="W45" s="234" t="s">
        <v>94</v>
      </c>
      <c r="X45" s="220"/>
      <c r="Y45" s="220"/>
      <c r="Z45" s="388">
        <v>44068</v>
      </c>
      <c r="AA45" s="402" t="s">
        <v>396</v>
      </c>
      <c r="AB45" s="388" t="s">
        <v>416</v>
      </c>
      <c r="AC45" s="403">
        <v>112</v>
      </c>
      <c r="AD45" s="388" t="s">
        <v>389</v>
      </c>
      <c r="AE45" s="220"/>
      <c r="AF45" s="220"/>
      <c r="AG45" s="220"/>
      <c r="AH45" s="220"/>
      <c r="AI45" s="220"/>
      <c r="AJ45" s="220"/>
      <c r="AK45" s="220"/>
      <c r="AL45" s="220"/>
      <c r="AM45" s="220"/>
    </row>
    <row r="46" spans="1:39" ht="15" customHeight="1" x14ac:dyDescent="0.2">
      <c r="A46" s="234">
        <v>22384</v>
      </c>
      <c r="B46" s="233">
        <v>2018</v>
      </c>
      <c r="C46" s="234" t="s">
        <v>26</v>
      </c>
      <c r="D46" s="244"/>
      <c r="E46" s="252">
        <v>345</v>
      </c>
      <c r="F46" s="252">
        <v>10</v>
      </c>
      <c r="G46" s="252">
        <v>6</v>
      </c>
      <c r="H46" s="252">
        <v>3</v>
      </c>
      <c r="I46" s="252">
        <v>24</v>
      </c>
      <c r="J46" s="252">
        <v>0</v>
      </c>
      <c r="K46" s="252">
        <v>1</v>
      </c>
      <c r="L46" s="252">
        <v>12</v>
      </c>
      <c r="M46" s="252">
        <v>16</v>
      </c>
      <c r="N46" s="252">
        <v>15</v>
      </c>
      <c r="O46" s="252">
        <v>30</v>
      </c>
      <c r="P46" s="252">
        <v>53</v>
      </c>
      <c r="Q46" s="252">
        <v>26</v>
      </c>
      <c r="R46" s="335">
        <f t="shared" ref="R46:R47" si="27">SUM(F46:Q46)</f>
        <v>196</v>
      </c>
      <c r="S46" s="263">
        <f t="shared" si="18"/>
        <v>16.333333333333332</v>
      </c>
      <c r="T46" s="336">
        <f t="shared" si="19"/>
        <v>9.1224489795918373</v>
      </c>
      <c r="U46" s="307">
        <f t="shared" si="17"/>
        <v>149</v>
      </c>
      <c r="V46" s="233">
        <v>2018</v>
      </c>
      <c r="W46" s="234" t="str">
        <f>+C46</f>
        <v>Merlot</v>
      </c>
      <c r="X46" s="220"/>
      <c r="Y46" s="220"/>
      <c r="Z46" s="388">
        <v>44089</v>
      </c>
      <c r="AA46" s="402" t="s">
        <v>418</v>
      </c>
      <c r="AB46" s="388" t="s">
        <v>419</v>
      </c>
      <c r="AC46" s="403">
        <v>330</v>
      </c>
      <c r="AD46" s="388" t="s">
        <v>104</v>
      </c>
      <c r="AE46" s="220"/>
      <c r="AF46" s="220"/>
      <c r="AG46" s="220"/>
      <c r="AH46" s="220"/>
      <c r="AI46" s="220"/>
      <c r="AJ46" s="220"/>
      <c r="AK46" s="220"/>
      <c r="AL46" s="220"/>
      <c r="AM46" s="220"/>
    </row>
    <row r="47" spans="1:39" ht="15" customHeight="1" x14ac:dyDescent="0.2">
      <c r="A47" s="234">
        <v>14826</v>
      </c>
      <c r="B47" s="266" t="s">
        <v>133</v>
      </c>
      <c r="C47" s="234" t="s">
        <v>405</v>
      </c>
      <c r="D47" s="378"/>
      <c r="E47" s="252">
        <v>132</v>
      </c>
      <c r="F47" s="252">
        <v>9</v>
      </c>
      <c r="G47" s="252">
        <v>60</v>
      </c>
      <c r="H47" s="252">
        <v>12</v>
      </c>
      <c r="I47" s="252">
        <v>3</v>
      </c>
      <c r="J47" s="252">
        <v>33</v>
      </c>
      <c r="K47" s="252">
        <v>0</v>
      </c>
      <c r="L47" s="252">
        <v>5</v>
      </c>
      <c r="M47" s="252">
        <v>7</v>
      </c>
      <c r="N47" s="252">
        <v>3</v>
      </c>
      <c r="O47" s="252">
        <v>0</v>
      </c>
      <c r="P47" s="252">
        <v>0</v>
      </c>
      <c r="Q47" s="252">
        <v>0</v>
      </c>
      <c r="R47" s="236">
        <f t="shared" si="27"/>
        <v>132</v>
      </c>
      <c r="S47" s="323">
        <f t="shared" si="18"/>
        <v>11</v>
      </c>
      <c r="T47" s="336">
        <f t="shared" si="19"/>
        <v>0</v>
      </c>
      <c r="U47" s="307">
        <f t="shared" si="17"/>
        <v>0</v>
      </c>
      <c r="V47" s="266" t="s">
        <v>133</v>
      </c>
      <c r="W47" s="234" t="s">
        <v>358</v>
      </c>
      <c r="X47" s="220"/>
      <c r="Y47" s="220"/>
      <c r="Z47" s="388">
        <v>44089</v>
      </c>
      <c r="AA47" s="402" t="s">
        <v>418</v>
      </c>
      <c r="AB47" s="388" t="s">
        <v>420</v>
      </c>
      <c r="AC47" s="403">
        <v>90</v>
      </c>
      <c r="AD47" s="388" t="s">
        <v>104</v>
      </c>
      <c r="AE47" s="220"/>
      <c r="AF47" s="220"/>
      <c r="AG47" s="220"/>
      <c r="AH47" s="220"/>
      <c r="AI47" s="220"/>
      <c r="AJ47" s="220"/>
      <c r="AK47" s="220"/>
      <c r="AL47" s="220"/>
      <c r="AM47" s="220"/>
    </row>
    <row r="48" spans="1:39" ht="15" customHeight="1" x14ac:dyDescent="0.2">
      <c r="A48" s="234"/>
      <c r="B48" s="233"/>
      <c r="C48" s="234"/>
      <c r="D48" s="378"/>
      <c r="E48" s="252"/>
      <c r="F48" s="252"/>
      <c r="G48" s="252"/>
      <c r="H48" s="252"/>
      <c r="I48" s="252"/>
      <c r="J48" s="252"/>
      <c r="K48" s="252"/>
      <c r="L48" s="252"/>
      <c r="M48" s="252"/>
      <c r="N48" s="252"/>
      <c r="O48" s="252"/>
      <c r="P48" s="252"/>
      <c r="Q48" s="252"/>
      <c r="R48" s="236"/>
      <c r="S48" s="323"/>
      <c r="T48" s="336"/>
      <c r="U48" s="307"/>
      <c r="V48" s="233"/>
      <c r="W48" s="234"/>
      <c r="X48" s="220"/>
      <c r="Y48" s="220"/>
      <c r="Z48" s="388">
        <v>44091</v>
      </c>
      <c r="AA48" s="402" t="s">
        <v>418</v>
      </c>
      <c r="AB48" s="388" t="s">
        <v>421</v>
      </c>
      <c r="AC48" s="403">
        <v>130</v>
      </c>
      <c r="AD48" s="388" t="s">
        <v>104</v>
      </c>
      <c r="AE48" s="220"/>
      <c r="AF48" s="220"/>
      <c r="AG48" s="220"/>
      <c r="AH48" s="220"/>
      <c r="AI48" s="220"/>
      <c r="AJ48" s="220"/>
      <c r="AK48" s="220"/>
      <c r="AL48" s="220"/>
      <c r="AM48" s="220"/>
    </row>
    <row r="49" spans="1:39" x14ac:dyDescent="0.2">
      <c r="A49" s="226"/>
      <c r="B49" s="342"/>
      <c r="C49" s="226"/>
      <c r="D49" s="377"/>
      <c r="E49" s="338"/>
      <c r="F49" s="338"/>
      <c r="G49" s="338"/>
      <c r="H49" s="338"/>
      <c r="I49" s="338"/>
      <c r="J49" s="338"/>
      <c r="K49" s="338"/>
      <c r="L49" s="338"/>
      <c r="M49" s="338"/>
      <c r="N49" s="338"/>
      <c r="O49" s="338"/>
      <c r="P49" s="338"/>
      <c r="Q49" s="338"/>
      <c r="R49" s="243"/>
      <c r="S49" s="339"/>
      <c r="T49" s="340"/>
      <c r="U49" s="320"/>
      <c r="V49" s="342"/>
      <c r="W49" s="226"/>
      <c r="X49" s="220"/>
      <c r="Y49" s="220"/>
      <c r="Z49" s="388">
        <v>44091</v>
      </c>
      <c r="AA49" s="402" t="s">
        <v>418</v>
      </c>
      <c r="AB49" s="388" t="s">
        <v>422</v>
      </c>
      <c r="AC49" s="403">
        <v>175</v>
      </c>
      <c r="AD49" s="388" t="s">
        <v>104</v>
      </c>
      <c r="AE49" s="220"/>
      <c r="AF49" s="220"/>
      <c r="AG49" s="220"/>
      <c r="AH49" s="220"/>
      <c r="AI49" s="220"/>
      <c r="AJ49" s="220"/>
      <c r="AK49" s="220"/>
      <c r="AL49" s="220"/>
      <c r="AM49" s="220"/>
    </row>
    <row r="50" spans="1:39" ht="15.75" customHeight="1" x14ac:dyDescent="0.2">
      <c r="A50" s="234">
        <v>152192</v>
      </c>
      <c r="B50" s="266" t="s">
        <v>133</v>
      </c>
      <c r="C50" s="234" t="s">
        <v>356</v>
      </c>
      <c r="D50" s="378" t="s">
        <v>35</v>
      </c>
      <c r="E50" s="252">
        <v>1545</v>
      </c>
      <c r="F50" s="252">
        <v>0</v>
      </c>
      <c r="G50" s="252">
        <v>0</v>
      </c>
      <c r="H50" s="252">
        <v>226</v>
      </c>
      <c r="I50" s="252">
        <v>92</v>
      </c>
      <c r="J50" s="252">
        <v>32</v>
      </c>
      <c r="K50" s="252">
        <v>26</v>
      </c>
      <c r="L50" s="252">
        <v>65</v>
      </c>
      <c r="M50" s="252">
        <v>210</v>
      </c>
      <c r="N50" s="252">
        <v>67</v>
      </c>
      <c r="O50" s="252">
        <v>22</v>
      </c>
      <c r="P50" s="252">
        <v>32</v>
      </c>
      <c r="Q50" s="252">
        <v>27</v>
      </c>
      <c r="R50" s="335">
        <f t="shared" ref="R50:R61" si="28">SUM(F50:Q50)</f>
        <v>799</v>
      </c>
      <c r="S50" s="263">
        <f t="shared" ref="S50:S61" si="29">IFERROR((AVERAGE(F50:Q50)),0)</f>
        <v>66.583333333333329</v>
      </c>
      <c r="T50" s="336">
        <f t="shared" ref="T50:T61" si="30">IFERROR((U50/S50),0)</f>
        <v>11.204005006257823</v>
      </c>
      <c r="U50" s="307">
        <f t="shared" ref="U50:U61" si="31">SUM(E50-R50)</f>
        <v>746</v>
      </c>
      <c r="V50" s="233">
        <v>2019</v>
      </c>
      <c r="W50" s="234" t="s">
        <v>356</v>
      </c>
      <c r="X50" s="220"/>
      <c r="Y50" s="220"/>
      <c r="Z50" s="388">
        <v>44103</v>
      </c>
      <c r="AA50" s="402" t="s">
        <v>418</v>
      </c>
      <c r="AB50" s="388" t="s">
        <v>423</v>
      </c>
      <c r="AC50" s="403">
        <v>260</v>
      </c>
      <c r="AD50" s="388" t="s">
        <v>104</v>
      </c>
      <c r="AE50" s="220"/>
      <c r="AF50" s="220"/>
      <c r="AG50" s="220"/>
      <c r="AH50" s="220"/>
      <c r="AI50" s="220"/>
      <c r="AJ50" s="220"/>
      <c r="AK50" s="220"/>
      <c r="AL50" s="220"/>
      <c r="AM50" s="220"/>
    </row>
    <row r="51" spans="1:39" ht="15.75" customHeight="1" x14ac:dyDescent="0.2">
      <c r="A51" s="234">
        <v>11198</v>
      </c>
      <c r="B51" s="233">
        <v>2019</v>
      </c>
      <c r="C51" s="234" t="s">
        <v>46</v>
      </c>
      <c r="D51" s="378">
        <v>26</v>
      </c>
      <c r="E51" s="252">
        <v>189</v>
      </c>
      <c r="F51" s="252"/>
      <c r="G51" s="252"/>
      <c r="H51" s="252" t="s">
        <v>35</v>
      </c>
      <c r="I51" s="252">
        <v>6</v>
      </c>
      <c r="J51" s="252">
        <v>0</v>
      </c>
      <c r="K51" s="252">
        <v>3</v>
      </c>
      <c r="L51" s="252">
        <v>0</v>
      </c>
      <c r="M51" s="252">
        <v>0</v>
      </c>
      <c r="N51" s="252">
        <v>7</v>
      </c>
      <c r="O51" s="252">
        <v>2</v>
      </c>
      <c r="P51" s="252">
        <v>0</v>
      </c>
      <c r="Q51" s="252">
        <v>11</v>
      </c>
      <c r="R51" s="335">
        <f t="shared" si="28"/>
        <v>29</v>
      </c>
      <c r="S51" s="263">
        <f t="shared" si="29"/>
        <v>3.2222222222222223</v>
      </c>
      <c r="T51" s="336">
        <f t="shared" si="30"/>
        <v>49.655172413793103</v>
      </c>
      <c r="U51" s="307">
        <f t="shared" si="31"/>
        <v>160</v>
      </c>
      <c r="V51" s="233">
        <v>2019</v>
      </c>
      <c r="W51" s="234" t="s">
        <v>46</v>
      </c>
      <c r="X51" s="220"/>
      <c r="Y51" s="220"/>
      <c r="Z51" s="388">
        <v>44103</v>
      </c>
      <c r="AA51" s="402" t="s">
        <v>418</v>
      </c>
      <c r="AB51" s="388" t="s">
        <v>424</v>
      </c>
      <c r="AC51" s="403">
        <v>190</v>
      </c>
      <c r="AD51" s="388" t="s">
        <v>104</v>
      </c>
      <c r="AE51" s="220"/>
      <c r="AF51" s="220"/>
      <c r="AG51" s="220"/>
      <c r="AH51" s="220"/>
      <c r="AI51" s="220"/>
      <c r="AJ51" s="220"/>
      <c r="AK51" s="220"/>
      <c r="AL51" s="220"/>
      <c r="AM51" s="220"/>
    </row>
    <row r="52" spans="1:39" ht="15.75" customHeight="1" x14ac:dyDescent="0.2">
      <c r="A52" s="234">
        <v>151516</v>
      </c>
      <c r="B52" s="233">
        <v>2019</v>
      </c>
      <c r="C52" s="234" t="s">
        <v>359</v>
      </c>
      <c r="D52" s="379">
        <v>19</v>
      </c>
      <c r="E52" s="252">
        <v>491</v>
      </c>
      <c r="F52" s="252"/>
      <c r="G52" s="252"/>
      <c r="H52" s="252"/>
      <c r="I52" s="252">
        <v>2</v>
      </c>
      <c r="J52" s="252">
        <v>9</v>
      </c>
      <c r="K52" s="252">
        <v>34</v>
      </c>
      <c r="L52" s="252">
        <v>17</v>
      </c>
      <c r="M52" s="252">
        <v>23</v>
      </c>
      <c r="N52" s="252">
        <v>24</v>
      </c>
      <c r="O52" s="252">
        <v>13</v>
      </c>
      <c r="P52" s="252">
        <v>15</v>
      </c>
      <c r="Q52" s="252">
        <v>12</v>
      </c>
      <c r="R52" s="335">
        <f t="shared" si="28"/>
        <v>149</v>
      </c>
      <c r="S52" s="263">
        <f t="shared" si="29"/>
        <v>16.555555555555557</v>
      </c>
      <c r="T52" s="336">
        <f t="shared" si="30"/>
        <v>20.657718120805367</v>
      </c>
      <c r="U52" s="307">
        <f t="shared" si="31"/>
        <v>342</v>
      </c>
      <c r="V52" s="233">
        <v>2019</v>
      </c>
      <c r="W52" s="234" t="s">
        <v>359</v>
      </c>
      <c r="X52" s="220"/>
      <c r="Y52" s="220"/>
      <c r="Z52" s="388">
        <v>44103</v>
      </c>
      <c r="AA52" s="402" t="s">
        <v>418</v>
      </c>
      <c r="AB52" s="388" t="s">
        <v>425</v>
      </c>
      <c r="AC52" s="403">
        <v>150</v>
      </c>
      <c r="AD52" s="388" t="s">
        <v>104</v>
      </c>
      <c r="AE52" s="220"/>
      <c r="AF52" s="220"/>
      <c r="AG52" s="220"/>
      <c r="AH52" s="220"/>
      <c r="AI52" s="220"/>
      <c r="AJ52" s="220"/>
      <c r="AK52" s="220"/>
      <c r="AL52" s="220"/>
      <c r="AM52" s="220"/>
    </row>
    <row r="53" spans="1:39" ht="15.75" customHeight="1" x14ac:dyDescent="0.2">
      <c r="A53" s="234">
        <v>57632</v>
      </c>
      <c r="B53" s="233">
        <v>2019</v>
      </c>
      <c r="C53" s="234" t="s">
        <v>31</v>
      </c>
      <c r="D53" s="380">
        <v>36</v>
      </c>
      <c r="E53" s="252">
        <v>502</v>
      </c>
      <c r="F53" s="252"/>
      <c r="G53" s="252"/>
      <c r="H53" s="252"/>
      <c r="I53" s="252"/>
      <c r="J53" s="252"/>
      <c r="K53" s="252">
        <v>1</v>
      </c>
      <c r="L53" s="252">
        <v>2</v>
      </c>
      <c r="M53" s="252">
        <v>3</v>
      </c>
      <c r="N53" s="252">
        <v>8</v>
      </c>
      <c r="O53" s="252">
        <v>3</v>
      </c>
      <c r="P53" s="252">
        <v>0</v>
      </c>
      <c r="Q53" s="252">
        <v>1</v>
      </c>
      <c r="R53" s="335">
        <f t="shared" si="28"/>
        <v>18</v>
      </c>
      <c r="S53" s="263">
        <f t="shared" si="29"/>
        <v>2.5714285714285716</v>
      </c>
      <c r="T53" s="336">
        <f t="shared" si="30"/>
        <v>188.2222222222222</v>
      </c>
      <c r="U53" s="307">
        <f t="shared" si="31"/>
        <v>484</v>
      </c>
      <c r="V53" s="233">
        <v>2019</v>
      </c>
      <c r="W53" s="234" t="s">
        <v>31</v>
      </c>
      <c r="X53" s="220"/>
      <c r="Y53" s="220"/>
      <c r="Z53" s="388">
        <v>44116</v>
      </c>
      <c r="AA53" s="402" t="s">
        <v>418</v>
      </c>
      <c r="AB53" s="388" t="s">
        <v>436</v>
      </c>
      <c r="AC53" s="403">
        <v>240</v>
      </c>
      <c r="AD53" s="388" t="s">
        <v>104</v>
      </c>
      <c r="AE53" s="220"/>
      <c r="AF53" s="220"/>
      <c r="AG53" s="220"/>
      <c r="AH53" s="220"/>
      <c r="AI53" s="220"/>
      <c r="AJ53" s="220"/>
      <c r="AK53" s="220"/>
      <c r="AL53" s="220"/>
      <c r="AM53" s="220"/>
    </row>
    <row r="54" spans="1:39" ht="15.75" customHeight="1" x14ac:dyDescent="0.2">
      <c r="A54" s="234">
        <v>57630</v>
      </c>
      <c r="B54" s="233">
        <v>2019</v>
      </c>
      <c r="C54" s="234" t="s">
        <v>25</v>
      </c>
      <c r="D54" s="378">
        <v>30</v>
      </c>
      <c r="E54" s="252">
        <v>400</v>
      </c>
      <c r="F54" s="253"/>
      <c r="G54" s="253"/>
      <c r="H54" s="253"/>
      <c r="I54" s="253"/>
      <c r="J54" s="253"/>
      <c r="K54" s="253"/>
      <c r="L54" s="253" t="s">
        <v>35</v>
      </c>
      <c r="M54" s="253" t="s">
        <v>35</v>
      </c>
      <c r="N54" s="253" t="s">
        <v>35</v>
      </c>
      <c r="O54" s="253" t="s">
        <v>35</v>
      </c>
      <c r="P54" s="253" t="s">
        <v>35</v>
      </c>
      <c r="Q54" s="253">
        <v>12</v>
      </c>
      <c r="R54" s="335">
        <f t="shared" si="28"/>
        <v>12</v>
      </c>
      <c r="S54" s="263">
        <f t="shared" si="29"/>
        <v>12</v>
      </c>
      <c r="T54" s="336">
        <f t="shared" si="30"/>
        <v>32.333333333333336</v>
      </c>
      <c r="U54" s="307">
        <f t="shared" si="31"/>
        <v>388</v>
      </c>
      <c r="V54" s="233">
        <v>2019</v>
      </c>
      <c r="W54" s="234" t="s">
        <v>25</v>
      </c>
      <c r="X54" s="220"/>
      <c r="Y54" s="220"/>
      <c r="Z54" s="388">
        <v>44116</v>
      </c>
      <c r="AA54" s="402" t="s">
        <v>418</v>
      </c>
      <c r="AB54" s="388" t="s">
        <v>437</v>
      </c>
      <c r="AC54" s="403">
        <v>120</v>
      </c>
      <c r="AD54" s="388" t="s">
        <v>104</v>
      </c>
      <c r="AE54" s="220"/>
      <c r="AF54" s="220"/>
      <c r="AG54" s="220"/>
      <c r="AH54" s="220"/>
      <c r="AI54" s="220"/>
      <c r="AJ54" s="220"/>
      <c r="AK54" s="220"/>
      <c r="AL54" s="220"/>
      <c r="AM54" s="220"/>
    </row>
    <row r="55" spans="1:39" ht="15.75" customHeight="1" x14ac:dyDescent="0.2">
      <c r="A55" s="234">
        <v>22384</v>
      </c>
      <c r="B55" s="233">
        <v>2019</v>
      </c>
      <c r="C55" s="234" t="s">
        <v>26</v>
      </c>
      <c r="D55" s="380">
        <v>0</v>
      </c>
      <c r="E55" s="252">
        <v>227</v>
      </c>
      <c r="F55" s="253"/>
      <c r="G55" s="253"/>
      <c r="H55" s="253" t="s">
        <v>35</v>
      </c>
      <c r="I55" s="253" t="s">
        <v>35</v>
      </c>
      <c r="J55" s="253" t="s">
        <v>35</v>
      </c>
      <c r="K55" s="253" t="s">
        <v>35</v>
      </c>
      <c r="L55" s="253" t="s">
        <v>35</v>
      </c>
      <c r="M55" s="253" t="s">
        <v>35</v>
      </c>
      <c r="N55" s="253" t="s">
        <v>35</v>
      </c>
      <c r="O55" s="253" t="s">
        <v>35</v>
      </c>
      <c r="P55" s="253" t="s">
        <v>35</v>
      </c>
      <c r="Q55" s="253">
        <v>0</v>
      </c>
      <c r="R55" s="335">
        <f t="shared" si="28"/>
        <v>0</v>
      </c>
      <c r="S55" s="263">
        <f t="shared" si="29"/>
        <v>0</v>
      </c>
      <c r="T55" s="336">
        <f t="shared" si="30"/>
        <v>0</v>
      </c>
      <c r="U55" s="307">
        <f t="shared" si="31"/>
        <v>227</v>
      </c>
      <c r="V55" s="233">
        <v>2019</v>
      </c>
      <c r="W55" s="234" t="s">
        <v>26</v>
      </c>
      <c r="X55" s="220"/>
      <c r="Y55" s="220"/>
      <c r="Z55" s="388">
        <v>44116</v>
      </c>
      <c r="AA55" s="402" t="s">
        <v>418</v>
      </c>
      <c r="AB55" s="388" t="s">
        <v>438</v>
      </c>
      <c r="AC55" s="403">
        <v>110</v>
      </c>
      <c r="AD55" s="388" t="s">
        <v>104</v>
      </c>
      <c r="AE55" s="220"/>
      <c r="AF55" s="220"/>
      <c r="AG55" s="220"/>
      <c r="AH55" s="220"/>
      <c r="AI55" s="220"/>
      <c r="AJ55" s="220"/>
      <c r="AK55" s="220"/>
      <c r="AL55" s="220"/>
      <c r="AM55" s="220"/>
    </row>
    <row r="56" spans="1:39" ht="15.75" customHeight="1" x14ac:dyDescent="0.2">
      <c r="A56" s="234">
        <v>133688</v>
      </c>
      <c r="B56" s="233">
        <v>2019</v>
      </c>
      <c r="C56" s="234" t="s">
        <v>23</v>
      </c>
      <c r="D56" s="244">
        <v>39</v>
      </c>
      <c r="E56" s="252">
        <v>676</v>
      </c>
      <c r="F56" s="253"/>
      <c r="G56" s="253"/>
      <c r="H56" s="253"/>
      <c r="I56" s="253"/>
      <c r="J56" s="253"/>
      <c r="K56" s="253"/>
      <c r="L56" s="253" t="s">
        <v>35</v>
      </c>
      <c r="M56" s="253" t="s">
        <v>35</v>
      </c>
      <c r="N56" s="253" t="s">
        <v>35</v>
      </c>
      <c r="O56" s="253" t="s">
        <v>35</v>
      </c>
      <c r="P56" s="253" t="s">
        <v>35</v>
      </c>
      <c r="Q56" s="253">
        <v>19</v>
      </c>
      <c r="R56" s="335">
        <f t="shared" si="28"/>
        <v>19</v>
      </c>
      <c r="S56" s="263">
        <f t="shared" si="29"/>
        <v>19</v>
      </c>
      <c r="T56" s="336">
        <f t="shared" si="30"/>
        <v>34.578947368421055</v>
      </c>
      <c r="U56" s="307">
        <f t="shared" si="31"/>
        <v>657</v>
      </c>
      <c r="V56" s="233">
        <v>2019</v>
      </c>
      <c r="W56" s="234" t="s">
        <v>23</v>
      </c>
      <c r="X56" s="220"/>
      <c r="Y56" s="220"/>
      <c r="Z56" s="388">
        <v>44116</v>
      </c>
      <c r="AA56" s="402" t="s">
        <v>418</v>
      </c>
      <c r="AB56" s="388" t="s">
        <v>420</v>
      </c>
      <c r="AC56" s="403">
        <v>160</v>
      </c>
      <c r="AD56" s="388" t="s">
        <v>104</v>
      </c>
      <c r="AE56" s="220"/>
      <c r="AF56" s="220"/>
      <c r="AG56" s="220"/>
      <c r="AH56" s="220"/>
      <c r="AI56" s="220"/>
      <c r="AJ56" s="220"/>
      <c r="AK56" s="220"/>
      <c r="AL56" s="220"/>
      <c r="AM56" s="220"/>
    </row>
    <row r="57" spans="1:39" ht="15.75" customHeight="1" x14ac:dyDescent="0.2">
      <c r="A57" s="234">
        <v>133687</v>
      </c>
      <c r="B57" s="233">
        <v>2019</v>
      </c>
      <c r="C57" s="234" t="s">
        <v>93</v>
      </c>
      <c r="D57" s="244" t="s">
        <v>35</v>
      </c>
      <c r="E57" s="252">
        <v>298</v>
      </c>
      <c r="F57" s="253"/>
      <c r="G57" s="253"/>
      <c r="H57" s="253"/>
      <c r="I57" s="253"/>
      <c r="J57" s="253"/>
      <c r="K57" s="253"/>
      <c r="L57" s="253"/>
      <c r="M57" s="253"/>
      <c r="N57" s="253"/>
      <c r="O57" s="253"/>
      <c r="P57" s="253"/>
      <c r="Q57" s="253">
        <v>0</v>
      </c>
      <c r="R57" s="335"/>
      <c r="S57" s="263"/>
      <c r="T57" s="336"/>
      <c r="U57" s="307">
        <f>SUM(E57-R57)</f>
        <v>298</v>
      </c>
      <c r="V57" s="233">
        <v>2019</v>
      </c>
      <c r="W57" s="234" t="s">
        <v>442</v>
      </c>
      <c r="X57" s="220"/>
      <c r="Y57" s="220"/>
      <c r="Z57" s="388">
        <v>44134</v>
      </c>
      <c r="AA57" s="402" t="s">
        <v>418</v>
      </c>
      <c r="AB57" s="388" t="s">
        <v>437</v>
      </c>
      <c r="AC57" s="403">
        <v>330</v>
      </c>
      <c r="AD57" s="388" t="s">
        <v>104</v>
      </c>
      <c r="AE57" s="220"/>
      <c r="AF57" s="220"/>
      <c r="AG57" s="220"/>
      <c r="AH57" s="220"/>
      <c r="AI57" s="220"/>
      <c r="AJ57" s="220"/>
      <c r="AK57" s="220"/>
      <c r="AL57" s="220"/>
      <c r="AM57" s="220"/>
    </row>
    <row r="58" spans="1:39" ht="15.75" customHeight="1" x14ac:dyDescent="0.2">
      <c r="A58" s="234">
        <v>27736</v>
      </c>
      <c r="B58" s="233">
        <v>2019</v>
      </c>
      <c r="C58" s="234" t="s">
        <v>56</v>
      </c>
      <c r="D58" s="244">
        <v>29</v>
      </c>
      <c r="E58" s="252">
        <v>391</v>
      </c>
      <c r="F58" s="253"/>
      <c r="G58" s="253"/>
      <c r="H58" s="253"/>
      <c r="I58" s="253"/>
      <c r="J58" s="253"/>
      <c r="K58" s="253"/>
      <c r="L58" s="253"/>
      <c r="M58" s="253"/>
      <c r="N58" s="253"/>
      <c r="O58" s="253"/>
      <c r="P58" s="253"/>
      <c r="Q58" s="253"/>
      <c r="R58" s="335">
        <f t="shared" si="28"/>
        <v>0</v>
      </c>
      <c r="S58" s="263">
        <f t="shared" si="29"/>
        <v>0</v>
      </c>
      <c r="T58" s="336">
        <f t="shared" si="30"/>
        <v>0</v>
      </c>
      <c r="U58" s="307">
        <f t="shared" si="31"/>
        <v>391</v>
      </c>
      <c r="V58" s="233">
        <v>2019</v>
      </c>
      <c r="W58" s="234" t="s">
        <v>56</v>
      </c>
      <c r="X58" s="220"/>
      <c r="Y58" s="220"/>
      <c r="Z58" s="388">
        <v>44134</v>
      </c>
      <c r="AA58" s="402" t="s">
        <v>418</v>
      </c>
      <c r="AB58" s="388" t="s">
        <v>454</v>
      </c>
      <c r="AC58" s="403">
        <v>150</v>
      </c>
      <c r="AD58" s="388" t="s">
        <v>104</v>
      </c>
      <c r="AE58" s="220"/>
      <c r="AF58" s="220"/>
      <c r="AG58" s="220"/>
      <c r="AH58" s="220"/>
      <c r="AI58" s="220"/>
      <c r="AJ58" s="220"/>
      <c r="AK58" s="220"/>
      <c r="AL58" s="220"/>
      <c r="AM58" s="220"/>
    </row>
    <row r="59" spans="1:39" ht="15.75" customHeight="1" x14ac:dyDescent="0.2">
      <c r="A59" s="234">
        <v>135371</v>
      </c>
      <c r="B59" s="233">
        <v>2019</v>
      </c>
      <c r="C59" s="234" t="s">
        <v>291</v>
      </c>
      <c r="D59" s="376">
        <v>0</v>
      </c>
      <c r="E59" s="252">
        <v>116</v>
      </c>
      <c r="F59" s="253"/>
      <c r="G59" s="253"/>
      <c r="H59" s="253"/>
      <c r="I59" s="253"/>
      <c r="J59" s="253"/>
      <c r="K59" s="253"/>
      <c r="L59" s="253"/>
      <c r="M59" s="253"/>
      <c r="N59" s="253"/>
      <c r="O59" s="253"/>
      <c r="P59" s="253"/>
      <c r="Q59" s="253">
        <v>23</v>
      </c>
      <c r="R59" s="335">
        <f t="shared" si="28"/>
        <v>23</v>
      </c>
      <c r="S59" s="263">
        <f t="shared" si="29"/>
        <v>23</v>
      </c>
      <c r="T59" s="336">
        <f t="shared" si="30"/>
        <v>4.0434782608695654</v>
      </c>
      <c r="U59" s="307">
        <f t="shared" si="31"/>
        <v>93</v>
      </c>
      <c r="V59" s="233">
        <v>2019</v>
      </c>
      <c r="W59" s="234" t="s">
        <v>291</v>
      </c>
      <c r="X59" s="220"/>
      <c r="Y59" s="220"/>
      <c r="Z59" s="388">
        <v>44134</v>
      </c>
      <c r="AA59" s="402" t="s">
        <v>396</v>
      </c>
      <c r="AB59" s="388" t="s">
        <v>444</v>
      </c>
      <c r="AC59" s="403">
        <v>275</v>
      </c>
      <c r="AD59" s="388" t="s">
        <v>104</v>
      </c>
      <c r="AE59" s="220"/>
      <c r="AF59" s="220"/>
      <c r="AG59" s="220"/>
      <c r="AH59" s="220"/>
      <c r="AI59" s="220"/>
      <c r="AJ59" s="220"/>
      <c r="AK59" s="220"/>
      <c r="AL59" s="220"/>
      <c r="AM59" s="220"/>
    </row>
    <row r="60" spans="1:39" ht="15.75" customHeight="1" x14ac:dyDescent="0.2">
      <c r="A60" s="234">
        <v>22921</v>
      </c>
      <c r="B60" s="233">
        <v>2019</v>
      </c>
      <c r="C60" s="234" t="s">
        <v>277</v>
      </c>
      <c r="D60" s="244">
        <v>54</v>
      </c>
      <c r="E60" s="252">
        <v>566</v>
      </c>
      <c r="F60" s="253"/>
      <c r="G60" s="253"/>
      <c r="H60" s="253"/>
      <c r="I60" s="253"/>
      <c r="J60" s="253"/>
      <c r="K60" s="253"/>
      <c r="L60" s="253"/>
      <c r="M60" s="253"/>
      <c r="N60" s="253"/>
      <c r="O60" s="253"/>
      <c r="P60" s="253"/>
      <c r="Q60" s="253">
        <v>6</v>
      </c>
      <c r="R60" s="335">
        <f t="shared" si="28"/>
        <v>6</v>
      </c>
      <c r="S60" s="263">
        <f t="shared" si="29"/>
        <v>6</v>
      </c>
      <c r="T60" s="336">
        <f t="shared" si="30"/>
        <v>93.333333333333329</v>
      </c>
      <c r="U60" s="307">
        <f t="shared" si="31"/>
        <v>560</v>
      </c>
      <c r="V60" s="233">
        <v>2019</v>
      </c>
      <c r="W60" s="234" t="s">
        <v>277</v>
      </c>
      <c r="X60" s="220"/>
      <c r="Y60" s="220"/>
      <c r="Z60" s="388">
        <v>44138</v>
      </c>
      <c r="AA60" s="402" t="s">
        <v>418</v>
      </c>
      <c r="AB60" s="388" t="s">
        <v>445</v>
      </c>
      <c r="AC60" s="403">
        <v>330</v>
      </c>
      <c r="AD60" s="388" t="s">
        <v>104</v>
      </c>
      <c r="AE60" s="220"/>
      <c r="AF60" s="220"/>
      <c r="AG60" s="220"/>
      <c r="AH60" s="220"/>
      <c r="AI60" s="220"/>
      <c r="AJ60" s="220"/>
      <c r="AK60" s="220"/>
      <c r="AL60" s="220"/>
      <c r="AM60" s="220"/>
    </row>
    <row r="61" spans="1:39" ht="15.75" customHeight="1" x14ac:dyDescent="0.2">
      <c r="A61" s="234"/>
      <c r="B61" s="233" t="s">
        <v>357</v>
      </c>
      <c r="C61" s="234" t="s">
        <v>94</v>
      </c>
      <c r="D61" s="244">
        <v>0</v>
      </c>
      <c r="E61" s="252">
        <v>0</v>
      </c>
      <c r="F61" s="253"/>
      <c r="G61" s="253"/>
      <c r="H61" s="253"/>
      <c r="I61" s="253"/>
      <c r="J61" s="253"/>
      <c r="K61" s="253"/>
      <c r="L61" s="253"/>
      <c r="M61" s="253"/>
      <c r="N61" s="253"/>
      <c r="O61" s="253"/>
      <c r="P61" s="253"/>
      <c r="Q61" s="253"/>
      <c r="R61" s="335">
        <f t="shared" si="28"/>
        <v>0</v>
      </c>
      <c r="S61" s="263">
        <f t="shared" si="29"/>
        <v>0</v>
      </c>
      <c r="T61" s="336">
        <f t="shared" si="30"/>
        <v>0</v>
      </c>
      <c r="U61" s="307">
        <f t="shared" si="31"/>
        <v>0</v>
      </c>
      <c r="V61" s="233" t="s">
        <v>357</v>
      </c>
      <c r="W61" s="234" t="s">
        <v>94</v>
      </c>
      <c r="X61" s="220"/>
      <c r="Y61" s="220"/>
      <c r="Z61" s="388">
        <v>44138</v>
      </c>
      <c r="AA61" s="402" t="s">
        <v>418</v>
      </c>
      <c r="AB61" s="388" t="s">
        <v>446</v>
      </c>
      <c r="AC61" s="403">
        <v>330</v>
      </c>
      <c r="AD61" s="388" t="s">
        <v>104</v>
      </c>
      <c r="AE61" s="220"/>
      <c r="AF61" s="220"/>
      <c r="AG61" s="220"/>
      <c r="AH61" s="220"/>
      <c r="AI61" s="220"/>
      <c r="AJ61" s="220"/>
      <c r="AK61" s="220"/>
      <c r="AL61" s="220"/>
      <c r="AM61" s="220"/>
    </row>
    <row r="62" spans="1:39" ht="15.75" customHeight="1" x14ac:dyDescent="0.2">
      <c r="A62" s="234" t="s">
        <v>35</v>
      </c>
      <c r="B62" s="233">
        <v>2019</v>
      </c>
      <c r="C62" s="234" t="s">
        <v>404</v>
      </c>
      <c r="D62" s="244"/>
      <c r="E62" s="252">
        <v>120</v>
      </c>
      <c r="F62" s="252"/>
      <c r="G62" s="252"/>
      <c r="H62" s="252"/>
      <c r="I62" s="252"/>
      <c r="J62" s="252">
        <v>8</v>
      </c>
      <c r="K62" s="252">
        <v>12</v>
      </c>
      <c r="L62" s="252">
        <v>21</v>
      </c>
      <c r="M62" s="252">
        <v>60</v>
      </c>
      <c r="N62" s="252">
        <v>8</v>
      </c>
      <c r="O62" s="252">
        <v>3</v>
      </c>
      <c r="P62" s="252">
        <v>8</v>
      </c>
      <c r="Q62" s="252"/>
      <c r="R62" s="335">
        <f t="shared" ref="R62" si="32">SUM(F62:Q62)</f>
        <v>120</v>
      </c>
      <c r="S62" s="263">
        <f t="shared" ref="S62" si="33">IFERROR((AVERAGE(F62:Q62)),0)</f>
        <v>17.142857142857142</v>
      </c>
      <c r="T62" s="336">
        <f t="shared" ref="T62:T64" si="34">IFERROR((U62/S62),0)</f>
        <v>0</v>
      </c>
      <c r="U62" s="307">
        <f t="shared" ref="U62:U64" si="35">SUM(E62-R62)</f>
        <v>0</v>
      </c>
      <c r="V62" s="233" t="s">
        <v>35</v>
      </c>
      <c r="W62" s="234" t="str">
        <f>+C62</f>
        <v>Riesling - NO TAX TO PAY</v>
      </c>
      <c r="X62" s="220"/>
      <c r="Y62" s="220"/>
      <c r="Z62" s="388">
        <v>44147</v>
      </c>
      <c r="AA62" s="402" t="s">
        <v>418</v>
      </c>
      <c r="AB62" s="388" t="s">
        <v>438</v>
      </c>
      <c r="AC62" s="403">
        <v>275</v>
      </c>
      <c r="AD62" s="388" t="s">
        <v>104</v>
      </c>
      <c r="AE62" s="220"/>
      <c r="AF62" s="220"/>
      <c r="AG62" s="220"/>
      <c r="AH62" s="220"/>
      <c r="AI62" s="220"/>
      <c r="AJ62" s="220"/>
      <c r="AK62" s="220"/>
      <c r="AL62" s="220"/>
      <c r="AM62" s="220"/>
    </row>
    <row r="63" spans="1:39" ht="15.75" customHeight="1" x14ac:dyDescent="0.2">
      <c r="A63" s="234"/>
      <c r="B63" s="233"/>
      <c r="C63" s="234" t="s">
        <v>417</v>
      </c>
      <c r="D63" s="244" t="s">
        <v>35</v>
      </c>
      <c r="E63" s="252">
        <v>31</v>
      </c>
      <c r="F63" s="252"/>
      <c r="G63" s="252"/>
      <c r="H63" s="252"/>
      <c r="I63" s="252"/>
      <c r="J63" s="252"/>
      <c r="K63" s="252"/>
      <c r="L63" s="252"/>
      <c r="M63" s="252">
        <v>5</v>
      </c>
      <c r="N63" s="252">
        <v>7</v>
      </c>
      <c r="O63" s="252">
        <v>12</v>
      </c>
      <c r="P63" s="252">
        <v>7</v>
      </c>
      <c r="Q63" s="252"/>
      <c r="R63" s="335">
        <f t="shared" ref="R63:R64" si="36">SUM(F63:Q63)</f>
        <v>31</v>
      </c>
      <c r="S63" s="263">
        <f t="shared" ref="S63:S64" si="37">IFERROR((AVERAGE(F63:Q63)),0)</f>
        <v>7.75</v>
      </c>
      <c r="T63" s="336">
        <f t="shared" si="34"/>
        <v>0</v>
      </c>
      <c r="U63" s="307">
        <f t="shared" si="35"/>
        <v>0</v>
      </c>
      <c r="V63" s="233"/>
      <c r="W63" s="234" t="s">
        <v>443</v>
      </c>
      <c r="X63" s="220"/>
      <c r="Y63" s="220"/>
      <c r="Z63" s="388">
        <v>44147</v>
      </c>
      <c r="AA63" s="402" t="s">
        <v>418</v>
      </c>
      <c r="AB63" s="388" t="s">
        <v>455</v>
      </c>
      <c r="AC63" s="403">
        <v>275</v>
      </c>
      <c r="AD63" s="388" t="s">
        <v>104</v>
      </c>
      <c r="AE63" s="220"/>
      <c r="AF63" s="220"/>
      <c r="AG63" s="220"/>
      <c r="AH63" s="220"/>
      <c r="AI63" s="220"/>
      <c r="AJ63" s="220"/>
      <c r="AK63" s="220"/>
      <c r="AL63" s="220"/>
      <c r="AM63" s="220"/>
    </row>
    <row r="64" spans="1:39" ht="15.75" customHeight="1" x14ac:dyDescent="0.2">
      <c r="A64" s="234"/>
      <c r="B64" s="233"/>
      <c r="C64" s="234" t="s">
        <v>417</v>
      </c>
      <c r="D64" s="244"/>
      <c r="E64" s="252">
        <v>70</v>
      </c>
      <c r="F64" s="252"/>
      <c r="G64" s="252"/>
      <c r="H64" s="252"/>
      <c r="I64" s="252"/>
      <c r="J64" s="252"/>
      <c r="K64" s="252"/>
      <c r="L64" s="252"/>
      <c r="M64" s="252"/>
      <c r="N64" s="252"/>
      <c r="O64" s="252"/>
      <c r="P64" s="252">
        <v>14</v>
      </c>
      <c r="Q64" s="252">
        <v>8</v>
      </c>
      <c r="R64" s="335">
        <f t="shared" si="36"/>
        <v>22</v>
      </c>
      <c r="S64" s="263">
        <f t="shared" si="37"/>
        <v>11</v>
      </c>
      <c r="T64" s="336">
        <f t="shared" si="34"/>
        <v>4.3636363636363633</v>
      </c>
      <c r="U64" s="307">
        <f t="shared" si="35"/>
        <v>48</v>
      </c>
      <c r="V64" s="233"/>
      <c r="W64" s="234" t="s">
        <v>443</v>
      </c>
      <c r="X64" s="220"/>
      <c r="Y64" s="220"/>
      <c r="Z64" s="388">
        <v>44147</v>
      </c>
      <c r="AA64" s="402" t="s">
        <v>418</v>
      </c>
      <c r="AB64" s="388" t="s">
        <v>456</v>
      </c>
      <c r="AC64" s="403">
        <v>155</v>
      </c>
      <c r="AD64" s="388" t="s">
        <v>104</v>
      </c>
      <c r="AE64" s="220"/>
      <c r="AF64" s="220"/>
      <c r="AG64" s="220"/>
      <c r="AH64" s="220"/>
      <c r="AI64" s="220"/>
      <c r="AJ64" s="220"/>
      <c r="AK64" s="220"/>
      <c r="AL64" s="220"/>
      <c r="AM64" s="220"/>
    </row>
    <row r="65" spans="1:39" x14ac:dyDescent="0.2">
      <c r="A65" s="226"/>
      <c r="B65" s="342"/>
      <c r="C65" s="226"/>
      <c r="D65" s="226"/>
      <c r="E65" s="338"/>
      <c r="F65" s="338"/>
      <c r="G65" s="338"/>
      <c r="H65" s="338"/>
      <c r="I65" s="338"/>
      <c r="J65" s="338"/>
      <c r="K65" s="338"/>
      <c r="L65" s="338"/>
      <c r="M65" s="338"/>
      <c r="N65" s="338"/>
      <c r="O65" s="338"/>
      <c r="P65" s="338"/>
      <c r="Q65" s="338"/>
      <c r="R65" s="243"/>
      <c r="S65" s="339"/>
      <c r="T65" s="340"/>
      <c r="U65" s="320"/>
      <c r="V65" s="342"/>
      <c r="W65" s="226"/>
      <c r="X65" s="220"/>
      <c r="Y65" s="220"/>
      <c r="Z65" s="388">
        <v>44155</v>
      </c>
      <c r="AA65" s="402" t="s">
        <v>418</v>
      </c>
      <c r="AB65" s="388" t="s">
        <v>446</v>
      </c>
      <c r="AC65" s="403">
        <v>660</v>
      </c>
      <c r="AD65" s="388" t="s">
        <v>104</v>
      </c>
      <c r="AE65" s="220"/>
      <c r="AF65" s="220"/>
      <c r="AG65" s="220"/>
      <c r="AH65" s="220"/>
      <c r="AI65" s="220"/>
      <c r="AJ65" s="220"/>
      <c r="AK65" s="220"/>
      <c r="AL65" s="220"/>
      <c r="AM65" s="220"/>
    </row>
    <row r="66" spans="1:39" x14ac:dyDescent="0.2">
      <c r="A66" s="234"/>
      <c r="B66" s="233">
        <v>2014</v>
      </c>
      <c r="C66" s="234"/>
      <c r="D66" s="235"/>
      <c r="E66" s="263">
        <f t="shared" ref="E66:R66" si="38">SUM(E9:E9)</f>
        <v>15</v>
      </c>
      <c r="F66" s="263">
        <f t="shared" si="38"/>
        <v>7</v>
      </c>
      <c r="G66" s="263">
        <f t="shared" si="38"/>
        <v>8</v>
      </c>
      <c r="H66" s="263">
        <f t="shared" si="38"/>
        <v>0</v>
      </c>
      <c r="I66" s="263">
        <f t="shared" si="38"/>
        <v>0</v>
      </c>
      <c r="J66" s="263">
        <f t="shared" si="38"/>
        <v>0</v>
      </c>
      <c r="K66" s="263">
        <f t="shared" si="38"/>
        <v>0</v>
      </c>
      <c r="L66" s="263">
        <f t="shared" si="38"/>
        <v>0</v>
      </c>
      <c r="M66" s="263">
        <f t="shared" si="38"/>
        <v>0</v>
      </c>
      <c r="N66" s="263">
        <f t="shared" si="38"/>
        <v>0</v>
      </c>
      <c r="O66" s="263">
        <f t="shared" si="38"/>
        <v>0</v>
      </c>
      <c r="P66" s="263">
        <f t="shared" si="38"/>
        <v>0</v>
      </c>
      <c r="Q66" s="263">
        <f t="shared" si="38"/>
        <v>0</v>
      </c>
      <c r="R66" s="335">
        <f t="shared" si="38"/>
        <v>15</v>
      </c>
      <c r="S66" s="263">
        <f>AVERAGE(F66:Q66)</f>
        <v>1.25</v>
      </c>
      <c r="T66" s="336">
        <f>U66/S66</f>
        <v>0</v>
      </c>
      <c r="U66" s="307">
        <f>U8</f>
        <v>0</v>
      </c>
      <c r="V66" s="233">
        <v>2014</v>
      </c>
      <c r="W66" s="234"/>
      <c r="X66" s="220"/>
      <c r="Y66" s="220"/>
      <c r="Z66" s="388">
        <v>44155</v>
      </c>
      <c r="AA66" s="402" t="s">
        <v>418</v>
      </c>
      <c r="AB66" s="388" t="s">
        <v>447</v>
      </c>
      <c r="AC66" s="403">
        <v>330</v>
      </c>
      <c r="AD66" s="388" t="s">
        <v>104</v>
      </c>
      <c r="AE66" s="220"/>
      <c r="AF66" s="220"/>
      <c r="AG66" s="220"/>
      <c r="AH66" s="220"/>
      <c r="AI66" s="220"/>
      <c r="AJ66" s="220"/>
      <c r="AK66" s="220"/>
      <c r="AL66" s="220"/>
      <c r="AM66" s="220"/>
    </row>
    <row r="67" spans="1:39" x14ac:dyDescent="0.2">
      <c r="A67" s="234"/>
      <c r="B67" s="233">
        <v>2015</v>
      </c>
      <c r="C67" s="234"/>
      <c r="D67" s="235"/>
      <c r="E67" s="263">
        <f t="shared" ref="E67:R67" si="39">SUM(E11:E12)</f>
        <v>229</v>
      </c>
      <c r="F67" s="263">
        <f t="shared" si="39"/>
        <v>19</v>
      </c>
      <c r="G67" s="263">
        <f t="shared" si="39"/>
        <v>26</v>
      </c>
      <c r="H67" s="263">
        <f t="shared" si="39"/>
        <v>8</v>
      </c>
      <c r="I67" s="263">
        <f t="shared" si="39"/>
        <v>1</v>
      </c>
      <c r="J67" s="263">
        <f t="shared" si="39"/>
        <v>0</v>
      </c>
      <c r="K67" s="263">
        <f t="shared" si="39"/>
        <v>0</v>
      </c>
      <c r="L67" s="263">
        <f t="shared" si="39"/>
        <v>0</v>
      </c>
      <c r="M67" s="263">
        <f t="shared" si="39"/>
        <v>0</v>
      </c>
      <c r="N67" s="263">
        <f t="shared" si="39"/>
        <v>0</v>
      </c>
      <c r="O67" s="263">
        <f t="shared" si="39"/>
        <v>0</v>
      </c>
      <c r="P67" s="263">
        <f t="shared" si="39"/>
        <v>0</v>
      </c>
      <c r="Q67" s="263">
        <f t="shared" si="39"/>
        <v>0</v>
      </c>
      <c r="R67" s="335">
        <f t="shared" si="39"/>
        <v>54</v>
      </c>
      <c r="S67" s="263">
        <f>AVERAGE(F67:Q67)</f>
        <v>4.5</v>
      </c>
      <c r="T67" s="336">
        <f>U67/S67</f>
        <v>38.888888888888886</v>
      </c>
      <c r="U67" s="307">
        <f>SUM(U11+U12)</f>
        <v>175</v>
      </c>
      <c r="V67" s="233">
        <v>2015</v>
      </c>
      <c r="W67" s="234"/>
      <c r="X67" s="220"/>
      <c r="Y67" s="220"/>
      <c r="Z67" s="388">
        <v>44155</v>
      </c>
      <c r="AA67" s="402" t="s">
        <v>418</v>
      </c>
      <c r="AB67" s="388" t="s">
        <v>448</v>
      </c>
      <c r="AC67" s="403">
        <v>80</v>
      </c>
      <c r="AD67" s="388" t="s">
        <v>104</v>
      </c>
      <c r="AE67" s="220"/>
      <c r="AF67" s="220"/>
      <c r="AG67" s="220"/>
      <c r="AH67" s="220"/>
      <c r="AI67" s="220"/>
      <c r="AJ67" s="220"/>
      <c r="AK67" s="220"/>
      <c r="AL67" s="220"/>
      <c r="AM67" s="220"/>
    </row>
    <row r="68" spans="1:39" ht="14.25" customHeight="1" x14ac:dyDescent="0.2">
      <c r="A68" s="234"/>
      <c r="B68" s="233">
        <v>2016</v>
      </c>
      <c r="C68" s="234"/>
      <c r="D68" s="235"/>
      <c r="E68" s="263">
        <f t="shared" ref="E68:R68" si="40">SUM(E14:E19)</f>
        <v>711</v>
      </c>
      <c r="F68" s="263">
        <f t="shared" si="40"/>
        <v>115</v>
      </c>
      <c r="G68" s="263">
        <f t="shared" si="40"/>
        <v>104</v>
      </c>
      <c r="H68" s="263">
        <f t="shared" si="40"/>
        <v>41</v>
      </c>
      <c r="I68" s="263">
        <f t="shared" si="40"/>
        <v>32</v>
      </c>
      <c r="J68" s="263">
        <f t="shared" si="40"/>
        <v>50</v>
      </c>
      <c r="K68" s="263">
        <f t="shared" si="40"/>
        <v>31</v>
      </c>
      <c r="L68" s="263">
        <f t="shared" si="40"/>
        <v>29</v>
      </c>
      <c r="M68" s="263">
        <f t="shared" si="40"/>
        <v>39</v>
      </c>
      <c r="N68" s="263">
        <f t="shared" si="40"/>
        <v>43</v>
      </c>
      <c r="O68" s="263">
        <f t="shared" si="40"/>
        <v>56</v>
      </c>
      <c r="P68" s="263">
        <f t="shared" si="40"/>
        <v>57</v>
      </c>
      <c r="Q68" s="263">
        <f t="shared" si="40"/>
        <v>32</v>
      </c>
      <c r="R68" s="335">
        <f t="shared" si="40"/>
        <v>629</v>
      </c>
      <c r="S68" s="263">
        <f t="shared" ref="S68:S72" si="41">AVERAGE(F68:Q68)</f>
        <v>52.416666666666664</v>
      </c>
      <c r="T68" s="336">
        <f t="shared" ref="T68:T71" si="42">U68/S68</f>
        <v>1.3354531001589827</v>
      </c>
      <c r="U68" s="307">
        <f>SUM(U14:U19)</f>
        <v>70</v>
      </c>
      <c r="V68" s="233">
        <v>2016</v>
      </c>
      <c r="W68" s="234"/>
      <c r="X68" s="220"/>
      <c r="Y68" s="220"/>
      <c r="Z68" s="388">
        <v>44179</v>
      </c>
      <c r="AA68" s="402" t="s">
        <v>418</v>
      </c>
      <c r="AB68" s="388" t="s">
        <v>438</v>
      </c>
      <c r="AC68" s="403">
        <v>200</v>
      </c>
      <c r="AD68" s="388" t="s">
        <v>104</v>
      </c>
      <c r="AE68" s="220"/>
      <c r="AF68" s="220"/>
      <c r="AG68" s="220"/>
      <c r="AH68" s="220"/>
      <c r="AI68" s="220"/>
      <c r="AJ68" s="220"/>
      <c r="AK68" s="220"/>
      <c r="AL68" s="220"/>
      <c r="AM68" s="220"/>
    </row>
    <row r="69" spans="1:39" x14ac:dyDescent="0.2">
      <c r="A69" s="234"/>
      <c r="B69" s="233">
        <v>2017</v>
      </c>
      <c r="C69" s="234"/>
      <c r="D69" s="235"/>
      <c r="E69" s="263">
        <f t="shared" ref="E69:R69" si="43">SUM(E21:E33)</f>
        <v>3548</v>
      </c>
      <c r="F69" s="263">
        <f t="shared" si="43"/>
        <v>198</v>
      </c>
      <c r="G69" s="263">
        <f t="shared" si="43"/>
        <v>224</v>
      </c>
      <c r="H69" s="263">
        <f t="shared" si="43"/>
        <v>169</v>
      </c>
      <c r="I69" s="263">
        <f t="shared" si="43"/>
        <v>252</v>
      </c>
      <c r="J69" s="263">
        <f t="shared" si="43"/>
        <v>275</v>
      </c>
      <c r="K69" s="263">
        <f t="shared" si="43"/>
        <v>120</v>
      </c>
      <c r="L69" s="263">
        <f t="shared" si="43"/>
        <v>109</v>
      </c>
      <c r="M69" s="263">
        <f t="shared" si="43"/>
        <v>174</v>
      </c>
      <c r="N69" s="263">
        <f t="shared" si="43"/>
        <v>171</v>
      </c>
      <c r="O69" s="263">
        <f t="shared" si="43"/>
        <v>181</v>
      </c>
      <c r="P69" s="263">
        <f t="shared" si="43"/>
        <v>185</v>
      </c>
      <c r="Q69" s="263">
        <f t="shared" si="43"/>
        <v>178</v>
      </c>
      <c r="R69" s="335">
        <f t="shared" si="43"/>
        <v>2236</v>
      </c>
      <c r="S69" s="263">
        <f t="shared" si="41"/>
        <v>186.33333333333334</v>
      </c>
      <c r="T69" s="336">
        <f t="shared" si="42"/>
        <v>7.0411449016100178</v>
      </c>
      <c r="U69" s="307">
        <f>SUM(U21:U33)</f>
        <v>1312</v>
      </c>
      <c r="V69" s="233">
        <v>2017</v>
      </c>
      <c r="W69" s="234"/>
      <c r="X69" s="220"/>
      <c r="Y69" s="220"/>
      <c r="Z69" s="388">
        <v>44179</v>
      </c>
      <c r="AA69" s="402" t="s">
        <v>418</v>
      </c>
      <c r="AB69" s="388" t="s">
        <v>457</v>
      </c>
      <c r="AC69" s="403">
        <v>330</v>
      </c>
      <c r="AD69" s="388" t="s">
        <v>104</v>
      </c>
      <c r="AE69" s="220"/>
      <c r="AF69" s="220"/>
      <c r="AG69" s="220"/>
      <c r="AH69" s="220"/>
      <c r="AI69" s="220"/>
      <c r="AJ69" s="220"/>
      <c r="AK69" s="220"/>
      <c r="AL69" s="220"/>
      <c r="AM69" s="220"/>
    </row>
    <row r="70" spans="1:39" x14ac:dyDescent="0.2">
      <c r="A70" s="234"/>
      <c r="B70" s="233">
        <v>2018</v>
      </c>
      <c r="C70" s="234"/>
      <c r="D70" s="235"/>
      <c r="E70" s="263">
        <f t="shared" ref="E70:R70" si="44">SUM(E35:E48)</f>
        <v>5615</v>
      </c>
      <c r="F70" s="263">
        <f t="shared" si="44"/>
        <v>82</v>
      </c>
      <c r="G70" s="263">
        <f t="shared" si="44"/>
        <v>159</v>
      </c>
      <c r="H70" s="263">
        <f t="shared" si="44"/>
        <v>74</v>
      </c>
      <c r="I70" s="263">
        <f t="shared" si="44"/>
        <v>88</v>
      </c>
      <c r="J70" s="263">
        <f t="shared" si="44"/>
        <v>241</v>
      </c>
      <c r="K70" s="263">
        <f t="shared" si="44"/>
        <v>170</v>
      </c>
      <c r="L70" s="263">
        <f t="shared" si="44"/>
        <v>122</v>
      </c>
      <c r="M70" s="263">
        <f t="shared" si="44"/>
        <v>115</v>
      </c>
      <c r="N70" s="263">
        <f t="shared" si="44"/>
        <v>130</v>
      </c>
      <c r="O70" s="263">
        <f t="shared" si="44"/>
        <v>126</v>
      </c>
      <c r="P70" s="263">
        <f t="shared" si="44"/>
        <v>255</v>
      </c>
      <c r="Q70" s="263">
        <f t="shared" si="44"/>
        <v>124</v>
      </c>
      <c r="R70" s="370">
        <f t="shared" si="44"/>
        <v>1686</v>
      </c>
      <c r="S70" s="263">
        <f t="shared" si="41"/>
        <v>140.5</v>
      </c>
      <c r="T70" s="336">
        <f t="shared" si="42"/>
        <v>27.964412811387902</v>
      </c>
      <c r="U70" s="307">
        <f>SUM(U35:U48)</f>
        <v>3929</v>
      </c>
      <c r="V70" s="233">
        <v>2018</v>
      </c>
      <c r="W70" s="234"/>
      <c r="X70" s="220"/>
      <c r="Y70" s="220"/>
      <c r="Z70" s="388">
        <v>44180</v>
      </c>
      <c r="AA70" s="402" t="s">
        <v>418</v>
      </c>
      <c r="AB70" s="388" t="s">
        <v>446</v>
      </c>
      <c r="AC70" s="403">
        <v>330</v>
      </c>
      <c r="AD70" s="388" t="s">
        <v>104</v>
      </c>
      <c r="AE70" s="220"/>
      <c r="AF70" s="220"/>
      <c r="AG70" s="220"/>
      <c r="AH70" s="220"/>
      <c r="AI70" s="220"/>
      <c r="AJ70" s="220"/>
      <c r="AK70" s="220"/>
      <c r="AL70" s="220"/>
      <c r="AM70" s="220"/>
    </row>
    <row r="71" spans="1:39" ht="18" x14ac:dyDescent="0.25">
      <c r="A71" s="234"/>
      <c r="B71" s="233">
        <v>2019</v>
      </c>
      <c r="C71" s="234"/>
      <c r="D71" s="256"/>
      <c r="E71" s="263">
        <f>SUM(E50:E64)</f>
        <v>5622</v>
      </c>
      <c r="F71" s="263">
        <f t="shared" ref="F71:Q71" si="45">SUM(F50:F64)</f>
        <v>0</v>
      </c>
      <c r="G71" s="263">
        <f t="shared" si="45"/>
        <v>0</v>
      </c>
      <c r="H71" s="263">
        <f t="shared" si="45"/>
        <v>226</v>
      </c>
      <c r="I71" s="263">
        <f t="shared" si="45"/>
        <v>100</v>
      </c>
      <c r="J71" s="263">
        <f t="shared" si="45"/>
        <v>49</v>
      </c>
      <c r="K71" s="263">
        <f t="shared" si="45"/>
        <v>76</v>
      </c>
      <c r="L71" s="263">
        <f t="shared" si="45"/>
        <v>105</v>
      </c>
      <c r="M71" s="263">
        <f t="shared" si="45"/>
        <v>301</v>
      </c>
      <c r="N71" s="263">
        <f t="shared" si="45"/>
        <v>121</v>
      </c>
      <c r="O71" s="263">
        <f t="shared" si="45"/>
        <v>55</v>
      </c>
      <c r="P71" s="263">
        <f t="shared" si="45"/>
        <v>76</v>
      </c>
      <c r="Q71" s="263">
        <f t="shared" si="45"/>
        <v>119</v>
      </c>
      <c r="R71" s="370">
        <f>SUM(R50:R64)</f>
        <v>1228</v>
      </c>
      <c r="S71" s="263">
        <f t="shared" si="41"/>
        <v>102.33333333333333</v>
      </c>
      <c r="T71" s="336">
        <f t="shared" si="42"/>
        <v>42.938110749185668</v>
      </c>
      <c r="U71" s="307">
        <f>SUM(U50:U64)</f>
        <v>4394</v>
      </c>
      <c r="V71" s="233">
        <v>2019</v>
      </c>
      <c r="W71" s="234"/>
      <c r="X71" s="220"/>
      <c r="Y71" s="220"/>
      <c r="Z71" s="388">
        <v>44180</v>
      </c>
      <c r="AA71" s="402" t="s">
        <v>418</v>
      </c>
      <c r="AB71" s="397" t="s">
        <v>447</v>
      </c>
      <c r="AC71" s="403">
        <v>660</v>
      </c>
      <c r="AD71" s="398" t="s">
        <v>104</v>
      </c>
      <c r="AE71" s="220"/>
      <c r="AF71" s="220"/>
      <c r="AG71" s="220"/>
      <c r="AH71" s="220"/>
      <c r="AI71" s="220"/>
      <c r="AJ71" s="220"/>
      <c r="AK71" s="220"/>
      <c r="AL71" s="220"/>
      <c r="AM71" s="220"/>
    </row>
    <row r="72" spans="1:39" s="407" customFormat="1" ht="18" x14ac:dyDescent="0.25">
      <c r="A72" s="409"/>
      <c r="B72" s="412" t="s">
        <v>59</v>
      </c>
      <c r="C72" s="409"/>
      <c r="D72" s="413"/>
      <c r="E72" s="414">
        <f>SUM(E66:E71)</f>
        <v>15740</v>
      </c>
      <c r="F72" s="414">
        <f t="shared" ref="F72:Q72" si="46">SUM(F66:F71)</f>
        <v>421</v>
      </c>
      <c r="G72" s="414">
        <f t="shared" si="46"/>
        <v>521</v>
      </c>
      <c r="H72" s="414">
        <f t="shared" si="46"/>
        <v>518</v>
      </c>
      <c r="I72" s="414">
        <f t="shared" si="46"/>
        <v>473</v>
      </c>
      <c r="J72" s="414">
        <f t="shared" si="46"/>
        <v>615</v>
      </c>
      <c r="K72" s="414">
        <f t="shared" si="46"/>
        <v>397</v>
      </c>
      <c r="L72" s="414">
        <f t="shared" si="46"/>
        <v>365</v>
      </c>
      <c r="M72" s="414">
        <f t="shared" si="46"/>
        <v>629</v>
      </c>
      <c r="N72" s="414">
        <f t="shared" si="46"/>
        <v>465</v>
      </c>
      <c r="O72" s="414">
        <f t="shared" si="46"/>
        <v>418</v>
      </c>
      <c r="P72" s="414">
        <f t="shared" si="46"/>
        <v>573</v>
      </c>
      <c r="Q72" s="414">
        <f t="shared" si="46"/>
        <v>453</v>
      </c>
      <c r="R72" s="415">
        <f>SUM(R66:R71)</f>
        <v>5848</v>
      </c>
      <c r="S72" s="414">
        <f t="shared" si="41"/>
        <v>487.33333333333331</v>
      </c>
      <c r="T72" s="416">
        <f>U72/S72</f>
        <v>20.27359781121751</v>
      </c>
      <c r="U72" s="417">
        <f>SUM(U66+U67+U68+U69+U70+U71)</f>
        <v>9880</v>
      </c>
      <c r="V72" s="412" t="s">
        <v>59</v>
      </c>
      <c r="W72" s="409"/>
      <c r="Z72" s="388">
        <v>44180</v>
      </c>
      <c r="AA72" s="402" t="s">
        <v>418</v>
      </c>
      <c r="AB72" s="397" t="s">
        <v>449</v>
      </c>
      <c r="AC72" s="403">
        <v>330</v>
      </c>
      <c r="AD72" s="398" t="s">
        <v>104</v>
      </c>
    </row>
    <row r="73" spans="1:39" ht="18" x14ac:dyDescent="0.25">
      <c r="A73" s="226"/>
      <c r="B73" s="269"/>
      <c r="C73" s="269"/>
      <c r="D73" s="226"/>
      <c r="E73" s="271"/>
      <c r="F73" s="271"/>
      <c r="G73" s="271"/>
      <c r="H73" s="271"/>
      <c r="I73" s="271"/>
      <c r="J73" s="271"/>
      <c r="K73" s="272"/>
      <c r="L73" s="272"/>
      <c r="M73" s="272"/>
      <c r="N73" s="272"/>
      <c r="O73" s="272"/>
      <c r="P73" s="272"/>
      <c r="Q73" s="272"/>
      <c r="R73" s="272"/>
      <c r="S73" s="343"/>
      <c r="T73" s="344"/>
      <c r="U73" s="328"/>
      <c r="V73" s="269"/>
      <c r="W73" s="269"/>
      <c r="X73" s="220"/>
      <c r="Y73" s="220"/>
      <c r="Z73" s="388">
        <v>44193</v>
      </c>
      <c r="AA73" s="402" t="s">
        <v>396</v>
      </c>
      <c r="AB73" s="397" t="s">
        <v>458</v>
      </c>
      <c r="AC73" s="403">
        <v>180</v>
      </c>
      <c r="AD73" s="398" t="s">
        <v>104</v>
      </c>
      <c r="AE73" s="220"/>
      <c r="AF73" s="220"/>
      <c r="AG73" s="220"/>
      <c r="AH73" s="220"/>
      <c r="AI73" s="220"/>
      <c r="AJ73" s="220"/>
      <c r="AK73" s="220"/>
      <c r="AL73" s="220"/>
      <c r="AM73" s="220"/>
    </row>
    <row r="74" spans="1:39" ht="18" x14ac:dyDescent="0.25">
      <c r="A74" s="220"/>
      <c r="B74" s="220">
        <v>2017</v>
      </c>
      <c r="C74" s="220" t="s">
        <v>361</v>
      </c>
      <c r="D74" s="236">
        <v>168</v>
      </c>
      <c r="E74" s="276" t="s">
        <v>35</v>
      </c>
      <c r="F74" s="276">
        <v>1</v>
      </c>
      <c r="G74" s="276">
        <v>0</v>
      </c>
      <c r="H74" s="276">
        <v>0</v>
      </c>
      <c r="I74" s="276">
        <v>0</v>
      </c>
      <c r="J74" s="276"/>
      <c r="K74" s="221">
        <v>20</v>
      </c>
      <c r="L74" s="221">
        <v>35</v>
      </c>
      <c r="M74" s="221">
        <v>56</v>
      </c>
      <c r="N74" s="221">
        <v>19</v>
      </c>
      <c r="O74" s="221"/>
      <c r="P74" s="221"/>
      <c r="Q74" s="221"/>
      <c r="R74" s="221"/>
      <c r="S74" s="276"/>
      <c r="T74" s="345"/>
      <c r="U74" s="221">
        <v>0</v>
      </c>
      <c r="V74" s="220"/>
      <c r="W74" s="220"/>
      <c r="X74" s="220"/>
      <c r="Y74" s="220"/>
      <c r="Z74" s="395">
        <v>44193</v>
      </c>
      <c r="AA74" s="419" t="s">
        <v>418</v>
      </c>
      <c r="AB74" s="397" t="s">
        <v>447</v>
      </c>
      <c r="AC74" s="403">
        <v>660</v>
      </c>
      <c r="AD74" s="398" t="s">
        <v>104</v>
      </c>
      <c r="AE74" s="220"/>
      <c r="AF74" s="220"/>
      <c r="AG74" s="220"/>
      <c r="AH74" s="220"/>
      <c r="AI74" s="220"/>
      <c r="AJ74" s="220"/>
      <c r="AK74" s="220"/>
      <c r="AL74" s="220"/>
      <c r="AM74" s="220"/>
    </row>
    <row r="75" spans="1:39" ht="18" x14ac:dyDescent="0.25">
      <c r="A75" s="220"/>
      <c r="B75" s="220">
        <v>2018</v>
      </c>
      <c r="C75" s="220" t="s">
        <v>362</v>
      </c>
      <c r="D75" s="382">
        <v>112</v>
      </c>
      <c r="E75" s="276"/>
      <c r="F75" s="276">
        <v>112</v>
      </c>
      <c r="G75" s="276">
        <v>0</v>
      </c>
      <c r="H75" s="276">
        <v>0</v>
      </c>
      <c r="I75" s="276"/>
      <c r="J75" s="221"/>
      <c r="K75" s="221"/>
      <c r="L75" s="221"/>
      <c r="M75" s="221"/>
      <c r="N75" s="221"/>
      <c r="O75" s="221"/>
      <c r="P75" s="221"/>
      <c r="Q75" s="221"/>
      <c r="R75" s="276"/>
      <c r="S75" s="345"/>
      <c r="T75" s="221"/>
      <c r="U75" s="220">
        <v>0</v>
      </c>
      <c r="V75" s="220"/>
      <c r="W75" s="220"/>
      <c r="X75" s="220"/>
      <c r="Y75" s="220"/>
      <c r="Z75" s="395">
        <v>44193</v>
      </c>
      <c r="AA75" s="396">
        <v>2020</v>
      </c>
      <c r="AB75" s="397" t="s">
        <v>446</v>
      </c>
      <c r="AC75" s="403">
        <v>330</v>
      </c>
      <c r="AD75" s="398" t="s">
        <v>104</v>
      </c>
      <c r="AE75" s="220"/>
      <c r="AF75" s="220"/>
      <c r="AG75" s="220"/>
      <c r="AH75" s="220"/>
      <c r="AI75" s="220"/>
      <c r="AJ75" s="220"/>
      <c r="AK75" s="220"/>
      <c r="AL75" s="220"/>
    </row>
    <row r="76" spans="1:39" ht="18" x14ac:dyDescent="0.25">
      <c r="A76" s="220"/>
      <c r="B76" s="220">
        <v>2018</v>
      </c>
      <c r="C76" s="220" t="s">
        <v>392</v>
      </c>
      <c r="D76" s="276">
        <v>112</v>
      </c>
      <c r="E76" s="276"/>
      <c r="F76" s="276">
        <v>112</v>
      </c>
      <c r="G76" s="276">
        <v>0</v>
      </c>
      <c r="H76" s="276">
        <v>0</v>
      </c>
      <c r="I76" s="276"/>
      <c r="J76" s="221"/>
      <c r="K76" s="221">
        <v>14</v>
      </c>
      <c r="L76" s="221"/>
      <c r="M76" s="221"/>
      <c r="N76" s="221"/>
      <c r="O76" s="221"/>
      <c r="P76" s="221"/>
      <c r="Q76" s="221"/>
      <c r="R76" s="276"/>
      <c r="S76" s="345"/>
      <c r="T76" s="221"/>
      <c r="U76" s="220">
        <v>0</v>
      </c>
      <c r="V76" s="220"/>
      <c r="W76" s="220"/>
      <c r="X76" s="220"/>
      <c r="Y76" s="220"/>
      <c r="Z76" s="395">
        <v>44193</v>
      </c>
      <c r="AA76" s="396">
        <v>2020</v>
      </c>
      <c r="AB76" s="397" t="s">
        <v>449</v>
      </c>
      <c r="AC76" s="403">
        <v>275</v>
      </c>
      <c r="AD76" s="398" t="s">
        <v>104</v>
      </c>
      <c r="AE76" s="220"/>
      <c r="AF76" s="220"/>
      <c r="AG76" s="220"/>
      <c r="AH76" s="220"/>
      <c r="AI76" s="220"/>
      <c r="AJ76" s="220"/>
      <c r="AK76" s="220"/>
      <c r="AL76" s="220"/>
    </row>
    <row r="77" spans="1:39" ht="18" x14ac:dyDescent="0.25">
      <c r="A77" s="220"/>
      <c r="B77" s="220">
        <v>2019</v>
      </c>
      <c r="C77" s="220" t="s">
        <v>392</v>
      </c>
      <c r="D77" s="276">
        <v>14</v>
      </c>
      <c r="E77" s="276"/>
      <c r="F77" s="276"/>
      <c r="G77" s="276"/>
      <c r="H77" s="276"/>
      <c r="I77" s="276"/>
      <c r="J77" s="221"/>
      <c r="K77" s="221"/>
      <c r="L77" s="221"/>
      <c r="M77" s="221"/>
      <c r="N77" s="221"/>
      <c r="O77" s="221"/>
      <c r="P77" s="221"/>
      <c r="Q77" s="221"/>
      <c r="R77" s="276"/>
      <c r="S77" s="345"/>
      <c r="T77" s="221"/>
      <c r="U77" s="220">
        <v>14</v>
      </c>
      <c r="V77" s="220"/>
      <c r="W77" s="220"/>
      <c r="X77" s="220"/>
      <c r="Y77" s="220"/>
      <c r="Z77" s="395"/>
      <c r="AA77" s="396"/>
      <c r="AB77" s="397"/>
      <c r="AC77" s="403"/>
      <c r="AD77" s="398"/>
      <c r="AE77" s="220"/>
      <c r="AF77" s="220"/>
      <c r="AG77" s="220"/>
      <c r="AH77" s="220"/>
      <c r="AI77" s="220"/>
      <c r="AJ77" s="220"/>
      <c r="AK77" s="220"/>
      <c r="AL77" s="220"/>
    </row>
    <row r="78" spans="1:39" ht="18" x14ac:dyDescent="0.25">
      <c r="A78" s="220"/>
      <c r="B78" s="297">
        <v>2019</v>
      </c>
      <c r="C78" s="220" t="s">
        <v>409</v>
      </c>
      <c r="D78" s="298">
        <v>14</v>
      </c>
      <c r="E78" s="276"/>
      <c r="F78" s="276"/>
      <c r="G78" s="276"/>
      <c r="H78" s="276"/>
      <c r="I78" s="276"/>
      <c r="J78" s="221"/>
      <c r="K78" s="221"/>
      <c r="L78" s="221"/>
      <c r="M78" s="221"/>
      <c r="N78" s="221"/>
      <c r="O78" s="221"/>
      <c r="P78" s="221"/>
      <c r="Q78" s="221"/>
      <c r="R78" s="276"/>
      <c r="S78" s="345"/>
      <c r="T78" s="221"/>
      <c r="U78" s="220">
        <v>14</v>
      </c>
      <c r="V78" s="220"/>
      <c r="W78" s="220"/>
      <c r="X78" s="220"/>
      <c r="Y78" s="220"/>
      <c r="Z78" s="395"/>
      <c r="AA78" s="396"/>
      <c r="AB78" s="397"/>
      <c r="AC78" s="403"/>
      <c r="AD78" s="398"/>
      <c r="AE78" s="220"/>
      <c r="AF78" s="220"/>
      <c r="AG78" s="220"/>
      <c r="AH78" s="220"/>
      <c r="AI78" s="220"/>
      <c r="AJ78" s="220"/>
      <c r="AK78" s="220"/>
      <c r="AL78" s="220"/>
    </row>
    <row r="79" spans="1:39" ht="18" x14ac:dyDescent="0.25">
      <c r="A79" s="220"/>
      <c r="B79" s="297">
        <v>2019</v>
      </c>
      <c r="C79" s="220" t="s">
        <v>459</v>
      </c>
      <c r="D79" s="298">
        <v>37</v>
      </c>
      <c r="E79" s="276"/>
      <c r="F79" s="276"/>
      <c r="G79" s="276"/>
      <c r="H79" s="276"/>
      <c r="I79" s="276"/>
      <c r="J79" s="221"/>
      <c r="K79" s="221"/>
      <c r="L79" s="221"/>
      <c r="M79" s="221"/>
      <c r="N79" s="221"/>
      <c r="O79" s="221"/>
      <c r="P79" s="221"/>
      <c r="Q79" s="221"/>
      <c r="R79" s="276"/>
      <c r="S79" s="345"/>
      <c r="T79" s="221"/>
      <c r="U79" s="220">
        <v>37</v>
      </c>
      <c r="V79" s="220"/>
      <c r="W79" s="220"/>
      <c r="X79" s="220"/>
      <c r="Y79" s="220"/>
      <c r="Z79" s="395"/>
      <c r="AA79" s="396"/>
      <c r="AB79" s="397"/>
      <c r="AC79" s="403"/>
      <c r="AD79" s="398"/>
      <c r="AE79" s="220"/>
      <c r="AF79" s="220"/>
      <c r="AG79" s="220"/>
      <c r="AH79" s="220"/>
      <c r="AI79" s="220"/>
      <c r="AJ79" s="220"/>
      <c r="AK79" s="220"/>
      <c r="AL79" s="220"/>
    </row>
    <row r="80" spans="1:39" ht="18" x14ac:dyDescent="0.25">
      <c r="B80" s="297">
        <v>2019</v>
      </c>
      <c r="C80" s="220" t="s">
        <v>460</v>
      </c>
      <c r="D80" s="298">
        <v>50</v>
      </c>
      <c r="U80" s="297">
        <v>50</v>
      </c>
      <c r="Z80" s="395"/>
      <c r="AA80" s="396"/>
      <c r="AB80" s="397"/>
      <c r="AC80" s="403"/>
      <c r="AD80" s="398"/>
    </row>
    <row r="81" spans="1:38" ht="18" x14ac:dyDescent="0.25">
      <c r="A81" s="226"/>
      <c r="B81" s="269"/>
      <c r="C81" s="269"/>
      <c r="D81" s="381">
        <v>112</v>
      </c>
      <c r="E81" s="271"/>
      <c r="F81" s="271"/>
      <c r="G81" s="271"/>
      <c r="H81" s="271"/>
      <c r="I81" s="271"/>
      <c r="J81" s="272"/>
      <c r="K81" s="272"/>
      <c r="L81" s="272"/>
      <c r="M81" s="272"/>
      <c r="N81" s="272"/>
      <c r="O81" s="272"/>
      <c r="P81" s="272"/>
      <c r="Q81" s="272"/>
      <c r="R81" s="343"/>
      <c r="S81" s="344"/>
      <c r="T81" s="328"/>
      <c r="U81" s="269"/>
      <c r="V81" s="269"/>
      <c r="W81" s="220"/>
      <c r="X81" s="220"/>
      <c r="Y81" s="220"/>
      <c r="Z81" s="395"/>
      <c r="AA81" s="396"/>
      <c r="AB81" s="397"/>
      <c r="AC81" s="403"/>
      <c r="AD81" s="398"/>
      <c r="AE81" s="220"/>
      <c r="AF81" s="220"/>
      <c r="AG81" s="220"/>
      <c r="AH81" s="220"/>
      <c r="AI81" s="220"/>
      <c r="AJ81" s="220"/>
      <c r="AK81" s="220"/>
      <c r="AL81" s="220"/>
    </row>
    <row r="82" spans="1:38" ht="18" x14ac:dyDescent="0.25">
      <c r="A82" s="220"/>
      <c r="B82" s="220"/>
      <c r="C82" s="220"/>
      <c r="D82" s="221"/>
      <c r="E82" s="221"/>
      <c r="F82" s="221"/>
      <c r="G82" s="221"/>
      <c r="H82" s="221"/>
      <c r="I82" s="221"/>
      <c r="J82" s="221"/>
      <c r="K82" s="221"/>
      <c r="L82" s="221"/>
      <c r="M82" s="221"/>
      <c r="N82" s="221"/>
      <c r="O82" s="221"/>
      <c r="P82" s="221"/>
      <c r="Q82" s="221"/>
      <c r="R82" s="276"/>
      <c r="S82" s="345"/>
      <c r="T82" s="276"/>
      <c r="U82" s="220"/>
      <c r="V82" s="220"/>
      <c r="W82" s="220"/>
      <c r="X82" s="220"/>
      <c r="Y82" s="220"/>
      <c r="Z82" s="395"/>
      <c r="AA82" s="396"/>
      <c r="AB82" s="397"/>
      <c r="AC82" s="403"/>
      <c r="AD82" s="398"/>
      <c r="AE82" s="220"/>
      <c r="AF82" s="220"/>
      <c r="AG82" s="220"/>
      <c r="AH82" s="220"/>
      <c r="AI82" s="220"/>
      <c r="AJ82" s="220"/>
      <c r="AK82" s="220"/>
      <c r="AL82" s="220"/>
    </row>
    <row r="83" spans="1:38" ht="18" x14ac:dyDescent="0.25">
      <c r="A83" s="220"/>
      <c r="B83" s="220"/>
      <c r="C83" s="220"/>
      <c r="D83" s="221"/>
      <c r="E83" s="221"/>
      <c r="F83" s="221"/>
      <c r="G83" s="221"/>
      <c r="H83" s="221"/>
      <c r="I83" s="221"/>
      <c r="J83" s="221"/>
      <c r="K83" s="221"/>
      <c r="L83" s="221"/>
      <c r="M83" s="221"/>
      <c r="N83" s="221"/>
      <c r="O83" s="221"/>
      <c r="P83" s="221"/>
      <c r="Q83" s="221"/>
      <c r="R83" s="221"/>
      <c r="S83" s="221"/>
      <c r="T83" s="221"/>
      <c r="U83" s="220"/>
      <c r="V83" s="220"/>
      <c r="W83" s="220"/>
      <c r="X83" s="220"/>
      <c r="Y83" s="220"/>
      <c r="Z83" s="395"/>
      <c r="AA83" s="396"/>
      <c r="AB83" s="397"/>
      <c r="AC83" s="403"/>
      <c r="AD83" s="398"/>
      <c r="AE83" s="220"/>
      <c r="AF83" s="220"/>
      <c r="AG83" s="220"/>
      <c r="AH83" s="220"/>
      <c r="AI83" s="220"/>
      <c r="AJ83" s="220"/>
      <c r="AK83" s="220"/>
      <c r="AL83" s="220"/>
    </row>
    <row r="84" spans="1:38" ht="18" x14ac:dyDescent="0.25">
      <c r="A84" s="220"/>
      <c r="B84" s="220"/>
      <c r="C84" s="220"/>
      <c r="D84" s="221"/>
      <c r="E84" s="221"/>
      <c r="F84" s="221"/>
      <c r="G84" s="221"/>
      <c r="H84" s="221"/>
      <c r="I84" s="221"/>
      <c r="J84" s="221"/>
      <c r="K84" s="221"/>
      <c r="L84" s="221"/>
      <c r="M84" s="221"/>
      <c r="N84" s="221"/>
      <c r="O84" s="221"/>
      <c r="P84" s="221"/>
      <c r="Q84" s="221"/>
      <c r="R84" s="221"/>
      <c r="S84" s="221"/>
      <c r="T84" s="221"/>
      <c r="U84" s="220"/>
      <c r="V84" s="220"/>
      <c r="W84" s="220"/>
      <c r="X84" s="220"/>
      <c r="Y84" s="220"/>
      <c r="Z84" s="391"/>
      <c r="AA84" s="276"/>
      <c r="AB84" s="392"/>
      <c r="AC84" s="393"/>
      <c r="AD84" s="394"/>
      <c r="AE84" s="220"/>
      <c r="AF84" s="220"/>
      <c r="AG84" s="220"/>
      <c r="AH84" s="220"/>
      <c r="AI84" s="220"/>
      <c r="AJ84" s="220"/>
      <c r="AK84" s="220"/>
      <c r="AL84" s="220"/>
    </row>
    <row r="85" spans="1:38" ht="15.75" x14ac:dyDescent="0.25">
      <c r="A85" s="220"/>
      <c r="B85" s="278" t="s">
        <v>318</v>
      </c>
      <c r="C85" s="220"/>
      <c r="D85" s="221"/>
      <c r="E85" s="221"/>
      <c r="F85" s="221"/>
      <c r="G85" s="221"/>
      <c r="H85" s="221"/>
      <c r="I85" s="221"/>
      <c r="J85" s="221"/>
      <c r="K85" s="221"/>
      <c r="L85" s="221"/>
      <c r="M85" s="221"/>
      <c r="N85" s="221"/>
      <c r="O85" s="221"/>
      <c r="P85" s="221"/>
      <c r="Q85" s="221"/>
      <c r="R85" s="221"/>
      <c r="S85" s="221"/>
      <c r="T85" s="221"/>
      <c r="U85" s="220"/>
      <c r="V85" s="220"/>
      <c r="W85" s="220"/>
      <c r="X85" s="220"/>
      <c r="Y85" s="220"/>
      <c r="Z85" s="461" t="s">
        <v>387</v>
      </c>
      <c r="AA85" s="461"/>
      <c r="AB85" s="461"/>
      <c r="AC85" s="461"/>
      <c r="AD85" s="461"/>
      <c r="AE85" s="220"/>
      <c r="AF85" s="220"/>
      <c r="AG85" s="220"/>
      <c r="AH85" s="220"/>
      <c r="AI85" s="220"/>
      <c r="AJ85" s="220"/>
      <c r="AK85" s="220"/>
      <c r="AL85" s="220"/>
    </row>
    <row r="86" spans="1:38" ht="15.75" x14ac:dyDescent="0.25">
      <c r="A86" s="220"/>
      <c r="B86" s="278" t="s">
        <v>306</v>
      </c>
      <c r="C86" s="1" t="s">
        <v>307</v>
      </c>
      <c r="D86" s="1" t="s">
        <v>365</v>
      </c>
      <c r="E86" s="372" t="s">
        <v>4</v>
      </c>
      <c r="F86" s="373" t="s">
        <v>5</v>
      </c>
      <c r="G86" s="373" t="s">
        <v>6</v>
      </c>
      <c r="H86" s="373" t="s">
        <v>7</v>
      </c>
      <c r="I86" s="373" t="s">
        <v>8</v>
      </c>
      <c r="J86" s="373" t="s">
        <v>9</v>
      </c>
      <c r="K86" s="373" t="s">
        <v>10</v>
      </c>
      <c r="L86" s="373" t="s">
        <v>11</v>
      </c>
      <c r="M86" s="373" t="s">
        <v>12</v>
      </c>
      <c r="N86" s="373" t="s">
        <v>13</v>
      </c>
      <c r="O86" s="373" t="s">
        <v>14</v>
      </c>
      <c r="P86" s="373" t="s">
        <v>15</v>
      </c>
      <c r="Q86" s="221"/>
      <c r="R86" s="221"/>
      <c r="S86" s="221"/>
      <c r="T86" s="221"/>
      <c r="U86" s="220"/>
      <c r="V86" s="220"/>
      <c r="W86" s="220"/>
      <c r="X86" s="220"/>
      <c r="Y86" s="220"/>
      <c r="Z86" s="399"/>
      <c r="AA86" s="400" t="s">
        <v>35</v>
      </c>
      <c r="AB86" s="400"/>
      <c r="AC86" s="400"/>
      <c r="AD86" s="400"/>
      <c r="AE86" s="220"/>
      <c r="AF86" s="220"/>
      <c r="AG86" s="220"/>
      <c r="AH86" s="220"/>
      <c r="AI86" s="220"/>
      <c r="AJ86" s="220"/>
      <c r="AK86" s="220"/>
      <c r="AL86" s="220"/>
    </row>
    <row r="87" spans="1:38" x14ac:dyDescent="0.2">
      <c r="A87" s="220"/>
      <c r="B87" s="234">
        <v>2017</v>
      </c>
      <c r="C87" s="234" t="s">
        <v>311</v>
      </c>
      <c r="D87" s="236">
        <v>275</v>
      </c>
      <c r="E87" s="236">
        <v>275</v>
      </c>
      <c r="F87" s="236">
        <v>275</v>
      </c>
      <c r="G87" s="236">
        <v>275</v>
      </c>
      <c r="H87" s="404">
        <v>275</v>
      </c>
      <c r="I87" s="374">
        <v>275</v>
      </c>
      <c r="J87" s="236">
        <v>275</v>
      </c>
      <c r="K87" s="236">
        <v>0</v>
      </c>
      <c r="L87" s="236">
        <v>0</v>
      </c>
      <c r="M87" s="236">
        <v>0</v>
      </c>
      <c r="N87" s="236"/>
      <c r="O87" s="236"/>
      <c r="P87" s="236"/>
      <c r="Q87" s="221"/>
      <c r="R87" s="221"/>
      <c r="S87" s="221"/>
      <c r="T87" s="221"/>
      <c r="U87" s="220"/>
      <c r="V87" s="220"/>
      <c r="W87" s="220"/>
      <c r="X87" s="220"/>
      <c r="Y87" s="220"/>
      <c r="Z87" s="420">
        <v>44055</v>
      </c>
      <c r="AA87" s="399">
        <v>2019</v>
      </c>
      <c r="AB87" s="400" t="s">
        <v>461</v>
      </c>
      <c r="AC87" s="400">
        <v>9</v>
      </c>
      <c r="AD87" s="400"/>
      <c r="AE87" s="220"/>
      <c r="AF87" s="220"/>
      <c r="AG87" s="220"/>
      <c r="AH87" s="220"/>
      <c r="AI87" s="220"/>
      <c r="AJ87" s="220"/>
      <c r="AK87" s="220"/>
      <c r="AL87" s="220"/>
    </row>
    <row r="88" spans="1:38" x14ac:dyDescent="0.2">
      <c r="A88" s="220"/>
      <c r="B88" s="234">
        <v>2018</v>
      </c>
      <c r="C88" s="234" t="s">
        <v>46</v>
      </c>
      <c r="D88" s="236">
        <v>0</v>
      </c>
      <c r="E88" s="236" t="s">
        <v>35</v>
      </c>
      <c r="F88" s="236"/>
      <c r="G88" s="236">
        <v>0</v>
      </c>
      <c r="H88" s="404">
        <v>0</v>
      </c>
      <c r="I88" s="374">
        <v>0</v>
      </c>
      <c r="J88" s="236">
        <v>0</v>
      </c>
      <c r="K88" s="236">
        <v>0</v>
      </c>
      <c r="L88" s="236">
        <v>0</v>
      </c>
      <c r="M88" s="236">
        <v>0</v>
      </c>
      <c r="N88" s="236"/>
      <c r="O88" s="236"/>
      <c r="P88" s="236"/>
      <c r="Q88" s="221"/>
      <c r="R88" s="221"/>
      <c r="S88" s="221"/>
      <c r="T88" s="221"/>
      <c r="U88" s="220"/>
      <c r="V88" s="220"/>
      <c r="W88" s="220"/>
      <c r="X88" s="220"/>
      <c r="Y88" s="220"/>
      <c r="Z88" s="420">
        <v>44055</v>
      </c>
      <c r="AA88" s="399">
        <v>2019</v>
      </c>
      <c r="AB88" s="400" t="s">
        <v>462</v>
      </c>
      <c r="AC88" s="400">
        <v>2</v>
      </c>
      <c r="AD88" s="400"/>
      <c r="AE88" s="220"/>
      <c r="AF88" s="220"/>
      <c r="AG88" s="220"/>
      <c r="AH88" s="220"/>
      <c r="AI88" s="220"/>
      <c r="AJ88" s="220"/>
      <c r="AK88" s="220"/>
      <c r="AL88" s="220"/>
    </row>
    <row r="89" spans="1:38" x14ac:dyDescent="0.2">
      <c r="A89" s="220"/>
      <c r="B89" s="234"/>
      <c r="C89" s="234" t="s">
        <v>107</v>
      </c>
      <c r="D89" s="236">
        <v>0</v>
      </c>
      <c r="E89" s="236" t="s">
        <v>35</v>
      </c>
      <c r="F89" s="236"/>
      <c r="G89" s="236">
        <v>0</v>
      </c>
      <c r="H89" s="404">
        <v>0</v>
      </c>
      <c r="I89" s="374">
        <v>0</v>
      </c>
      <c r="J89" s="236">
        <v>0</v>
      </c>
      <c r="K89" s="236">
        <v>0</v>
      </c>
      <c r="L89" s="236">
        <v>0</v>
      </c>
      <c r="M89" s="236">
        <v>0</v>
      </c>
      <c r="N89" s="236"/>
      <c r="O89" s="236"/>
      <c r="P89" s="236"/>
      <c r="Q89" s="221"/>
      <c r="R89" s="221"/>
      <c r="S89" s="221"/>
      <c r="T89" s="221"/>
      <c r="U89" s="220"/>
      <c r="V89" s="220"/>
      <c r="W89" s="220"/>
      <c r="X89" s="220"/>
      <c r="Y89" s="220"/>
      <c r="Z89" s="420">
        <v>44055</v>
      </c>
      <c r="AA89" s="399">
        <v>2019</v>
      </c>
      <c r="AB89" s="400" t="s">
        <v>463</v>
      </c>
      <c r="AC89" s="400">
        <v>20</v>
      </c>
      <c r="AD89" s="400"/>
      <c r="AE89" s="220"/>
      <c r="AF89" s="220"/>
      <c r="AG89" s="220"/>
      <c r="AH89" s="220"/>
      <c r="AI89" s="220"/>
      <c r="AJ89" s="220"/>
      <c r="AK89" s="220"/>
      <c r="AL89" s="220"/>
    </row>
    <row r="90" spans="1:38" x14ac:dyDescent="0.2">
      <c r="A90" s="220"/>
      <c r="B90" s="234"/>
      <c r="C90" s="234" t="s">
        <v>310</v>
      </c>
      <c r="D90" s="236">
        <v>0</v>
      </c>
      <c r="E90" s="236" t="s">
        <v>35</v>
      </c>
      <c r="F90" s="236"/>
      <c r="G90" s="236">
        <v>0</v>
      </c>
      <c r="H90" s="404">
        <v>0</v>
      </c>
      <c r="I90" s="374">
        <v>0</v>
      </c>
      <c r="J90" s="236">
        <v>0</v>
      </c>
      <c r="K90" s="236">
        <v>0</v>
      </c>
      <c r="L90" s="236">
        <v>0</v>
      </c>
      <c r="M90" s="236">
        <v>0</v>
      </c>
      <c r="N90" s="236"/>
      <c r="O90" s="236"/>
      <c r="P90" s="236"/>
      <c r="Q90" s="221"/>
      <c r="R90" s="221"/>
      <c r="S90" s="221"/>
      <c r="T90" s="221"/>
      <c r="U90" s="220"/>
      <c r="V90" s="220"/>
      <c r="W90" s="220"/>
      <c r="X90" s="220"/>
      <c r="Y90" s="220"/>
      <c r="Z90" s="420">
        <v>44055</v>
      </c>
      <c r="AA90" s="399">
        <v>2019</v>
      </c>
      <c r="AB90" s="400" t="s">
        <v>464</v>
      </c>
      <c r="AC90" s="400">
        <v>20</v>
      </c>
      <c r="AD90" s="400"/>
      <c r="AE90" s="220"/>
      <c r="AF90" s="220"/>
      <c r="AG90" s="220"/>
      <c r="AH90" s="220"/>
      <c r="AI90" s="220"/>
      <c r="AJ90" s="220"/>
      <c r="AK90" s="220"/>
      <c r="AL90" s="220"/>
    </row>
    <row r="91" spans="1:38" ht="18" x14ac:dyDescent="0.25">
      <c r="A91" s="220"/>
      <c r="B91" s="234" t="s">
        <v>35</v>
      </c>
      <c r="C91" s="234" t="s">
        <v>31</v>
      </c>
      <c r="D91" s="236">
        <v>0</v>
      </c>
      <c r="E91" s="236" t="s">
        <v>35</v>
      </c>
      <c r="F91" s="236"/>
      <c r="G91" s="236">
        <v>0</v>
      </c>
      <c r="H91" s="404">
        <v>0</v>
      </c>
      <c r="I91" s="374">
        <v>0</v>
      </c>
      <c r="J91" s="236">
        <v>0</v>
      </c>
      <c r="K91" s="236">
        <v>0</v>
      </c>
      <c r="L91" s="236">
        <v>0</v>
      </c>
      <c r="M91" s="236">
        <v>0</v>
      </c>
      <c r="N91" s="236"/>
      <c r="O91" s="236"/>
      <c r="P91" s="236"/>
      <c r="Q91" s="221" t="s">
        <v>35</v>
      </c>
      <c r="R91" s="221"/>
      <c r="S91" s="221"/>
      <c r="T91" s="221"/>
      <c r="U91" s="220"/>
      <c r="V91" s="220"/>
      <c r="W91" s="220"/>
      <c r="X91" s="220"/>
      <c r="Y91" s="220"/>
      <c r="Z91" s="420">
        <v>44055</v>
      </c>
      <c r="AA91" s="399">
        <v>2019</v>
      </c>
      <c r="AB91" s="400" t="s">
        <v>465</v>
      </c>
      <c r="AC91" s="400">
        <v>20</v>
      </c>
      <c r="AD91" s="418"/>
      <c r="AE91" s="220"/>
      <c r="AF91" s="220"/>
      <c r="AG91" s="220"/>
      <c r="AH91" s="220"/>
      <c r="AI91" s="220"/>
      <c r="AJ91" s="220"/>
      <c r="AK91" s="220"/>
      <c r="AL91" s="220"/>
    </row>
    <row r="92" spans="1:38" x14ac:dyDescent="0.2">
      <c r="A92" s="220"/>
      <c r="B92" s="234"/>
      <c r="C92" s="234" t="s">
        <v>25</v>
      </c>
      <c r="D92" s="236">
        <v>0</v>
      </c>
      <c r="E92" s="236" t="s">
        <v>35</v>
      </c>
      <c r="F92" s="236"/>
      <c r="G92" s="236">
        <v>0</v>
      </c>
      <c r="H92" s="404">
        <v>0</v>
      </c>
      <c r="I92" s="374">
        <v>0</v>
      </c>
      <c r="J92" s="236">
        <v>0</v>
      </c>
      <c r="K92" s="236">
        <v>0</v>
      </c>
      <c r="L92" s="236">
        <v>0</v>
      </c>
      <c r="M92" s="236">
        <v>0</v>
      </c>
      <c r="N92" s="236"/>
      <c r="O92" s="236"/>
      <c r="P92" s="236"/>
      <c r="Q92" s="221" t="s">
        <v>35</v>
      </c>
      <c r="R92" s="221"/>
      <c r="S92" s="221"/>
      <c r="T92" s="221"/>
      <c r="U92" s="220"/>
      <c r="V92" s="220"/>
      <c r="W92" s="220"/>
      <c r="X92" s="220"/>
      <c r="Y92" s="220"/>
      <c r="Z92" s="420">
        <v>44055</v>
      </c>
      <c r="AA92" s="399">
        <v>2019</v>
      </c>
      <c r="AB92" s="361" t="s">
        <v>379</v>
      </c>
      <c r="AC92" s="400">
        <v>1</v>
      </c>
      <c r="AD92" s="400"/>
      <c r="AE92" s="220"/>
      <c r="AF92" s="220"/>
      <c r="AG92" s="220"/>
      <c r="AH92" s="220"/>
      <c r="AI92" s="220"/>
      <c r="AJ92" s="220"/>
      <c r="AK92" s="220"/>
      <c r="AL92" s="220"/>
    </row>
    <row r="93" spans="1:38" x14ac:dyDescent="0.2">
      <c r="A93" s="220"/>
      <c r="B93" s="234"/>
      <c r="C93" s="234" t="s">
        <v>110</v>
      </c>
      <c r="D93" s="236">
        <v>0</v>
      </c>
      <c r="E93" s="236" t="s">
        <v>35</v>
      </c>
      <c r="F93" s="236"/>
      <c r="G93" s="236">
        <v>0</v>
      </c>
      <c r="H93" s="404">
        <v>0</v>
      </c>
      <c r="I93" s="374">
        <v>0</v>
      </c>
      <c r="J93" s="236">
        <v>0</v>
      </c>
      <c r="K93" s="236">
        <v>0</v>
      </c>
      <c r="L93" s="236">
        <v>0</v>
      </c>
      <c r="M93" s="236">
        <v>0</v>
      </c>
      <c r="N93" s="236"/>
      <c r="O93" s="236"/>
      <c r="P93" s="236"/>
      <c r="Q93" s="221"/>
      <c r="R93" s="221"/>
      <c r="S93" s="221"/>
      <c r="T93" s="221"/>
      <c r="U93" s="220"/>
      <c r="V93" s="220"/>
      <c r="W93" s="220"/>
      <c r="X93" s="220"/>
      <c r="Y93" s="220"/>
      <c r="Z93" s="420">
        <v>44096</v>
      </c>
      <c r="AA93" s="399">
        <v>2019</v>
      </c>
      <c r="AB93" s="400" t="s">
        <v>466</v>
      </c>
      <c r="AC93" s="400">
        <v>54</v>
      </c>
      <c r="AD93" s="400"/>
      <c r="AE93" s="220"/>
      <c r="AF93" s="220"/>
      <c r="AG93" s="220"/>
      <c r="AH93" s="220"/>
      <c r="AI93" s="220"/>
      <c r="AJ93" s="220"/>
      <c r="AK93" s="220"/>
      <c r="AL93" s="220"/>
    </row>
    <row r="94" spans="1:38" x14ac:dyDescent="0.2">
      <c r="A94" s="220"/>
      <c r="B94" s="234"/>
      <c r="C94" s="234" t="s">
        <v>26</v>
      </c>
      <c r="D94" s="236">
        <v>0</v>
      </c>
      <c r="E94" s="236" t="s">
        <v>35</v>
      </c>
      <c r="F94" s="236"/>
      <c r="G94" s="236">
        <v>0</v>
      </c>
      <c r="H94" s="404">
        <v>0</v>
      </c>
      <c r="I94" s="374">
        <v>0</v>
      </c>
      <c r="J94" s="236">
        <v>0</v>
      </c>
      <c r="K94" s="236">
        <v>0</v>
      </c>
      <c r="L94" s="236">
        <v>0</v>
      </c>
      <c r="M94" s="374">
        <v>0</v>
      </c>
      <c r="N94" s="236"/>
      <c r="O94" s="236"/>
      <c r="P94" s="236"/>
      <c r="Q94" s="221"/>
      <c r="R94" s="221"/>
      <c r="S94" s="221"/>
      <c r="T94" s="221"/>
      <c r="U94" s="220"/>
      <c r="V94" s="220"/>
      <c r="W94" s="220"/>
      <c r="X94" s="220"/>
      <c r="Y94" s="220"/>
      <c r="Z94" s="420">
        <v>44096</v>
      </c>
      <c r="AA94" s="399">
        <v>2019</v>
      </c>
      <c r="AB94" s="400" t="s">
        <v>463</v>
      </c>
      <c r="AC94" s="400">
        <v>12</v>
      </c>
      <c r="AD94" s="400"/>
      <c r="AE94" s="220"/>
      <c r="AF94" s="220"/>
      <c r="AG94" s="220"/>
      <c r="AH94" s="220"/>
      <c r="AI94" s="220"/>
      <c r="AJ94" s="220"/>
      <c r="AK94" s="220"/>
      <c r="AL94" s="220"/>
    </row>
    <row r="95" spans="1:38" x14ac:dyDescent="0.2">
      <c r="A95" s="220"/>
      <c r="B95" s="234"/>
      <c r="C95" s="234" t="s">
        <v>23</v>
      </c>
      <c r="D95" s="236">
        <v>0</v>
      </c>
      <c r="E95" s="236" t="s">
        <v>35</v>
      </c>
      <c r="F95" s="236"/>
      <c r="G95" s="236">
        <v>0</v>
      </c>
      <c r="H95" s="404">
        <v>0</v>
      </c>
      <c r="I95" s="374">
        <v>0</v>
      </c>
      <c r="J95" s="236">
        <v>0</v>
      </c>
      <c r="K95" s="236">
        <v>0</v>
      </c>
      <c r="L95" s="236">
        <v>0</v>
      </c>
      <c r="M95" s="374">
        <v>0</v>
      </c>
      <c r="N95" s="236"/>
      <c r="O95" s="236"/>
      <c r="P95" s="236"/>
      <c r="Q95" s="221"/>
      <c r="R95" s="221"/>
      <c r="S95" s="221"/>
      <c r="T95" s="221"/>
      <c r="U95" s="220"/>
      <c r="V95" s="220"/>
      <c r="W95" s="220"/>
      <c r="X95" s="220"/>
      <c r="Y95" s="220"/>
      <c r="Z95" s="420">
        <v>44096</v>
      </c>
      <c r="AA95" s="399">
        <v>2019</v>
      </c>
      <c r="AB95" s="400" t="s">
        <v>464</v>
      </c>
      <c r="AC95" s="400">
        <v>22</v>
      </c>
      <c r="AD95" s="400"/>
      <c r="AE95" s="220"/>
      <c r="AF95" s="220"/>
      <c r="AG95" s="220"/>
      <c r="AH95" s="220"/>
      <c r="AI95" s="220"/>
      <c r="AJ95" s="220"/>
      <c r="AK95" s="220"/>
      <c r="AL95" s="220"/>
    </row>
    <row r="96" spans="1:38" x14ac:dyDescent="0.2">
      <c r="A96" s="220"/>
      <c r="B96" s="234"/>
      <c r="C96" s="234" t="s">
        <v>317</v>
      </c>
      <c r="D96" s="236">
        <v>0</v>
      </c>
      <c r="E96" s="236" t="s">
        <v>35</v>
      </c>
      <c r="F96" s="236"/>
      <c r="G96" s="236">
        <v>0</v>
      </c>
      <c r="H96" s="404">
        <v>0</v>
      </c>
      <c r="I96" s="374">
        <v>0</v>
      </c>
      <c r="J96" s="236">
        <v>0</v>
      </c>
      <c r="K96" s="236">
        <v>0</v>
      </c>
      <c r="L96" s="236">
        <v>0</v>
      </c>
      <c r="M96" s="374">
        <v>0</v>
      </c>
      <c r="N96" s="236"/>
      <c r="O96" s="236"/>
      <c r="P96" s="236"/>
      <c r="Q96" s="221"/>
      <c r="R96" s="221"/>
      <c r="S96" s="221"/>
      <c r="T96" s="221"/>
      <c r="U96" s="220"/>
      <c r="V96" s="220"/>
      <c r="W96" s="220"/>
      <c r="X96" s="220"/>
      <c r="Y96" s="220"/>
      <c r="Z96" s="420">
        <v>44096</v>
      </c>
      <c r="AA96" s="399">
        <v>2019</v>
      </c>
      <c r="AB96" s="400" t="s">
        <v>379</v>
      </c>
      <c r="AC96" s="400">
        <v>2</v>
      </c>
      <c r="AD96" s="400"/>
      <c r="AE96" s="220"/>
      <c r="AF96" s="220"/>
      <c r="AG96" s="220"/>
      <c r="AH96" s="220"/>
      <c r="AI96" s="220"/>
      <c r="AJ96" s="220"/>
      <c r="AK96" s="220"/>
      <c r="AL96" s="220"/>
    </row>
    <row r="97" spans="1:38" x14ac:dyDescent="0.2">
      <c r="A97" s="220"/>
      <c r="B97" s="234"/>
      <c r="C97" s="234" t="s">
        <v>56</v>
      </c>
      <c r="D97" s="236">
        <v>0</v>
      </c>
      <c r="E97" s="236" t="s">
        <v>35</v>
      </c>
      <c r="F97" s="236"/>
      <c r="G97" s="236">
        <v>0</v>
      </c>
      <c r="H97" s="404">
        <v>0</v>
      </c>
      <c r="I97" s="374">
        <v>0</v>
      </c>
      <c r="J97" s="236">
        <v>0</v>
      </c>
      <c r="K97" s="236">
        <v>0</v>
      </c>
      <c r="L97" s="236">
        <v>0</v>
      </c>
      <c r="M97" s="374">
        <v>0</v>
      </c>
      <c r="N97" s="236"/>
      <c r="O97" s="236"/>
      <c r="P97" s="236"/>
      <c r="Q97" s="221"/>
      <c r="R97" s="221"/>
      <c r="S97" s="221"/>
      <c r="T97" s="221"/>
      <c r="U97" s="220"/>
      <c r="V97" s="220"/>
      <c r="W97" s="220"/>
      <c r="X97" s="220"/>
      <c r="Y97" s="220"/>
      <c r="Z97" s="420">
        <v>44103</v>
      </c>
      <c r="AA97" s="399">
        <v>2019</v>
      </c>
      <c r="AB97" s="400" t="s">
        <v>466</v>
      </c>
      <c r="AC97" s="400">
        <v>108</v>
      </c>
      <c r="AD97" s="400"/>
      <c r="AE97" s="220"/>
      <c r="AF97" s="220"/>
      <c r="AG97" s="220"/>
      <c r="AH97" s="220"/>
      <c r="AI97" s="220"/>
      <c r="AJ97" s="220"/>
      <c r="AK97" s="220"/>
      <c r="AL97" s="220"/>
    </row>
    <row r="98" spans="1:38" x14ac:dyDescent="0.2">
      <c r="A98" s="220"/>
      <c r="B98" s="234"/>
      <c r="C98" s="234" t="s">
        <v>29</v>
      </c>
      <c r="D98" s="236">
        <v>0</v>
      </c>
      <c r="E98" s="236" t="s">
        <v>35</v>
      </c>
      <c r="F98" s="236"/>
      <c r="G98" s="236">
        <v>0</v>
      </c>
      <c r="H98" s="404">
        <v>0</v>
      </c>
      <c r="I98" s="374">
        <v>0</v>
      </c>
      <c r="J98" s="236">
        <v>0</v>
      </c>
      <c r="K98" s="236">
        <v>0</v>
      </c>
      <c r="L98" s="236">
        <v>0</v>
      </c>
      <c r="M98" s="374">
        <v>0</v>
      </c>
      <c r="N98" s="236"/>
      <c r="O98" s="236"/>
      <c r="P98" s="236"/>
      <c r="Q98" s="221"/>
      <c r="R98" s="221"/>
      <c r="S98" s="221"/>
      <c r="T98" s="221"/>
      <c r="U98" s="220"/>
      <c r="V98" s="220"/>
      <c r="W98" s="220"/>
      <c r="X98" s="220"/>
      <c r="Y98" s="220"/>
      <c r="Z98" s="420">
        <v>44123</v>
      </c>
      <c r="AA98" s="399">
        <v>2019</v>
      </c>
      <c r="AB98" s="400" t="s">
        <v>463</v>
      </c>
      <c r="AC98" s="400">
        <v>12</v>
      </c>
      <c r="AD98" s="400"/>
      <c r="AE98" s="220"/>
      <c r="AF98" s="220"/>
      <c r="AG98" s="220"/>
      <c r="AH98" s="220"/>
      <c r="AI98" s="220"/>
      <c r="AJ98" s="220"/>
      <c r="AK98" s="220"/>
      <c r="AL98" s="220"/>
    </row>
    <row r="99" spans="1:38" x14ac:dyDescent="0.2">
      <c r="A99" s="220"/>
      <c r="B99" s="234"/>
      <c r="C99" s="234" t="s">
        <v>24</v>
      </c>
      <c r="D99" s="236">
        <v>330</v>
      </c>
      <c r="E99" s="236">
        <v>330</v>
      </c>
      <c r="F99" s="236">
        <v>330</v>
      </c>
      <c r="G99" s="236">
        <v>330</v>
      </c>
      <c r="H99" s="404">
        <v>330</v>
      </c>
      <c r="I99" s="374">
        <v>330</v>
      </c>
      <c r="J99" s="236">
        <v>330</v>
      </c>
      <c r="K99" s="236">
        <v>330</v>
      </c>
      <c r="L99" s="236">
        <v>330</v>
      </c>
      <c r="M99" s="374">
        <v>330</v>
      </c>
      <c r="N99" s="236">
        <v>330</v>
      </c>
      <c r="O99" s="236">
        <v>260</v>
      </c>
      <c r="P99" s="236">
        <v>120</v>
      </c>
      <c r="Q99" s="221">
        <v>4.5</v>
      </c>
      <c r="R99" s="221"/>
      <c r="S99" s="221"/>
      <c r="T99" s="221"/>
      <c r="U99" s="220"/>
      <c r="V99" s="220"/>
      <c r="W99" s="220"/>
      <c r="X99" s="220"/>
      <c r="Y99" s="220"/>
      <c r="Z99" s="420">
        <v>44123</v>
      </c>
      <c r="AA99" s="399">
        <v>2019</v>
      </c>
      <c r="AB99" s="400" t="s">
        <v>465</v>
      </c>
      <c r="AC99" s="400">
        <v>12</v>
      </c>
      <c r="AD99" s="400"/>
      <c r="AE99" s="220"/>
      <c r="AF99" s="220"/>
      <c r="AG99" s="220"/>
      <c r="AH99" s="220"/>
      <c r="AI99" s="220"/>
      <c r="AJ99" s="220"/>
      <c r="AK99" s="220"/>
      <c r="AL99" s="220"/>
    </row>
    <row r="100" spans="1:38" x14ac:dyDescent="0.2">
      <c r="A100" s="220"/>
      <c r="B100" s="234"/>
      <c r="C100" s="234" t="s">
        <v>291</v>
      </c>
      <c r="D100" s="236">
        <v>0</v>
      </c>
      <c r="E100" s="236" t="s">
        <v>35</v>
      </c>
      <c r="F100" s="236"/>
      <c r="G100" s="236">
        <v>0</v>
      </c>
      <c r="H100" s="404">
        <v>0</v>
      </c>
      <c r="I100" s="374">
        <v>0</v>
      </c>
      <c r="J100" s="236">
        <v>0</v>
      </c>
      <c r="K100" s="236">
        <v>0</v>
      </c>
      <c r="L100" s="236">
        <v>0</v>
      </c>
      <c r="M100" s="374">
        <v>0</v>
      </c>
      <c r="N100" s="236"/>
      <c r="O100" s="236"/>
      <c r="P100" s="236"/>
      <c r="Q100" s="221"/>
      <c r="R100" s="221"/>
      <c r="S100" s="221"/>
      <c r="T100" s="221"/>
      <c r="U100" s="220"/>
      <c r="V100" s="220"/>
      <c r="W100" s="220"/>
      <c r="X100" s="220"/>
      <c r="Y100" s="220"/>
      <c r="AC100" s="220"/>
      <c r="AD100" s="220"/>
      <c r="AE100" s="220"/>
      <c r="AF100" s="220"/>
      <c r="AG100" s="220"/>
      <c r="AH100" s="220"/>
      <c r="AI100" s="220"/>
      <c r="AJ100" s="220"/>
      <c r="AK100" s="220"/>
      <c r="AL100" s="220"/>
    </row>
    <row r="101" spans="1:38" x14ac:dyDescent="0.2">
      <c r="A101" s="220"/>
      <c r="B101" s="234"/>
      <c r="C101" s="234" t="s">
        <v>311</v>
      </c>
      <c r="D101" s="236">
        <v>0</v>
      </c>
      <c r="E101" s="236" t="s">
        <v>35</v>
      </c>
      <c r="F101" s="236"/>
      <c r="G101" s="236">
        <v>0</v>
      </c>
      <c r="H101" s="404">
        <v>0</v>
      </c>
      <c r="I101" s="374">
        <v>0</v>
      </c>
      <c r="J101" s="236">
        <v>0</v>
      </c>
      <c r="K101" s="236">
        <v>0</v>
      </c>
      <c r="L101" s="236">
        <v>0</v>
      </c>
      <c r="M101" s="374">
        <v>0</v>
      </c>
      <c r="N101" s="236"/>
      <c r="O101" s="236"/>
      <c r="P101" s="236"/>
      <c r="Q101" s="221"/>
      <c r="R101" s="221"/>
      <c r="S101" s="221"/>
      <c r="T101" s="221"/>
      <c r="U101" s="220"/>
      <c r="V101" s="220"/>
      <c r="W101" s="220"/>
      <c r="X101" s="220"/>
      <c r="Y101" s="220"/>
      <c r="AC101" s="220"/>
      <c r="AD101" s="220"/>
      <c r="AE101" s="220"/>
      <c r="AF101" s="220"/>
      <c r="AG101" s="220"/>
      <c r="AH101" s="220"/>
      <c r="AI101" s="220"/>
      <c r="AJ101" s="220"/>
      <c r="AK101" s="220"/>
      <c r="AL101" s="220"/>
    </row>
    <row r="102" spans="1:38" x14ac:dyDescent="0.2">
      <c r="A102" s="220"/>
      <c r="B102" s="234"/>
      <c r="C102" s="234" t="s">
        <v>94</v>
      </c>
      <c r="D102" s="236">
        <v>0</v>
      </c>
      <c r="E102" s="236" t="s">
        <v>35</v>
      </c>
      <c r="F102" s="236"/>
      <c r="G102" s="236">
        <v>0</v>
      </c>
      <c r="H102" s="404">
        <v>0</v>
      </c>
      <c r="I102" s="374">
        <v>0</v>
      </c>
      <c r="J102" s="236">
        <v>0</v>
      </c>
      <c r="K102" s="236">
        <v>0</v>
      </c>
      <c r="L102" s="236">
        <v>0</v>
      </c>
      <c r="M102" s="374">
        <v>0</v>
      </c>
      <c r="N102" s="236"/>
      <c r="O102" s="236"/>
      <c r="P102" s="236"/>
      <c r="Q102" s="221"/>
      <c r="R102" s="221"/>
      <c r="S102" s="221"/>
      <c r="T102" s="221"/>
      <c r="U102" s="220"/>
      <c r="V102" s="220"/>
      <c r="W102" s="220"/>
      <c r="X102" s="220"/>
      <c r="Y102" s="220"/>
      <c r="AC102" s="220"/>
      <c r="AD102" s="220"/>
      <c r="AE102" s="220"/>
      <c r="AF102" s="220"/>
      <c r="AG102" s="220"/>
      <c r="AH102" s="220"/>
      <c r="AI102" s="220"/>
      <c r="AJ102" s="220"/>
      <c r="AK102" s="220"/>
      <c r="AL102" s="220"/>
    </row>
    <row r="103" spans="1:38" x14ac:dyDescent="0.2">
      <c r="A103" s="220"/>
      <c r="B103" s="234"/>
      <c r="C103" s="234" t="s">
        <v>22</v>
      </c>
      <c r="D103" s="236">
        <v>0</v>
      </c>
      <c r="E103" s="236" t="s">
        <v>35</v>
      </c>
      <c r="F103" s="236"/>
      <c r="G103" s="236">
        <v>0</v>
      </c>
      <c r="H103" s="404">
        <v>0</v>
      </c>
      <c r="I103" s="374">
        <v>0</v>
      </c>
      <c r="J103" s="236">
        <v>0</v>
      </c>
      <c r="K103" s="236">
        <v>0</v>
      </c>
      <c r="L103" s="236">
        <v>0</v>
      </c>
      <c r="M103" s="374">
        <v>0</v>
      </c>
      <c r="N103" s="236"/>
      <c r="O103" s="236"/>
      <c r="P103" s="236"/>
      <c r="Q103" s="221"/>
      <c r="R103" s="221"/>
      <c r="S103" s="221"/>
      <c r="T103" s="221"/>
      <c r="U103" s="220"/>
      <c r="V103" s="220"/>
      <c r="W103" s="220"/>
      <c r="X103" s="220"/>
      <c r="Y103" s="220"/>
      <c r="AC103" s="220"/>
      <c r="AD103" s="220"/>
      <c r="AE103" s="220"/>
      <c r="AF103" s="220"/>
      <c r="AG103" s="220"/>
      <c r="AH103" s="220"/>
      <c r="AI103" s="220"/>
      <c r="AJ103" s="220"/>
      <c r="AK103" s="220"/>
      <c r="AL103" s="220"/>
    </row>
    <row r="104" spans="1:38" x14ac:dyDescent="0.2">
      <c r="A104" s="220"/>
      <c r="B104" s="234"/>
      <c r="C104" s="234" t="s">
        <v>135</v>
      </c>
      <c r="D104" s="236">
        <v>0</v>
      </c>
      <c r="E104" s="236">
        <v>70</v>
      </c>
      <c r="F104" s="236">
        <v>70</v>
      </c>
      <c r="G104" s="236">
        <v>70</v>
      </c>
      <c r="H104" s="404">
        <v>35</v>
      </c>
      <c r="I104" s="374">
        <v>6</v>
      </c>
      <c r="J104" s="236">
        <v>6</v>
      </c>
      <c r="K104" s="236">
        <v>6</v>
      </c>
      <c r="L104" s="236">
        <v>0</v>
      </c>
      <c r="M104" s="374">
        <v>0</v>
      </c>
      <c r="N104" s="236"/>
      <c r="O104" s="236"/>
      <c r="P104" s="236"/>
      <c r="Q104" s="221"/>
      <c r="R104" s="221"/>
      <c r="S104" s="221"/>
      <c r="T104" s="221"/>
      <c r="U104" s="220"/>
      <c r="V104" s="220"/>
      <c r="W104" s="220"/>
      <c r="X104" s="220"/>
      <c r="Y104" s="220"/>
      <c r="AC104" s="220"/>
      <c r="AD104" s="220"/>
      <c r="AE104" s="220"/>
      <c r="AF104" s="220"/>
      <c r="AG104" s="220"/>
      <c r="AH104" s="220"/>
      <c r="AI104" s="220"/>
      <c r="AJ104" s="220"/>
      <c r="AK104" s="220"/>
      <c r="AL104" s="220"/>
    </row>
    <row r="105" spans="1:38" x14ac:dyDescent="0.2">
      <c r="A105" s="220"/>
      <c r="B105" s="234">
        <v>2019</v>
      </c>
      <c r="C105" s="234" t="s">
        <v>26</v>
      </c>
      <c r="D105" s="236">
        <v>1610</v>
      </c>
      <c r="E105" s="236">
        <v>1610</v>
      </c>
      <c r="F105" s="236">
        <v>1190</v>
      </c>
      <c r="G105" s="236">
        <v>1190</v>
      </c>
      <c r="H105" s="404">
        <v>1190</v>
      </c>
      <c r="I105" s="236">
        <v>1190</v>
      </c>
      <c r="J105" s="236">
        <v>560</v>
      </c>
      <c r="K105" s="236">
        <v>560</v>
      </c>
      <c r="L105" s="236">
        <v>560</v>
      </c>
      <c r="M105" s="236">
        <v>520</v>
      </c>
      <c r="N105" s="236">
        <v>520</v>
      </c>
      <c r="O105" s="236">
        <v>505</v>
      </c>
      <c r="P105" s="236">
        <v>0</v>
      </c>
      <c r="Q105" s="221">
        <v>7.5</v>
      </c>
      <c r="R105" s="221"/>
      <c r="S105" s="221"/>
      <c r="T105" s="221"/>
      <c r="U105" s="220"/>
      <c r="V105" s="220"/>
      <c r="W105" s="220"/>
      <c r="X105" s="220"/>
      <c r="Y105" s="220"/>
      <c r="AC105" s="220"/>
      <c r="AD105" s="220"/>
      <c r="AE105" s="220"/>
      <c r="AF105" s="220"/>
      <c r="AG105" s="220"/>
      <c r="AH105" s="220"/>
      <c r="AI105" s="220"/>
      <c r="AJ105" s="220"/>
      <c r="AK105" s="220"/>
      <c r="AL105" s="220"/>
    </row>
    <row r="106" spans="1:38" x14ac:dyDescent="0.2">
      <c r="A106" s="220"/>
      <c r="B106" s="234"/>
      <c r="C106" s="234" t="s">
        <v>56</v>
      </c>
      <c r="D106" s="236">
        <v>1260</v>
      </c>
      <c r="E106" s="236">
        <v>1260</v>
      </c>
      <c r="F106" s="236">
        <v>1260</v>
      </c>
      <c r="G106" s="236">
        <v>1260</v>
      </c>
      <c r="H106" s="404">
        <v>1260</v>
      </c>
      <c r="I106" s="236">
        <v>1260</v>
      </c>
      <c r="J106" s="236">
        <v>910</v>
      </c>
      <c r="K106" s="236">
        <v>910</v>
      </c>
      <c r="L106" s="236">
        <v>910</v>
      </c>
      <c r="M106" s="236">
        <v>910</v>
      </c>
      <c r="N106" s="236">
        <v>910</v>
      </c>
      <c r="O106" s="236">
        <v>910</v>
      </c>
      <c r="P106" s="236">
        <v>0</v>
      </c>
      <c r="Q106" s="221">
        <v>13</v>
      </c>
      <c r="R106" s="221"/>
      <c r="S106" s="221"/>
      <c r="T106" s="221"/>
      <c r="U106" s="220"/>
      <c r="V106" s="220"/>
      <c r="W106" s="220"/>
      <c r="X106" s="220"/>
      <c r="Y106" s="220"/>
      <c r="AC106" s="220"/>
      <c r="AD106" s="220"/>
      <c r="AE106" s="220"/>
      <c r="AF106" s="220"/>
      <c r="AG106" s="220"/>
      <c r="AH106" s="220"/>
      <c r="AI106" s="220"/>
      <c r="AJ106" s="220"/>
      <c r="AK106" s="220"/>
      <c r="AL106" s="220"/>
    </row>
    <row r="107" spans="1:38" x14ac:dyDescent="0.2">
      <c r="A107" s="220"/>
      <c r="B107" s="234"/>
      <c r="C107" s="234" t="s">
        <v>24</v>
      </c>
      <c r="D107" s="236">
        <v>1780</v>
      </c>
      <c r="E107" s="236">
        <v>1780</v>
      </c>
      <c r="F107" s="236">
        <v>2450</v>
      </c>
      <c r="G107" s="236">
        <v>2450</v>
      </c>
      <c r="H107" s="404">
        <v>2450</v>
      </c>
      <c r="I107" s="236">
        <v>2450</v>
      </c>
      <c r="J107" s="236">
        <v>286</v>
      </c>
      <c r="K107" s="236">
        <v>286</v>
      </c>
      <c r="L107" s="236">
        <v>280</v>
      </c>
      <c r="M107" s="236">
        <v>280</v>
      </c>
      <c r="N107" s="236">
        <v>280</v>
      </c>
      <c r="O107" s="236">
        <v>280</v>
      </c>
      <c r="P107" s="236">
        <v>0</v>
      </c>
      <c r="Q107" s="221">
        <v>4</v>
      </c>
      <c r="R107" s="221"/>
      <c r="S107" s="221"/>
      <c r="T107" s="221"/>
      <c r="U107" s="220"/>
      <c r="V107" s="220"/>
      <c r="W107" s="220"/>
      <c r="X107" s="220"/>
      <c r="Y107" s="220"/>
      <c r="AC107" s="220"/>
      <c r="AD107" s="220"/>
      <c r="AE107" s="220"/>
      <c r="AF107" s="220"/>
      <c r="AG107" s="220"/>
      <c r="AH107" s="220"/>
      <c r="AI107" s="220"/>
      <c r="AJ107" s="220"/>
      <c r="AK107" s="220"/>
      <c r="AL107" s="220"/>
    </row>
    <row r="108" spans="1:38" x14ac:dyDescent="0.2">
      <c r="A108" s="220"/>
      <c r="B108" s="234"/>
      <c r="C108" s="234" t="s">
        <v>23</v>
      </c>
      <c r="D108" s="236">
        <v>2450</v>
      </c>
      <c r="E108" s="236">
        <v>2450</v>
      </c>
      <c r="F108" s="236">
        <v>2660</v>
      </c>
      <c r="G108" s="236">
        <v>2565</v>
      </c>
      <c r="H108" s="404">
        <v>2565</v>
      </c>
      <c r="I108" s="236">
        <v>2565</v>
      </c>
      <c r="J108" s="236">
        <v>2240</v>
      </c>
      <c r="K108" s="236">
        <v>2240</v>
      </c>
      <c r="L108" s="236">
        <v>2240</v>
      </c>
      <c r="M108" s="236">
        <v>2240</v>
      </c>
      <c r="N108" s="236">
        <v>2240</v>
      </c>
      <c r="O108" s="236">
        <v>1157</v>
      </c>
      <c r="P108" s="236">
        <v>0</v>
      </c>
      <c r="Q108" s="221">
        <v>32</v>
      </c>
      <c r="R108" s="221"/>
      <c r="S108" s="221"/>
      <c r="T108" s="221"/>
      <c r="U108" s="220"/>
      <c r="V108" s="220"/>
      <c r="W108" s="220"/>
      <c r="X108" s="220"/>
      <c r="Y108" s="220"/>
      <c r="AC108" s="220"/>
      <c r="AD108" s="220"/>
      <c r="AE108" s="220"/>
      <c r="AF108" s="220"/>
      <c r="AG108" s="220"/>
      <c r="AH108" s="220"/>
      <c r="AI108" s="220"/>
      <c r="AJ108" s="220"/>
      <c r="AK108" s="220"/>
      <c r="AL108" s="220"/>
    </row>
    <row r="109" spans="1:38" x14ac:dyDescent="0.2">
      <c r="A109" s="220"/>
      <c r="B109" s="234"/>
      <c r="C109" s="234" t="s">
        <v>354</v>
      </c>
      <c r="D109" s="236">
        <v>70</v>
      </c>
      <c r="E109" s="236">
        <v>70</v>
      </c>
      <c r="F109" s="236">
        <v>0</v>
      </c>
      <c r="G109" s="236">
        <v>0</v>
      </c>
      <c r="H109" s="404">
        <v>0</v>
      </c>
      <c r="I109" s="236">
        <v>0</v>
      </c>
      <c r="J109" s="236">
        <v>0</v>
      </c>
      <c r="K109" s="236">
        <v>0</v>
      </c>
      <c r="L109" s="236">
        <v>0</v>
      </c>
      <c r="M109" s="236">
        <v>0</v>
      </c>
      <c r="N109" s="236">
        <v>0</v>
      </c>
      <c r="O109" s="236">
        <v>0</v>
      </c>
      <c r="P109" s="236">
        <v>0</v>
      </c>
      <c r="Q109" s="221"/>
      <c r="R109" s="221"/>
      <c r="S109" s="221"/>
      <c r="T109" s="221"/>
      <c r="U109" s="220"/>
      <c r="V109" s="220"/>
      <c r="W109" s="220"/>
      <c r="X109" s="220"/>
      <c r="Y109" s="220"/>
      <c r="AC109" s="220"/>
      <c r="AD109" s="220"/>
      <c r="AE109" s="220"/>
      <c r="AF109" s="220"/>
      <c r="AG109" s="220"/>
      <c r="AH109" s="220"/>
      <c r="AI109" s="220"/>
      <c r="AJ109" s="220"/>
      <c r="AK109" s="220"/>
      <c r="AL109" s="220"/>
    </row>
    <row r="110" spans="1:38" x14ac:dyDescent="0.2">
      <c r="A110" s="220"/>
      <c r="B110" s="234"/>
      <c r="C110" s="234" t="s">
        <v>441</v>
      </c>
      <c r="D110" s="236"/>
      <c r="E110" s="236"/>
      <c r="F110" s="236"/>
      <c r="G110" s="236"/>
      <c r="H110" s="404"/>
      <c r="I110" s="236"/>
      <c r="J110" s="236"/>
      <c r="K110" s="236"/>
      <c r="L110" s="236"/>
      <c r="M110" s="236"/>
      <c r="N110" s="236"/>
      <c r="O110" s="236">
        <v>700</v>
      </c>
      <c r="P110" s="236">
        <v>0</v>
      </c>
      <c r="Q110" s="221"/>
      <c r="R110" s="221"/>
      <c r="S110" s="221"/>
      <c r="T110" s="221"/>
      <c r="U110" s="220"/>
      <c r="V110" s="220"/>
      <c r="W110" s="220"/>
      <c r="X110" s="220"/>
      <c r="Y110" s="220"/>
      <c r="AC110" s="220"/>
      <c r="AD110" s="220"/>
      <c r="AE110" s="220"/>
      <c r="AF110" s="220"/>
      <c r="AG110" s="220"/>
      <c r="AH110" s="220"/>
      <c r="AI110" s="220"/>
      <c r="AJ110" s="220"/>
      <c r="AK110" s="220"/>
      <c r="AL110" s="220"/>
    </row>
    <row r="111" spans="1:38" x14ac:dyDescent="0.2">
      <c r="A111" s="220"/>
      <c r="B111" s="234"/>
      <c r="C111" s="234" t="s">
        <v>22</v>
      </c>
      <c r="D111" s="236"/>
      <c r="E111" s="236"/>
      <c r="F111" s="236"/>
      <c r="G111" s="236"/>
      <c r="H111" s="404"/>
      <c r="I111" s="236"/>
      <c r="J111" s="236">
        <v>1400</v>
      </c>
      <c r="K111" s="236">
        <v>1400</v>
      </c>
      <c r="L111" s="236">
        <v>1345</v>
      </c>
      <c r="M111" s="236">
        <v>1330</v>
      </c>
      <c r="N111" s="236">
        <v>1190</v>
      </c>
      <c r="O111" s="236">
        <v>1179</v>
      </c>
      <c r="P111" s="236">
        <v>0</v>
      </c>
      <c r="Q111" s="221">
        <v>19</v>
      </c>
      <c r="R111" s="221"/>
      <c r="S111" s="221"/>
      <c r="T111" s="221"/>
      <c r="U111" s="220"/>
      <c r="V111" s="220"/>
      <c r="W111" s="220"/>
      <c r="X111" s="220"/>
      <c r="Y111" s="220"/>
      <c r="AC111" s="220"/>
      <c r="AD111" s="220"/>
      <c r="AE111" s="220"/>
      <c r="AF111" s="220"/>
      <c r="AG111" s="220"/>
      <c r="AH111" s="220"/>
      <c r="AI111" s="220"/>
      <c r="AJ111" s="220"/>
      <c r="AK111" s="220"/>
      <c r="AL111" s="220"/>
    </row>
    <row r="112" spans="1:38" x14ac:dyDescent="0.2">
      <c r="A112" s="220"/>
      <c r="B112" s="234"/>
      <c r="C112" s="234" t="s">
        <v>94</v>
      </c>
      <c r="D112" s="236"/>
      <c r="E112" s="236"/>
      <c r="F112" s="236"/>
      <c r="G112" s="236"/>
      <c r="H112" s="404"/>
      <c r="I112" s="236"/>
      <c r="J112" s="236">
        <v>2036</v>
      </c>
      <c r="K112" s="236">
        <v>2036</v>
      </c>
      <c r="L112" s="236">
        <v>2030</v>
      </c>
      <c r="M112" s="236">
        <v>2030</v>
      </c>
      <c r="N112" s="236">
        <v>1890</v>
      </c>
      <c r="O112" s="236">
        <v>1890</v>
      </c>
      <c r="P112" s="236">
        <v>2060</v>
      </c>
      <c r="Q112" s="221">
        <v>29</v>
      </c>
      <c r="R112" s="221"/>
      <c r="S112" s="221"/>
      <c r="T112" s="221"/>
      <c r="U112" s="220"/>
      <c r="V112" s="220"/>
      <c r="W112" s="220"/>
      <c r="X112" s="220"/>
      <c r="Y112" s="220"/>
      <c r="AC112" s="220"/>
      <c r="AD112" s="220"/>
      <c r="AE112" s="220"/>
      <c r="AF112" s="220"/>
      <c r="AG112" s="220"/>
      <c r="AH112" s="220"/>
      <c r="AI112" s="220"/>
      <c r="AJ112" s="220"/>
      <c r="AK112" s="220"/>
      <c r="AL112" s="220"/>
    </row>
    <row r="113" spans="1:38" x14ac:dyDescent="0.2">
      <c r="A113" s="220"/>
      <c r="B113" s="234"/>
      <c r="C113" s="234" t="s">
        <v>25</v>
      </c>
      <c r="D113" s="236">
        <v>2800</v>
      </c>
      <c r="E113" s="236">
        <v>2800</v>
      </c>
      <c r="F113" s="236">
        <v>2800</v>
      </c>
      <c r="G113" s="236">
        <v>2800</v>
      </c>
      <c r="H113" s="404">
        <v>2800</v>
      </c>
      <c r="I113" s="236">
        <v>2762</v>
      </c>
      <c r="J113" s="236">
        <v>1750</v>
      </c>
      <c r="K113" s="236">
        <v>1750</v>
      </c>
      <c r="L113" s="236">
        <v>1750</v>
      </c>
      <c r="M113" s="236">
        <v>1750</v>
      </c>
      <c r="N113" s="236">
        <v>1750</v>
      </c>
      <c r="O113" s="236">
        <v>1655</v>
      </c>
      <c r="P113" s="236">
        <v>0</v>
      </c>
      <c r="Q113" s="221">
        <v>25</v>
      </c>
      <c r="R113" s="221"/>
      <c r="S113" s="221"/>
      <c r="T113" s="221"/>
      <c r="U113" s="220"/>
      <c r="V113" s="220"/>
      <c r="W113" s="220"/>
      <c r="X113" s="220"/>
      <c r="Y113" s="220"/>
      <c r="AC113" s="220"/>
      <c r="AD113" s="220"/>
      <c r="AE113" s="220"/>
      <c r="AF113" s="220"/>
      <c r="AG113" s="220"/>
      <c r="AH113" s="220"/>
      <c r="AI113" s="220"/>
      <c r="AJ113" s="220"/>
      <c r="AK113" s="220"/>
      <c r="AL113" s="220"/>
    </row>
    <row r="114" spans="1:38" x14ac:dyDescent="0.2">
      <c r="A114" s="220"/>
      <c r="B114" s="234"/>
      <c r="C114" s="234" t="s">
        <v>31</v>
      </c>
      <c r="D114" s="236">
        <v>2305</v>
      </c>
      <c r="E114" s="236">
        <v>2305</v>
      </c>
      <c r="F114" s="236">
        <v>2305</v>
      </c>
      <c r="G114" s="236">
        <v>2305</v>
      </c>
      <c r="H114" s="404">
        <v>2305</v>
      </c>
      <c r="I114" s="236">
        <v>2394</v>
      </c>
      <c r="J114" s="236">
        <v>0</v>
      </c>
      <c r="K114" s="236">
        <v>0</v>
      </c>
      <c r="L114" s="236">
        <v>0</v>
      </c>
      <c r="M114" s="236">
        <v>0</v>
      </c>
      <c r="N114" s="236"/>
      <c r="O114" s="236"/>
      <c r="P114" s="236"/>
      <c r="Q114" s="221"/>
      <c r="R114" s="221"/>
      <c r="S114" s="221"/>
      <c r="T114" s="221"/>
      <c r="U114" s="220"/>
      <c r="V114" s="220"/>
      <c r="W114" s="220"/>
      <c r="X114" s="220"/>
      <c r="Y114" s="220"/>
      <c r="AC114" s="220"/>
      <c r="AD114" s="220"/>
      <c r="AE114" s="220"/>
      <c r="AF114" s="220"/>
      <c r="AG114" s="220"/>
      <c r="AH114" s="220"/>
      <c r="AI114" s="220"/>
      <c r="AJ114" s="220"/>
      <c r="AK114" s="220"/>
      <c r="AL114" s="220"/>
    </row>
    <row r="115" spans="1:38" x14ac:dyDescent="0.2">
      <c r="A115" s="220"/>
      <c r="B115" s="234"/>
      <c r="C115" s="234" t="s">
        <v>46</v>
      </c>
      <c r="D115" s="236">
        <v>1475</v>
      </c>
      <c r="E115" s="236">
        <v>1475</v>
      </c>
      <c r="F115" s="236">
        <v>1475</v>
      </c>
      <c r="G115" s="236">
        <v>897</v>
      </c>
      <c r="H115" s="404">
        <v>100</v>
      </c>
      <c r="I115" s="236">
        <v>15</v>
      </c>
      <c r="J115" s="236">
        <v>15</v>
      </c>
      <c r="K115" s="236">
        <v>15</v>
      </c>
      <c r="L115" s="236">
        <v>8</v>
      </c>
      <c r="M115" s="236">
        <v>0</v>
      </c>
      <c r="N115" s="236"/>
      <c r="O115" s="236"/>
      <c r="P115" s="236"/>
      <c r="Q115" s="221"/>
      <c r="R115" s="221"/>
      <c r="S115" s="221"/>
      <c r="T115" s="221"/>
      <c r="U115" s="220"/>
      <c r="V115" s="220"/>
      <c r="W115" s="220"/>
      <c r="X115" s="220"/>
      <c r="Y115" s="220"/>
      <c r="AC115" s="220"/>
      <c r="AD115" s="220"/>
      <c r="AE115" s="220"/>
      <c r="AF115" s="220"/>
      <c r="AG115" s="220"/>
      <c r="AH115" s="220"/>
      <c r="AI115" s="220"/>
      <c r="AJ115" s="220"/>
      <c r="AK115" s="220"/>
      <c r="AL115" s="220"/>
    </row>
    <row r="116" spans="1:38" x14ac:dyDescent="0.2">
      <c r="A116" s="220"/>
      <c r="B116" s="234"/>
      <c r="C116" s="234" t="s">
        <v>107</v>
      </c>
      <c r="D116" s="236">
        <v>775</v>
      </c>
      <c r="E116" s="236">
        <v>775</v>
      </c>
      <c r="F116" s="236">
        <v>775</v>
      </c>
      <c r="G116" s="236">
        <v>0</v>
      </c>
      <c r="H116" s="404">
        <v>0</v>
      </c>
      <c r="I116" s="236">
        <v>0</v>
      </c>
      <c r="J116" s="236">
        <v>0</v>
      </c>
      <c r="K116" s="236">
        <v>0</v>
      </c>
      <c r="L116" s="236">
        <v>0</v>
      </c>
      <c r="M116" s="236">
        <v>0</v>
      </c>
      <c r="N116" s="236"/>
      <c r="O116" s="236"/>
      <c r="P116" s="236"/>
      <c r="Q116" s="221"/>
      <c r="R116" s="221"/>
      <c r="S116" s="221"/>
      <c r="T116" s="221"/>
      <c r="U116" s="220"/>
      <c r="V116" s="220"/>
      <c r="W116" s="220"/>
      <c r="X116" s="220"/>
      <c r="Y116" s="220"/>
      <c r="AC116" s="220"/>
      <c r="AD116" s="220"/>
      <c r="AE116" s="220"/>
      <c r="AF116" s="220"/>
      <c r="AG116" s="220"/>
      <c r="AH116" s="220"/>
      <c r="AI116" s="220"/>
      <c r="AJ116" s="220"/>
      <c r="AK116" s="220"/>
      <c r="AL116" s="220"/>
    </row>
    <row r="117" spans="1:38" x14ac:dyDescent="0.2">
      <c r="A117" s="220"/>
      <c r="B117" s="234"/>
      <c r="C117" s="234" t="s">
        <v>30</v>
      </c>
      <c r="D117" s="236">
        <v>275</v>
      </c>
      <c r="E117" s="236">
        <v>275</v>
      </c>
      <c r="F117" s="236">
        <v>275</v>
      </c>
      <c r="G117" s="236">
        <v>275</v>
      </c>
      <c r="H117" s="404">
        <v>0</v>
      </c>
      <c r="I117" s="236">
        <v>0</v>
      </c>
      <c r="J117" s="236">
        <v>0</v>
      </c>
      <c r="K117" s="236">
        <v>0</v>
      </c>
      <c r="L117" s="236">
        <v>0</v>
      </c>
      <c r="M117" s="236">
        <v>0</v>
      </c>
      <c r="N117" s="236"/>
      <c r="O117" s="236"/>
      <c r="P117" s="236"/>
      <c r="Q117" s="221"/>
      <c r="R117" s="221"/>
      <c r="S117" s="221"/>
      <c r="T117" s="221"/>
      <c r="U117" s="220"/>
      <c r="V117" s="220"/>
      <c r="W117" s="220"/>
      <c r="X117" s="220"/>
      <c r="Y117" s="220"/>
      <c r="AC117" s="220"/>
      <c r="AD117" s="220"/>
      <c r="AE117" s="220"/>
      <c r="AF117" s="220"/>
      <c r="AG117" s="220"/>
      <c r="AH117" s="220"/>
      <c r="AI117" s="220"/>
      <c r="AJ117" s="220"/>
      <c r="AK117" s="220"/>
      <c r="AL117" s="220"/>
    </row>
    <row r="118" spans="1:38" x14ac:dyDescent="0.2">
      <c r="A118" s="220"/>
      <c r="B118" s="234"/>
      <c r="C118" s="234" t="s">
        <v>108</v>
      </c>
      <c r="D118" s="236">
        <v>210</v>
      </c>
      <c r="E118" s="236">
        <v>210</v>
      </c>
      <c r="F118" s="236">
        <v>210</v>
      </c>
      <c r="G118" s="236">
        <v>0</v>
      </c>
      <c r="H118" s="404">
        <v>0</v>
      </c>
      <c r="I118" s="236">
        <v>0</v>
      </c>
      <c r="J118" s="236">
        <v>0</v>
      </c>
      <c r="K118" s="236">
        <v>0</v>
      </c>
      <c r="L118" s="236">
        <v>0</v>
      </c>
      <c r="M118" s="236">
        <v>0</v>
      </c>
      <c r="N118" s="236"/>
      <c r="O118" s="236"/>
      <c r="P118" s="236"/>
      <c r="Q118" s="221"/>
      <c r="R118" s="221"/>
      <c r="S118" s="221"/>
      <c r="T118" s="221"/>
      <c r="U118" s="220"/>
      <c r="V118" s="220"/>
      <c r="W118" s="220"/>
      <c r="X118" s="220"/>
      <c r="Y118" s="220"/>
      <c r="AC118" s="220"/>
      <c r="AD118" s="220"/>
      <c r="AE118" s="220"/>
      <c r="AF118" s="220"/>
      <c r="AG118" s="220"/>
      <c r="AH118" s="220"/>
      <c r="AI118" s="220"/>
      <c r="AJ118" s="220"/>
      <c r="AK118" s="220"/>
      <c r="AL118" s="220"/>
    </row>
    <row r="119" spans="1:38" x14ac:dyDescent="0.2">
      <c r="A119" s="220"/>
      <c r="B119" s="250"/>
      <c r="C119" s="250" t="s">
        <v>110</v>
      </c>
      <c r="D119" s="252">
        <v>2840</v>
      </c>
      <c r="E119" s="252">
        <v>2840</v>
      </c>
      <c r="F119" s="252">
        <v>0</v>
      </c>
      <c r="G119" s="252">
        <v>0</v>
      </c>
      <c r="H119" s="404">
        <v>0</v>
      </c>
      <c r="I119" s="252">
        <v>0</v>
      </c>
      <c r="J119" s="252">
        <v>0</v>
      </c>
      <c r="K119" s="252">
        <v>0</v>
      </c>
      <c r="L119" s="252">
        <v>0</v>
      </c>
      <c r="M119" s="252">
        <v>0</v>
      </c>
      <c r="N119" s="252"/>
      <c r="O119" s="252"/>
      <c r="P119" s="252"/>
      <c r="Q119" s="221"/>
      <c r="R119" s="221"/>
      <c r="S119" s="221"/>
      <c r="T119" s="221"/>
      <c r="U119" s="220"/>
      <c r="V119" s="220"/>
      <c r="W119" s="220"/>
      <c r="X119" s="220"/>
      <c r="Y119" s="220"/>
      <c r="AC119" s="220"/>
      <c r="AD119" s="220"/>
      <c r="AE119" s="220"/>
      <c r="AF119" s="220"/>
      <c r="AG119" s="220"/>
      <c r="AH119" s="220"/>
      <c r="AI119" s="220"/>
      <c r="AJ119" s="220"/>
      <c r="AK119" s="220"/>
      <c r="AL119" s="220"/>
    </row>
    <row r="120" spans="1:38" x14ac:dyDescent="0.2">
      <c r="A120" s="220"/>
      <c r="B120" s="250"/>
      <c r="C120" s="250" t="s">
        <v>33</v>
      </c>
      <c r="D120" s="252"/>
      <c r="E120" s="252"/>
      <c r="F120" s="252">
        <v>990</v>
      </c>
      <c r="G120" s="252">
        <v>0</v>
      </c>
      <c r="H120" s="404">
        <v>0</v>
      </c>
      <c r="I120" s="252">
        <v>0</v>
      </c>
      <c r="J120" s="252">
        <v>0</v>
      </c>
      <c r="K120" s="252">
        <v>0</v>
      </c>
      <c r="L120" s="252">
        <v>0</v>
      </c>
      <c r="M120" s="252">
        <v>0</v>
      </c>
      <c r="N120" s="252"/>
      <c r="O120" s="252"/>
      <c r="P120" s="252"/>
      <c r="Q120" s="221"/>
      <c r="R120" s="221"/>
      <c r="S120" s="221"/>
      <c r="T120" s="221"/>
      <c r="U120" s="220"/>
      <c r="V120" s="220"/>
      <c r="W120" s="220"/>
      <c r="X120" s="220"/>
      <c r="Y120" s="220"/>
      <c r="AC120" s="220"/>
      <c r="AD120" s="220"/>
      <c r="AE120" s="220"/>
      <c r="AF120" s="220"/>
      <c r="AG120" s="220"/>
      <c r="AH120" s="220"/>
      <c r="AI120" s="220"/>
      <c r="AJ120" s="220"/>
      <c r="AK120" s="220"/>
      <c r="AL120" s="220"/>
    </row>
    <row r="121" spans="1:38" x14ac:dyDescent="0.2">
      <c r="A121" s="220"/>
      <c r="B121" s="250"/>
      <c r="C121" s="250" t="s">
        <v>393</v>
      </c>
      <c r="D121" s="252"/>
      <c r="E121" s="252"/>
      <c r="F121" s="252"/>
      <c r="G121" s="252">
        <v>924</v>
      </c>
      <c r="H121" s="404">
        <v>0</v>
      </c>
      <c r="I121" s="252">
        <v>0</v>
      </c>
      <c r="J121" s="252">
        <v>0</v>
      </c>
      <c r="K121" s="252">
        <v>0</v>
      </c>
      <c r="L121" s="252">
        <v>0</v>
      </c>
      <c r="M121" s="252">
        <v>0</v>
      </c>
      <c r="N121" s="252"/>
      <c r="O121" s="252"/>
      <c r="P121" s="252"/>
      <c r="Q121" s="221"/>
      <c r="R121" s="221"/>
      <c r="S121" s="221"/>
      <c r="T121" s="221"/>
      <c r="U121" s="220"/>
      <c r="V121" s="220"/>
      <c r="W121" s="220"/>
      <c r="X121" s="220"/>
      <c r="Y121" s="220"/>
      <c r="AD121" s="220"/>
      <c r="AE121" s="220"/>
      <c r="AF121" s="220"/>
      <c r="AG121" s="220"/>
      <c r="AH121" s="220"/>
      <c r="AI121" s="220"/>
      <c r="AJ121" s="220"/>
      <c r="AK121" s="220"/>
      <c r="AL121" s="220"/>
    </row>
    <row r="122" spans="1:38" x14ac:dyDescent="0.2">
      <c r="A122" s="220"/>
      <c r="B122" s="250"/>
      <c r="C122" s="250" t="s">
        <v>359</v>
      </c>
      <c r="D122" s="252"/>
      <c r="E122" s="252"/>
      <c r="F122" s="252"/>
      <c r="G122" s="252">
        <v>1477</v>
      </c>
      <c r="H122" s="406">
        <v>0</v>
      </c>
      <c r="I122" s="252">
        <v>0</v>
      </c>
      <c r="J122" s="252">
        <v>0</v>
      </c>
      <c r="K122" s="252">
        <v>0</v>
      </c>
      <c r="L122" s="252">
        <v>0</v>
      </c>
      <c r="M122" s="252">
        <v>0</v>
      </c>
      <c r="N122" s="252"/>
      <c r="O122" s="252"/>
      <c r="P122" s="252"/>
      <c r="Q122" s="221"/>
      <c r="R122" s="221"/>
      <c r="S122" s="221"/>
      <c r="T122" s="221"/>
      <c r="U122" s="220"/>
      <c r="V122" s="220"/>
      <c r="W122" s="220"/>
      <c r="X122" s="220"/>
      <c r="Y122" s="220"/>
      <c r="AD122" s="220"/>
      <c r="AE122" s="220"/>
      <c r="AF122" s="220"/>
      <c r="AG122" s="220"/>
      <c r="AH122" s="220"/>
      <c r="AI122" s="220"/>
      <c r="AJ122" s="220"/>
      <c r="AK122" s="220"/>
      <c r="AL122" s="220"/>
    </row>
    <row r="123" spans="1:38" x14ac:dyDescent="0.2">
      <c r="A123" s="220"/>
      <c r="B123" s="250"/>
      <c r="C123" s="250" t="s">
        <v>402</v>
      </c>
      <c r="D123" s="252"/>
      <c r="E123" s="252"/>
      <c r="F123" s="252"/>
      <c r="G123" s="252"/>
      <c r="H123" s="2">
        <v>70</v>
      </c>
      <c r="I123" s="252">
        <v>0</v>
      </c>
      <c r="J123" s="252">
        <v>0</v>
      </c>
      <c r="K123" s="252">
        <v>0</v>
      </c>
      <c r="L123" s="252">
        <v>0</v>
      </c>
      <c r="M123" s="252">
        <v>0</v>
      </c>
      <c r="N123" s="252"/>
      <c r="O123" s="252"/>
      <c r="P123" s="252"/>
      <c r="Q123" s="221"/>
      <c r="R123" s="221"/>
      <c r="S123" s="221"/>
      <c r="T123" s="221"/>
      <c r="U123" s="220"/>
      <c r="V123" s="220"/>
      <c r="W123" s="220"/>
      <c r="X123" s="220"/>
      <c r="Y123" s="220"/>
      <c r="AD123" s="220"/>
      <c r="AE123" s="220"/>
      <c r="AF123" s="220"/>
      <c r="AG123" s="220"/>
      <c r="AH123" s="220"/>
      <c r="AI123" s="220"/>
      <c r="AJ123" s="220"/>
      <c r="AK123" s="220"/>
      <c r="AL123" s="220"/>
    </row>
    <row r="124" spans="1:38" x14ac:dyDescent="0.2">
      <c r="A124" s="220"/>
      <c r="B124" s="250">
        <v>2020</v>
      </c>
      <c r="C124" s="250" t="s">
        <v>31</v>
      </c>
      <c r="D124" s="252"/>
      <c r="E124" s="252"/>
      <c r="F124" s="252"/>
      <c r="G124" s="252"/>
      <c r="H124" s="2"/>
      <c r="I124" s="252"/>
      <c r="J124" s="252"/>
      <c r="K124" s="252"/>
      <c r="L124" s="252"/>
      <c r="M124" s="252">
        <v>2629</v>
      </c>
      <c r="N124" s="252">
        <v>2730</v>
      </c>
      <c r="O124" s="252">
        <v>2730</v>
      </c>
      <c r="P124" s="252">
        <v>2694</v>
      </c>
      <c r="Q124" s="221"/>
      <c r="R124" s="221"/>
      <c r="S124" s="221"/>
      <c r="T124" s="221"/>
      <c r="U124" s="220"/>
      <c r="V124" s="220"/>
      <c r="W124" s="220"/>
      <c r="X124" s="220"/>
      <c r="Y124" s="220"/>
      <c r="AD124" s="220"/>
      <c r="AE124" s="220"/>
      <c r="AF124" s="220"/>
      <c r="AG124" s="220"/>
      <c r="AH124" s="220"/>
      <c r="AI124" s="220"/>
      <c r="AJ124" s="220"/>
      <c r="AK124" s="220"/>
      <c r="AL124" s="220"/>
    </row>
    <row r="125" spans="1:38" x14ac:dyDescent="0.2">
      <c r="A125" s="220"/>
      <c r="B125" s="250"/>
      <c r="C125" s="250" t="s">
        <v>426</v>
      </c>
      <c r="D125" s="252"/>
      <c r="E125" s="252"/>
      <c r="F125" s="252"/>
      <c r="G125" s="252"/>
      <c r="H125" s="2"/>
      <c r="I125" s="252"/>
      <c r="J125" s="252"/>
      <c r="K125" s="252"/>
      <c r="L125" s="252"/>
      <c r="M125" s="252">
        <v>626</v>
      </c>
      <c r="N125" s="252">
        <v>550</v>
      </c>
      <c r="O125" s="252">
        <v>550</v>
      </c>
      <c r="P125" s="252">
        <v>550</v>
      </c>
      <c r="Q125" s="221"/>
      <c r="R125" s="221"/>
      <c r="S125" s="221"/>
      <c r="T125" s="221"/>
      <c r="U125" s="220"/>
      <c r="V125" s="220"/>
      <c r="W125" s="220"/>
      <c r="X125" s="220"/>
      <c r="Y125" s="220"/>
      <c r="AD125" s="220"/>
      <c r="AE125" s="220"/>
      <c r="AF125" s="220"/>
      <c r="AG125" s="220"/>
      <c r="AH125" s="220"/>
      <c r="AI125" s="220"/>
      <c r="AJ125" s="220"/>
      <c r="AK125" s="220"/>
      <c r="AL125" s="220"/>
    </row>
    <row r="126" spans="1:38" x14ac:dyDescent="0.2">
      <c r="A126" s="220"/>
      <c r="B126" s="250"/>
      <c r="C126" s="250" t="s">
        <v>46</v>
      </c>
      <c r="D126" s="252"/>
      <c r="E126" s="252"/>
      <c r="F126" s="252"/>
      <c r="G126" s="252"/>
      <c r="H126" s="2"/>
      <c r="I126" s="252"/>
      <c r="J126" s="252"/>
      <c r="K126" s="252"/>
      <c r="L126" s="252"/>
      <c r="M126" s="252">
        <v>980</v>
      </c>
      <c r="N126" s="252">
        <v>1390</v>
      </c>
      <c r="O126" s="252">
        <v>1390</v>
      </c>
      <c r="P126" s="252">
        <v>1350</v>
      </c>
      <c r="Q126" s="221"/>
      <c r="R126" s="221"/>
      <c r="S126" s="221"/>
      <c r="T126" s="221"/>
      <c r="U126" s="220"/>
      <c r="V126" s="220"/>
      <c r="W126" s="220"/>
      <c r="X126" s="220"/>
      <c r="Y126" s="220"/>
      <c r="AD126" s="220"/>
      <c r="AE126" s="220"/>
      <c r="AF126" s="220"/>
      <c r="AG126" s="220"/>
      <c r="AH126" s="220"/>
      <c r="AI126" s="220"/>
      <c r="AJ126" s="220"/>
      <c r="AK126" s="220"/>
      <c r="AL126" s="220"/>
    </row>
    <row r="127" spans="1:38" x14ac:dyDescent="0.2">
      <c r="A127" s="220"/>
      <c r="B127" s="250"/>
      <c r="C127" s="250" t="s">
        <v>30</v>
      </c>
      <c r="D127" s="252"/>
      <c r="E127" s="252"/>
      <c r="F127" s="252"/>
      <c r="G127" s="252"/>
      <c r="H127" s="2"/>
      <c r="I127" s="252"/>
      <c r="J127" s="252"/>
      <c r="K127" s="252"/>
      <c r="L127" s="252"/>
      <c r="M127" s="252">
        <v>250</v>
      </c>
      <c r="N127" s="252">
        <v>550</v>
      </c>
      <c r="O127" s="252">
        <v>550</v>
      </c>
      <c r="P127" s="252">
        <v>550</v>
      </c>
      <c r="Q127" s="221"/>
      <c r="R127" s="221"/>
      <c r="S127" s="221"/>
      <c r="T127" s="221"/>
      <c r="U127" s="220"/>
      <c r="V127" s="220"/>
      <c r="W127" s="220"/>
      <c r="X127" s="220"/>
      <c r="Y127" s="220"/>
      <c r="AD127" s="220"/>
      <c r="AE127" s="220"/>
      <c r="AF127" s="220"/>
      <c r="AG127" s="220"/>
      <c r="AH127" s="220"/>
      <c r="AI127" s="220"/>
      <c r="AJ127" s="220"/>
      <c r="AK127" s="220"/>
      <c r="AL127" s="220"/>
    </row>
    <row r="128" spans="1:38" x14ac:dyDescent="0.2">
      <c r="A128" s="220"/>
      <c r="B128" s="250"/>
      <c r="C128" s="250" t="s">
        <v>402</v>
      </c>
      <c r="D128" s="252"/>
      <c r="E128" s="252"/>
      <c r="F128" s="252"/>
      <c r="G128" s="252"/>
      <c r="H128" s="2"/>
      <c r="I128" s="252"/>
      <c r="J128" s="252"/>
      <c r="K128" s="252"/>
      <c r="L128" s="252"/>
      <c r="M128" s="252">
        <v>275</v>
      </c>
      <c r="N128" s="252">
        <v>275</v>
      </c>
      <c r="O128" s="252">
        <v>275</v>
      </c>
      <c r="P128" s="252">
        <v>275</v>
      </c>
      <c r="Q128" s="221"/>
      <c r="R128" s="221"/>
      <c r="S128" s="221"/>
      <c r="T128" s="221"/>
      <c r="U128" s="220"/>
      <c r="V128" s="220"/>
      <c r="W128" s="220"/>
      <c r="X128" s="220"/>
      <c r="Y128" s="220"/>
      <c r="AD128" s="220"/>
      <c r="AE128" s="220"/>
      <c r="AF128" s="220"/>
      <c r="AG128" s="220"/>
      <c r="AH128" s="220"/>
      <c r="AI128" s="220"/>
      <c r="AJ128" s="220"/>
      <c r="AK128" s="220"/>
      <c r="AL128" s="220"/>
    </row>
    <row r="129" spans="1:38" x14ac:dyDescent="0.2">
      <c r="A129" s="220"/>
      <c r="B129" s="250"/>
      <c r="C129" s="250" t="s">
        <v>24</v>
      </c>
      <c r="D129" s="252"/>
      <c r="E129" s="252"/>
      <c r="F129" s="252"/>
      <c r="G129" s="252"/>
      <c r="H129" s="2"/>
      <c r="I129" s="252"/>
      <c r="J129" s="252"/>
      <c r="K129" s="252"/>
      <c r="L129" s="252"/>
      <c r="M129" s="252">
        <v>900</v>
      </c>
      <c r="N129" s="252">
        <v>1420</v>
      </c>
      <c r="O129" s="252">
        <v>2315</v>
      </c>
      <c r="P129" s="252">
        <v>1540</v>
      </c>
      <c r="Q129" s="221"/>
      <c r="R129" s="221"/>
      <c r="S129" s="221"/>
      <c r="T129" s="221"/>
      <c r="U129" s="220"/>
      <c r="V129" s="220"/>
      <c r="W129" s="220"/>
      <c r="X129" s="220"/>
      <c r="Y129" s="220"/>
      <c r="AD129" s="220"/>
      <c r="AE129" s="220"/>
      <c r="AF129" s="220"/>
      <c r="AG129" s="220"/>
      <c r="AH129" s="220"/>
      <c r="AI129" s="220"/>
      <c r="AJ129" s="220"/>
      <c r="AK129" s="220"/>
      <c r="AL129" s="220"/>
    </row>
    <row r="130" spans="1:38" x14ac:dyDescent="0.2">
      <c r="A130" s="220"/>
      <c r="B130" s="250"/>
      <c r="C130" s="250" t="s">
        <v>427</v>
      </c>
      <c r="D130" s="252"/>
      <c r="E130" s="252"/>
      <c r="F130" s="252"/>
      <c r="G130" s="252"/>
      <c r="H130" s="2"/>
      <c r="I130" s="252"/>
      <c r="J130" s="252"/>
      <c r="K130" s="252"/>
      <c r="L130" s="252"/>
      <c r="M130" s="252">
        <v>275</v>
      </c>
      <c r="N130" s="252">
        <v>275</v>
      </c>
      <c r="O130" s="252">
        <v>275</v>
      </c>
      <c r="P130" s="252">
        <v>275</v>
      </c>
      <c r="Q130" s="221"/>
      <c r="R130" s="221"/>
      <c r="S130" s="221"/>
      <c r="T130" s="221"/>
      <c r="U130" s="220"/>
      <c r="V130" s="220"/>
      <c r="W130" s="220"/>
      <c r="X130" s="220"/>
      <c r="Y130" s="220"/>
      <c r="AD130" s="220"/>
      <c r="AE130" s="220"/>
      <c r="AF130" s="220"/>
      <c r="AG130" s="220"/>
      <c r="AH130" s="220"/>
      <c r="AI130" s="220"/>
      <c r="AJ130" s="220"/>
      <c r="AK130" s="220"/>
      <c r="AL130" s="220"/>
    </row>
    <row r="131" spans="1:38" x14ac:dyDescent="0.2">
      <c r="A131" s="220"/>
      <c r="B131" s="250"/>
      <c r="C131" s="250" t="s">
        <v>29</v>
      </c>
      <c r="D131" s="252"/>
      <c r="E131" s="252"/>
      <c r="F131" s="252"/>
      <c r="G131" s="252"/>
      <c r="H131" s="2"/>
      <c r="I131" s="252"/>
      <c r="J131" s="252"/>
      <c r="K131" s="252"/>
      <c r="L131" s="252"/>
      <c r="M131" s="252">
        <v>275</v>
      </c>
      <c r="N131" s="252">
        <v>280</v>
      </c>
      <c r="O131" s="252">
        <v>280</v>
      </c>
      <c r="P131" s="252">
        <v>280</v>
      </c>
      <c r="Q131" s="221"/>
      <c r="R131" s="221"/>
      <c r="S131" s="221"/>
      <c r="T131" s="221"/>
      <c r="U131" s="220"/>
      <c r="V131" s="220"/>
      <c r="W131" s="220"/>
      <c r="X131" s="220"/>
      <c r="Y131" s="220"/>
      <c r="AD131" s="220"/>
      <c r="AE131" s="220"/>
      <c r="AF131" s="220"/>
      <c r="AG131" s="220"/>
      <c r="AH131" s="220"/>
      <c r="AI131" s="220"/>
      <c r="AJ131" s="220"/>
      <c r="AK131" s="220"/>
      <c r="AL131" s="220"/>
    </row>
    <row r="132" spans="1:38" x14ac:dyDescent="0.2">
      <c r="A132" s="220"/>
      <c r="B132" s="250"/>
      <c r="C132" s="250" t="s">
        <v>23</v>
      </c>
      <c r="D132" s="252"/>
      <c r="E132" s="252"/>
      <c r="F132" s="252"/>
      <c r="G132" s="252"/>
      <c r="H132" s="2"/>
      <c r="I132" s="252"/>
      <c r="J132" s="252"/>
      <c r="K132" s="252"/>
      <c r="L132" s="252"/>
      <c r="M132" s="252"/>
      <c r="N132" s="252">
        <v>2255</v>
      </c>
      <c r="O132" s="252">
        <v>2545</v>
      </c>
      <c r="P132" s="252">
        <v>2220</v>
      </c>
      <c r="Q132" s="221"/>
      <c r="R132" s="221"/>
      <c r="S132" s="221"/>
      <c r="T132" s="221"/>
      <c r="U132" s="220"/>
      <c r="V132" s="220"/>
      <c r="W132" s="220"/>
      <c r="X132" s="220"/>
      <c r="Y132" s="220"/>
      <c r="AD132" s="220"/>
      <c r="AE132" s="220"/>
      <c r="AF132" s="220"/>
      <c r="AG132" s="220"/>
      <c r="AH132" s="220"/>
      <c r="AI132" s="220"/>
      <c r="AJ132" s="220"/>
      <c r="AK132" s="220"/>
      <c r="AL132" s="220"/>
    </row>
    <row r="133" spans="1:38" x14ac:dyDescent="0.2">
      <c r="A133" s="220"/>
      <c r="B133" s="250"/>
      <c r="C133" s="250" t="s">
        <v>56</v>
      </c>
      <c r="D133" s="252"/>
      <c r="E133" s="252"/>
      <c r="F133" s="252"/>
      <c r="G133" s="252"/>
      <c r="H133" s="2"/>
      <c r="I133" s="252"/>
      <c r="J133" s="252"/>
      <c r="K133" s="252"/>
      <c r="L133" s="252"/>
      <c r="M133" s="252"/>
      <c r="N133" s="252">
        <v>2631</v>
      </c>
      <c r="O133" s="252">
        <v>4600</v>
      </c>
      <c r="P133" s="252">
        <v>2860</v>
      </c>
      <c r="Q133" s="221"/>
      <c r="R133" s="221"/>
      <c r="S133" s="221"/>
      <c r="T133" s="221"/>
      <c r="U133" s="220"/>
      <c r="V133" s="220"/>
      <c r="W133" s="220"/>
      <c r="X133" s="220"/>
      <c r="Y133" s="220"/>
      <c r="AD133" s="220"/>
      <c r="AE133" s="220"/>
      <c r="AF133" s="220"/>
      <c r="AG133" s="220"/>
      <c r="AH133" s="220"/>
      <c r="AI133" s="220"/>
      <c r="AJ133" s="220"/>
      <c r="AK133" s="220"/>
      <c r="AL133" s="220"/>
    </row>
    <row r="134" spans="1:38" x14ac:dyDescent="0.2">
      <c r="A134" s="220"/>
      <c r="B134" s="250"/>
      <c r="C134" s="250" t="s">
        <v>131</v>
      </c>
      <c r="D134" s="252"/>
      <c r="E134" s="252"/>
      <c r="F134" s="252"/>
      <c r="G134" s="252"/>
      <c r="H134" s="2"/>
      <c r="I134" s="252"/>
      <c r="J134" s="252"/>
      <c r="K134" s="252"/>
      <c r="L134" s="252"/>
      <c r="M134" s="252"/>
      <c r="N134" s="252">
        <v>605</v>
      </c>
      <c r="O134" s="252">
        <v>990</v>
      </c>
      <c r="P134" s="252">
        <v>0</v>
      </c>
      <c r="Q134" s="221"/>
      <c r="R134" s="221"/>
      <c r="S134" s="221"/>
      <c r="T134" s="221"/>
      <c r="U134" s="220"/>
      <c r="V134" s="220"/>
      <c r="W134" s="220"/>
      <c r="X134" s="220"/>
      <c r="Y134" s="220"/>
      <c r="AD134" s="220"/>
      <c r="AE134" s="220"/>
      <c r="AF134" s="220"/>
      <c r="AG134" s="220"/>
      <c r="AH134" s="220"/>
      <c r="AI134" s="220"/>
      <c r="AJ134" s="220"/>
      <c r="AK134" s="220"/>
      <c r="AL134" s="220"/>
    </row>
    <row r="135" spans="1:38" x14ac:dyDescent="0.2">
      <c r="A135" s="220"/>
      <c r="B135" s="250"/>
      <c r="C135" s="250" t="s">
        <v>439</v>
      </c>
      <c r="D135" s="252"/>
      <c r="E135" s="252"/>
      <c r="F135" s="252"/>
      <c r="G135" s="252"/>
      <c r="H135" s="2"/>
      <c r="I135" s="252"/>
      <c r="J135" s="252"/>
      <c r="K135" s="252"/>
      <c r="L135" s="252"/>
      <c r="M135" s="252"/>
      <c r="N135" s="252">
        <v>330</v>
      </c>
      <c r="O135" s="252">
        <v>330</v>
      </c>
      <c r="P135" s="252">
        <v>0</v>
      </c>
      <c r="Q135" s="221"/>
      <c r="R135" s="221"/>
      <c r="S135" s="221"/>
      <c r="T135" s="221"/>
      <c r="U135" s="220"/>
      <c r="V135" s="220"/>
      <c r="W135" s="220"/>
      <c r="X135" s="220"/>
      <c r="Y135" s="220"/>
      <c r="AD135" s="220"/>
      <c r="AE135" s="220"/>
      <c r="AF135" s="220"/>
      <c r="AG135" s="220"/>
      <c r="AH135" s="220"/>
      <c r="AI135" s="220"/>
      <c r="AJ135" s="220"/>
      <c r="AK135" s="220"/>
      <c r="AL135" s="220"/>
    </row>
    <row r="136" spans="1:38" x14ac:dyDescent="0.2">
      <c r="A136" s="220"/>
      <c r="B136" s="250"/>
      <c r="C136" s="250" t="s">
        <v>33</v>
      </c>
      <c r="D136" s="252"/>
      <c r="E136" s="252"/>
      <c r="F136" s="252"/>
      <c r="G136" s="252"/>
      <c r="H136" s="2"/>
      <c r="I136" s="252"/>
      <c r="J136" s="252"/>
      <c r="K136" s="252"/>
      <c r="L136" s="252"/>
      <c r="M136" s="252"/>
      <c r="N136" s="252">
        <v>275</v>
      </c>
      <c r="O136" s="252">
        <v>275</v>
      </c>
      <c r="P136" s="252">
        <v>275</v>
      </c>
      <c r="Q136" s="221"/>
      <c r="R136" s="221"/>
      <c r="S136" s="221"/>
      <c r="T136" s="221"/>
      <c r="U136" s="220"/>
      <c r="V136" s="220"/>
      <c r="W136" s="220"/>
      <c r="X136" s="220"/>
      <c r="Y136" s="220"/>
      <c r="AD136" s="220"/>
      <c r="AE136" s="220"/>
      <c r="AF136" s="220"/>
      <c r="AG136" s="220"/>
      <c r="AH136" s="220"/>
      <c r="AI136" s="220"/>
      <c r="AJ136" s="220"/>
      <c r="AK136" s="220"/>
      <c r="AL136" s="220"/>
    </row>
    <row r="137" spans="1:38" x14ac:dyDescent="0.2">
      <c r="A137" s="220"/>
      <c r="B137" s="250"/>
      <c r="C137" s="250" t="s">
        <v>440</v>
      </c>
      <c r="D137" s="252"/>
      <c r="E137" s="252"/>
      <c r="F137" s="252"/>
      <c r="G137" s="252"/>
      <c r="H137" s="2"/>
      <c r="I137" s="252"/>
      <c r="J137" s="252"/>
      <c r="K137" s="252"/>
      <c r="L137" s="252"/>
      <c r="M137" s="252"/>
      <c r="N137" s="252">
        <v>550</v>
      </c>
      <c r="O137" s="252">
        <v>550</v>
      </c>
      <c r="P137" s="252">
        <v>550</v>
      </c>
      <c r="Q137" s="221"/>
      <c r="R137" s="221"/>
      <c r="S137" s="221"/>
      <c r="T137" s="221"/>
      <c r="U137" s="220"/>
      <c r="V137" s="220"/>
      <c r="W137" s="220"/>
      <c r="X137" s="220"/>
      <c r="Y137" s="220"/>
      <c r="AD137" s="220"/>
      <c r="AE137" s="220"/>
      <c r="AF137" s="220"/>
      <c r="AG137" s="220"/>
      <c r="AH137" s="220"/>
      <c r="AI137" s="220"/>
      <c r="AJ137" s="220"/>
      <c r="AK137" s="220"/>
      <c r="AL137" s="220"/>
    </row>
    <row r="138" spans="1:38" x14ac:dyDescent="0.2">
      <c r="A138" s="220"/>
      <c r="B138" s="250"/>
      <c r="C138" s="250" t="s">
        <v>26</v>
      </c>
      <c r="D138" s="252"/>
      <c r="E138" s="252"/>
      <c r="F138" s="252"/>
      <c r="G138" s="252"/>
      <c r="H138" s="2"/>
      <c r="I138" s="252"/>
      <c r="J138" s="252"/>
      <c r="K138" s="252"/>
      <c r="L138" s="252"/>
      <c r="M138" s="252"/>
      <c r="N138" s="252">
        <v>3622</v>
      </c>
      <c r="O138" s="252">
        <v>2945</v>
      </c>
      <c r="P138" s="252">
        <v>1695</v>
      </c>
      <c r="Q138" s="221"/>
      <c r="R138" s="221"/>
      <c r="S138" s="221"/>
      <c r="T138" s="221"/>
      <c r="U138" s="220"/>
      <c r="V138" s="220"/>
      <c r="W138" s="220"/>
      <c r="X138" s="220"/>
      <c r="Y138" s="220"/>
      <c r="AD138" s="220"/>
      <c r="AE138" s="220"/>
      <c r="AF138" s="220"/>
      <c r="AG138" s="220"/>
      <c r="AH138" s="220"/>
      <c r="AI138" s="220"/>
      <c r="AJ138" s="220"/>
      <c r="AK138" s="220"/>
      <c r="AL138" s="220"/>
    </row>
    <row r="139" spans="1:38" x14ac:dyDescent="0.2">
      <c r="A139" s="220"/>
      <c r="B139" s="250"/>
      <c r="C139" s="250" t="s">
        <v>205</v>
      </c>
      <c r="D139" s="252"/>
      <c r="E139" s="252"/>
      <c r="F139" s="252"/>
      <c r="G139" s="252"/>
      <c r="H139" s="2"/>
      <c r="I139" s="252"/>
      <c r="J139" s="252"/>
      <c r="K139" s="252"/>
      <c r="L139" s="252"/>
      <c r="M139" s="252"/>
      <c r="N139" s="252">
        <v>275</v>
      </c>
      <c r="O139" s="252">
        <v>275</v>
      </c>
      <c r="P139" s="252">
        <v>275</v>
      </c>
      <c r="Q139" s="221"/>
      <c r="R139" s="221"/>
      <c r="S139" s="221"/>
      <c r="T139" s="221"/>
      <c r="U139" s="220"/>
      <c r="V139" s="220"/>
      <c r="W139" s="220"/>
      <c r="X139" s="220"/>
      <c r="Y139" s="220"/>
      <c r="AD139" s="220"/>
      <c r="AE139" s="220"/>
      <c r="AF139" s="220"/>
      <c r="AG139" s="220"/>
      <c r="AH139" s="220"/>
      <c r="AI139" s="220"/>
      <c r="AJ139" s="220"/>
      <c r="AK139" s="220"/>
      <c r="AL139" s="220"/>
    </row>
    <row r="140" spans="1:38" ht="15.75" x14ac:dyDescent="0.25">
      <c r="A140" s="220"/>
      <c r="B140" s="160"/>
      <c r="C140" s="160" t="s">
        <v>59</v>
      </c>
      <c r="D140" s="401">
        <f>SUM(D87:D119)</f>
        <v>18455</v>
      </c>
      <c r="E140" s="401">
        <f>SUM(E87:E119)</f>
        <v>18525</v>
      </c>
      <c r="F140" s="401">
        <f>SUM(F87:F120)</f>
        <v>17065</v>
      </c>
      <c r="G140" s="401">
        <f>SUM(G87:G122)</f>
        <v>16818</v>
      </c>
      <c r="H140" s="401">
        <f>SUM(H87:H123)</f>
        <v>13380</v>
      </c>
      <c r="I140" s="401">
        <f>SUM(I87:I123)</f>
        <v>13247</v>
      </c>
      <c r="J140" s="401">
        <f t="shared" ref="J140" si="47">SUM(J87:J119)</f>
        <v>9808</v>
      </c>
      <c r="K140" s="401">
        <f>SUM(K87:K123)</f>
        <v>9533</v>
      </c>
      <c r="L140" s="401">
        <f>SUM(L87:L123)</f>
        <v>9453</v>
      </c>
      <c r="M140" s="401">
        <f>SUM(M87:M131)</f>
        <v>15600</v>
      </c>
      <c r="N140" s="401">
        <f>SUM(N87:N139)</f>
        <v>27123</v>
      </c>
      <c r="O140" s="401">
        <f>SUM(O87:O139)</f>
        <v>29411</v>
      </c>
      <c r="P140" s="401">
        <f>SUM(P87:P139)</f>
        <v>17569</v>
      </c>
      <c r="Q140" s="221"/>
      <c r="R140" s="221"/>
      <c r="S140" s="221"/>
      <c r="T140" s="221"/>
      <c r="U140" s="220"/>
      <c r="V140" s="220"/>
      <c r="W140" s="220"/>
      <c r="X140" s="220"/>
      <c r="Y140" s="220"/>
      <c r="AD140" s="220"/>
      <c r="AE140" s="220"/>
      <c r="AF140" s="220"/>
      <c r="AG140" s="220"/>
      <c r="AH140" s="220"/>
      <c r="AI140" s="220"/>
      <c r="AJ140" s="220"/>
      <c r="AK140" s="220"/>
      <c r="AL140" s="220"/>
    </row>
    <row r="141" spans="1:38" ht="15.75" x14ac:dyDescent="0.25">
      <c r="A141" s="220"/>
      <c r="B141" s="278"/>
      <c r="C141" s="278"/>
      <c r="D141" s="1"/>
      <c r="E141" s="1"/>
      <c r="F141" s="1"/>
      <c r="G141" s="1"/>
      <c r="H141" s="1"/>
      <c r="I141" s="1"/>
      <c r="J141" s="1"/>
      <c r="K141" s="1"/>
      <c r="L141" s="1"/>
      <c r="M141" s="1"/>
      <c r="N141" s="1"/>
      <c r="O141" s="1"/>
      <c r="P141" s="1"/>
      <c r="Q141" s="221"/>
      <c r="R141" s="221"/>
      <c r="S141" s="221"/>
      <c r="T141" s="221"/>
      <c r="U141" s="220"/>
      <c r="V141" s="220"/>
      <c r="W141" s="220"/>
      <c r="X141" s="220"/>
      <c r="Y141" s="220"/>
      <c r="AD141" s="220"/>
      <c r="AE141" s="220"/>
      <c r="AF141" s="220"/>
      <c r="AG141" s="220"/>
      <c r="AH141" s="220"/>
      <c r="AI141" s="220"/>
      <c r="AJ141" s="220"/>
      <c r="AK141" s="220"/>
      <c r="AL141" s="220"/>
    </row>
    <row r="142" spans="1:38" x14ac:dyDescent="0.2">
      <c r="A142" s="220"/>
      <c r="B142" s="220"/>
      <c r="C142" s="220"/>
      <c r="D142" s="221"/>
      <c r="E142" s="221"/>
      <c r="F142" s="221"/>
      <c r="G142" s="221"/>
      <c r="H142" s="221"/>
      <c r="I142" s="221"/>
      <c r="J142" s="221"/>
      <c r="K142" s="221"/>
      <c r="L142" s="221"/>
      <c r="M142" s="221"/>
      <c r="N142" s="221"/>
      <c r="O142" s="221"/>
      <c r="P142" s="221"/>
      <c r="Q142" s="221"/>
      <c r="R142" s="221"/>
      <c r="S142" s="221"/>
      <c r="T142" s="221"/>
      <c r="U142" s="220"/>
      <c r="V142" s="220"/>
      <c r="W142" s="220"/>
      <c r="X142" s="220"/>
      <c r="Y142" s="220"/>
      <c r="AD142" s="220"/>
      <c r="AE142" s="220"/>
      <c r="AF142" s="220"/>
      <c r="AG142" s="220"/>
      <c r="AH142" s="220"/>
      <c r="AI142" s="220"/>
      <c r="AJ142" s="220"/>
      <c r="AK142" s="220"/>
      <c r="AL142" s="220"/>
    </row>
    <row r="143" spans="1:38" ht="18" x14ac:dyDescent="0.25">
      <c r="A143" s="220"/>
      <c r="B143" s="220"/>
      <c r="C143" s="409" t="s">
        <v>435</v>
      </c>
      <c r="D143" s="410" t="s">
        <v>430</v>
      </c>
      <c r="E143" s="410" t="s">
        <v>114</v>
      </c>
      <c r="F143" s="410" t="s">
        <v>119</v>
      </c>
      <c r="G143" s="410" t="s">
        <v>117</v>
      </c>
      <c r="H143" s="410" t="s">
        <v>121</v>
      </c>
      <c r="I143" s="410" t="s">
        <v>116</v>
      </c>
      <c r="J143" s="410" t="s">
        <v>428</v>
      </c>
      <c r="K143" s="410" t="s">
        <v>429</v>
      </c>
      <c r="L143" s="410"/>
      <c r="M143" s="410" t="s">
        <v>389</v>
      </c>
      <c r="N143" s="221" t="s">
        <v>432</v>
      </c>
      <c r="O143" s="221" t="s">
        <v>433</v>
      </c>
      <c r="P143" s="221" t="s">
        <v>434</v>
      </c>
      <c r="Q143" s="221"/>
      <c r="R143" s="221"/>
      <c r="S143" s="221"/>
      <c r="T143" s="221"/>
      <c r="U143" s="220"/>
      <c r="V143" s="220"/>
      <c r="W143" s="220"/>
      <c r="X143" s="220"/>
      <c r="Y143" s="220"/>
      <c r="AD143" s="220"/>
      <c r="AE143" s="220"/>
      <c r="AF143" s="220"/>
      <c r="AG143" s="220"/>
      <c r="AH143" s="220"/>
      <c r="AI143" s="220"/>
      <c r="AJ143" s="220"/>
      <c r="AK143" s="220"/>
      <c r="AL143" s="220"/>
    </row>
    <row r="144" spans="1:38" ht="18" x14ac:dyDescent="0.25">
      <c r="A144" s="220"/>
      <c r="B144" s="220"/>
      <c r="C144" s="289" t="s">
        <v>431</v>
      </c>
      <c r="D144" s="221">
        <v>7.5</v>
      </c>
      <c r="E144" s="221" t="s">
        <v>35</v>
      </c>
      <c r="F144" s="221" t="s">
        <v>35</v>
      </c>
      <c r="G144" s="221" t="s">
        <v>35</v>
      </c>
      <c r="H144" s="221" t="s">
        <v>35</v>
      </c>
      <c r="I144" s="221" t="s">
        <v>35</v>
      </c>
      <c r="J144" s="221" t="s">
        <v>35</v>
      </c>
      <c r="K144" s="221">
        <v>7.5</v>
      </c>
      <c r="L144" s="221">
        <f>SUM(E144:K144)</f>
        <v>7.5</v>
      </c>
      <c r="M144" s="408">
        <f>L144*30</f>
        <v>225</v>
      </c>
      <c r="N144" s="221">
        <v>225</v>
      </c>
      <c r="O144" s="221" t="s">
        <v>35</v>
      </c>
      <c r="P144" s="221"/>
      <c r="Q144" s="221"/>
      <c r="R144" s="221"/>
      <c r="S144" s="221"/>
      <c r="T144" s="221"/>
      <c r="U144" s="220"/>
      <c r="V144" s="220"/>
      <c r="W144" s="220"/>
      <c r="X144" s="220"/>
      <c r="Y144" s="220"/>
      <c r="AD144" s="220"/>
      <c r="AE144" s="220"/>
      <c r="AF144" s="220"/>
      <c r="AG144" s="220"/>
      <c r="AH144" s="220"/>
      <c r="AI144" s="220"/>
      <c r="AJ144" s="220"/>
      <c r="AK144" s="220"/>
      <c r="AL144" s="220"/>
    </row>
    <row r="145" spans="1:38" ht="18" x14ac:dyDescent="0.25">
      <c r="A145" s="220"/>
      <c r="B145" s="220"/>
      <c r="C145" s="234" t="s">
        <v>56</v>
      </c>
      <c r="D145" s="221">
        <v>13</v>
      </c>
      <c r="E145" s="221"/>
      <c r="F145" s="221"/>
      <c r="G145" s="221"/>
      <c r="H145" s="221"/>
      <c r="I145" s="221">
        <v>13</v>
      </c>
      <c r="J145" s="221"/>
      <c r="K145" s="221"/>
      <c r="L145" s="221">
        <f t="shared" ref="L145:L149" si="48">SUM(E145:K145)</f>
        <v>13</v>
      </c>
      <c r="M145" s="408">
        <f t="shared" ref="M145:M151" si="49">L145*30</f>
        <v>390</v>
      </c>
      <c r="N145" s="221" t="s">
        <v>35</v>
      </c>
      <c r="O145" s="221">
        <f>M145</f>
        <v>390</v>
      </c>
      <c r="P145" s="221"/>
      <c r="Q145" s="221"/>
      <c r="R145" s="221"/>
      <c r="S145" s="221"/>
      <c r="T145" s="221"/>
      <c r="U145" s="220"/>
      <c r="V145" s="220"/>
      <c r="W145" s="220"/>
      <c r="X145" s="220"/>
      <c r="Y145" s="220"/>
      <c r="AD145" s="220"/>
      <c r="AE145" s="220"/>
      <c r="AF145" s="220"/>
      <c r="AG145" s="220"/>
      <c r="AH145" s="220"/>
      <c r="AI145" s="220"/>
      <c r="AJ145" s="220"/>
      <c r="AK145" s="220"/>
      <c r="AL145" s="220"/>
    </row>
    <row r="146" spans="1:38" ht="18" x14ac:dyDescent="0.25">
      <c r="A146" s="220"/>
      <c r="B146" s="220"/>
      <c r="C146" s="234" t="s">
        <v>24</v>
      </c>
      <c r="D146" s="221">
        <v>8.5</v>
      </c>
      <c r="E146" s="221"/>
      <c r="F146" s="221"/>
      <c r="G146" s="221">
        <v>8.5</v>
      </c>
      <c r="H146" s="221"/>
      <c r="I146" s="221"/>
      <c r="J146" s="221"/>
      <c r="K146" s="221"/>
      <c r="L146" s="221">
        <f t="shared" si="48"/>
        <v>8.5</v>
      </c>
      <c r="M146" s="411">
        <f t="shared" si="49"/>
        <v>255</v>
      </c>
      <c r="N146" s="221" t="s">
        <v>35</v>
      </c>
      <c r="O146" s="221">
        <f>M146</f>
        <v>255</v>
      </c>
      <c r="P146" s="221"/>
      <c r="Q146" s="221" t="s">
        <v>35</v>
      </c>
      <c r="R146" s="221"/>
      <c r="S146" s="221"/>
      <c r="T146" s="221"/>
      <c r="U146" s="220"/>
      <c r="V146" s="220"/>
      <c r="W146" s="220"/>
      <c r="X146" s="220"/>
      <c r="Y146" s="220"/>
      <c r="AD146" s="220"/>
      <c r="AE146" s="220"/>
      <c r="AF146" s="220"/>
      <c r="AG146" s="220"/>
      <c r="AH146" s="220"/>
      <c r="AI146" s="220"/>
      <c r="AJ146" s="220"/>
      <c r="AK146" s="220"/>
      <c r="AL146" s="220"/>
    </row>
    <row r="147" spans="1:38" ht="18" x14ac:dyDescent="0.25">
      <c r="A147" s="220"/>
      <c r="B147" s="220"/>
      <c r="C147" s="234" t="s">
        <v>23</v>
      </c>
      <c r="D147" s="221">
        <v>32</v>
      </c>
      <c r="E147" s="221">
        <v>22</v>
      </c>
      <c r="F147" s="221">
        <v>10</v>
      </c>
      <c r="G147" s="221"/>
      <c r="H147" s="221"/>
      <c r="I147" s="221"/>
      <c r="J147" s="221"/>
      <c r="K147" s="221"/>
      <c r="L147" s="221">
        <f t="shared" si="48"/>
        <v>32</v>
      </c>
      <c r="M147" s="408">
        <f t="shared" si="49"/>
        <v>960</v>
      </c>
      <c r="O147" s="221">
        <f>M147</f>
        <v>960</v>
      </c>
      <c r="P147" s="221"/>
      <c r="Q147" s="221"/>
      <c r="R147" s="221"/>
      <c r="S147" s="221"/>
      <c r="T147" s="221"/>
      <c r="U147" s="220"/>
      <c r="V147" s="220"/>
      <c r="W147" s="220"/>
      <c r="X147" s="220"/>
      <c r="Y147" s="220"/>
      <c r="AD147" s="220"/>
      <c r="AE147" s="220"/>
      <c r="AF147" s="220"/>
      <c r="AG147" s="220"/>
      <c r="AH147" s="220"/>
      <c r="AI147" s="220"/>
      <c r="AJ147" s="220"/>
      <c r="AK147" s="220"/>
      <c r="AL147" s="220"/>
    </row>
    <row r="148" spans="1:38" ht="18" x14ac:dyDescent="0.25">
      <c r="A148" s="220"/>
      <c r="B148" s="220"/>
      <c r="C148" s="234" t="s">
        <v>22</v>
      </c>
      <c r="D148" s="221">
        <v>19</v>
      </c>
      <c r="E148" s="221"/>
      <c r="F148" s="221"/>
      <c r="G148" s="221"/>
      <c r="H148" s="221">
        <v>19</v>
      </c>
      <c r="I148" s="221"/>
      <c r="J148" s="221"/>
      <c r="K148" s="221"/>
      <c r="L148" s="221">
        <f t="shared" si="48"/>
        <v>19</v>
      </c>
      <c r="M148" s="408">
        <f t="shared" si="49"/>
        <v>570</v>
      </c>
      <c r="N148" s="221">
        <f>M148</f>
        <v>570</v>
      </c>
      <c r="P148" s="221"/>
      <c r="Q148" s="221"/>
      <c r="R148" s="221"/>
      <c r="S148" s="221"/>
      <c r="T148" s="221"/>
      <c r="U148" s="220"/>
      <c r="V148" s="220"/>
      <c r="AD148" s="220"/>
    </row>
    <row r="149" spans="1:38" ht="18" x14ac:dyDescent="0.25">
      <c r="A149" s="220"/>
      <c r="B149" s="220"/>
      <c r="C149" s="234" t="s">
        <v>94</v>
      </c>
      <c r="D149" s="221">
        <v>29</v>
      </c>
      <c r="E149" s="221" t="s">
        <v>35</v>
      </c>
      <c r="F149" s="221"/>
      <c r="G149" s="221"/>
      <c r="H149" s="221"/>
      <c r="I149" s="221"/>
      <c r="J149" s="221">
        <v>29</v>
      </c>
      <c r="K149" s="221"/>
      <c r="L149" s="221">
        <f t="shared" si="48"/>
        <v>29</v>
      </c>
      <c r="M149" s="408">
        <f t="shared" si="49"/>
        <v>870</v>
      </c>
      <c r="N149" s="221" t="s">
        <v>35</v>
      </c>
      <c r="O149" s="221"/>
      <c r="P149" s="221">
        <f>M149</f>
        <v>870</v>
      </c>
      <c r="Q149" s="221"/>
      <c r="R149" s="221"/>
      <c r="S149" s="221"/>
      <c r="T149" s="221"/>
      <c r="U149" s="220"/>
      <c r="V149" s="220"/>
      <c r="AD149" s="220"/>
    </row>
    <row r="150" spans="1:38" ht="18" x14ac:dyDescent="0.25">
      <c r="A150" s="220"/>
      <c r="B150" s="220"/>
      <c r="C150" s="250" t="s">
        <v>25</v>
      </c>
      <c r="D150" s="221">
        <v>25</v>
      </c>
      <c r="E150" s="221"/>
      <c r="F150" s="221"/>
      <c r="G150" s="221"/>
      <c r="H150" s="221"/>
      <c r="I150" s="221"/>
      <c r="J150" s="221"/>
      <c r="K150" s="221" t="s">
        <v>35</v>
      </c>
      <c r="L150" s="221">
        <v>25</v>
      </c>
      <c r="M150" s="408">
        <f t="shared" si="49"/>
        <v>750</v>
      </c>
      <c r="N150" s="221">
        <f>M150</f>
        <v>750</v>
      </c>
      <c r="O150" s="221"/>
      <c r="Q150" s="221"/>
      <c r="R150" s="221"/>
      <c r="S150" s="221"/>
      <c r="T150" s="221"/>
      <c r="U150" s="220"/>
      <c r="V150" s="220"/>
      <c r="AD150" s="220"/>
    </row>
    <row r="151" spans="1:38" s="407" customFormat="1" ht="18" x14ac:dyDescent="0.25">
      <c r="C151" s="409"/>
      <c r="D151" s="410">
        <f>SUM(D144:D150)</f>
        <v>134</v>
      </c>
      <c r="E151" s="410"/>
      <c r="F151" s="410"/>
      <c r="G151" s="410"/>
      <c r="H151" s="410"/>
      <c r="I151" s="410"/>
      <c r="J151" s="410"/>
      <c r="K151" s="410"/>
      <c r="L151" s="410">
        <f>SUM(L144:L150)</f>
        <v>134</v>
      </c>
      <c r="M151" s="410">
        <f t="shared" si="49"/>
        <v>4020</v>
      </c>
      <c r="N151" s="221">
        <f>SUM(N144:N150)</f>
        <v>1545</v>
      </c>
      <c r="O151" s="221">
        <f>SUM(O144:O150)</f>
        <v>1605</v>
      </c>
      <c r="P151" s="221">
        <f>SUM(P144:P149)</f>
        <v>870</v>
      </c>
      <c r="Q151" s="408"/>
      <c r="R151" s="408"/>
      <c r="S151" s="408"/>
      <c r="T151" s="408"/>
      <c r="Z151" s="298"/>
      <c r="AA151" s="297"/>
      <c r="AB151" s="297"/>
      <c r="AC151" s="297"/>
      <c r="AD151" s="220"/>
    </row>
    <row r="152" spans="1:38" x14ac:dyDescent="0.2">
      <c r="A152" s="220"/>
      <c r="B152" s="220"/>
      <c r="C152" s="220"/>
      <c r="D152" s="221"/>
      <c r="E152" s="221"/>
      <c r="F152" s="221"/>
      <c r="G152" s="221"/>
      <c r="H152" s="221"/>
      <c r="I152" s="221"/>
      <c r="J152" s="221"/>
      <c r="K152" s="221"/>
      <c r="L152" s="221"/>
      <c r="M152" s="221"/>
      <c r="P152" s="221"/>
      <c r="Q152" s="221"/>
      <c r="R152" s="221"/>
      <c r="S152" s="221"/>
      <c r="T152" s="221"/>
      <c r="U152" s="220"/>
      <c r="V152" s="220"/>
      <c r="AD152" s="220"/>
    </row>
    <row r="153" spans="1:38" x14ac:dyDescent="0.2">
      <c r="A153" s="220"/>
      <c r="B153" s="220"/>
      <c r="C153" s="220"/>
      <c r="D153" s="221"/>
      <c r="E153" s="221"/>
      <c r="F153" s="221"/>
      <c r="G153" s="221"/>
      <c r="H153" s="221"/>
      <c r="I153" s="221"/>
      <c r="J153" s="221"/>
      <c r="K153" s="221"/>
      <c r="L153" s="221"/>
      <c r="M153" s="221"/>
      <c r="N153" s="221"/>
      <c r="O153" s="221"/>
      <c r="P153" s="221"/>
      <c r="Q153" s="221"/>
      <c r="R153" s="221"/>
      <c r="S153" s="221"/>
      <c r="T153" s="221"/>
      <c r="U153" s="220"/>
      <c r="V153" s="220"/>
      <c r="AD153" s="220"/>
    </row>
    <row r="154" spans="1:38" x14ac:dyDescent="0.2">
      <c r="A154" s="220"/>
      <c r="B154" s="220"/>
      <c r="C154" s="220"/>
      <c r="D154" s="221"/>
      <c r="E154" s="221"/>
      <c r="F154" s="221"/>
      <c r="G154" s="221"/>
      <c r="H154" s="221"/>
      <c r="I154" s="221"/>
      <c r="J154" s="221"/>
      <c r="K154" s="221"/>
      <c r="L154" s="221"/>
      <c r="M154" s="221"/>
      <c r="N154" s="221"/>
      <c r="O154" s="221"/>
      <c r="P154" s="221"/>
      <c r="Q154" s="221"/>
      <c r="R154" s="221"/>
      <c r="S154" s="221"/>
      <c r="T154" s="221"/>
      <c r="U154" s="220"/>
      <c r="V154" s="220"/>
      <c r="AD154" s="220"/>
    </row>
    <row r="155" spans="1:38" x14ac:dyDescent="0.2">
      <c r="A155" s="220"/>
      <c r="B155" s="220"/>
      <c r="C155" s="220"/>
      <c r="D155" s="221"/>
      <c r="E155" s="221"/>
      <c r="F155" s="221"/>
      <c r="G155" s="221"/>
      <c r="H155" s="221"/>
      <c r="I155" s="221"/>
      <c r="J155" s="221"/>
      <c r="K155" s="221"/>
      <c r="L155" s="221"/>
      <c r="M155" s="221"/>
      <c r="N155" s="221"/>
      <c r="O155" s="221"/>
      <c r="P155" s="221"/>
      <c r="Q155" s="221"/>
      <c r="R155" s="221"/>
      <c r="S155" s="221"/>
      <c r="T155" s="221"/>
      <c r="U155" s="220"/>
      <c r="V155" s="220"/>
      <c r="AD155" s="220"/>
    </row>
    <row r="156" spans="1:38" x14ac:dyDescent="0.2">
      <c r="A156" s="220"/>
      <c r="B156" s="220"/>
      <c r="C156" s="220"/>
      <c r="D156" s="221"/>
      <c r="E156" s="221"/>
      <c r="F156" s="221"/>
      <c r="G156" s="221"/>
      <c r="H156" s="221"/>
      <c r="I156" s="221"/>
      <c r="J156" s="221"/>
      <c r="K156" s="221"/>
      <c r="L156" s="221"/>
      <c r="M156" s="221"/>
      <c r="N156" s="221"/>
      <c r="O156" s="221"/>
      <c r="P156" s="221"/>
      <c r="Q156" s="221"/>
      <c r="R156" s="221"/>
      <c r="S156" s="221"/>
      <c r="T156" s="221"/>
      <c r="U156" s="220"/>
      <c r="V156" s="220"/>
      <c r="AD156" s="220"/>
    </row>
    <row r="157" spans="1:38" x14ac:dyDescent="0.2">
      <c r="A157" s="220"/>
      <c r="B157" s="220"/>
      <c r="C157" s="220"/>
      <c r="D157" s="221"/>
      <c r="E157" s="221"/>
      <c r="F157" s="221"/>
      <c r="G157" s="221"/>
      <c r="H157" s="221"/>
      <c r="I157" s="221"/>
      <c r="J157" s="221"/>
      <c r="K157" s="221"/>
      <c r="L157" s="221"/>
      <c r="M157" s="221"/>
      <c r="N157" s="221"/>
      <c r="O157" s="221"/>
      <c r="P157" s="221"/>
      <c r="Q157" s="221"/>
      <c r="R157" s="221"/>
      <c r="S157" s="221"/>
      <c r="T157" s="221"/>
      <c r="U157" s="220"/>
      <c r="V157" s="220"/>
      <c r="AD157" s="220"/>
    </row>
    <row r="158" spans="1:38" x14ac:dyDescent="0.2">
      <c r="A158" s="220"/>
      <c r="B158" s="220"/>
      <c r="C158" s="220"/>
      <c r="D158" s="221"/>
      <c r="E158" s="221"/>
      <c r="F158" s="221"/>
      <c r="G158" s="221"/>
      <c r="H158" s="221"/>
      <c r="I158" s="221"/>
      <c r="J158" s="221"/>
      <c r="K158" s="221"/>
      <c r="L158" s="221"/>
      <c r="M158" s="221"/>
      <c r="N158" s="221"/>
      <c r="O158" s="221"/>
      <c r="P158" s="221"/>
      <c r="Q158" s="221"/>
      <c r="R158" s="221"/>
      <c r="S158" s="221"/>
      <c r="T158" s="221"/>
      <c r="U158" s="220"/>
      <c r="V158" s="220"/>
      <c r="AD158" s="220"/>
    </row>
    <row r="159" spans="1:38" x14ac:dyDescent="0.2">
      <c r="A159" s="220"/>
      <c r="B159" s="220"/>
      <c r="C159" s="220"/>
      <c r="D159" s="221"/>
      <c r="E159" s="221"/>
      <c r="F159" s="221"/>
      <c r="G159" s="221"/>
      <c r="H159" s="221"/>
      <c r="I159" s="221"/>
      <c r="J159" s="221"/>
      <c r="K159" s="221"/>
      <c r="L159" s="221"/>
      <c r="M159" s="221"/>
      <c r="N159" s="221"/>
      <c r="O159" s="221"/>
      <c r="P159" s="221"/>
      <c r="Q159" s="221"/>
      <c r="R159" s="221"/>
      <c r="S159" s="221"/>
      <c r="T159" s="221"/>
      <c r="U159" s="220"/>
      <c r="V159" s="220"/>
      <c r="AD159" s="220"/>
    </row>
    <row r="160" spans="1:38" x14ac:dyDescent="0.2">
      <c r="A160" s="220"/>
      <c r="B160" s="220"/>
      <c r="C160" s="220"/>
      <c r="D160" s="221"/>
      <c r="E160" s="221"/>
      <c r="F160" s="221"/>
      <c r="G160" s="221"/>
      <c r="H160" s="221"/>
      <c r="I160" s="221"/>
      <c r="J160" s="221"/>
      <c r="K160" s="221"/>
      <c r="L160" s="221"/>
      <c r="M160" s="221"/>
      <c r="N160" s="221"/>
      <c r="O160" s="221"/>
      <c r="P160" s="221"/>
      <c r="Q160" s="221"/>
      <c r="R160" s="221"/>
      <c r="S160" s="221"/>
      <c r="T160" s="221"/>
      <c r="U160" s="220"/>
      <c r="V160" s="220"/>
      <c r="AD160" s="220"/>
    </row>
    <row r="161" spans="1:30" x14ac:dyDescent="0.2">
      <c r="A161" s="220"/>
      <c r="B161" s="220"/>
      <c r="C161" s="220"/>
      <c r="E161" s="221"/>
      <c r="F161" s="221"/>
      <c r="G161" s="221"/>
      <c r="H161" s="221"/>
      <c r="I161" s="221"/>
      <c r="J161" s="221"/>
      <c r="K161" s="221"/>
      <c r="L161" s="221"/>
      <c r="M161" s="221"/>
      <c r="N161" s="221"/>
      <c r="O161" s="221"/>
      <c r="P161" s="221"/>
      <c r="Q161" s="221"/>
      <c r="R161" s="221"/>
      <c r="S161" s="221"/>
      <c r="T161" s="221"/>
      <c r="U161" s="220"/>
      <c r="V161" s="220"/>
      <c r="AD161" s="220"/>
    </row>
    <row r="162" spans="1:30" x14ac:dyDescent="0.2">
      <c r="AD162" s="220"/>
    </row>
    <row r="163" spans="1:30" x14ac:dyDescent="0.2">
      <c r="AD163" s="220"/>
    </row>
    <row r="164" spans="1:30" x14ac:dyDescent="0.2">
      <c r="AD164" s="220"/>
    </row>
    <row r="168" spans="1:30" ht="18" x14ac:dyDescent="0.25">
      <c r="Z168" s="408"/>
      <c r="AA168" s="407"/>
      <c r="AB168" s="407"/>
      <c r="AC168" s="407"/>
      <c r="AD168" s="407"/>
    </row>
  </sheetData>
  <dataConsolidate/>
  <mergeCells count="3">
    <mergeCell ref="Z3:AD3"/>
    <mergeCell ref="Z32:AD32"/>
    <mergeCell ref="Z85:AD85"/>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DB94-A710-405B-9DE2-530A52DAAFE2}">
  <dimension ref="A1:AN157"/>
  <sheetViews>
    <sheetView topLeftCell="A43" zoomScale="70" zoomScaleNormal="70" workbookViewId="0">
      <selection activeCell="S14" sqref="S14"/>
    </sheetView>
  </sheetViews>
  <sheetFormatPr defaultColWidth="9.28515625" defaultRowHeight="15" x14ac:dyDescent="0.2"/>
  <cols>
    <col min="1" max="2" width="9.28515625" style="297"/>
    <col min="3" max="3" width="29" style="297" customWidth="1"/>
    <col min="4" max="4" width="10.28515625" style="298" customWidth="1"/>
    <col min="5" max="5" width="11.7109375" style="298" customWidth="1"/>
    <col min="6" max="6" width="7.42578125" style="298" customWidth="1"/>
    <col min="7" max="7" width="8.28515625" style="298" customWidth="1"/>
    <col min="8" max="9" width="7.42578125" style="298" customWidth="1"/>
    <col min="10" max="10" width="8.42578125" style="298" customWidth="1"/>
    <col min="11" max="11" width="6.7109375" style="298" customWidth="1"/>
    <col min="12" max="12" width="8.42578125" style="298" customWidth="1"/>
    <col min="13" max="17" width="8.7109375" style="298" customWidth="1"/>
    <col min="18" max="18" width="10.28515625" style="298" customWidth="1"/>
    <col min="19" max="19" width="13" style="298" customWidth="1"/>
    <col min="20" max="20" width="12.7109375" style="298" customWidth="1"/>
    <col min="21" max="21" width="13.28515625" style="297" customWidth="1"/>
    <col min="22" max="22" width="11.28515625" style="297" customWidth="1"/>
    <col min="23" max="23" width="22.7109375" style="297" bestFit="1" customWidth="1"/>
    <col min="24" max="24" width="11.28515625" style="298" customWidth="1"/>
    <col min="25" max="26" width="10.28515625" style="298" customWidth="1"/>
    <col min="27" max="27" width="12.5703125" style="298" bestFit="1" customWidth="1"/>
    <col min="28" max="28" width="12.7109375" style="297" customWidth="1"/>
    <col min="29" max="29" width="50.5703125" style="297" customWidth="1"/>
    <col min="30" max="30" width="12" style="297" bestFit="1" customWidth="1"/>
    <col min="31" max="31" width="11.5703125" style="297" bestFit="1" customWidth="1"/>
    <col min="32" max="35" width="9.28515625" style="297"/>
    <col min="36" max="39" width="24.42578125" style="297" customWidth="1"/>
    <col min="40" max="16384" width="9.28515625" style="297"/>
  </cols>
  <sheetData>
    <row r="1" spans="1:40" x14ac:dyDescent="0.2">
      <c r="F1" s="356"/>
      <c r="U1" s="298"/>
      <c r="AA1" s="301"/>
      <c r="AB1" s="298"/>
    </row>
    <row r="2" spans="1:40" x14ac:dyDescent="0.2">
      <c r="A2" s="220"/>
      <c r="B2" s="220"/>
      <c r="C2" s="315">
        <v>44196</v>
      </c>
      <c r="F2" s="221"/>
      <c r="G2" s="221"/>
      <c r="H2" s="221"/>
      <c r="I2" s="221"/>
      <c r="J2" s="221"/>
      <c r="K2" s="221"/>
      <c r="L2" s="221"/>
      <c r="M2" s="221"/>
      <c r="N2" s="221"/>
      <c r="O2" s="221"/>
      <c r="P2" s="221"/>
      <c r="Q2" s="221"/>
      <c r="R2" s="221"/>
      <c r="S2" s="221"/>
      <c r="T2" s="221"/>
      <c r="U2" s="221"/>
      <c r="V2" s="220"/>
      <c r="W2" s="220"/>
      <c r="X2" s="221"/>
      <c r="Y2" s="221"/>
      <c r="Z2" s="221"/>
      <c r="AA2" s="310"/>
      <c r="AB2" s="221"/>
      <c r="AC2" s="220"/>
      <c r="AD2" s="220"/>
      <c r="AE2" s="220"/>
      <c r="AF2" s="220"/>
      <c r="AG2" s="220"/>
      <c r="AH2" s="220"/>
      <c r="AI2" s="220"/>
      <c r="AJ2" s="220"/>
      <c r="AK2" s="220"/>
    </row>
    <row r="3" spans="1:40" x14ac:dyDescent="0.2">
      <c r="A3" s="220"/>
      <c r="B3" s="220"/>
      <c r="C3" s="221"/>
      <c r="E3" s="221"/>
      <c r="F3" s="221"/>
      <c r="G3" s="221"/>
      <c r="H3" s="221"/>
      <c r="I3" s="221"/>
      <c r="J3" s="221"/>
      <c r="K3" s="221"/>
      <c r="L3" s="221"/>
      <c r="M3" s="221"/>
      <c r="N3" s="221"/>
      <c r="O3" s="221"/>
      <c r="P3" s="221"/>
      <c r="Q3" s="221"/>
      <c r="R3" s="221"/>
      <c r="S3" s="221"/>
      <c r="T3" s="221"/>
      <c r="U3" s="221"/>
      <c r="V3" s="220"/>
      <c r="W3" s="220"/>
      <c r="X3" s="221"/>
      <c r="Y3" s="221"/>
      <c r="Z3" s="221"/>
      <c r="AA3" s="459" t="s">
        <v>385</v>
      </c>
      <c r="AB3" s="459"/>
      <c r="AC3" s="459"/>
      <c r="AD3" s="459"/>
      <c r="AE3" s="459"/>
      <c r="AF3" s="220"/>
      <c r="AG3" s="220"/>
      <c r="AH3" s="220"/>
      <c r="AI3" s="220"/>
      <c r="AJ3" s="220"/>
      <c r="AK3" s="220"/>
    </row>
    <row r="4" spans="1:40" x14ac:dyDescent="0.2">
      <c r="A4" s="220"/>
      <c r="B4" s="220"/>
      <c r="C4" s="220"/>
      <c r="E4" s="221"/>
      <c r="F4" s="221"/>
      <c r="G4" s="221"/>
      <c r="H4" s="221"/>
      <c r="I4" s="221"/>
      <c r="J4" s="221"/>
      <c r="K4" s="221"/>
      <c r="L4" s="221"/>
      <c r="M4" s="221"/>
      <c r="N4" s="221"/>
      <c r="O4" s="221"/>
      <c r="P4" s="221"/>
      <c r="Q4" s="221"/>
      <c r="R4" s="221"/>
      <c r="S4" s="221"/>
      <c r="T4" s="221"/>
      <c r="U4" s="221"/>
      <c r="V4" s="220"/>
      <c r="W4" s="220"/>
      <c r="X4" s="221"/>
      <c r="Y4" s="221"/>
      <c r="Z4" s="221"/>
      <c r="AA4" s="384">
        <v>44215</v>
      </c>
      <c r="AB4" s="385">
        <v>2019</v>
      </c>
      <c r="AC4" s="386" t="s">
        <v>469</v>
      </c>
      <c r="AD4" s="387">
        <v>879</v>
      </c>
      <c r="AE4" s="386" t="s">
        <v>389</v>
      </c>
      <c r="AF4" s="220"/>
      <c r="AG4" s="220"/>
      <c r="AH4" s="220"/>
      <c r="AI4" s="220"/>
      <c r="AJ4" s="220"/>
      <c r="AK4" s="220"/>
    </row>
    <row r="5" spans="1:40" ht="15.75" thickBot="1" x14ac:dyDescent="0.25">
      <c r="A5" s="220"/>
      <c r="B5" s="220"/>
      <c r="C5" s="220"/>
      <c r="E5" s="221"/>
      <c r="F5" s="221"/>
      <c r="G5" s="221"/>
      <c r="H5" s="221"/>
      <c r="I5" s="221"/>
      <c r="J5" s="221"/>
      <c r="K5" s="221"/>
      <c r="L5" s="221"/>
      <c r="M5" s="221" t="s">
        <v>360</v>
      </c>
      <c r="N5" s="221"/>
      <c r="O5" s="221"/>
      <c r="P5" s="221"/>
      <c r="Q5" s="221"/>
      <c r="R5" s="221"/>
      <c r="S5" s="221"/>
      <c r="T5" s="221"/>
      <c r="U5" s="221"/>
      <c r="V5" s="220"/>
      <c r="W5" s="220"/>
      <c r="X5" s="221"/>
      <c r="Y5" s="221"/>
      <c r="Z5" s="221"/>
      <c r="AA5" s="384">
        <v>44306</v>
      </c>
      <c r="AB5" s="385">
        <v>2020</v>
      </c>
      <c r="AC5" s="386" t="s">
        <v>46</v>
      </c>
      <c r="AD5" s="387">
        <v>336</v>
      </c>
      <c r="AE5" s="386" t="s">
        <v>389</v>
      </c>
      <c r="AF5" s="220"/>
      <c r="AG5" s="220"/>
      <c r="AH5" s="220"/>
      <c r="AI5" s="220"/>
      <c r="AJ5" s="220"/>
      <c r="AK5" s="220"/>
    </row>
    <row r="6" spans="1:40" ht="16.5" thickBot="1" x14ac:dyDescent="0.3">
      <c r="A6" s="222"/>
      <c r="B6" s="223" t="s">
        <v>0</v>
      </c>
      <c r="C6" s="224"/>
      <c r="D6" s="224"/>
      <c r="E6" s="349"/>
      <c r="F6" s="349"/>
      <c r="G6" s="349"/>
      <c r="H6" s="349"/>
      <c r="I6" s="349"/>
      <c r="J6" s="349"/>
      <c r="K6" s="349"/>
      <c r="L6" s="349"/>
      <c r="M6" s="349"/>
      <c r="N6" s="349"/>
      <c r="O6" s="349"/>
      <c r="P6" s="349"/>
      <c r="Q6" s="349"/>
      <c r="R6" s="349"/>
      <c r="S6" s="349"/>
      <c r="T6" s="349"/>
      <c r="U6" s="311"/>
      <c r="V6" s="223" t="s">
        <v>0</v>
      </c>
      <c r="W6" s="224"/>
      <c r="X6" s="221"/>
      <c r="Y6" s="221"/>
      <c r="Z6" s="221"/>
      <c r="AA6" s="384">
        <v>44306</v>
      </c>
      <c r="AB6" s="385">
        <v>2020</v>
      </c>
      <c r="AC6" s="386" t="s">
        <v>468</v>
      </c>
      <c r="AD6" s="387">
        <v>113</v>
      </c>
      <c r="AE6" s="386" t="s">
        <v>389</v>
      </c>
      <c r="AF6" s="220"/>
      <c r="AG6" s="220"/>
      <c r="AH6" s="220"/>
      <c r="AI6" s="220"/>
      <c r="AJ6" s="220"/>
      <c r="AK6" s="220"/>
    </row>
    <row r="7" spans="1:40" ht="48" thickBot="1" x14ac:dyDescent="0.3">
      <c r="A7" s="160" t="s">
        <v>79</v>
      </c>
      <c r="B7" s="156" t="s">
        <v>3</v>
      </c>
      <c r="C7" s="107" t="s">
        <v>2</v>
      </c>
      <c r="D7" s="108" t="s">
        <v>364</v>
      </c>
      <c r="E7" s="109" t="s">
        <v>366</v>
      </c>
      <c r="F7" s="219" t="s">
        <v>4</v>
      </c>
      <c r="G7" s="110" t="s">
        <v>5</v>
      </c>
      <c r="H7" s="110" t="s">
        <v>6</v>
      </c>
      <c r="I7" s="110" t="s">
        <v>7</v>
      </c>
      <c r="J7" s="110" t="s">
        <v>8</v>
      </c>
      <c r="K7" s="110" t="s">
        <v>9</v>
      </c>
      <c r="L7" s="110" t="s">
        <v>10</v>
      </c>
      <c r="M7" s="110" t="s">
        <v>11</v>
      </c>
      <c r="N7" s="110" t="s">
        <v>12</v>
      </c>
      <c r="O7" s="110" t="s">
        <v>13</v>
      </c>
      <c r="P7" s="110" t="s">
        <v>14</v>
      </c>
      <c r="Q7" s="110" t="s">
        <v>15</v>
      </c>
      <c r="R7" s="111" t="s">
        <v>16</v>
      </c>
      <c r="S7" s="112" t="s">
        <v>523</v>
      </c>
      <c r="T7" s="109" t="s">
        <v>19</v>
      </c>
      <c r="U7" s="113" t="s">
        <v>41</v>
      </c>
      <c r="V7" s="156" t="s">
        <v>3</v>
      </c>
      <c r="W7" s="107" t="s">
        <v>2</v>
      </c>
      <c r="X7" s="221"/>
      <c r="Y7" s="221"/>
      <c r="Z7" s="221"/>
      <c r="AA7" s="384">
        <v>44358</v>
      </c>
      <c r="AB7" s="385">
        <v>2020</v>
      </c>
      <c r="AC7" s="386" t="s">
        <v>393</v>
      </c>
      <c r="AD7" s="387">
        <v>161</v>
      </c>
      <c r="AE7" s="386" t="s">
        <v>485</v>
      </c>
      <c r="AF7" s="220"/>
      <c r="AG7" s="220"/>
      <c r="AH7" s="220"/>
      <c r="AI7" s="220"/>
      <c r="AJ7" s="220"/>
      <c r="AK7" s="220"/>
    </row>
    <row r="8" spans="1:40" x14ac:dyDescent="0.2">
      <c r="A8" s="226"/>
      <c r="B8" s="226"/>
      <c r="C8" s="226"/>
      <c r="D8" s="333"/>
      <c r="E8" s="243"/>
      <c r="F8" s="243"/>
      <c r="G8" s="243"/>
      <c r="H8" s="243"/>
      <c r="I8" s="243"/>
      <c r="J8" s="243"/>
      <c r="K8" s="243"/>
      <c r="L8" s="243"/>
      <c r="M8" s="243"/>
      <c r="N8" s="243"/>
      <c r="O8" s="243"/>
      <c r="P8" s="243"/>
      <c r="Q8" s="243"/>
      <c r="R8" s="338"/>
      <c r="S8" s="339"/>
      <c r="T8" s="340"/>
      <c r="U8" s="320"/>
      <c r="V8" s="226"/>
      <c r="W8" s="226"/>
      <c r="X8" s="221"/>
      <c r="Y8" s="221"/>
      <c r="Z8" s="221"/>
      <c r="AA8" s="384">
        <v>44363</v>
      </c>
      <c r="AB8" s="385">
        <v>2020</v>
      </c>
      <c r="AC8" s="386" t="s">
        <v>31</v>
      </c>
      <c r="AD8" s="387">
        <v>419</v>
      </c>
      <c r="AE8" s="386" t="s">
        <v>389</v>
      </c>
      <c r="AF8" s="220"/>
      <c r="AG8" s="220"/>
      <c r="AH8" s="220"/>
      <c r="AI8" s="220"/>
      <c r="AJ8" s="220"/>
      <c r="AK8" s="220"/>
    </row>
    <row r="9" spans="1:40" x14ac:dyDescent="0.2">
      <c r="A9" s="234">
        <v>30306</v>
      </c>
      <c r="B9" s="255">
        <v>2015</v>
      </c>
      <c r="C9" s="234" t="s">
        <v>244</v>
      </c>
      <c r="D9" s="376">
        <v>2</v>
      </c>
      <c r="E9" s="236">
        <v>175</v>
      </c>
      <c r="F9" s="236">
        <v>0</v>
      </c>
      <c r="G9" s="236">
        <v>0</v>
      </c>
      <c r="H9" s="236">
        <v>0</v>
      </c>
      <c r="I9" s="236">
        <v>0</v>
      </c>
      <c r="J9" s="236">
        <v>0</v>
      </c>
      <c r="K9" s="236">
        <v>1</v>
      </c>
      <c r="L9" s="236">
        <v>1</v>
      </c>
      <c r="M9" s="236">
        <v>4</v>
      </c>
      <c r="N9" s="236">
        <v>3</v>
      </c>
      <c r="O9" s="236">
        <v>0</v>
      </c>
      <c r="P9" s="236">
        <v>1</v>
      </c>
      <c r="Q9" s="236">
        <v>0</v>
      </c>
      <c r="R9" s="335">
        <f>SUM(F9:Q9)</f>
        <v>10</v>
      </c>
      <c r="S9" s="263">
        <f>IFERROR((AVERAGE(F9:Q9)),0)</f>
        <v>0.83333333333333337</v>
      </c>
      <c r="T9" s="336">
        <f t="shared" ref="T9" si="0">IFERROR((U9/S9),0)</f>
        <v>198</v>
      </c>
      <c r="U9" s="307">
        <f>SUM(E9-R9)</f>
        <v>165</v>
      </c>
      <c r="V9" s="255">
        <v>2015</v>
      </c>
      <c r="W9" s="234" t="s">
        <v>84</v>
      </c>
      <c r="X9" s="221"/>
      <c r="Y9" s="221"/>
      <c r="Z9" s="221"/>
      <c r="AA9" s="384">
        <v>44537</v>
      </c>
      <c r="AB9" s="385">
        <v>2020</v>
      </c>
      <c r="AC9" s="386" t="s">
        <v>476</v>
      </c>
      <c r="AD9" s="387">
        <v>139</v>
      </c>
      <c r="AE9" s="386" t="s">
        <v>389</v>
      </c>
      <c r="AF9" s="220"/>
      <c r="AG9" s="220"/>
      <c r="AH9" s="220"/>
      <c r="AI9" s="220"/>
      <c r="AJ9" s="220"/>
      <c r="AK9" s="220"/>
    </row>
    <row r="10" spans="1:40" x14ac:dyDescent="0.2">
      <c r="A10" s="226"/>
      <c r="B10" s="226"/>
      <c r="C10" s="226"/>
      <c r="D10" s="243"/>
      <c r="E10" s="243"/>
      <c r="F10" s="243"/>
      <c r="G10" s="243"/>
      <c r="H10" s="243"/>
      <c r="I10" s="243"/>
      <c r="J10" s="243"/>
      <c r="K10" s="243"/>
      <c r="L10" s="243"/>
      <c r="M10" s="243"/>
      <c r="N10" s="243"/>
      <c r="O10" s="243"/>
      <c r="P10" s="243"/>
      <c r="Q10" s="243"/>
      <c r="R10" s="243"/>
      <c r="S10" s="243"/>
      <c r="T10" s="243"/>
      <c r="U10" s="243"/>
      <c r="V10" s="226"/>
      <c r="W10" s="226"/>
      <c r="X10" s="221"/>
      <c r="Y10" s="221"/>
      <c r="Z10" s="221"/>
      <c r="AA10" s="384">
        <v>44537</v>
      </c>
      <c r="AB10" s="385">
        <v>2020</v>
      </c>
      <c r="AC10" s="386" t="s">
        <v>477</v>
      </c>
      <c r="AD10" s="387">
        <v>236</v>
      </c>
      <c r="AE10" s="386" t="s">
        <v>389</v>
      </c>
      <c r="AF10" s="220"/>
      <c r="AG10" s="220"/>
      <c r="AH10" s="220"/>
      <c r="AI10" s="220"/>
      <c r="AJ10" s="220"/>
      <c r="AK10" s="220"/>
    </row>
    <row r="11" spans="1:40" ht="14.25" customHeight="1" x14ac:dyDescent="0.2">
      <c r="A11" s="234">
        <v>135370</v>
      </c>
      <c r="B11" s="255">
        <v>2016</v>
      </c>
      <c r="C11" s="234" t="s">
        <v>217</v>
      </c>
      <c r="D11" s="244"/>
      <c r="E11" s="236">
        <v>70</v>
      </c>
      <c r="F11" s="357">
        <v>13</v>
      </c>
      <c r="G11" s="357">
        <v>15</v>
      </c>
      <c r="H11" s="357">
        <v>16</v>
      </c>
      <c r="I11" s="357">
        <v>22</v>
      </c>
      <c r="J11" s="357">
        <v>4</v>
      </c>
      <c r="K11" s="425"/>
      <c r="L11" s="425"/>
      <c r="M11" s="425"/>
      <c r="N11" s="425"/>
      <c r="O11" s="425"/>
      <c r="P11" s="425"/>
      <c r="Q11" s="242"/>
      <c r="R11" s="335">
        <f t="shared" ref="R11" si="1">SUM(F11:Q11)</f>
        <v>70</v>
      </c>
      <c r="S11" s="263">
        <f t="shared" ref="S11" si="2">IFERROR((AVERAGE(F11:Q11)),0)</f>
        <v>14</v>
      </c>
      <c r="T11" s="336">
        <f t="shared" ref="T11" si="3">IFERROR((U11/S11),0)</f>
        <v>0</v>
      </c>
      <c r="U11" s="307">
        <f t="shared" ref="U11" si="4">SUM(E11-R11)</f>
        <v>0</v>
      </c>
      <c r="V11" s="233">
        <f t="shared" ref="V11:W11" si="5">+B11</f>
        <v>2016</v>
      </c>
      <c r="W11" s="234" t="str">
        <f t="shared" si="5"/>
        <v>Petit Verdot Reserve</v>
      </c>
      <c r="X11" s="221"/>
      <c r="Y11" s="221"/>
      <c r="Z11" s="221"/>
      <c r="AA11" s="384">
        <v>44537</v>
      </c>
      <c r="AB11" s="385">
        <v>2020</v>
      </c>
      <c r="AC11" s="386" t="s">
        <v>478</v>
      </c>
      <c r="AD11" s="387">
        <v>424</v>
      </c>
      <c r="AE11" s="386" t="s">
        <v>389</v>
      </c>
      <c r="AF11" s="220"/>
      <c r="AG11" s="220"/>
      <c r="AH11" s="220"/>
      <c r="AI11" s="220"/>
      <c r="AJ11" s="220"/>
      <c r="AK11" s="220"/>
    </row>
    <row r="12" spans="1:40" x14ac:dyDescent="0.2">
      <c r="A12" s="226"/>
      <c r="B12" s="226"/>
      <c r="C12" s="226"/>
      <c r="D12" s="243"/>
      <c r="E12" s="243"/>
      <c r="F12" s="243"/>
      <c r="G12" s="243"/>
      <c r="H12" s="243"/>
      <c r="I12" s="243"/>
      <c r="J12" s="243"/>
      <c r="K12" s="243"/>
      <c r="L12" s="243"/>
      <c r="M12" s="243"/>
      <c r="N12" s="243"/>
      <c r="O12" s="243"/>
      <c r="P12" s="243"/>
      <c r="Q12" s="243"/>
      <c r="R12" s="243"/>
      <c r="S12" s="243"/>
      <c r="T12" s="243"/>
      <c r="U12" s="243"/>
      <c r="V12" s="226"/>
      <c r="W12" s="226"/>
      <c r="X12" s="221"/>
      <c r="Y12" s="221"/>
      <c r="Z12" s="221"/>
      <c r="AA12" s="384">
        <v>44537</v>
      </c>
      <c r="AB12" s="385">
        <v>2020</v>
      </c>
      <c r="AC12" s="386" t="s">
        <v>217</v>
      </c>
      <c r="AD12" s="387">
        <v>319</v>
      </c>
      <c r="AE12" s="386" t="s">
        <v>389</v>
      </c>
      <c r="AF12" s="220"/>
      <c r="AG12" s="220"/>
      <c r="AH12" s="220"/>
      <c r="AI12" s="220"/>
      <c r="AJ12" s="220"/>
      <c r="AK12" s="220"/>
    </row>
    <row r="13" spans="1:40" ht="15" customHeight="1" x14ac:dyDescent="0.2">
      <c r="A13" s="234">
        <v>57630</v>
      </c>
      <c r="B13" s="233">
        <v>2017</v>
      </c>
      <c r="C13" s="234" t="s">
        <v>25</v>
      </c>
      <c r="D13" s="244">
        <v>32</v>
      </c>
      <c r="E13" s="252">
        <v>492</v>
      </c>
      <c r="F13" s="369">
        <v>19</v>
      </c>
      <c r="G13" s="369">
        <v>13</v>
      </c>
      <c r="H13" s="369">
        <v>18</v>
      </c>
      <c r="I13" s="369">
        <v>28</v>
      </c>
      <c r="J13" s="369">
        <v>32</v>
      </c>
      <c r="K13" s="369">
        <v>55</v>
      </c>
      <c r="L13" s="369">
        <v>18</v>
      </c>
      <c r="M13" s="369">
        <v>32</v>
      </c>
      <c r="N13" s="369">
        <v>28</v>
      </c>
      <c r="O13" s="369">
        <v>43</v>
      </c>
      <c r="P13" s="369">
        <v>80</v>
      </c>
      <c r="Q13" s="369">
        <v>33</v>
      </c>
      <c r="R13" s="335">
        <f t="shared" ref="R13" si="6">SUM(F13:Q13)</f>
        <v>399</v>
      </c>
      <c r="S13" s="263">
        <f t="shared" ref="S13:S31" si="7">IFERROR((AVERAGE(F13:Q13)),0)</f>
        <v>33.25</v>
      </c>
      <c r="T13" s="336">
        <f t="shared" ref="T13:T31" si="8">IFERROR((U13/S13),0)</f>
        <v>2.7969924812030076</v>
      </c>
      <c r="U13" s="307">
        <f t="shared" ref="U13:U31" si="9">SUM(E13-R13)</f>
        <v>93</v>
      </c>
      <c r="V13" s="233">
        <v>2017</v>
      </c>
      <c r="W13" s="234" t="s">
        <v>25</v>
      </c>
      <c r="X13" s="221"/>
      <c r="Y13" s="221"/>
      <c r="Z13" s="221"/>
      <c r="AA13" s="384">
        <v>44537</v>
      </c>
      <c r="AB13" s="385">
        <v>2020</v>
      </c>
      <c r="AC13" s="386" t="s">
        <v>56</v>
      </c>
      <c r="AD13" s="387">
        <v>345</v>
      </c>
      <c r="AE13" s="386" t="s">
        <v>389</v>
      </c>
      <c r="AF13" s="220"/>
      <c r="AG13" s="220"/>
      <c r="AH13" s="220"/>
      <c r="AI13" s="220"/>
      <c r="AJ13" s="220"/>
      <c r="AK13" s="220"/>
      <c r="AL13" s="220"/>
      <c r="AM13" s="220"/>
      <c r="AN13" s="220"/>
    </row>
    <row r="14" spans="1:40" ht="15" customHeight="1" x14ac:dyDescent="0.2">
      <c r="A14" s="234">
        <v>133687</v>
      </c>
      <c r="B14" s="233">
        <v>2017</v>
      </c>
      <c r="C14" s="234" t="s">
        <v>93</v>
      </c>
      <c r="D14" s="244">
        <v>15</v>
      </c>
      <c r="E14" s="252">
        <v>100</v>
      </c>
      <c r="F14" s="252">
        <v>3</v>
      </c>
      <c r="G14" s="252">
        <v>1</v>
      </c>
      <c r="H14" s="252">
        <v>2</v>
      </c>
      <c r="I14" s="252">
        <v>11</v>
      </c>
      <c r="J14" s="252">
        <v>12</v>
      </c>
      <c r="K14" s="252">
        <v>10</v>
      </c>
      <c r="L14" s="252">
        <v>14</v>
      </c>
      <c r="M14" s="252">
        <v>13</v>
      </c>
      <c r="N14" s="252">
        <v>14</v>
      </c>
      <c r="O14" s="252">
        <v>20</v>
      </c>
      <c r="P14" s="319"/>
      <c r="Q14" s="319"/>
      <c r="R14" s="335">
        <f t="shared" ref="R14:R18" si="10">SUM(F14:Q14)</f>
        <v>100</v>
      </c>
      <c r="S14" s="263">
        <f t="shared" si="7"/>
        <v>10</v>
      </c>
      <c r="T14" s="336">
        <f t="shared" si="8"/>
        <v>0</v>
      </c>
      <c r="U14" s="307">
        <f t="shared" si="9"/>
        <v>0</v>
      </c>
      <c r="V14" s="233">
        <v>2017</v>
      </c>
      <c r="W14" s="234" t="s">
        <v>93</v>
      </c>
      <c r="X14" s="221"/>
      <c r="Y14" s="221"/>
      <c r="Z14" s="221"/>
      <c r="AA14" s="384">
        <v>44538</v>
      </c>
      <c r="AB14" s="385">
        <v>2020</v>
      </c>
      <c r="AC14" s="386" t="s">
        <v>118</v>
      </c>
      <c r="AD14" s="387">
        <v>403</v>
      </c>
      <c r="AE14" s="386" t="s">
        <v>389</v>
      </c>
      <c r="AF14" s="220"/>
      <c r="AG14" s="220"/>
      <c r="AH14" s="220"/>
      <c r="AI14" s="220"/>
      <c r="AJ14" s="220"/>
      <c r="AK14" s="220"/>
      <c r="AL14" s="220"/>
      <c r="AM14" s="220"/>
      <c r="AN14" s="220"/>
    </row>
    <row r="15" spans="1:40" ht="15" customHeight="1" x14ac:dyDescent="0.2">
      <c r="A15" s="234">
        <v>27736</v>
      </c>
      <c r="B15" s="233">
        <v>2017</v>
      </c>
      <c r="C15" s="234" t="s">
        <v>56</v>
      </c>
      <c r="D15" s="244"/>
      <c r="E15" s="252">
        <v>61</v>
      </c>
      <c r="F15" s="252">
        <v>11</v>
      </c>
      <c r="G15" s="252">
        <v>12</v>
      </c>
      <c r="H15" s="252">
        <v>11</v>
      </c>
      <c r="I15" s="252">
        <v>13</v>
      </c>
      <c r="J15" s="252">
        <v>14</v>
      </c>
      <c r="K15" s="319"/>
      <c r="L15" s="319"/>
      <c r="M15" s="319"/>
      <c r="N15" s="319"/>
      <c r="O15" s="319"/>
      <c r="P15" s="319"/>
      <c r="Q15" s="319"/>
      <c r="R15" s="335">
        <f t="shared" si="10"/>
        <v>61</v>
      </c>
      <c r="S15" s="263">
        <f t="shared" si="7"/>
        <v>12.2</v>
      </c>
      <c r="T15" s="336">
        <f t="shared" si="8"/>
        <v>0</v>
      </c>
      <c r="U15" s="307">
        <f t="shared" si="9"/>
        <v>0</v>
      </c>
      <c r="V15" s="233">
        <v>2017</v>
      </c>
      <c r="W15" s="234" t="s">
        <v>56</v>
      </c>
      <c r="X15" s="221"/>
      <c r="Y15" s="221"/>
      <c r="Z15" s="221"/>
      <c r="AA15" s="384">
        <v>44538</v>
      </c>
      <c r="AB15" s="385">
        <v>2020</v>
      </c>
      <c r="AC15" s="386" t="s">
        <v>479</v>
      </c>
      <c r="AD15" s="387">
        <v>599</v>
      </c>
      <c r="AE15" s="386" t="s">
        <v>389</v>
      </c>
      <c r="AF15" s="220"/>
      <c r="AG15" s="220"/>
      <c r="AH15" s="220"/>
      <c r="AI15" s="220"/>
      <c r="AJ15" s="220"/>
      <c r="AK15" s="220"/>
      <c r="AL15" s="220"/>
      <c r="AM15" s="220"/>
      <c r="AN15" s="220"/>
    </row>
    <row r="16" spans="1:40" ht="15" customHeight="1" x14ac:dyDescent="0.2">
      <c r="A16" s="234">
        <v>135371</v>
      </c>
      <c r="B16" s="233">
        <v>2017</v>
      </c>
      <c r="C16" s="234" t="s">
        <v>291</v>
      </c>
      <c r="D16" s="244"/>
      <c r="E16" s="252">
        <v>114</v>
      </c>
      <c r="F16" s="252">
        <v>8</v>
      </c>
      <c r="G16" s="252">
        <v>13</v>
      </c>
      <c r="H16" s="252">
        <v>19</v>
      </c>
      <c r="I16" s="252">
        <v>21</v>
      </c>
      <c r="J16" s="252">
        <v>20</v>
      </c>
      <c r="K16" s="252">
        <v>28</v>
      </c>
      <c r="L16" s="252">
        <v>5</v>
      </c>
      <c r="M16" s="319"/>
      <c r="N16" s="319"/>
      <c r="O16" s="319"/>
      <c r="P16" s="319"/>
      <c r="Q16" s="319"/>
      <c r="R16" s="335">
        <f t="shared" si="10"/>
        <v>114</v>
      </c>
      <c r="S16" s="263">
        <f t="shared" si="7"/>
        <v>16.285714285714285</v>
      </c>
      <c r="T16" s="336">
        <f t="shared" si="8"/>
        <v>0</v>
      </c>
      <c r="U16" s="307">
        <f t="shared" si="9"/>
        <v>0</v>
      </c>
      <c r="V16" s="233">
        <v>2017</v>
      </c>
      <c r="W16" s="234" t="s">
        <v>291</v>
      </c>
      <c r="X16" s="221"/>
      <c r="Y16" s="221"/>
      <c r="Z16" s="221"/>
      <c r="AA16" s="384">
        <v>44538</v>
      </c>
      <c r="AB16" s="385">
        <v>2020</v>
      </c>
      <c r="AC16" s="386" t="s">
        <v>22</v>
      </c>
      <c r="AD16" s="387">
        <v>666</v>
      </c>
      <c r="AE16" s="386" t="s">
        <v>389</v>
      </c>
      <c r="AF16" s="220"/>
      <c r="AG16" s="220"/>
      <c r="AH16" s="220"/>
      <c r="AI16" s="220"/>
      <c r="AJ16" s="220"/>
      <c r="AK16" s="220"/>
      <c r="AL16" s="220"/>
      <c r="AM16" s="220"/>
      <c r="AN16" s="220"/>
    </row>
    <row r="17" spans="1:40" ht="15" customHeight="1" x14ac:dyDescent="0.2">
      <c r="A17" s="234">
        <v>22921</v>
      </c>
      <c r="B17" s="233">
        <v>2017</v>
      </c>
      <c r="C17" s="234" t="s">
        <v>277</v>
      </c>
      <c r="D17" s="322"/>
      <c r="E17" s="252">
        <v>193</v>
      </c>
      <c r="F17" s="252">
        <v>47</v>
      </c>
      <c r="G17" s="252">
        <v>71</v>
      </c>
      <c r="H17" s="252">
        <v>53</v>
      </c>
      <c r="I17" s="252">
        <v>22</v>
      </c>
      <c r="J17" s="319"/>
      <c r="K17" s="319"/>
      <c r="L17" s="319"/>
      <c r="M17" s="319"/>
      <c r="N17" s="319"/>
      <c r="O17" s="319"/>
      <c r="P17" s="319"/>
      <c r="Q17" s="319"/>
      <c r="R17" s="335">
        <f t="shared" si="10"/>
        <v>193</v>
      </c>
      <c r="S17" s="263">
        <f t="shared" si="7"/>
        <v>48.25</v>
      </c>
      <c r="T17" s="336">
        <f t="shared" si="8"/>
        <v>0</v>
      </c>
      <c r="U17" s="307">
        <f t="shared" si="9"/>
        <v>0</v>
      </c>
      <c r="V17" s="233">
        <v>2017</v>
      </c>
      <c r="W17" s="234" t="s">
        <v>277</v>
      </c>
      <c r="X17" s="221"/>
      <c r="Y17" s="221"/>
      <c r="Z17" s="221"/>
      <c r="AA17" s="384"/>
      <c r="AB17" s="385"/>
      <c r="AC17" s="386"/>
      <c r="AD17" s="387"/>
      <c r="AE17" s="386"/>
      <c r="AF17" s="220"/>
      <c r="AG17" s="220"/>
      <c r="AH17" s="220"/>
      <c r="AI17" s="220"/>
      <c r="AJ17" s="220"/>
      <c r="AK17" s="220"/>
      <c r="AL17" s="220"/>
      <c r="AM17" s="220"/>
      <c r="AN17" s="220"/>
    </row>
    <row r="18" spans="1:40" ht="15" customHeight="1" x14ac:dyDescent="0.2">
      <c r="A18" s="234">
        <v>135370</v>
      </c>
      <c r="B18" s="233">
        <v>2017</v>
      </c>
      <c r="C18" s="234" t="s">
        <v>217</v>
      </c>
      <c r="D18" s="322"/>
      <c r="E18" s="252">
        <v>156</v>
      </c>
      <c r="F18" s="253" t="s">
        <v>35</v>
      </c>
      <c r="G18" s="253" t="s">
        <v>35</v>
      </c>
      <c r="H18" s="253" t="s">
        <v>35</v>
      </c>
      <c r="I18" s="253" t="s">
        <v>35</v>
      </c>
      <c r="J18" s="369">
        <v>6</v>
      </c>
      <c r="K18" s="369">
        <v>12</v>
      </c>
      <c r="L18" s="369">
        <v>12</v>
      </c>
      <c r="M18" s="369">
        <v>9</v>
      </c>
      <c r="N18" s="369">
        <v>11</v>
      </c>
      <c r="O18" s="369">
        <v>8</v>
      </c>
      <c r="P18" s="369">
        <v>19</v>
      </c>
      <c r="Q18" s="369">
        <v>15</v>
      </c>
      <c r="R18" s="335">
        <f t="shared" si="10"/>
        <v>92</v>
      </c>
      <c r="S18" s="263">
        <f t="shared" si="7"/>
        <v>11.5</v>
      </c>
      <c r="T18" s="336">
        <f t="shared" si="8"/>
        <v>5.5652173913043477</v>
      </c>
      <c r="U18" s="307">
        <f t="shared" si="9"/>
        <v>64</v>
      </c>
      <c r="V18" s="233">
        <v>2017</v>
      </c>
      <c r="W18" s="234" t="s">
        <v>217</v>
      </c>
      <c r="X18" s="221"/>
      <c r="Y18" s="221"/>
      <c r="Z18" s="221"/>
      <c r="AA18" s="384"/>
      <c r="AB18" s="385"/>
      <c r="AC18" s="386"/>
      <c r="AD18" s="387"/>
      <c r="AE18" s="386"/>
      <c r="AF18" s="220"/>
      <c r="AG18" s="220"/>
      <c r="AH18" s="220"/>
      <c r="AI18" s="220"/>
      <c r="AJ18" s="220"/>
      <c r="AK18" s="220"/>
      <c r="AL18" s="220"/>
      <c r="AM18" s="220"/>
      <c r="AN18" s="220"/>
    </row>
    <row r="19" spans="1:40" ht="15" customHeight="1" x14ac:dyDescent="0.2">
      <c r="A19" s="234">
        <v>137517</v>
      </c>
      <c r="B19" s="233">
        <v>2017</v>
      </c>
      <c r="C19" s="234" t="s">
        <v>292</v>
      </c>
      <c r="D19" s="322">
        <v>4</v>
      </c>
      <c r="E19" s="252">
        <v>100</v>
      </c>
      <c r="F19" s="252">
        <v>3</v>
      </c>
      <c r="G19" s="252">
        <v>1</v>
      </c>
      <c r="H19" s="252">
        <v>6</v>
      </c>
      <c r="I19" s="252">
        <v>6</v>
      </c>
      <c r="J19" s="252">
        <v>4</v>
      </c>
      <c r="K19" s="252">
        <v>6</v>
      </c>
      <c r="L19" s="252">
        <v>6</v>
      </c>
      <c r="M19" s="252">
        <v>5</v>
      </c>
      <c r="N19" s="252">
        <v>9</v>
      </c>
      <c r="O19" s="252">
        <v>4</v>
      </c>
      <c r="P19" s="252">
        <v>6</v>
      </c>
      <c r="Q19" s="252">
        <v>3</v>
      </c>
      <c r="R19" s="335">
        <f t="shared" ref="R19:R29" si="11">SUM(F19:Q19)</f>
        <v>59</v>
      </c>
      <c r="S19" s="263">
        <f t="shared" si="7"/>
        <v>4.916666666666667</v>
      </c>
      <c r="T19" s="336">
        <f t="shared" si="8"/>
        <v>8.3389830508474567</v>
      </c>
      <c r="U19" s="307">
        <f t="shared" si="9"/>
        <v>41</v>
      </c>
      <c r="V19" s="233">
        <v>2017</v>
      </c>
      <c r="W19" s="234" t="s">
        <v>292</v>
      </c>
      <c r="X19" s="221"/>
      <c r="Y19" s="221"/>
      <c r="Z19" s="221"/>
      <c r="AF19" s="220"/>
      <c r="AG19" s="220"/>
      <c r="AH19" s="220"/>
      <c r="AI19" s="220"/>
      <c r="AJ19" s="220"/>
      <c r="AK19" s="220"/>
      <c r="AL19" s="220"/>
      <c r="AM19" s="220"/>
      <c r="AN19" s="220"/>
    </row>
    <row r="20" spans="1:40" ht="15" customHeight="1" x14ac:dyDescent="0.25">
      <c r="A20" s="234">
        <v>116508</v>
      </c>
      <c r="B20" s="233" t="s">
        <v>273</v>
      </c>
      <c r="C20" s="234" t="s">
        <v>274</v>
      </c>
      <c r="D20" s="327">
        <v>21</v>
      </c>
      <c r="E20" s="252">
        <v>96</v>
      </c>
      <c r="F20" s="252">
        <v>7</v>
      </c>
      <c r="G20" s="252">
        <v>4</v>
      </c>
      <c r="H20" s="252">
        <v>7</v>
      </c>
      <c r="I20" s="252">
        <v>11</v>
      </c>
      <c r="J20" s="252">
        <v>10</v>
      </c>
      <c r="K20" s="252">
        <v>10</v>
      </c>
      <c r="L20" s="252">
        <v>9</v>
      </c>
      <c r="M20" s="252">
        <v>5</v>
      </c>
      <c r="N20" s="252">
        <v>10</v>
      </c>
      <c r="O20" s="252">
        <v>15</v>
      </c>
      <c r="P20" s="252">
        <v>8</v>
      </c>
      <c r="Q20" s="319"/>
      <c r="R20" s="335">
        <f t="shared" si="11"/>
        <v>96</v>
      </c>
      <c r="S20" s="263">
        <f t="shared" si="7"/>
        <v>8.7272727272727266</v>
      </c>
      <c r="T20" s="336">
        <f t="shared" si="8"/>
        <v>0</v>
      </c>
      <c r="U20" s="307">
        <f t="shared" si="9"/>
        <v>0</v>
      </c>
      <c r="V20" s="233" t="s">
        <v>273</v>
      </c>
      <c r="W20" s="234" t="s">
        <v>274</v>
      </c>
      <c r="X20" s="221"/>
      <c r="Y20" s="221"/>
      <c r="Z20" s="221"/>
      <c r="AA20" s="460" t="s">
        <v>386</v>
      </c>
      <c r="AB20" s="460"/>
      <c r="AC20" s="460"/>
      <c r="AD20" s="460"/>
      <c r="AE20" s="460"/>
      <c r="AF20" s="220"/>
      <c r="AG20" s="220"/>
      <c r="AH20" s="220"/>
      <c r="AI20" s="220"/>
      <c r="AJ20" s="220"/>
      <c r="AK20" s="220"/>
      <c r="AL20" s="220"/>
      <c r="AM20" s="220"/>
      <c r="AN20" s="220"/>
    </row>
    <row r="21" spans="1:40" x14ac:dyDescent="0.2">
      <c r="A21" s="226"/>
      <c r="B21" s="342"/>
      <c r="C21" s="226"/>
      <c r="D21" s="375"/>
      <c r="E21" s="338" t="e">
        <v>#VALUE!</v>
      </c>
      <c r="F21" s="338"/>
      <c r="G21" s="338"/>
      <c r="H21" s="338"/>
      <c r="I21" s="338"/>
      <c r="J21" s="338"/>
      <c r="K21" s="338"/>
      <c r="L21" s="338"/>
      <c r="M21" s="338"/>
      <c r="N21" s="338"/>
      <c r="O21" s="338"/>
      <c r="P21" s="338"/>
      <c r="Q21" s="338"/>
      <c r="R21" s="243" t="s">
        <v>35</v>
      </c>
      <c r="S21" s="339">
        <f t="shared" si="7"/>
        <v>0</v>
      </c>
      <c r="T21" s="340">
        <f t="shared" si="8"/>
        <v>0</v>
      </c>
      <c r="U21" s="320" t="e">
        <f t="shared" si="9"/>
        <v>#VALUE!</v>
      </c>
      <c r="V21" s="342"/>
      <c r="W21" s="226"/>
      <c r="X21" s="221"/>
      <c r="Y21" s="221"/>
      <c r="Z21" s="221"/>
      <c r="AA21" s="388" t="s">
        <v>380</v>
      </c>
      <c r="AB21" s="389" t="s">
        <v>383</v>
      </c>
      <c r="AC21" s="390" t="s">
        <v>381</v>
      </c>
      <c r="AD21" s="390" t="s">
        <v>384</v>
      </c>
      <c r="AE21" s="390" t="s">
        <v>382</v>
      </c>
      <c r="AF21" s="220"/>
      <c r="AG21" s="220"/>
      <c r="AH21" s="220"/>
      <c r="AI21" s="220"/>
      <c r="AJ21" s="220"/>
      <c r="AK21" s="220"/>
      <c r="AL21" s="220"/>
      <c r="AM21" s="220"/>
      <c r="AN21" s="220"/>
    </row>
    <row r="22" spans="1:40" ht="15" customHeight="1" x14ac:dyDescent="0.2">
      <c r="A22" s="234">
        <v>11198</v>
      </c>
      <c r="B22" s="233">
        <v>2018</v>
      </c>
      <c r="C22" s="234" t="s">
        <v>46</v>
      </c>
      <c r="D22" s="327">
        <v>28</v>
      </c>
      <c r="E22" s="252">
        <v>66</v>
      </c>
      <c r="F22" s="252">
        <v>17</v>
      </c>
      <c r="G22" s="252">
        <v>49</v>
      </c>
      <c r="H22" s="422"/>
      <c r="I22" s="422"/>
      <c r="J22" s="422"/>
      <c r="K22" s="422"/>
      <c r="L22" s="422"/>
      <c r="M22" s="422"/>
      <c r="N22" s="422"/>
      <c r="O22" s="422"/>
      <c r="P22" s="422"/>
      <c r="Q22" s="422"/>
      <c r="R22" s="335">
        <f t="shared" si="11"/>
        <v>66</v>
      </c>
      <c r="S22" s="263">
        <f t="shared" si="7"/>
        <v>33</v>
      </c>
      <c r="T22" s="336">
        <f t="shared" si="8"/>
        <v>0</v>
      </c>
      <c r="U22" s="307">
        <f t="shared" si="9"/>
        <v>0</v>
      </c>
      <c r="V22" s="233">
        <v>2018</v>
      </c>
      <c r="W22" s="234" t="s">
        <v>46</v>
      </c>
      <c r="X22" s="221"/>
      <c r="Y22" s="221"/>
      <c r="Z22" s="221"/>
      <c r="AA22" s="388">
        <v>44204</v>
      </c>
      <c r="AB22" s="402" t="s">
        <v>388</v>
      </c>
      <c r="AC22" s="388" t="s">
        <v>470</v>
      </c>
      <c r="AD22" s="403">
        <v>10</v>
      </c>
      <c r="AE22" s="388" t="s">
        <v>389</v>
      </c>
      <c r="AF22" s="220"/>
      <c r="AG22" s="220"/>
      <c r="AH22" s="220"/>
      <c r="AI22" s="220"/>
      <c r="AJ22" s="220"/>
      <c r="AK22" s="220"/>
      <c r="AL22" s="220"/>
      <c r="AM22" s="220"/>
      <c r="AN22" s="220"/>
    </row>
    <row r="23" spans="1:40" ht="15" customHeight="1" x14ac:dyDescent="0.2">
      <c r="A23" s="234">
        <v>57632</v>
      </c>
      <c r="B23" s="233">
        <v>2018</v>
      </c>
      <c r="C23" s="234" t="s">
        <v>31</v>
      </c>
      <c r="D23" s="327">
        <v>35</v>
      </c>
      <c r="E23" s="252">
        <v>235</v>
      </c>
      <c r="F23" s="252">
        <v>14</v>
      </c>
      <c r="G23" s="252">
        <v>12</v>
      </c>
      <c r="H23" s="252">
        <v>18</v>
      </c>
      <c r="I23" s="252">
        <v>25</v>
      </c>
      <c r="J23" s="252">
        <v>25</v>
      </c>
      <c r="K23" s="252">
        <v>34</v>
      </c>
      <c r="L23" s="252">
        <v>24</v>
      </c>
      <c r="M23" s="252">
        <v>33</v>
      </c>
      <c r="N23" s="252">
        <v>24</v>
      </c>
      <c r="O23" s="252">
        <v>15</v>
      </c>
      <c r="P23" s="252">
        <v>11</v>
      </c>
      <c r="Q23" s="319"/>
      <c r="R23" s="335">
        <f t="shared" si="11"/>
        <v>235</v>
      </c>
      <c r="S23" s="263">
        <f t="shared" si="7"/>
        <v>21.363636363636363</v>
      </c>
      <c r="T23" s="336">
        <f t="shared" si="8"/>
        <v>0</v>
      </c>
      <c r="U23" s="307">
        <f t="shared" si="9"/>
        <v>0</v>
      </c>
      <c r="V23" s="233">
        <v>2018</v>
      </c>
      <c r="W23" s="234" t="s">
        <v>31</v>
      </c>
      <c r="X23" s="221"/>
      <c r="Y23" s="221"/>
      <c r="Z23" s="221"/>
      <c r="AA23" s="388">
        <v>44204</v>
      </c>
      <c r="AB23" s="402" t="s">
        <v>396</v>
      </c>
      <c r="AC23" s="388" t="s">
        <v>416</v>
      </c>
      <c r="AD23" s="403">
        <v>56</v>
      </c>
      <c r="AE23" s="388" t="s">
        <v>389</v>
      </c>
      <c r="AF23" s="220"/>
      <c r="AG23" s="220"/>
      <c r="AH23" s="220"/>
      <c r="AI23" s="220"/>
      <c r="AJ23" s="220"/>
      <c r="AK23" s="220"/>
      <c r="AL23" s="220"/>
      <c r="AM23" s="220"/>
      <c r="AN23" s="220"/>
    </row>
    <row r="24" spans="1:40" ht="15" customHeight="1" x14ac:dyDescent="0.2">
      <c r="A24" s="234">
        <v>57630</v>
      </c>
      <c r="B24" s="233">
        <v>2018</v>
      </c>
      <c r="C24" s="234" t="s">
        <v>25</v>
      </c>
      <c r="D24" s="327">
        <v>32</v>
      </c>
      <c r="E24" s="252">
        <v>360</v>
      </c>
      <c r="F24" s="253" t="s">
        <v>35</v>
      </c>
      <c r="G24" s="253" t="s">
        <v>35</v>
      </c>
      <c r="H24" s="253" t="s">
        <v>35</v>
      </c>
      <c r="I24" s="253" t="s">
        <v>35</v>
      </c>
      <c r="J24" s="253" t="s">
        <v>35</v>
      </c>
      <c r="K24" s="253" t="s">
        <v>35</v>
      </c>
      <c r="L24" s="253" t="s">
        <v>35</v>
      </c>
      <c r="M24" s="253" t="s">
        <v>35</v>
      </c>
      <c r="N24" s="253" t="s">
        <v>35</v>
      </c>
      <c r="O24" s="253"/>
      <c r="P24" s="253"/>
      <c r="Q24" s="253"/>
      <c r="R24" s="335">
        <f t="shared" si="11"/>
        <v>0</v>
      </c>
      <c r="S24" s="263">
        <f t="shared" si="7"/>
        <v>0</v>
      </c>
      <c r="T24" s="336">
        <f t="shared" si="8"/>
        <v>0</v>
      </c>
      <c r="U24" s="307">
        <f t="shared" si="9"/>
        <v>360</v>
      </c>
      <c r="V24" s="233">
        <v>2018</v>
      </c>
      <c r="W24" s="234" t="s">
        <v>25</v>
      </c>
      <c r="X24" s="221"/>
      <c r="Y24" s="221"/>
      <c r="Z24" s="221"/>
      <c r="AA24" s="388">
        <v>44217</v>
      </c>
      <c r="AB24" s="402" t="s">
        <v>418</v>
      </c>
      <c r="AC24" s="388" t="s">
        <v>437</v>
      </c>
      <c r="AD24" s="403">
        <v>330</v>
      </c>
      <c r="AE24" s="388" t="s">
        <v>104</v>
      </c>
      <c r="AF24" s="220"/>
      <c r="AG24" s="220"/>
      <c r="AH24" s="220"/>
      <c r="AI24" s="220"/>
      <c r="AJ24" s="220"/>
      <c r="AK24" s="220"/>
      <c r="AL24" s="220"/>
      <c r="AM24" s="220"/>
      <c r="AN24" s="220"/>
    </row>
    <row r="25" spans="1:40" ht="15" customHeight="1" x14ac:dyDescent="0.2">
      <c r="A25" s="234">
        <v>133688</v>
      </c>
      <c r="B25" s="233">
        <v>2018</v>
      </c>
      <c r="C25" s="234" t="s">
        <v>23</v>
      </c>
      <c r="D25" s="327">
        <v>39</v>
      </c>
      <c r="E25" s="252">
        <v>536</v>
      </c>
      <c r="F25" s="252">
        <v>13</v>
      </c>
      <c r="G25" s="252">
        <v>22</v>
      </c>
      <c r="H25" s="252">
        <v>13</v>
      </c>
      <c r="I25" s="252">
        <v>25</v>
      </c>
      <c r="J25" s="252">
        <v>30</v>
      </c>
      <c r="K25" s="252">
        <v>16</v>
      </c>
      <c r="L25" s="252">
        <v>22</v>
      </c>
      <c r="M25" s="252">
        <v>29</v>
      </c>
      <c r="N25" s="252">
        <v>26</v>
      </c>
      <c r="O25" s="252">
        <v>22</v>
      </c>
      <c r="P25" s="252">
        <v>77</v>
      </c>
      <c r="Q25" s="252">
        <v>41</v>
      </c>
      <c r="R25" s="335">
        <f t="shared" si="11"/>
        <v>336</v>
      </c>
      <c r="S25" s="263">
        <f t="shared" si="7"/>
        <v>28</v>
      </c>
      <c r="T25" s="336">
        <f t="shared" si="8"/>
        <v>7.1428571428571432</v>
      </c>
      <c r="U25" s="307">
        <f t="shared" si="9"/>
        <v>200</v>
      </c>
      <c r="V25" s="233">
        <v>2018</v>
      </c>
      <c r="W25" s="234" t="s">
        <v>23</v>
      </c>
      <c r="X25" s="221"/>
      <c r="Y25" s="221"/>
      <c r="Z25" s="221"/>
      <c r="AA25" s="388">
        <v>44217</v>
      </c>
      <c r="AB25" s="402" t="s">
        <v>418</v>
      </c>
      <c r="AC25" s="388" t="s">
        <v>471</v>
      </c>
      <c r="AD25" s="403">
        <v>330</v>
      </c>
      <c r="AE25" s="388" t="s">
        <v>104</v>
      </c>
      <c r="AF25" s="220"/>
      <c r="AG25" s="220"/>
      <c r="AH25" s="220"/>
      <c r="AI25" s="220"/>
      <c r="AJ25" s="220"/>
      <c r="AK25" s="220"/>
      <c r="AL25" s="220"/>
      <c r="AM25" s="220"/>
      <c r="AN25" s="220"/>
    </row>
    <row r="26" spans="1:40" ht="15" customHeight="1" x14ac:dyDescent="0.2">
      <c r="A26" s="234">
        <v>27736</v>
      </c>
      <c r="B26" s="233">
        <v>2018</v>
      </c>
      <c r="C26" s="234" t="s">
        <v>56</v>
      </c>
      <c r="D26" s="327">
        <v>29</v>
      </c>
      <c r="E26" s="252">
        <v>448</v>
      </c>
      <c r="F26" s="253" t="s">
        <v>35</v>
      </c>
      <c r="G26" s="253" t="s">
        <v>35</v>
      </c>
      <c r="H26" s="253" t="s">
        <v>35</v>
      </c>
      <c r="I26" s="253" t="s">
        <v>35</v>
      </c>
      <c r="J26" s="369">
        <v>1</v>
      </c>
      <c r="K26" s="369">
        <v>10</v>
      </c>
      <c r="L26" s="369">
        <v>25</v>
      </c>
      <c r="M26" s="369">
        <v>50</v>
      </c>
      <c r="N26" s="369">
        <v>22</v>
      </c>
      <c r="O26" s="369">
        <v>21</v>
      </c>
      <c r="P26" s="369">
        <v>0</v>
      </c>
      <c r="Q26" s="369">
        <v>0</v>
      </c>
      <c r="R26" s="335">
        <f t="shared" si="11"/>
        <v>129</v>
      </c>
      <c r="S26" s="263">
        <f t="shared" si="7"/>
        <v>16.125</v>
      </c>
      <c r="T26" s="336">
        <f t="shared" si="8"/>
        <v>19.782945736434108</v>
      </c>
      <c r="U26" s="307">
        <f t="shared" si="9"/>
        <v>319</v>
      </c>
      <c r="V26" s="233">
        <v>2018</v>
      </c>
      <c r="W26" s="234" t="s">
        <v>56</v>
      </c>
      <c r="X26" s="221"/>
      <c r="Y26" s="221"/>
      <c r="Z26" s="221"/>
      <c r="AA26" s="388"/>
      <c r="AB26" s="402"/>
      <c r="AC26" s="388"/>
      <c r="AD26" s="403"/>
      <c r="AE26" s="388"/>
      <c r="AF26" s="220"/>
      <c r="AG26" s="220"/>
      <c r="AH26" s="220"/>
      <c r="AI26" s="220"/>
      <c r="AJ26" s="220"/>
      <c r="AK26" s="220"/>
      <c r="AL26" s="220"/>
      <c r="AM26" s="220"/>
      <c r="AN26" s="220"/>
    </row>
    <row r="27" spans="1:40" ht="15" customHeight="1" x14ac:dyDescent="0.2">
      <c r="A27" s="234">
        <v>135371</v>
      </c>
      <c r="B27" s="233">
        <v>2018</v>
      </c>
      <c r="C27" s="234" t="s">
        <v>291</v>
      </c>
      <c r="D27" s="327"/>
      <c r="E27" s="252">
        <v>330</v>
      </c>
      <c r="F27" s="253" t="s">
        <v>35</v>
      </c>
      <c r="G27" s="253" t="s">
        <v>35</v>
      </c>
      <c r="H27" s="253" t="s">
        <v>35</v>
      </c>
      <c r="I27" s="253" t="s">
        <v>35</v>
      </c>
      <c r="J27" s="253" t="s">
        <v>35</v>
      </c>
      <c r="K27" s="253" t="s">
        <v>35</v>
      </c>
      <c r="L27" s="253">
        <v>10</v>
      </c>
      <c r="M27" s="369">
        <v>10</v>
      </c>
      <c r="N27" s="369">
        <v>11</v>
      </c>
      <c r="O27" s="369">
        <v>22</v>
      </c>
      <c r="P27" s="369">
        <v>29</v>
      </c>
      <c r="Q27" s="369">
        <v>20</v>
      </c>
      <c r="R27" s="335">
        <f t="shared" si="11"/>
        <v>102</v>
      </c>
      <c r="S27" s="263">
        <f t="shared" si="7"/>
        <v>17</v>
      </c>
      <c r="T27" s="336">
        <f t="shared" si="8"/>
        <v>13.411764705882353</v>
      </c>
      <c r="U27" s="307">
        <f t="shared" si="9"/>
        <v>228</v>
      </c>
      <c r="V27" s="233">
        <v>2018</v>
      </c>
      <c r="W27" s="234" t="s">
        <v>291</v>
      </c>
      <c r="X27" s="221"/>
      <c r="Y27" s="221"/>
      <c r="Z27" s="221"/>
      <c r="AA27" s="388">
        <v>44307</v>
      </c>
      <c r="AB27" s="402" t="s">
        <v>418</v>
      </c>
      <c r="AC27" s="388" t="s">
        <v>486</v>
      </c>
      <c r="AD27" s="403">
        <v>141</v>
      </c>
      <c r="AE27" s="388" t="s">
        <v>102</v>
      </c>
      <c r="AF27" s="220"/>
      <c r="AG27" s="220"/>
      <c r="AH27" s="220"/>
      <c r="AI27" s="220"/>
      <c r="AJ27" s="220"/>
      <c r="AK27" s="220"/>
      <c r="AL27" s="220"/>
      <c r="AM27" s="220"/>
      <c r="AN27" s="220"/>
    </row>
    <row r="28" spans="1:40" ht="15" customHeight="1" x14ac:dyDescent="0.2">
      <c r="A28" s="234">
        <v>22921</v>
      </c>
      <c r="B28" s="233">
        <v>2018</v>
      </c>
      <c r="C28" s="234" t="s">
        <v>277</v>
      </c>
      <c r="D28" s="327">
        <v>54</v>
      </c>
      <c r="E28" s="252">
        <v>986</v>
      </c>
      <c r="F28" s="253" t="s">
        <v>35</v>
      </c>
      <c r="G28" s="253" t="s">
        <v>35</v>
      </c>
      <c r="H28" s="253" t="s">
        <v>35</v>
      </c>
      <c r="I28" s="369">
        <v>25</v>
      </c>
      <c r="J28" s="369">
        <v>39</v>
      </c>
      <c r="K28" s="369">
        <v>62</v>
      </c>
      <c r="L28" s="369">
        <v>31</v>
      </c>
      <c r="M28" s="369">
        <v>42</v>
      </c>
      <c r="N28" s="369">
        <v>45</v>
      </c>
      <c r="O28" s="369">
        <v>42</v>
      </c>
      <c r="P28" s="369">
        <v>59</v>
      </c>
      <c r="Q28" s="369">
        <v>63</v>
      </c>
      <c r="R28" s="335">
        <f t="shared" si="11"/>
        <v>408</v>
      </c>
      <c r="S28" s="263">
        <f t="shared" si="7"/>
        <v>45.333333333333336</v>
      </c>
      <c r="T28" s="336">
        <f t="shared" si="8"/>
        <v>12.75</v>
      </c>
      <c r="U28" s="307">
        <f t="shared" si="9"/>
        <v>578</v>
      </c>
      <c r="V28" s="233">
        <v>2018</v>
      </c>
      <c r="W28" s="234" t="s">
        <v>277</v>
      </c>
      <c r="X28" s="221"/>
      <c r="Y28" s="221"/>
      <c r="Z28" s="221"/>
      <c r="AA28" s="388">
        <v>44307</v>
      </c>
      <c r="AB28" s="402" t="s">
        <v>418</v>
      </c>
      <c r="AC28" s="388" t="s">
        <v>487</v>
      </c>
      <c r="AD28" s="403">
        <v>138</v>
      </c>
      <c r="AE28" s="388" t="s">
        <v>102</v>
      </c>
      <c r="AF28" s="220"/>
      <c r="AG28" s="220"/>
      <c r="AH28" s="220"/>
      <c r="AI28" s="220"/>
      <c r="AJ28" s="220"/>
      <c r="AK28" s="220"/>
      <c r="AL28" s="220"/>
      <c r="AM28" s="220"/>
      <c r="AN28" s="220"/>
    </row>
    <row r="29" spans="1:40" ht="15" customHeight="1" x14ac:dyDescent="0.2">
      <c r="A29" s="234">
        <v>137519</v>
      </c>
      <c r="B29" s="233" t="s">
        <v>294</v>
      </c>
      <c r="C29" s="234" t="s">
        <v>94</v>
      </c>
      <c r="D29" s="327"/>
      <c r="E29" s="252">
        <v>819</v>
      </c>
      <c r="F29" s="252">
        <v>24</v>
      </c>
      <c r="G29" s="252">
        <v>16</v>
      </c>
      <c r="H29" s="252">
        <v>44</v>
      </c>
      <c r="I29" s="252">
        <v>18</v>
      </c>
      <c r="J29" s="252">
        <v>89</v>
      </c>
      <c r="K29" s="252">
        <v>25</v>
      </c>
      <c r="L29" s="252">
        <v>31</v>
      </c>
      <c r="M29" s="252">
        <v>24</v>
      </c>
      <c r="N29" s="252">
        <v>27</v>
      </c>
      <c r="O29" s="252">
        <v>51</v>
      </c>
      <c r="P29" s="252">
        <v>83</v>
      </c>
      <c r="Q29" s="252">
        <v>76</v>
      </c>
      <c r="R29" s="335">
        <f t="shared" si="11"/>
        <v>508</v>
      </c>
      <c r="S29" s="263">
        <f t="shared" si="7"/>
        <v>42.333333333333336</v>
      </c>
      <c r="T29" s="336">
        <f t="shared" si="8"/>
        <v>7.3464566929133852</v>
      </c>
      <c r="U29" s="307">
        <f t="shared" si="9"/>
        <v>311</v>
      </c>
      <c r="V29" s="233" t="s">
        <v>294</v>
      </c>
      <c r="W29" s="234" t="s">
        <v>94</v>
      </c>
      <c r="X29" s="221"/>
      <c r="Y29" s="221"/>
      <c r="Z29" s="221"/>
      <c r="AA29" s="388">
        <v>44307</v>
      </c>
      <c r="AB29" s="402" t="s">
        <v>418</v>
      </c>
      <c r="AC29" s="388" t="s">
        <v>488</v>
      </c>
      <c r="AD29" s="403">
        <v>99</v>
      </c>
      <c r="AE29" s="388" t="s">
        <v>102</v>
      </c>
      <c r="AF29" s="220"/>
      <c r="AG29" s="220"/>
      <c r="AH29" s="220"/>
      <c r="AI29" s="220"/>
      <c r="AJ29" s="220"/>
      <c r="AK29" s="220"/>
      <c r="AL29" s="220"/>
      <c r="AM29" s="220"/>
      <c r="AN29" s="220"/>
    </row>
    <row r="30" spans="1:40" ht="15" customHeight="1" x14ac:dyDescent="0.2">
      <c r="A30" s="234">
        <v>22384</v>
      </c>
      <c r="B30" s="233">
        <v>2018</v>
      </c>
      <c r="C30" s="234" t="s">
        <v>26</v>
      </c>
      <c r="D30" s="244"/>
      <c r="E30" s="252">
        <v>149</v>
      </c>
      <c r="F30" s="252">
        <v>13</v>
      </c>
      <c r="G30" s="252">
        <v>11</v>
      </c>
      <c r="H30" s="252">
        <v>7</v>
      </c>
      <c r="I30" s="252">
        <v>7</v>
      </c>
      <c r="J30" s="252">
        <v>12</v>
      </c>
      <c r="K30" s="252">
        <v>20</v>
      </c>
      <c r="L30" s="252">
        <v>12</v>
      </c>
      <c r="M30" s="252">
        <v>9</v>
      </c>
      <c r="N30" s="252">
        <v>10</v>
      </c>
      <c r="O30" s="252">
        <v>10</v>
      </c>
      <c r="P30" s="252">
        <v>22</v>
      </c>
      <c r="Q30" s="252">
        <v>16</v>
      </c>
      <c r="R30" s="335">
        <f t="shared" ref="R30:R31" si="12">SUM(F30:Q30)</f>
        <v>149</v>
      </c>
      <c r="S30" s="263">
        <f t="shared" si="7"/>
        <v>12.416666666666666</v>
      </c>
      <c r="T30" s="336">
        <f t="shared" si="8"/>
        <v>0</v>
      </c>
      <c r="U30" s="307">
        <f t="shared" si="9"/>
        <v>0</v>
      </c>
      <c r="V30" s="233">
        <v>2018</v>
      </c>
      <c r="W30" s="234" t="str">
        <f>+C30</f>
        <v>Merlot</v>
      </c>
      <c r="X30" s="221"/>
      <c r="Y30" s="221"/>
      <c r="Z30" s="221"/>
      <c r="AA30" s="388">
        <v>44350</v>
      </c>
      <c r="AB30" s="402" t="s">
        <v>388</v>
      </c>
      <c r="AC30" s="388" t="s">
        <v>489</v>
      </c>
      <c r="AD30" s="403">
        <v>10</v>
      </c>
      <c r="AE30" s="388" t="s">
        <v>102</v>
      </c>
      <c r="AF30" s="220"/>
      <c r="AG30" s="220"/>
      <c r="AH30" s="220"/>
      <c r="AI30" s="220"/>
      <c r="AJ30" s="220"/>
      <c r="AK30" s="220"/>
      <c r="AL30" s="220"/>
      <c r="AM30" s="220"/>
      <c r="AN30" s="220"/>
    </row>
    <row r="31" spans="1:40" ht="15" customHeight="1" x14ac:dyDescent="0.2">
      <c r="A31" s="234">
        <v>14826</v>
      </c>
      <c r="B31" s="266" t="s">
        <v>133</v>
      </c>
      <c r="C31" s="234" t="s">
        <v>405</v>
      </c>
      <c r="D31" s="378"/>
      <c r="E31" s="252">
        <v>0</v>
      </c>
      <c r="F31" s="252"/>
      <c r="G31" s="252"/>
      <c r="H31" s="252"/>
      <c r="I31" s="252"/>
      <c r="J31" s="252"/>
      <c r="K31" s="252"/>
      <c r="L31" s="252"/>
      <c r="M31" s="252"/>
      <c r="N31" s="252"/>
      <c r="O31" s="252"/>
      <c r="P31" s="252"/>
      <c r="Q31" s="252"/>
      <c r="R31" s="236">
        <f t="shared" si="12"/>
        <v>0</v>
      </c>
      <c r="S31" s="323">
        <f t="shared" si="7"/>
        <v>0</v>
      </c>
      <c r="T31" s="336">
        <f t="shared" si="8"/>
        <v>0</v>
      </c>
      <c r="U31" s="307">
        <f t="shared" si="9"/>
        <v>0</v>
      </c>
      <c r="V31" s="266" t="s">
        <v>133</v>
      </c>
      <c r="W31" s="234" t="s">
        <v>358</v>
      </c>
      <c r="X31" s="221"/>
      <c r="Y31" s="221"/>
      <c r="Z31" s="221"/>
      <c r="AA31" s="388">
        <v>44364</v>
      </c>
      <c r="AB31" s="402" t="s">
        <v>418</v>
      </c>
      <c r="AC31" s="388" t="s">
        <v>490</v>
      </c>
      <c r="AD31" s="403">
        <v>40</v>
      </c>
      <c r="AE31" s="388" t="s">
        <v>485</v>
      </c>
      <c r="AF31" s="220"/>
      <c r="AG31" s="220"/>
      <c r="AH31" s="220"/>
      <c r="AI31" s="220"/>
      <c r="AJ31" s="220"/>
      <c r="AK31" s="220"/>
      <c r="AL31" s="220"/>
      <c r="AM31" s="220"/>
      <c r="AN31" s="220"/>
    </row>
    <row r="32" spans="1:40" ht="15" customHeight="1" x14ac:dyDescent="0.2">
      <c r="A32" s="234"/>
      <c r="B32" s="233"/>
      <c r="C32" s="234"/>
      <c r="D32" s="378"/>
      <c r="E32" s="252"/>
      <c r="F32" s="252"/>
      <c r="G32" s="252"/>
      <c r="H32" s="252"/>
      <c r="I32" s="252"/>
      <c r="J32" s="252"/>
      <c r="K32" s="252"/>
      <c r="L32" s="252"/>
      <c r="M32" s="252"/>
      <c r="N32" s="252"/>
      <c r="O32" s="252"/>
      <c r="P32" s="252"/>
      <c r="Q32" s="252"/>
      <c r="R32" s="236"/>
      <c r="S32" s="323"/>
      <c r="T32" s="336"/>
      <c r="U32" s="307"/>
      <c r="V32" s="233"/>
      <c r="W32" s="234"/>
      <c r="X32" s="221"/>
      <c r="Y32" s="221"/>
      <c r="Z32" s="221"/>
      <c r="AA32" s="388">
        <v>44364</v>
      </c>
      <c r="AB32" s="402" t="s">
        <v>418</v>
      </c>
      <c r="AC32" s="388" t="s">
        <v>490</v>
      </c>
      <c r="AD32" s="403">
        <v>191</v>
      </c>
      <c r="AE32" s="388" t="s">
        <v>102</v>
      </c>
      <c r="AF32" s="220"/>
      <c r="AG32" s="220"/>
      <c r="AH32" s="220"/>
      <c r="AI32" s="220"/>
      <c r="AJ32" s="220"/>
      <c r="AK32" s="220"/>
      <c r="AL32" s="220"/>
      <c r="AM32" s="220"/>
      <c r="AN32" s="220"/>
    </row>
    <row r="33" spans="1:40" x14ac:dyDescent="0.2">
      <c r="A33" s="226"/>
      <c r="B33" s="342"/>
      <c r="C33" s="226"/>
      <c r="D33" s="377"/>
      <c r="E33" s="338"/>
      <c r="F33" s="338"/>
      <c r="G33" s="338"/>
      <c r="H33" s="338"/>
      <c r="I33" s="338"/>
      <c r="J33" s="338"/>
      <c r="K33" s="338"/>
      <c r="L33" s="338"/>
      <c r="M33" s="338"/>
      <c r="N33" s="338"/>
      <c r="O33" s="338"/>
      <c r="P33" s="338"/>
      <c r="Q33" s="338"/>
      <c r="R33" s="243"/>
      <c r="S33" s="339"/>
      <c r="T33" s="340"/>
      <c r="U33" s="320"/>
      <c r="V33" s="342"/>
      <c r="W33" s="226"/>
      <c r="X33" s="221"/>
      <c r="Y33" s="221"/>
      <c r="Z33" s="221"/>
      <c r="AA33" s="388">
        <v>44461</v>
      </c>
      <c r="AB33" s="402" t="s">
        <v>491</v>
      </c>
      <c r="AC33" s="388" t="s">
        <v>492</v>
      </c>
      <c r="AD33" s="403">
        <v>300</v>
      </c>
      <c r="AE33" s="388" t="s">
        <v>104</v>
      </c>
      <c r="AF33" s="220"/>
      <c r="AG33" s="220"/>
      <c r="AH33" s="220"/>
      <c r="AI33" s="220"/>
      <c r="AJ33" s="220"/>
      <c r="AK33" s="220"/>
      <c r="AL33" s="220"/>
      <c r="AM33" s="220"/>
      <c r="AN33" s="220"/>
    </row>
    <row r="34" spans="1:40" ht="15.75" customHeight="1" x14ac:dyDescent="0.2">
      <c r="A34" s="234">
        <v>152192</v>
      </c>
      <c r="B34" s="266" t="s">
        <v>133</v>
      </c>
      <c r="C34" s="234" t="s">
        <v>356</v>
      </c>
      <c r="D34" s="378" t="s">
        <v>35</v>
      </c>
      <c r="E34" s="252">
        <v>746</v>
      </c>
      <c r="F34" s="252">
        <v>70</v>
      </c>
      <c r="G34" s="252">
        <v>8</v>
      </c>
      <c r="H34" s="252">
        <v>42</v>
      </c>
      <c r="I34" s="252">
        <v>126</v>
      </c>
      <c r="J34" s="252">
        <v>34</v>
      </c>
      <c r="K34" s="252">
        <v>49</v>
      </c>
      <c r="L34" s="252">
        <v>42</v>
      </c>
      <c r="M34" s="252">
        <v>32</v>
      </c>
      <c r="N34" s="252">
        <v>27</v>
      </c>
      <c r="O34" s="252">
        <v>12</v>
      </c>
      <c r="P34" s="252">
        <v>90</v>
      </c>
      <c r="Q34" s="252">
        <v>12</v>
      </c>
      <c r="R34" s="335">
        <f t="shared" ref="R34:R45" si="13">SUM(F34:Q34)</f>
        <v>544</v>
      </c>
      <c r="S34" s="263">
        <f t="shared" ref="S34:S46" si="14">IFERROR((AVERAGE(F34:Q34)),0)</f>
        <v>45.333333333333336</v>
      </c>
      <c r="T34" s="336">
        <f t="shared" ref="T34:T46" si="15">IFERROR((U34/S34),0)</f>
        <v>4.4558823529411766</v>
      </c>
      <c r="U34" s="307">
        <f t="shared" ref="U34:U46" si="16">SUM(E34-R34)</f>
        <v>202</v>
      </c>
      <c r="V34" s="233">
        <v>2019</v>
      </c>
      <c r="W34" s="234" t="s">
        <v>356</v>
      </c>
      <c r="X34" s="221">
        <v>466</v>
      </c>
      <c r="Y34" s="221"/>
      <c r="Z34" s="221"/>
      <c r="AA34" s="388">
        <v>44461</v>
      </c>
      <c r="AB34" s="402" t="s">
        <v>491</v>
      </c>
      <c r="AC34" s="388" t="s">
        <v>493</v>
      </c>
      <c r="AD34" s="403">
        <v>180</v>
      </c>
      <c r="AE34" s="388" t="s">
        <v>104</v>
      </c>
      <c r="AF34" s="220"/>
      <c r="AG34" s="220"/>
      <c r="AH34" s="220"/>
      <c r="AI34" s="220"/>
      <c r="AJ34" s="220"/>
      <c r="AK34" s="220"/>
      <c r="AL34" s="220"/>
      <c r="AM34" s="220"/>
      <c r="AN34" s="220"/>
    </row>
    <row r="35" spans="1:40" ht="15.75" customHeight="1" x14ac:dyDescent="0.2">
      <c r="A35" s="234">
        <v>11198</v>
      </c>
      <c r="B35" s="233">
        <v>2019</v>
      </c>
      <c r="C35" s="234" t="s">
        <v>46</v>
      </c>
      <c r="D35" s="378">
        <v>26</v>
      </c>
      <c r="E35" s="252">
        <v>160</v>
      </c>
      <c r="F35" s="253">
        <v>2</v>
      </c>
      <c r="G35" s="253">
        <v>4</v>
      </c>
      <c r="H35" s="369">
        <v>24</v>
      </c>
      <c r="I35" s="369">
        <v>23</v>
      </c>
      <c r="J35" s="369">
        <v>35</v>
      </c>
      <c r="K35" s="369">
        <v>31</v>
      </c>
      <c r="L35" s="369">
        <v>33</v>
      </c>
      <c r="M35" s="369">
        <v>8</v>
      </c>
      <c r="N35" s="319"/>
      <c r="O35" s="319"/>
      <c r="P35" s="319"/>
      <c r="Q35" s="319"/>
      <c r="R35" s="335">
        <f t="shared" si="13"/>
        <v>160</v>
      </c>
      <c r="S35" s="263">
        <f t="shared" si="14"/>
        <v>20</v>
      </c>
      <c r="T35" s="336">
        <f t="shared" si="15"/>
        <v>0</v>
      </c>
      <c r="U35" s="307">
        <f t="shared" si="16"/>
        <v>0</v>
      </c>
      <c r="V35" s="233">
        <v>2019</v>
      </c>
      <c r="W35" s="234" t="s">
        <v>46</v>
      </c>
      <c r="X35" s="221">
        <v>396</v>
      </c>
      <c r="Y35" s="221" t="s">
        <v>474</v>
      </c>
      <c r="Z35" s="221">
        <v>300</v>
      </c>
      <c r="AA35" s="388">
        <v>44475</v>
      </c>
      <c r="AB35" s="402" t="s">
        <v>491</v>
      </c>
      <c r="AC35" s="388" t="s">
        <v>494</v>
      </c>
      <c r="AD35" s="403">
        <v>605</v>
      </c>
      <c r="AE35" s="388" t="s">
        <v>104</v>
      </c>
      <c r="AF35" s="220"/>
      <c r="AG35" s="220"/>
      <c r="AH35" s="220"/>
      <c r="AI35" s="220"/>
      <c r="AJ35" s="220"/>
      <c r="AK35" s="220"/>
      <c r="AL35" s="220"/>
      <c r="AM35" s="220"/>
      <c r="AN35" s="220"/>
    </row>
    <row r="36" spans="1:40" ht="15.75" customHeight="1" x14ac:dyDescent="0.2">
      <c r="A36" s="234">
        <v>151516</v>
      </c>
      <c r="B36" s="233">
        <v>2019</v>
      </c>
      <c r="C36" s="234" t="s">
        <v>359</v>
      </c>
      <c r="D36" s="379">
        <v>19</v>
      </c>
      <c r="E36" s="252">
        <v>342</v>
      </c>
      <c r="F36" s="252">
        <v>3</v>
      </c>
      <c r="G36" s="252">
        <v>0</v>
      </c>
      <c r="H36" s="252">
        <v>13</v>
      </c>
      <c r="I36" s="252">
        <v>14</v>
      </c>
      <c r="J36" s="252">
        <v>12</v>
      </c>
      <c r="K36" s="252">
        <v>10</v>
      </c>
      <c r="L36" s="252">
        <v>25</v>
      </c>
      <c r="M36" s="252">
        <v>43</v>
      </c>
      <c r="N36" s="252">
        <v>38</v>
      </c>
      <c r="O36" s="252">
        <v>14</v>
      </c>
      <c r="P36" s="252">
        <v>12</v>
      </c>
      <c r="Q36" s="252">
        <v>9</v>
      </c>
      <c r="R36" s="335">
        <f t="shared" si="13"/>
        <v>193</v>
      </c>
      <c r="S36" s="263">
        <f t="shared" si="14"/>
        <v>16.083333333333332</v>
      </c>
      <c r="T36" s="336">
        <f t="shared" si="15"/>
        <v>9.2642487046632134</v>
      </c>
      <c r="U36" s="307">
        <f t="shared" si="16"/>
        <v>149</v>
      </c>
      <c r="V36" s="233">
        <v>2019</v>
      </c>
      <c r="W36" s="234" t="s">
        <v>359</v>
      </c>
      <c r="X36" s="221">
        <v>300</v>
      </c>
      <c r="Y36" s="221"/>
      <c r="Z36" s="221">
        <v>0</v>
      </c>
      <c r="AA36" s="388">
        <v>44481</v>
      </c>
      <c r="AB36" s="402" t="s">
        <v>491</v>
      </c>
      <c r="AC36" s="388" t="s">
        <v>495</v>
      </c>
      <c r="AD36" s="403">
        <v>330</v>
      </c>
      <c r="AE36" s="388" t="s">
        <v>104</v>
      </c>
      <c r="AF36" s="220"/>
      <c r="AG36" s="220"/>
      <c r="AH36" s="220"/>
      <c r="AI36" s="220"/>
      <c r="AJ36" s="220"/>
      <c r="AK36" s="220"/>
      <c r="AL36" s="220"/>
      <c r="AM36" s="220"/>
      <c r="AN36" s="220"/>
    </row>
    <row r="37" spans="1:40" ht="15.75" customHeight="1" x14ac:dyDescent="0.2">
      <c r="A37" s="234">
        <v>57632</v>
      </c>
      <c r="B37" s="233">
        <v>2019</v>
      </c>
      <c r="C37" s="234" t="s">
        <v>31</v>
      </c>
      <c r="D37" s="380">
        <v>36</v>
      </c>
      <c r="E37" s="252">
        <v>484</v>
      </c>
      <c r="F37" s="253">
        <v>4</v>
      </c>
      <c r="G37" s="253">
        <v>0</v>
      </c>
      <c r="H37" s="253">
        <v>0</v>
      </c>
      <c r="I37" s="253">
        <v>4</v>
      </c>
      <c r="J37" s="253">
        <v>0</v>
      </c>
      <c r="K37" s="253">
        <v>1</v>
      </c>
      <c r="L37" s="253">
        <v>0</v>
      </c>
      <c r="M37" s="253">
        <v>0</v>
      </c>
      <c r="N37" s="253">
        <v>0</v>
      </c>
      <c r="O37" s="253">
        <v>0</v>
      </c>
      <c r="P37" s="369">
        <v>41</v>
      </c>
      <c r="Q37" s="369">
        <v>20</v>
      </c>
      <c r="R37" s="335">
        <f t="shared" si="13"/>
        <v>70</v>
      </c>
      <c r="S37" s="263">
        <f t="shared" si="14"/>
        <v>5.833333333333333</v>
      </c>
      <c r="T37" s="336">
        <f t="shared" si="15"/>
        <v>70.971428571428575</v>
      </c>
      <c r="U37" s="307">
        <f t="shared" si="16"/>
        <v>414</v>
      </c>
      <c r="V37" s="233">
        <v>2019</v>
      </c>
      <c r="W37" s="234" t="s">
        <v>31</v>
      </c>
      <c r="X37" s="221">
        <v>1036</v>
      </c>
      <c r="Y37" s="221" t="s">
        <v>473</v>
      </c>
      <c r="Z37" s="221">
        <v>200</v>
      </c>
      <c r="AA37" s="388">
        <v>44481</v>
      </c>
      <c r="AB37" s="402" t="s">
        <v>491</v>
      </c>
      <c r="AC37" s="388" t="s">
        <v>496</v>
      </c>
      <c r="AD37" s="403">
        <v>330</v>
      </c>
      <c r="AE37" s="388" t="s">
        <v>104</v>
      </c>
      <c r="AF37" s="220"/>
      <c r="AG37" s="220"/>
      <c r="AH37" s="220"/>
      <c r="AI37" s="220"/>
      <c r="AJ37" s="220"/>
      <c r="AK37" s="220"/>
      <c r="AL37" s="220"/>
      <c r="AM37" s="220"/>
      <c r="AN37" s="220"/>
    </row>
    <row r="38" spans="1:40" ht="15.75" customHeight="1" x14ac:dyDescent="0.2">
      <c r="A38" s="234">
        <v>57630</v>
      </c>
      <c r="B38" s="233">
        <v>2019</v>
      </c>
      <c r="C38" s="234" t="s">
        <v>25</v>
      </c>
      <c r="D38" s="378">
        <v>30</v>
      </c>
      <c r="E38" s="252">
        <v>388</v>
      </c>
      <c r="F38" s="253">
        <v>24</v>
      </c>
      <c r="G38" s="253">
        <v>3</v>
      </c>
      <c r="H38" s="253" t="s">
        <v>35</v>
      </c>
      <c r="I38" s="253" t="s">
        <v>35</v>
      </c>
      <c r="J38" s="253" t="s">
        <v>35</v>
      </c>
      <c r="K38" s="253" t="s">
        <v>35</v>
      </c>
      <c r="L38" s="253" t="s">
        <v>35</v>
      </c>
      <c r="M38" s="253" t="s">
        <v>35</v>
      </c>
      <c r="N38" s="253" t="s">
        <v>35</v>
      </c>
      <c r="O38" s="253" t="s">
        <v>35</v>
      </c>
      <c r="P38" s="253" t="s">
        <v>35</v>
      </c>
      <c r="Q38" s="253" t="s">
        <v>35</v>
      </c>
      <c r="R38" s="335">
        <f t="shared" si="13"/>
        <v>27</v>
      </c>
      <c r="S38" s="263">
        <f t="shared" si="14"/>
        <v>13.5</v>
      </c>
      <c r="T38" s="336">
        <f t="shared" si="15"/>
        <v>26.74074074074074</v>
      </c>
      <c r="U38" s="307">
        <f t="shared" si="16"/>
        <v>361</v>
      </c>
      <c r="V38" s="233">
        <v>2019</v>
      </c>
      <c r="W38" s="234" t="s">
        <v>25</v>
      </c>
      <c r="X38" s="221">
        <v>1103</v>
      </c>
      <c r="Y38" s="221" t="s">
        <v>473</v>
      </c>
      <c r="Z38" s="221">
        <v>350</v>
      </c>
      <c r="AA38" s="388">
        <v>44481</v>
      </c>
      <c r="AB38" s="402" t="s">
        <v>491</v>
      </c>
      <c r="AC38" s="388" t="s">
        <v>497</v>
      </c>
      <c r="AD38" s="403">
        <v>330</v>
      </c>
      <c r="AE38" s="388" t="s">
        <v>104</v>
      </c>
      <c r="AF38" s="220"/>
      <c r="AG38" s="220"/>
      <c r="AH38" s="220"/>
      <c r="AI38" s="220"/>
      <c r="AJ38" s="220"/>
      <c r="AK38" s="220"/>
      <c r="AL38" s="220"/>
      <c r="AM38" s="220"/>
      <c r="AN38" s="220"/>
    </row>
    <row r="39" spans="1:40" ht="15.75" customHeight="1" x14ac:dyDescent="0.2">
      <c r="A39" s="234">
        <v>22384</v>
      </c>
      <c r="B39" s="233">
        <v>2019</v>
      </c>
      <c r="C39" s="234" t="s">
        <v>26</v>
      </c>
      <c r="D39" s="380">
        <v>0</v>
      </c>
      <c r="E39" s="252">
        <v>227</v>
      </c>
      <c r="F39" s="253" t="s">
        <v>35</v>
      </c>
      <c r="G39" s="253" t="s">
        <v>35</v>
      </c>
      <c r="H39" s="253" t="s">
        <v>35</v>
      </c>
      <c r="I39" s="253" t="s">
        <v>35</v>
      </c>
      <c r="J39" s="253" t="s">
        <v>35</v>
      </c>
      <c r="K39" s="253" t="s">
        <v>35</v>
      </c>
      <c r="L39" s="253" t="s">
        <v>35</v>
      </c>
      <c r="M39" s="253" t="s">
        <v>35</v>
      </c>
      <c r="N39" s="253" t="s">
        <v>35</v>
      </c>
      <c r="O39" s="253" t="s">
        <v>35</v>
      </c>
      <c r="P39" s="253">
        <v>64</v>
      </c>
      <c r="Q39" s="253">
        <v>7</v>
      </c>
      <c r="R39" s="335">
        <f t="shared" si="13"/>
        <v>71</v>
      </c>
      <c r="S39" s="263">
        <f t="shared" si="14"/>
        <v>35.5</v>
      </c>
      <c r="T39" s="336">
        <f t="shared" si="15"/>
        <v>4.394366197183099</v>
      </c>
      <c r="U39" s="307">
        <f t="shared" si="16"/>
        <v>156</v>
      </c>
      <c r="V39" s="233">
        <v>2019</v>
      </c>
      <c r="W39" s="234" t="s">
        <v>26</v>
      </c>
      <c r="X39" s="221"/>
      <c r="Y39" s="221"/>
      <c r="Z39" s="221">
        <v>0</v>
      </c>
      <c r="AA39" s="388">
        <v>44481</v>
      </c>
      <c r="AB39" s="402" t="s">
        <v>491</v>
      </c>
      <c r="AC39" s="388" t="s">
        <v>497</v>
      </c>
      <c r="AD39" s="403">
        <v>300</v>
      </c>
      <c r="AE39" s="388" t="s">
        <v>104</v>
      </c>
      <c r="AF39" s="220"/>
      <c r="AG39" s="220"/>
      <c r="AH39" s="220"/>
      <c r="AI39" s="220"/>
      <c r="AJ39" s="220"/>
      <c r="AK39" s="220"/>
      <c r="AL39" s="220"/>
      <c r="AM39" s="220"/>
      <c r="AN39" s="220"/>
    </row>
    <row r="40" spans="1:40" ht="15.75" customHeight="1" x14ac:dyDescent="0.2">
      <c r="A40" s="234">
        <v>133688</v>
      </c>
      <c r="B40" s="233">
        <v>2019</v>
      </c>
      <c r="C40" s="234" t="s">
        <v>23</v>
      </c>
      <c r="D40" s="244">
        <v>39</v>
      </c>
      <c r="E40" s="252">
        <v>657</v>
      </c>
      <c r="F40" s="253">
        <v>9</v>
      </c>
      <c r="G40" s="253">
        <v>2</v>
      </c>
      <c r="H40" s="253">
        <v>4</v>
      </c>
      <c r="I40" s="253" t="s">
        <v>35</v>
      </c>
      <c r="J40" s="253" t="s">
        <v>35</v>
      </c>
      <c r="K40" s="253" t="s">
        <v>35</v>
      </c>
      <c r="L40" s="253" t="s">
        <v>35</v>
      </c>
      <c r="M40" s="253" t="s">
        <v>35</v>
      </c>
      <c r="N40" s="253" t="s">
        <v>35</v>
      </c>
      <c r="O40" s="253" t="s">
        <v>35</v>
      </c>
      <c r="P40" s="253" t="s">
        <v>35</v>
      </c>
      <c r="Q40" s="253">
        <v>2</v>
      </c>
      <c r="R40" s="335">
        <f t="shared" si="13"/>
        <v>17</v>
      </c>
      <c r="S40" s="263">
        <f t="shared" si="14"/>
        <v>4.25</v>
      </c>
      <c r="T40" s="336">
        <f t="shared" si="15"/>
        <v>150.58823529411765</v>
      </c>
      <c r="U40" s="307">
        <f t="shared" si="16"/>
        <v>640</v>
      </c>
      <c r="V40" s="233">
        <v>2019</v>
      </c>
      <c r="W40" s="234" t="s">
        <v>23</v>
      </c>
      <c r="X40" s="221"/>
      <c r="Y40" s="221"/>
      <c r="Z40" s="221"/>
      <c r="AA40" s="388">
        <v>44487</v>
      </c>
      <c r="AB40" s="402" t="s">
        <v>491</v>
      </c>
      <c r="AC40" s="388" t="s">
        <v>498</v>
      </c>
      <c r="AD40" s="403">
        <v>660</v>
      </c>
      <c r="AE40" s="388" t="s">
        <v>104</v>
      </c>
      <c r="AF40" s="220"/>
      <c r="AG40" s="220"/>
      <c r="AH40" s="220"/>
      <c r="AI40" s="220"/>
      <c r="AJ40" s="220"/>
      <c r="AK40" s="220"/>
      <c r="AL40" s="220"/>
      <c r="AM40" s="220"/>
      <c r="AN40" s="220"/>
    </row>
    <row r="41" spans="1:40" ht="15.75" customHeight="1" x14ac:dyDescent="0.2">
      <c r="A41" s="234">
        <v>133687</v>
      </c>
      <c r="B41" s="233">
        <v>2019</v>
      </c>
      <c r="C41" s="234" t="s">
        <v>93</v>
      </c>
      <c r="D41" s="244" t="s">
        <v>35</v>
      </c>
      <c r="E41" s="252">
        <v>298</v>
      </c>
      <c r="F41" s="253">
        <v>1</v>
      </c>
      <c r="G41" s="253" t="s">
        <v>35</v>
      </c>
      <c r="H41" s="253" t="s">
        <v>35</v>
      </c>
      <c r="I41" s="253" t="s">
        <v>35</v>
      </c>
      <c r="J41" s="253" t="s">
        <v>35</v>
      </c>
      <c r="K41" s="253" t="s">
        <v>35</v>
      </c>
      <c r="L41" s="253" t="s">
        <v>35</v>
      </c>
      <c r="M41" s="253" t="s">
        <v>35</v>
      </c>
      <c r="N41" s="253" t="s">
        <v>35</v>
      </c>
      <c r="O41" s="253" t="s">
        <v>35</v>
      </c>
      <c r="P41" s="369">
        <v>22</v>
      </c>
      <c r="Q41" s="369">
        <v>16</v>
      </c>
      <c r="R41" s="335">
        <f t="shared" si="13"/>
        <v>39</v>
      </c>
      <c r="S41" s="263">
        <f t="shared" si="14"/>
        <v>13</v>
      </c>
      <c r="T41" s="336">
        <f t="shared" si="15"/>
        <v>19.923076923076923</v>
      </c>
      <c r="U41" s="307">
        <f>SUM(E41-R41)</f>
        <v>259</v>
      </c>
      <c r="V41" s="233">
        <v>2019</v>
      </c>
      <c r="W41" s="234" t="s">
        <v>442</v>
      </c>
      <c r="X41" s="221"/>
      <c r="Y41" s="221"/>
      <c r="Z41" s="221"/>
      <c r="AA41" s="388">
        <v>44487</v>
      </c>
      <c r="AB41" s="402" t="s">
        <v>491</v>
      </c>
      <c r="AC41" s="388" t="s">
        <v>499</v>
      </c>
      <c r="AD41" s="403">
        <v>230</v>
      </c>
      <c r="AE41" s="388" t="s">
        <v>104</v>
      </c>
      <c r="AF41" s="220"/>
      <c r="AG41" s="220"/>
      <c r="AH41" s="220"/>
      <c r="AI41" s="220"/>
      <c r="AJ41" s="220"/>
      <c r="AK41" s="220"/>
      <c r="AL41" s="220"/>
      <c r="AM41" s="220"/>
      <c r="AN41" s="220"/>
    </row>
    <row r="42" spans="1:40" ht="15.75" customHeight="1" x14ac:dyDescent="0.2">
      <c r="A42" s="234">
        <v>27736</v>
      </c>
      <c r="B42" s="233">
        <v>2019</v>
      </c>
      <c r="C42" s="234" t="s">
        <v>56</v>
      </c>
      <c r="D42" s="244">
        <v>29</v>
      </c>
      <c r="E42" s="252">
        <v>391</v>
      </c>
      <c r="F42" s="253">
        <v>40</v>
      </c>
      <c r="G42" s="253">
        <v>5</v>
      </c>
      <c r="H42" s="253">
        <v>3</v>
      </c>
      <c r="I42" s="253" t="s">
        <v>35</v>
      </c>
      <c r="J42" s="253" t="s">
        <v>35</v>
      </c>
      <c r="K42" s="253">
        <v>1</v>
      </c>
      <c r="L42" s="253" t="s">
        <v>35</v>
      </c>
      <c r="M42" s="253" t="s">
        <v>35</v>
      </c>
      <c r="N42" s="253" t="s">
        <v>543</v>
      </c>
      <c r="O42" s="253" t="s">
        <v>35</v>
      </c>
      <c r="P42" s="369">
        <v>25</v>
      </c>
      <c r="Q42" s="369">
        <v>21</v>
      </c>
      <c r="R42" s="335">
        <f t="shared" si="13"/>
        <v>95</v>
      </c>
      <c r="S42" s="263">
        <f t="shared" si="14"/>
        <v>15.833333333333334</v>
      </c>
      <c r="T42" s="336">
        <f t="shared" si="15"/>
        <v>18.694736842105261</v>
      </c>
      <c r="U42" s="307">
        <f t="shared" si="16"/>
        <v>296</v>
      </c>
      <c r="V42" s="233">
        <v>2019</v>
      </c>
      <c r="W42" s="234" t="s">
        <v>56</v>
      </c>
      <c r="X42" s="221"/>
      <c r="Y42" s="221"/>
      <c r="Z42" s="221"/>
      <c r="AA42" s="388">
        <v>44487</v>
      </c>
      <c r="AB42" s="402" t="s">
        <v>491</v>
      </c>
      <c r="AC42" s="388" t="s">
        <v>500</v>
      </c>
      <c r="AD42" s="403">
        <v>175</v>
      </c>
      <c r="AE42" s="388" t="s">
        <v>104</v>
      </c>
      <c r="AF42" s="220"/>
      <c r="AG42" s="220"/>
      <c r="AH42" s="220"/>
      <c r="AI42" s="220"/>
      <c r="AJ42" s="220"/>
      <c r="AK42" s="220"/>
      <c r="AL42" s="220"/>
      <c r="AM42" s="220"/>
      <c r="AN42" s="220"/>
    </row>
    <row r="43" spans="1:40" ht="15.75" customHeight="1" x14ac:dyDescent="0.2">
      <c r="A43" s="234">
        <v>135371</v>
      </c>
      <c r="B43" s="233">
        <v>2019</v>
      </c>
      <c r="C43" s="234" t="s">
        <v>291</v>
      </c>
      <c r="D43" s="376">
        <v>0</v>
      </c>
      <c r="E43" s="252">
        <v>93</v>
      </c>
      <c r="F43" s="253">
        <v>8</v>
      </c>
      <c r="G43" s="253">
        <v>2</v>
      </c>
      <c r="H43" s="253" t="s">
        <v>35</v>
      </c>
      <c r="I43" s="253">
        <v>3</v>
      </c>
      <c r="J43" s="253" t="s">
        <v>35</v>
      </c>
      <c r="K43" s="253" t="s">
        <v>35</v>
      </c>
      <c r="L43" s="253" t="s">
        <v>35</v>
      </c>
      <c r="M43" s="253" t="s">
        <v>35</v>
      </c>
      <c r="N43" s="253" t="s">
        <v>35</v>
      </c>
      <c r="O43" s="253" t="s">
        <v>35</v>
      </c>
      <c r="P43" s="253" t="s">
        <v>35</v>
      </c>
      <c r="Q43" s="253">
        <v>2</v>
      </c>
      <c r="R43" s="335">
        <f t="shared" si="13"/>
        <v>15</v>
      </c>
      <c r="S43" s="263">
        <f t="shared" si="14"/>
        <v>3.75</v>
      </c>
      <c r="T43" s="336">
        <f t="shared" si="15"/>
        <v>20.8</v>
      </c>
      <c r="U43" s="307">
        <f t="shared" si="16"/>
        <v>78</v>
      </c>
      <c r="V43" s="233">
        <v>2019</v>
      </c>
      <c r="W43" s="234" t="s">
        <v>291</v>
      </c>
      <c r="X43" s="221"/>
      <c r="Y43" s="221"/>
      <c r="Z43" s="221"/>
      <c r="AA43" s="388">
        <v>44497</v>
      </c>
      <c r="AB43" s="402" t="s">
        <v>491</v>
      </c>
      <c r="AC43" s="388" t="s">
        <v>501</v>
      </c>
      <c r="AD43" s="403">
        <v>70</v>
      </c>
      <c r="AE43" s="388" t="s">
        <v>104</v>
      </c>
      <c r="AF43" s="220"/>
      <c r="AG43" s="220"/>
      <c r="AH43" s="220"/>
      <c r="AI43" s="220"/>
      <c r="AJ43" s="220"/>
      <c r="AK43" s="220"/>
      <c r="AL43" s="220"/>
      <c r="AM43" s="220"/>
      <c r="AN43" s="220"/>
    </row>
    <row r="44" spans="1:40" ht="15.75" customHeight="1" x14ac:dyDescent="0.2">
      <c r="A44" s="234">
        <v>22921</v>
      </c>
      <c r="B44" s="233">
        <v>2019</v>
      </c>
      <c r="C44" s="234" t="s">
        <v>277</v>
      </c>
      <c r="D44" s="244">
        <v>54</v>
      </c>
      <c r="E44" s="252">
        <v>560</v>
      </c>
      <c r="F44" s="253">
        <v>7</v>
      </c>
      <c r="G44" s="253">
        <v>7</v>
      </c>
      <c r="H44" s="253" t="s">
        <v>35</v>
      </c>
      <c r="I44" s="253" t="s">
        <v>35</v>
      </c>
      <c r="J44" s="253" t="s">
        <v>35</v>
      </c>
      <c r="K44" s="253" t="s">
        <v>35</v>
      </c>
      <c r="L44" s="253" t="s">
        <v>35</v>
      </c>
      <c r="M44" s="253" t="s">
        <v>35</v>
      </c>
      <c r="N44" s="253" t="s">
        <v>35</v>
      </c>
      <c r="O44" s="253" t="s">
        <v>35</v>
      </c>
      <c r="P44" s="253" t="s">
        <v>35</v>
      </c>
      <c r="Q44" s="253" t="s">
        <v>35</v>
      </c>
      <c r="R44" s="335">
        <f t="shared" si="13"/>
        <v>14</v>
      </c>
      <c r="S44" s="263">
        <f t="shared" si="14"/>
        <v>7</v>
      </c>
      <c r="T44" s="336">
        <f t="shared" si="15"/>
        <v>78</v>
      </c>
      <c r="U44" s="307">
        <f t="shared" si="16"/>
        <v>546</v>
      </c>
      <c r="V44" s="233">
        <v>2019</v>
      </c>
      <c r="W44" s="234" t="s">
        <v>277</v>
      </c>
      <c r="X44" s="221"/>
      <c r="Y44" s="221"/>
      <c r="Z44" s="221"/>
      <c r="AA44" s="388">
        <v>44497</v>
      </c>
      <c r="AB44" s="402" t="s">
        <v>491</v>
      </c>
      <c r="AC44" s="388" t="s">
        <v>502</v>
      </c>
      <c r="AD44" s="403">
        <v>140</v>
      </c>
      <c r="AE44" s="388" t="s">
        <v>104</v>
      </c>
      <c r="AF44" s="220"/>
      <c r="AG44" s="220"/>
      <c r="AH44" s="220"/>
      <c r="AI44" s="220"/>
      <c r="AJ44" s="220"/>
      <c r="AK44" s="220"/>
      <c r="AL44" s="220"/>
      <c r="AM44" s="220"/>
      <c r="AN44" s="220"/>
    </row>
    <row r="45" spans="1:40" ht="15.75" customHeight="1" x14ac:dyDescent="0.2">
      <c r="A45" s="234">
        <v>168932</v>
      </c>
      <c r="B45" s="233" t="s">
        <v>357</v>
      </c>
      <c r="C45" s="234" t="s">
        <v>94</v>
      </c>
      <c r="D45" s="244">
        <v>0</v>
      </c>
      <c r="E45" s="252">
        <v>879</v>
      </c>
      <c r="F45" s="253">
        <v>25</v>
      </c>
      <c r="G45" s="253">
        <v>19</v>
      </c>
      <c r="H45" s="253">
        <v>15</v>
      </c>
      <c r="I45" s="253">
        <v>1</v>
      </c>
      <c r="J45" s="253">
        <v>1</v>
      </c>
      <c r="K45" s="253">
        <v>1</v>
      </c>
      <c r="L45" s="253">
        <v>2</v>
      </c>
      <c r="M45" s="253" t="s">
        <v>35</v>
      </c>
      <c r="N45" s="253" t="s">
        <v>35</v>
      </c>
      <c r="O45" s="253" t="s">
        <v>35</v>
      </c>
      <c r="P45" s="253" t="s">
        <v>35</v>
      </c>
      <c r="Q45" s="253">
        <v>9</v>
      </c>
      <c r="R45" s="335">
        <f t="shared" si="13"/>
        <v>73</v>
      </c>
      <c r="S45" s="263">
        <f t="shared" si="14"/>
        <v>9.125</v>
      </c>
      <c r="T45" s="336">
        <f t="shared" si="15"/>
        <v>88.328767123287676</v>
      </c>
      <c r="U45" s="307">
        <f t="shared" si="16"/>
        <v>806</v>
      </c>
      <c r="V45" s="233" t="s">
        <v>357</v>
      </c>
      <c r="W45" s="234" t="s">
        <v>94</v>
      </c>
      <c r="X45" s="221"/>
      <c r="Y45" s="221"/>
      <c r="Z45" s="221">
        <v>0</v>
      </c>
      <c r="AA45" s="388">
        <v>44505</v>
      </c>
      <c r="AB45" s="402" t="s">
        <v>491</v>
      </c>
      <c r="AC45" s="388" t="s">
        <v>494</v>
      </c>
      <c r="AD45" s="403">
        <v>330</v>
      </c>
      <c r="AE45" s="388" t="s">
        <v>104</v>
      </c>
      <c r="AF45" s="220"/>
      <c r="AG45" s="220"/>
      <c r="AH45" s="220"/>
      <c r="AI45" s="220"/>
      <c r="AJ45" s="220"/>
      <c r="AK45" s="220"/>
      <c r="AL45" s="220"/>
      <c r="AM45" s="220"/>
      <c r="AN45" s="220"/>
    </row>
    <row r="46" spans="1:40" ht="15.75" customHeight="1" x14ac:dyDescent="0.2">
      <c r="A46" s="234"/>
      <c r="B46" s="233"/>
      <c r="C46" s="234" t="s">
        <v>417</v>
      </c>
      <c r="D46" s="244"/>
      <c r="E46" s="252">
        <v>78</v>
      </c>
      <c r="F46" s="252">
        <v>5</v>
      </c>
      <c r="G46" s="252">
        <v>9</v>
      </c>
      <c r="H46" s="252">
        <v>12</v>
      </c>
      <c r="I46" s="252">
        <v>14</v>
      </c>
      <c r="J46" s="252">
        <v>8</v>
      </c>
      <c r="K46" s="252">
        <v>4</v>
      </c>
      <c r="L46" s="252">
        <v>16</v>
      </c>
      <c r="M46" s="252" t="s">
        <v>35</v>
      </c>
      <c r="N46" s="252"/>
      <c r="O46" s="252"/>
      <c r="P46" s="252">
        <v>0</v>
      </c>
      <c r="Q46" s="252"/>
      <c r="R46" s="335">
        <f t="shared" ref="R46" si="17">SUM(F46:Q46)</f>
        <v>68</v>
      </c>
      <c r="S46" s="263">
        <f t="shared" si="14"/>
        <v>8.5</v>
      </c>
      <c r="T46" s="336">
        <f t="shared" si="15"/>
        <v>1.1764705882352942</v>
      </c>
      <c r="U46" s="307">
        <f t="shared" si="16"/>
        <v>10</v>
      </c>
      <c r="V46" s="233"/>
      <c r="W46" s="234" t="s">
        <v>443</v>
      </c>
      <c r="X46" s="221"/>
      <c r="Y46" s="221"/>
      <c r="Z46" s="221"/>
      <c r="AA46" s="388">
        <v>44505</v>
      </c>
      <c r="AB46" s="402" t="s">
        <v>491</v>
      </c>
      <c r="AC46" s="388" t="s">
        <v>503</v>
      </c>
      <c r="AD46" s="403">
        <v>935</v>
      </c>
      <c r="AE46" s="388" t="s">
        <v>104</v>
      </c>
      <c r="AF46" s="220"/>
      <c r="AG46" s="220"/>
      <c r="AH46" s="220"/>
      <c r="AI46" s="220"/>
      <c r="AJ46" s="220"/>
      <c r="AK46" s="220"/>
      <c r="AL46" s="220"/>
      <c r="AM46" s="220"/>
      <c r="AN46" s="220"/>
    </row>
    <row r="47" spans="1:40" x14ac:dyDescent="0.2">
      <c r="A47" s="226"/>
      <c r="B47" s="342"/>
      <c r="C47" s="226"/>
      <c r="D47" s="377"/>
      <c r="E47" s="338"/>
      <c r="F47" s="338"/>
      <c r="G47" s="338"/>
      <c r="H47" s="338"/>
      <c r="I47" s="338"/>
      <c r="J47" s="338"/>
      <c r="K47" s="338"/>
      <c r="L47" s="338"/>
      <c r="M47" s="338"/>
      <c r="N47" s="338"/>
      <c r="O47" s="338"/>
      <c r="P47" s="338"/>
      <c r="Q47" s="338"/>
      <c r="R47" s="243"/>
      <c r="S47" s="339"/>
      <c r="T47" s="340"/>
      <c r="U47" s="320"/>
      <c r="V47" s="342"/>
      <c r="W47" s="226"/>
      <c r="X47" s="221"/>
      <c r="Y47" s="221"/>
      <c r="Z47" s="221"/>
      <c r="AA47" s="388">
        <v>44507</v>
      </c>
      <c r="AB47" s="402" t="s">
        <v>418</v>
      </c>
      <c r="AC47" s="388" t="s">
        <v>504</v>
      </c>
      <c r="AD47" s="403">
        <v>130</v>
      </c>
      <c r="AE47" s="388" t="s">
        <v>104</v>
      </c>
      <c r="AF47" s="220"/>
      <c r="AG47" s="220"/>
      <c r="AH47" s="220"/>
      <c r="AI47" s="220"/>
      <c r="AJ47" s="220"/>
      <c r="AK47" s="220"/>
      <c r="AL47" s="220"/>
      <c r="AM47" s="220"/>
      <c r="AN47" s="220"/>
    </row>
    <row r="48" spans="1:40" ht="15.75" customHeight="1" x14ac:dyDescent="0.2">
      <c r="A48" s="234">
        <v>11198</v>
      </c>
      <c r="B48" s="233">
        <v>2020</v>
      </c>
      <c r="C48" s="234" t="s">
        <v>46</v>
      </c>
      <c r="D48" s="378">
        <v>26</v>
      </c>
      <c r="E48" s="424">
        <v>336</v>
      </c>
      <c r="F48" s="253"/>
      <c r="G48" s="253"/>
      <c r="H48" s="253"/>
      <c r="I48" s="253">
        <v>6</v>
      </c>
      <c r="J48" s="253">
        <v>6</v>
      </c>
      <c r="K48" s="253">
        <v>8</v>
      </c>
      <c r="L48" s="253">
        <v>6</v>
      </c>
      <c r="M48" s="424">
        <v>25</v>
      </c>
      <c r="N48" s="424">
        <v>30</v>
      </c>
      <c r="O48" s="424">
        <v>24</v>
      </c>
      <c r="P48" s="424">
        <v>29</v>
      </c>
      <c r="Q48" s="424">
        <v>22</v>
      </c>
      <c r="R48" s="335">
        <f t="shared" ref="R48:R54" si="18">SUM(F48:Q48)</f>
        <v>156</v>
      </c>
      <c r="S48" s="263">
        <f t="shared" ref="S48:S54" si="19">IFERROR((AVERAGE(F48:Q48)),0)</f>
        <v>17.333333333333332</v>
      </c>
      <c r="T48" s="336">
        <f t="shared" ref="T48:T54" si="20">IFERROR((U48/S48),0)</f>
        <v>10.384615384615385</v>
      </c>
      <c r="U48" s="307">
        <f t="shared" ref="U48:U53" si="21">SUM(E48-R48)</f>
        <v>180</v>
      </c>
      <c r="V48" s="233">
        <v>2020</v>
      </c>
      <c r="W48" s="234" t="s">
        <v>46</v>
      </c>
      <c r="X48" s="221"/>
      <c r="Y48" s="221"/>
      <c r="Z48" s="221"/>
      <c r="AA48" s="388">
        <v>44512</v>
      </c>
      <c r="AB48" s="402" t="s">
        <v>396</v>
      </c>
      <c r="AC48" s="388" t="s">
        <v>416</v>
      </c>
      <c r="AD48" s="403">
        <v>56</v>
      </c>
      <c r="AE48" s="388" t="s">
        <v>389</v>
      </c>
      <c r="AF48" s="220"/>
      <c r="AG48" s="220"/>
      <c r="AH48" s="220"/>
      <c r="AI48" s="220"/>
      <c r="AJ48" s="220"/>
      <c r="AK48" s="220"/>
      <c r="AL48" s="220"/>
      <c r="AM48" s="220"/>
      <c r="AN48" s="220"/>
    </row>
    <row r="49" spans="1:40" ht="15.75" customHeight="1" x14ac:dyDescent="0.2">
      <c r="A49" s="234">
        <v>168933</v>
      </c>
      <c r="B49" s="233">
        <v>2020</v>
      </c>
      <c r="C49" s="234" t="s">
        <v>468</v>
      </c>
      <c r="D49" s="379">
        <v>19</v>
      </c>
      <c r="E49" s="423">
        <v>113</v>
      </c>
      <c r="F49" s="253"/>
      <c r="G49" s="253"/>
      <c r="H49" s="253"/>
      <c r="I49" s="253">
        <v>17</v>
      </c>
      <c r="J49" s="253">
        <v>49</v>
      </c>
      <c r="K49" s="253">
        <v>27</v>
      </c>
      <c r="L49" s="253">
        <v>17</v>
      </c>
      <c r="M49" s="253">
        <v>3</v>
      </c>
      <c r="N49" s="253"/>
      <c r="O49" s="253"/>
      <c r="P49" s="253"/>
      <c r="Q49" s="253"/>
      <c r="R49" s="335">
        <f t="shared" si="18"/>
        <v>113</v>
      </c>
      <c r="S49" s="263">
        <f t="shared" si="19"/>
        <v>22.6</v>
      </c>
      <c r="T49" s="336">
        <f t="shared" si="20"/>
        <v>0</v>
      </c>
      <c r="U49" s="307">
        <f t="shared" si="21"/>
        <v>0</v>
      </c>
      <c r="V49" s="233">
        <v>2020</v>
      </c>
      <c r="W49" s="234" t="s">
        <v>468</v>
      </c>
      <c r="X49" s="221">
        <v>47</v>
      </c>
      <c r="Y49" s="221" t="s">
        <v>475</v>
      </c>
      <c r="Z49" s="221"/>
      <c r="AA49" s="388">
        <v>44516</v>
      </c>
      <c r="AB49" s="402" t="s">
        <v>491</v>
      </c>
      <c r="AC49" s="388" t="s">
        <v>505</v>
      </c>
      <c r="AD49" s="403">
        <v>330</v>
      </c>
      <c r="AE49" s="388" t="s">
        <v>104</v>
      </c>
      <c r="AF49" s="220"/>
      <c r="AG49" s="220"/>
      <c r="AH49" s="220"/>
      <c r="AI49" s="220"/>
      <c r="AJ49" s="220"/>
      <c r="AK49" s="220"/>
      <c r="AL49" s="220"/>
      <c r="AM49" s="220"/>
      <c r="AN49" s="220"/>
    </row>
    <row r="50" spans="1:40" ht="15.75" customHeight="1" x14ac:dyDescent="0.2">
      <c r="A50" s="234">
        <v>57632</v>
      </c>
      <c r="B50" s="233">
        <v>2020</v>
      </c>
      <c r="C50" s="234" t="s">
        <v>31</v>
      </c>
      <c r="D50" s="380">
        <v>36</v>
      </c>
      <c r="E50" s="252">
        <v>419</v>
      </c>
      <c r="F50" s="253"/>
      <c r="G50" s="253"/>
      <c r="H50" s="253"/>
      <c r="I50" s="253"/>
      <c r="J50" s="253"/>
      <c r="K50" s="253">
        <v>2</v>
      </c>
      <c r="L50" s="253" t="s">
        <v>35</v>
      </c>
      <c r="M50" s="253" t="s">
        <v>35</v>
      </c>
      <c r="N50" s="253" t="s">
        <v>35</v>
      </c>
      <c r="O50" s="253" t="s">
        <v>35</v>
      </c>
      <c r="P50" s="253" t="s">
        <v>35</v>
      </c>
      <c r="Q50" s="253" t="s">
        <v>35</v>
      </c>
      <c r="R50" s="335">
        <f t="shared" si="18"/>
        <v>2</v>
      </c>
      <c r="S50" s="263">
        <f t="shared" si="19"/>
        <v>2</v>
      </c>
      <c r="T50" s="336">
        <f t="shared" si="20"/>
        <v>208.5</v>
      </c>
      <c r="U50" s="307">
        <f t="shared" si="21"/>
        <v>417</v>
      </c>
      <c r="V50" s="233">
        <v>2020</v>
      </c>
      <c r="W50" s="234" t="s">
        <v>31</v>
      </c>
      <c r="X50" s="221"/>
      <c r="Y50" s="221"/>
      <c r="Z50" s="221"/>
      <c r="AA50" s="388">
        <v>44517</v>
      </c>
      <c r="AB50" s="402" t="s">
        <v>491</v>
      </c>
      <c r="AC50" s="388" t="s">
        <v>506</v>
      </c>
      <c r="AD50" s="403">
        <v>550</v>
      </c>
      <c r="AE50" s="388" t="s">
        <v>104</v>
      </c>
      <c r="AF50" s="220"/>
      <c r="AG50" s="220"/>
      <c r="AH50" s="220"/>
      <c r="AI50" s="220"/>
      <c r="AJ50" s="220"/>
      <c r="AK50" s="220"/>
      <c r="AL50" s="220"/>
      <c r="AM50" s="220"/>
      <c r="AN50" s="220"/>
    </row>
    <row r="51" spans="1:40" ht="15.75" customHeight="1" x14ac:dyDescent="0.2">
      <c r="A51" s="234">
        <v>57630</v>
      </c>
      <c r="B51" s="233">
        <v>2020</v>
      </c>
      <c r="C51" s="234" t="s">
        <v>25</v>
      </c>
      <c r="D51" s="378">
        <v>30</v>
      </c>
      <c r="E51" s="252">
        <v>0</v>
      </c>
      <c r="F51" s="253"/>
      <c r="G51" s="253"/>
      <c r="H51" s="253"/>
      <c r="I51" s="253"/>
      <c r="J51" s="253"/>
      <c r="K51" s="253"/>
      <c r="L51" s="253"/>
      <c r="M51" s="253"/>
      <c r="N51" s="253"/>
      <c r="O51" s="253"/>
      <c r="P51" s="253"/>
      <c r="Q51" s="253"/>
      <c r="R51" s="335">
        <f t="shared" si="18"/>
        <v>0</v>
      </c>
      <c r="S51" s="263">
        <f t="shared" si="19"/>
        <v>0</v>
      </c>
      <c r="T51" s="336">
        <f t="shared" si="20"/>
        <v>0</v>
      </c>
      <c r="U51" s="307">
        <f t="shared" si="21"/>
        <v>0</v>
      </c>
      <c r="V51" s="233">
        <v>2020</v>
      </c>
      <c r="W51" s="234" t="s">
        <v>25</v>
      </c>
      <c r="X51" s="221"/>
      <c r="Y51" s="221"/>
      <c r="Z51" s="221"/>
      <c r="AA51" s="388">
        <v>44517</v>
      </c>
      <c r="AB51" s="402" t="s">
        <v>491</v>
      </c>
      <c r="AC51" s="388" t="s">
        <v>507</v>
      </c>
      <c r="AD51" s="403">
        <v>330</v>
      </c>
      <c r="AE51" s="388" t="s">
        <v>104</v>
      </c>
      <c r="AF51" s="220"/>
      <c r="AG51" s="220"/>
      <c r="AH51" s="220"/>
      <c r="AI51" s="220"/>
      <c r="AJ51" s="220"/>
      <c r="AK51" s="220"/>
      <c r="AL51" s="220"/>
      <c r="AM51" s="220"/>
      <c r="AN51" s="220"/>
    </row>
    <row r="52" spans="1:40" ht="15.75" customHeight="1" x14ac:dyDescent="0.2">
      <c r="A52" s="250">
        <v>34641</v>
      </c>
      <c r="B52" s="233">
        <v>2020</v>
      </c>
      <c r="C52" s="234" t="s">
        <v>118</v>
      </c>
      <c r="D52" s="380">
        <v>0</v>
      </c>
      <c r="E52" s="252">
        <v>403</v>
      </c>
      <c r="F52" s="253"/>
      <c r="G52" s="253"/>
      <c r="H52" s="253"/>
      <c r="I52" s="253"/>
      <c r="J52" s="253"/>
      <c r="K52" s="253"/>
      <c r="L52" s="253"/>
      <c r="M52" s="253"/>
      <c r="N52" s="253"/>
      <c r="O52" s="253"/>
      <c r="P52" s="253"/>
      <c r="Q52" s="253">
        <v>10</v>
      </c>
      <c r="R52" s="335">
        <f t="shared" si="18"/>
        <v>10</v>
      </c>
      <c r="S52" s="263">
        <f t="shared" si="19"/>
        <v>10</v>
      </c>
      <c r="T52" s="336">
        <f t="shared" si="20"/>
        <v>39.299999999999997</v>
      </c>
      <c r="U52" s="307">
        <f t="shared" si="21"/>
        <v>393</v>
      </c>
      <c r="V52" s="233">
        <v>2020</v>
      </c>
      <c r="W52" s="234" t="s">
        <v>118</v>
      </c>
      <c r="X52" s="221"/>
      <c r="Y52" s="221"/>
      <c r="Z52" s="221"/>
      <c r="AA52" s="388">
        <v>44517</v>
      </c>
      <c r="AB52" s="402" t="s">
        <v>491</v>
      </c>
      <c r="AC52" s="388" t="s">
        <v>508</v>
      </c>
      <c r="AD52" s="403">
        <v>330</v>
      </c>
      <c r="AE52" s="388" t="s">
        <v>104</v>
      </c>
      <c r="AF52" s="220"/>
      <c r="AG52" s="220"/>
      <c r="AH52" s="220"/>
      <c r="AI52" s="220"/>
      <c r="AJ52" s="220"/>
      <c r="AK52" s="220"/>
      <c r="AL52" s="220"/>
      <c r="AM52" s="220"/>
      <c r="AN52" s="220"/>
    </row>
    <row r="53" spans="1:40" ht="15.75" customHeight="1" x14ac:dyDescent="0.2">
      <c r="A53" s="234">
        <v>133688</v>
      </c>
      <c r="B53" s="233">
        <v>2020</v>
      </c>
      <c r="C53" s="234" t="s">
        <v>23</v>
      </c>
      <c r="D53" s="244">
        <v>39</v>
      </c>
      <c r="E53" s="252">
        <v>424</v>
      </c>
      <c r="F53" s="253"/>
      <c r="G53" s="253"/>
      <c r="H53" s="253"/>
      <c r="I53" s="253"/>
      <c r="J53" s="253"/>
      <c r="K53" s="253"/>
      <c r="L53" s="253"/>
      <c r="M53" s="253"/>
      <c r="N53" s="253"/>
      <c r="O53" s="253"/>
      <c r="P53" s="253"/>
      <c r="Q53" s="253">
        <v>26</v>
      </c>
      <c r="R53" s="335">
        <f t="shared" si="18"/>
        <v>26</v>
      </c>
      <c r="S53" s="263">
        <f t="shared" si="19"/>
        <v>26</v>
      </c>
      <c r="T53" s="336">
        <f t="shared" si="20"/>
        <v>15.307692307692308</v>
      </c>
      <c r="U53" s="307">
        <f t="shared" si="21"/>
        <v>398</v>
      </c>
      <c r="V53" s="233">
        <v>2020</v>
      </c>
      <c r="W53" s="234" t="s">
        <v>23</v>
      </c>
      <c r="X53" s="221"/>
      <c r="Y53" s="221"/>
      <c r="Z53" s="221"/>
      <c r="AA53" s="388">
        <v>44517</v>
      </c>
      <c r="AB53" s="402" t="s">
        <v>491</v>
      </c>
      <c r="AC53" s="388" t="s">
        <v>508</v>
      </c>
      <c r="AD53" s="403">
        <v>275</v>
      </c>
      <c r="AE53" s="388" t="s">
        <v>104</v>
      </c>
      <c r="AF53" s="220"/>
      <c r="AG53" s="220"/>
      <c r="AH53" s="220"/>
      <c r="AI53" s="220"/>
      <c r="AJ53" s="220"/>
      <c r="AK53" s="220"/>
      <c r="AL53" s="220"/>
      <c r="AM53" s="220"/>
      <c r="AN53" s="220"/>
    </row>
    <row r="54" spans="1:40" ht="15.75" customHeight="1" x14ac:dyDescent="0.2">
      <c r="A54" s="234">
        <v>133687</v>
      </c>
      <c r="B54" s="233">
        <v>2020</v>
      </c>
      <c r="C54" s="234" t="s">
        <v>93</v>
      </c>
      <c r="D54" s="244" t="s">
        <v>35</v>
      </c>
      <c r="E54" s="252">
        <v>236</v>
      </c>
      <c r="F54" s="253"/>
      <c r="G54" s="253"/>
      <c r="H54" s="253"/>
      <c r="I54" s="253"/>
      <c r="J54" s="253"/>
      <c r="K54" s="253"/>
      <c r="L54" s="253"/>
      <c r="M54" s="253"/>
      <c r="N54" s="253"/>
      <c r="O54" s="253"/>
      <c r="P54" s="253"/>
      <c r="Q54" s="253">
        <v>0</v>
      </c>
      <c r="R54" s="335">
        <f t="shared" si="18"/>
        <v>0</v>
      </c>
      <c r="S54" s="263">
        <f t="shared" si="19"/>
        <v>0</v>
      </c>
      <c r="T54" s="336">
        <f t="shared" si="20"/>
        <v>0</v>
      </c>
      <c r="U54" s="307">
        <f>SUM(E54-R54)</f>
        <v>236</v>
      </c>
      <c r="V54" s="233">
        <v>2020</v>
      </c>
      <c r="W54" s="234" t="s">
        <v>442</v>
      </c>
      <c r="X54" s="221"/>
      <c r="Y54" s="221"/>
      <c r="Z54" s="221"/>
      <c r="AA54" s="388">
        <v>44518</v>
      </c>
      <c r="AB54" s="402" t="s">
        <v>491</v>
      </c>
      <c r="AC54" s="388" t="s">
        <v>507</v>
      </c>
      <c r="AD54" s="403">
        <v>330</v>
      </c>
      <c r="AE54" s="388" t="s">
        <v>104</v>
      </c>
      <c r="AF54" s="220"/>
      <c r="AG54" s="220"/>
      <c r="AH54" s="220"/>
      <c r="AI54" s="220"/>
      <c r="AJ54" s="220"/>
      <c r="AK54" s="220"/>
      <c r="AL54" s="220"/>
      <c r="AM54" s="220"/>
      <c r="AN54" s="220"/>
    </row>
    <row r="55" spans="1:40" ht="15.75" customHeight="1" x14ac:dyDescent="0.2">
      <c r="A55" s="234">
        <v>27736</v>
      </c>
      <c r="B55" s="233">
        <v>2020</v>
      </c>
      <c r="C55" s="234" t="s">
        <v>56</v>
      </c>
      <c r="D55" s="244">
        <v>29</v>
      </c>
      <c r="E55" s="252">
        <v>345</v>
      </c>
      <c r="F55" s="253"/>
      <c r="G55" s="253"/>
      <c r="H55" s="253"/>
      <c r="I55" s="253"/>
      <c r="J55" s="253"/>
      <c r="K55" s="253"/>
      <c r="L55" s="253"/>
      <c r="M55" s="253"/>
      <c r="N55" s="253"/>
      <c r="O55" s="253"/>
      <c r="P55" s="253"/>
      <c r="Q55" s="253">
        <v>23</v>
      </c>
      <c r="R55" s="335">
        <f t="shared" ref="R55:R59" si="22">SUM(F55:Q55)</f>
        <v>23</v>
      </c>
      <c r="S55" s="263">
        <f t="shared" ref="S55:S60" si="23">IFERROR((AVERAGE(F55:Q55)),0)</f>
        <v>23</v>
      </c>
      <c r="T55" s="336">
        <f t="shared" ref="T55:T60" si="24">IFERROR((U55/S55),0)</f>
        <v>14</v>
      </c>
      <c r="U55" s="307">
        <f t="shared" ref="U55:U68" si="25">SUM(E55-R55)</f>
        <v>322</v>
      </c>
      <c r="V55" s="233">
        <v>2020</v>
      </c>
      <c r="W55" s="234" t="s">
        <v>56</v>
      </c>
      <c r="X55" s="221"/>
      <c r="Y55" s="221"/>
      <c r="Z55" s="221"/>
      <c r="AA55" s="388">
        <v>44518</v>
      </c>
      <c r="AB55" s="402" t="s">
        <v>491</v>
      </c>
      <c r="AC55" s="388" t="s">
        <v>509</v>
      </c>
      <c r="AD55" s="403">
        <v>550</v>
      </c>
      <c r="AE55" s="388" t="s">
        <v>104</v>
      </c>
      <c r="AF55" s="220"/>
      <c r="AG55" s="220"/>
      <c r="AH55" s="220"/>
      <c r="AI55" s="220"/>
      <c r="AJ55" s="220"/>
      <c r="AK55" s="220"/>
      <c r="AL55" s="220"/>
      <c r="AM55" s="220"/>
      <c r="AN55" s="220"/>
    </row>
    <row r="56" spans="1:40" ht="15.75" customHeight="1" x14ac:dyDescent="0.2">
      <c r="A56" s="234">
        <v>135370</v>
      </c>
      <c r="B56" s="233">
        <v>2020</v>
      </c>
      <c r="C56" s="234" t="s">
        <v>217</v>
      </c>
      <c r="D56" s="244"/>
      <c r="E56" s="252">
        <v>319</v>
      </c>
      <c r="F56" s="253"/>
      <c r="G56" s="253"/>
      <c r="H56" s="253"/>
      <c r="I56" s="253"/>
      <c r="J56" s="253"/>
      <c r="K56" s="253"/>
      <c r="L56" s="253"/>
      <c r="M56" s="253"/>
      <c r="N56" s="253"/>
      <c r="O56" s="253"/>
      <c r="P56" s="253"/>
      <c r="Q56" s="253">
        <v>31</v>
      </c>
      <c r="R56" s="335">
        <f t="shared" ref="R56" si="26">SUM(F56:Q56)</f>
        <v>31</v>
      </c>
      <c r="S56" s="263">
        <f t="shared" ref="S56" si="27">IFERROR((AVERAGE(F56:Q56)),0)</f>
        <v>31</v>
      </c>
      <c r="T56" s="336">
        <f t="shared" ref="T56" si="28">IFERROR((U56/S56),0)</f>
        <v>9.2903225806451619</v>
      </c>
      <c r="U56" s="307">
        <f t="shared" ref="U56" si="29">SUM(E56-R56)</f>
        <v>288</v>
      </c>
      <c r="V56" s="233">
        <v>2020</v>
      </c>
      <c r="W56" s="234" t="s">
        <v>480</v>
      </c>
      <c r="X56" s="221"/>
      <c r="Y56" s="221"/>
      <c r="Z56" s="221"/>
      <c r="AA56" s="388">
        <v>44528</v>
      </c>
      <c r="AB56" s="402" t="s">
        <v>418</v>
      </c>
      <c r="AC56" s="388" t="s">
        <v>510</v>
      </c>
      <c r="AD56" s="403">
        <v>125</v>
      </c>
      <c r="AE56" s="388" t="s">
        <v>104</v>
      </c>
      <c r="AF56" s="220"/>
      <c r="AG56" s="220"/>
      <c r="AH56" s="220"/>
      <c r="AI56" s="220"/>
      <c r="AJ56" s="220"/>
      <c r="AK56" s="220"/>
      <c r="AL56" s="220"/>
      <c r="AM56" s="220"/>
      <c r="AN56" s="220"/>
    </row>
    <row r="57" spans="1:40" ht="15.75" customHeight="1" x14ac:dyDescent="0.2">
      <c r="A57" s="234">
        <v>135371</v>
      </c>
      <c r="B57" s="233">
        <v>2020</v>
      </c>
      <c r="C57" s="234" t="s">
        <v>291</v>
      </c>
      <c r="D57" s="376">
        <v>0</v>
      </c>
      <c r="E57" s="252">
        <v>139</v>
      </c>
      <c r="F57" s="253"/>
      <c r="G57" s="253"/>
      <c r="H57" s="253"/>
      <c r="I57" s="253"/>
      <c r="J57" s="253"/>
      <c r="K57" s="253"/>
      <c r="L57" s="253"/>
      <c r="M57" s="253"/>
      <c r="N57" s="253"/>
      <c r="O57" s="253"/>
      <c r="P57" s="253"/>
      <c r="Q57" s="253">
        <v>0</v>
      </c>
      <c r="R57" s="335">
        <f t="shared" si="22"/>
        <v>0</v>
      </c>
      <c r="S57" s="263">
        <f t="shared" si="23"/>
        <v>0</v>
      </c>
      <c r="T57" s="336">
        <f t="shared" si="24"/>
        <v>0</v>
      </c>
      <c r="U57" s="307">
        <f t="shared" si="25"/>
        <v>139</v>
      </c>
      <c r="V57" s="233">
        <v>2020</v>
      </c>
      <c r="W57" s="234" t="s">
        <v>291</v>
      </c>
      <c r="X57" s="221"/>
      <c r="Y57" s="221"/>
      <c r="Z57" s="221"/>
      <c r="AA57" s="388">
        <v>44543</v>
      </c>
      <c r="AB57" s="402" t="s">
        <v>491</v>
      </c>
      <c r="AC57" s="388" t="s">
        <v>511</v>
      </c>
      <c r="AD57" s="403">
        <v>550</v>
      </c>
      <c r="AE57" s="388" t="s">
        <v>104</v>
      </c>
      <c r="AF57" s="220"/>
      <c r="AG57" s="220"/>
      <c r="AH57" s="220"/>
      <c r="AI57" s="220"/>
      <c r="AJ57" s="220"/>
      <c r="AK57" s="220"/>
      <c r="AL57" s="220"/>
      <c r="AM57" s="220"/>
      <c r="AN57" s="220"/>
    </row>
    <row r="58" spans="1:40" ht="15.75" customHeight="1" x14ac:dyDescent="0.2">
      <c r="A58" s="234">
        <v>133687</v>
      </c>
      <c r="B58" s="233">
        <v>2020</v>
      </c>
      <c r="C58" s="234" t="s">
        <v>277</v>
      </c>
      <c r="D58" s="244">
        <v>54</v>
      </c>
      <c r="E58" s="252">
        <v>666</v>
      </c>
      <c r="F58" s="253"/>
      <c r="G58" s="253"/>
      <c r="H58" s="253"/>
      <c r="I58" s="253"/>
      <c r="J58" s="253"/>
      <c r="K58" s="253"/>
      <c r="L58" s="253"/>
      <c r="M58" s="253"/>
      <c r="N58" s="253"/>
      <c r="O58" s="253"/>
      <c r="P58" s="253"/>
      <c r="Q58" s="253">
        <v>0</v>
      </c>
      <c r="R58" s="335">
        <f t="shared" si="22"/>
        <v>0</v>
      </c>
      <c r="S58" s="263">
        <f t="shared" si="23"/>
        <v>0</v>
      </c>
      <c r="T58" s="336">
        <f t="shared" si="24"/>
        <v>0</v>
      </c>
      <c r="U58" s="307">
        <f t="shared" si="25"/>
        <v>666</v>
      </c>
      <c r="V58" s="233">
        <v>2020</v>
      </c>
      <c r="W58" s="234" t="s">
        <v>277</v>
      </c>
      <c r="X58" s="221"/>
      <c r="Y58" s="221"/>
      <c r="Z58" s="221"/>
      <c r="AA58" s="388">
        <v>44543</v>
      </c>
      <c r="AB58" s="402" t="s">
        <v>491</v>
      </c>
      <c r="AC58" s="388" t="s">
        <v>437</v>
      </c>
      <c r="AD58" s="403">
        <v>330</v>
      </c>
      <c r="AE58" s="388" t="s">
        <v>104</v>
      </c>
      <c r="AF58" s="220"/>
      <c r="AG58" s="220"/>
      <c r="AH58" s="220"/>
      <c r="AI58" s="220"/>
      <c r="AJ58" s="220"/>
      <c r="AK58" s="220"/>
      <c r="AL58" s="220"/>
      <c r="AM58" s="220"/>
      <c r="AN58" s="220"/>
    </row>
    <row r="59" spans="1:40" ht="15.75" customHeight="1" x14ac:dyDescent="0.2">
      <c r="A59" s="234"/>
      <c r="B59" s="233" t="s">
        <v>467</v>
      </c>
      <c r="C59" s="234" t="s">
        <v>94</v>
      </c>
      <c r="D59" s="244">
        <v>0</v>
      </c>
      <c r="E59" s="252">
        <v>599</v>
      </c>
      <c r="F59" s="253"/>
      <c r="G59" s="253"/>
      <c r="H59" s="253"/>
      <c r="I59" s="253"/>
      <c r="J59" s="253"/>
      <c r="K59" s="253"/>
      <c r="L59" s="253"/>
      <c r="M59" s="253"/>
      <c r="N59" s="253"/>
      <c r="O59" s="253"/>
      <c r="P59" s="253"/>
      <c r="Q59" s="253">
        <v>3</v>
      </c>
      <c r="R59" s="335">
        <f t="shared" si="22"/>
        <v>3</v>
      </c>
      <c r="S59" s="263">
        <f t="shared" si="23"/>
        <v>3</v>
      </c>
      <c r="T59" s="336">
        <f t="shared" si="24"/>
        <v>198.66666666666666</v>
      </c>
      <c r="U59" s="307">
        <f t="shared" si="25"/>
        <v>596</v>
      </c>
      <c r="V59" s="233" t="s">
        <v>467</v>
      </c>
      <c r="W59" s="234" t="s">
        <v>94</v>
      </c>
      <c r="X59" s="221"/>
      <c r="Y59" s="221"/>
      <c r="Z59" s="221"/>
      <c r="AA59" s="388">
        <v>44550</v>
      </c>
      <c r="AB59" s="402" t="s">
        <v>491</v>
      </c>
      <c r="AC59" s="388" t="s">
        <v>512</v>
      </c>
      <c r="AD59" s="403">
        <v>275</v>
      </c>
      <c r="AE59" s="388" t="s">
        <v>104</v>
      </c>
      <c r="AF59" s="220"/>
      <c r="AG59" s="220"/>
      <c r="AH59" s="220"/>
      <c r="AI59" s="220"/>
      <c r="AJ59" s="220"/>
      <c r="AK59" s="220"/>
      <c r="AL59" s="220"/>
      <c r="AM59" s="220"/>
      <c r="AN59" s="220"/>
    </row>
    <row r="60" spans="1:40" ht="15.75" customHeight="1" x14ac:dyDescent="0.25">
      <c r="A60" s="234"/>
      <c r="B60" s="233"/>
      <c r="C60" s="234" t="s">
        <v>417</v>
      </c>
      <c r="D60" s="244"/>
      <c r="E60" s="426">
        <v>73</v>
      </c>
      <c r="F60" s="252"/>
      <c r="G60" s="252"/>
      <c r="H60" s="252"/>
      <c r="I60" s="252"/>
      <c r="J60" s="252"/>
      <c r="K60" s="252"/>
      <c r="L60" s="252"/>
      <c r="M60" s="252">
        <v>0</v>
      </c>
      <c r="N60" s="252">
        <v>8</v>
      </c>
      <c r="O60" s="252">
        <v>11</v>
      </c>
      <c r="P60" s="252">
        <v>13</v>
      </c>
      <c r="Q60" s="252">
        <v>8</v>
      </c>
      <c r="R60" s="335">
        <f t="shared" ref="R60:R68" si="30">SUM(F60:Q60)</f>
        <v>40</v>
      </c>
      <c r="S60" s="263">
        <f t="shared" si="23"/>
        <v>8</v>
      </c>
      <c r="T60" s="336">
        <f t="shared" si="24"/>
        <v>4.125</v>
      </c>
      <c r="U60" s="307">
        <f t="shared" si="25"/>
        <v>33</v>
      </c>
      <c r="V60" s="233"/>
      <c r="W60" s="234" t="s">
        <v>443</v>
      </c>
      <c r="X60" s="221"/>
      <c r="Y60" s="221"/>
      <c r="Z60" s="221"/>
      <c r="AA60" s="388">
        <v>44550</v>
      </c>
      <c r="AB60" s="402" t="s">
        <v>491</v>
      </c>
      <c r="AC60" s="388" t="s">
        <v>513</v>
      </c>
      <c r="AD60" s="403">
        <v>275</v>
      </c>
      <c r="AE60" s="388" t="s">
        <v>104</v>
      </c>
      <c r="AF60" s="220"/>
      <c r="AG60" s="220"/>
      <c r="AH60" s="220"/>
      <c r="AI60" s="220"/>
      <c r="AJ60" s="220"/>
      <c r="AK60" s="220"/>
      <c r="AL60" s="220"/>
      <c r="AM60" s="220"/>
      <c r="AN60" s="220"/>
    </row>
    <row r="61" spans="1:40" ht="15.75" customHeight="1" x14ac:dyDescent="0.2">
      <c r="A61" s="226"/>
      <c r="B61" s="342"/>
      <c r="C61" s="226"/>
      <c r="D61" s="226"/>
      <c r="E61" s="338"/>
      <c r="F61" s="338"/>
      <c r="G61" s="338"/>
      <c r="H61" s="338"/>
      <c r="I61" s="338"/>
      <c r="J61" s="338"/>
      <c r="K61" s="338"/>
      <c r="L61" s="338"/>
      <c r="M61" s="338"/>
      <c r="N61" s="338"/>
      <c r="O61" s="338"/>
      <c r="P61" s="338"/>
      <c r="Q61" s="338"/>
      <c r="R61" s="243">
        <f t="shared" si="30"/>
        <v>0</v>
      </c>
      <c r="S61" s="339"/>
      <c r="T61" s="340"/>
      <c r="U61" s="320">
        <f t="shared" si="25"/>
        <v>0</v>
      </c>
      <c r="V61" s="342"/>
      <c r="W61" s="226"/>
      <c r="X61" s="221"/>
      <c r="Y61" s="221"/>
      <c r="Z61" s="221"/>
      <c r="AA61" s="388">
        <v>44550</v>
      </c>
      <c r="AB61" s="402" t="s">
        <v>491</v>
      </c>
      <c r="AC61" s="388" t="s">
        <v>438</v>
      </c>
      <c r="AD61" s="403">
        <v>330</v>
      </c>
      <c r="AE61" s="388" t="s">
        <v>104</v>
      </c>
      <c r="AF61" s="220"/>
      <c r="AG61" s="220"/>
      <c r="AH61" s="220"/>
      <c r="AI61" s="220"/>
      <c r="AJ61" s="220"/>
      <c r="AK61" s="220"/>
      <c r="AL61" s="220"/>
      <c r="AM61" s="220"/>
      <c r="AN61" s="220"/>
    </row>
    <row r="62" spans="1:40" x14ac:dyDescent="0.2">
      <c r="A62" s="234"/>
      <c r="B62" s="233">
        <v>2015</v>
      </c>
      <c r="C62" s="234"/>
      <c r="D62" s="235"/>
      <c r="E62" s="263">
        <f t="shared" ref="E62:P62" si="31">SUM(E9:E9)</f>
        <v>175</v>
      </c>
      <c r="F62" s="263">
        <f t="shared" si="31"/>
        <v>0</v>
      </c>
      <c r="G62" s="263">
        <f t="shared" si="31"/>
        <v>0</v>
      </c>
      <c r="H62" s="263">
        <f t="shared" si="31"/>
        <v>0</v>
      </c>
      <c r="I62" s="263">
        <f t="shared" si="31"/>
        <v>0</v>
      </c>
      <c r="J62" s="263">
        <f t="shared" si="31"/>
        <v>0</v>
      </c>
      <c r="K62" s="263">
        <f>SUM(K9:K9)</f>
        <v>1</v>
      </c>
      <c r="L62" s="263">
        <f>SUM(L9:L9)</f>
        <v>1</v>
      </c>
      <c r="M62" s="263">
        <f>SUM(M9:M9)</f>
        <v>4</v>
      </c>
      <c r="N62" s="263">
        <f t="shared" si="31"/>
        <v>3</v>
      </c>
      <c r="O62" s="263">
        <f>SUM(O9:O9)</f>
        <v>0</v>
      </c>
      <c r="P62" s="263">
        <f t="shared" si="31"/>
        <v>1</v>
      </c>
      <c r="Q62" s="263">
        <f>SUM(Q9:Q9)</f>
        <v>0</v>
      </c>
      <c r="R62" s="335">
        <f t="shared" si="30"/>
        <v>10</v>
      </c>
      <c r="S62" s="263">
        <f>AVERAGE(F62:Q62)</f>
        <v>0.83333333333333337</v>
      </c>
      <c r="T62" s="336">
        <f>U62/S62</f>
        <v>198</v>
      </c>
      <c r="U62" s="307">
        <f t="shared" si="25"/>
        <v>165</v>
      </c>
      <c r="V62" s="233">
        <v>2015</v>
      </c>
      <c r="W62" s="234"/>
      <c r="X62" s="221"/>
      <c r="Y62" s="221"/>
      <c r="Z62" s="221"/>
      <c r="AA62" s="388">
        <v>44550</v>
      </c>
      <c r="AB62" s="402" t="s">
        <v>491</v>
      </c>
      <c r="AC62" s="388" t="s">
        <v>499</v>
      </c>
      <c r="AD62" s="403">
        <v>275</v>
      </c>
      <c r="AE62" s="388" t="s">
        <v>104</v>
      </c>
      <c r="AF62" s="220"/>
      <c r="AG62" s="220"/>
      <c r="AH62" s="220"/>
      <c r="AI62" s="220"/>
      <c r="AJ62" s="220"/>
      <c r="AK62" s="220"/>
      <c r="AL62" s="220"/>
      <c r="AM62" s="220"/>
      <c r="AN62" s="220"/>
    </row>
    <row r="63" spans="1:40" x14ac:dyDescent="0.2">
      <c r="A63" s="234"/>
      <c r="B63" s="233">
        <v>2016</v>
      </c>
      <c r="C63" s="234"/>
      <c r="D63" s="235"/>
      <c r="E63" s="263">
        <f t="shared" ref="E63:P63" si="32">SUM(E11:E11)</f>
        <v>70</v>
      </c>
      <c r="F63" s="263">
        <f t="shared" si="32"/>
        <v>13</v>
      </c>
      <c r="G63" s="263">
        <f t="shared" si="32"/>
        <v>15</v>
      </c>
      <c r="H63" s="263">
        <f t="shared" si="32"/>
        <v>16</v>
      </c>
      <c r="I63" s="263">
        <f t="shared" si="32"/>
        <v>22</v>
      </c>
      <c r="J63" s="263">
        <f t="shared" si="32"/>
        <v>4</v>
      </c>
      <c r="K63" s="263">
        <f t="shared" si="32"/>
        <v>0</v>
      </c>
      <c r="L63" s="263">
        <f t="shared" si="32"/>
        <v>0</v>
      </c>
      <c r="M63" s="263">
        <f>SUM(M11:M11)</f>
        <v>0</v>
      </c>
      <c r="N63" s="263">
        <f t="shared" si="32"/>
        <v>0</v>
      </c>
      <c r="O63" s="263">
        <f>SUM(O11:O11)</f>
        <v>0</v>
      </c>
      <c r="P63" s="263">
        <f t="shared" si="32"/>
        <v>0</v>
      </c>
      <c r="Q63" s="263">
        <f>SUM(Q11:Q11)</f>
        <v>0</v>
      </c>
      <c r="R63" s="335">
        <f t="shared" si="30"/>
        <v>70</v>
      </c>
      <c r="S63" s="263">
        <f t="shared" ref="S63:S68" si="33">AVERAGE(F63:Q63)</f>
        <v>5.833333333333333</v>
      </c>
      <c r="T63" s="336">
        <f t="shared" ref="T63:T67" si="34">U63/S63</f>
        <v>0</v>
      </c>
      <c r="U63" s="307">
        <f t="shared" si="25"/>
        <v>0</v>
      </c>
      <c r="V63" s="233">
        <v>2016</v>
      </c>
      <c r="W63" s="234"/>
      <c r="X63" s="221"/>
      <c r="Y63" s="221"/>
      <c r="Z63" s="221"/>
      <c r="AA63" s="388">
        <v>44550</v>
      </c>
      <c r="AB63" s="402" t="s">
        <v>491</v>
      </c>
      <c r="AC63" s="388" t="s">
        <v>499</v>
      </c>
      <c r="AD63" s="403">
        <v>330</v>
      </c>
      <c r="AE63" s="388" t="s">
        <v>104</v>
      </c>
      <c r="AF63" s="220"/>
      <c r="AG63" s="220"/>
      <c r="AH63" s="220"/>
      <c r="AI63" s="220"/>
      <c r="AJ63" s="220"/>
      <c r="AK63" s="220"/>
      <c r="AL63" s="220"/>
      <c r="AM63" s="220"/>
      <c r="AN63" s="220"/>
    </row>
    <row r="64" spans="1:40" ht="14.25" customHeight="1" x14ac:dyDescent="0.2">
      <c r="A64" s="234"/>
      <c r="B64" s="233">
        <v>2017</v>
      </c>
      <c r="C64" s="234"/>
      <c r="D64" s="235"/>
      <c r="E64" s="263">
        <f t="shared" ref="E64:P64" si="35">SUM(E13:E20)</f>
        <v>1312</v>
      </c>
      <c r="F64" s="263">
        <f t="shared" si="35"/>
        <v>98</v>
      </c>
      <c r="G64" s="263">
        <f t="shared" si="35"/>
        <v>115</v>
      </c>
      <c r="H64" s="263">
        <f t="shared" si="35"/>
        <v>116</v>
      </c>
      <c r="I64" s="263">
        <f>SUM(I13:I20)</f>
        <v>112</v>
      </c>
      <c r="J64" s="263">
        <f t="shared" si="35"/>
        <v>98</v>
      </c>
      <c r="K64" s="263">
        <f>SUM(K13:K20)</f>
        <v>121</v>
      </c>
      <c r="L64" s="263">
        <f>SUM(L13:L20)</f>
        <v>64</v>
      </c>
      <c r="M64" s="263">
        <f>SUM(M13:M20)</f>
        <v>64</v>
      </c>
      <c r="N64" s="263">
        <f t="shared" si="35"/>
        <v>72</v>
      </c>
      <c r="O64" s="263">
        <f>SUM(O13:O20)</f>
        <v>90</v>
      </c>
      <c r="P64" s="263">
        <f t="shared" si="35"/>
        <v>113</v>
      </c>
      <c r="Q64" s="263">
        <f>SUM(Q13:Q20)</f>
        <v>51</v>
      </c>
      <c r="R64" s="335">
        <f t="shared" si="30"/>
        <v>1114</v>
      </c>
      <c r="S64" s="263">
        <f t="shared" si="33"/>
        <v>92.833333333333329</v>
      </c>
      <c r="T64" s="336">
        <f t="shared" si="34"/>
        <v>2.1328545780969481</v>
      </c>
      <c r="U64" s="307">
        <f t="shared" si="25"/>
        <v>198</v>
      </c>
      <c r="V64" s="233">
        <v>2017</v>
      </c>
      <c r="W64" s="234"/>
      <c r="X64" s="221"/>
      <c r="Y64" s="221"/>
      <c r="Z64" s="221"/>
      <c r="AA64" s="388"/>
      <c r="AB64" s="402"/>
      <c r="AC64" s="388"/>
      <c r="AD64" s="403"/>
      <c r="AE64" s="388"/>
      <c r="AF64" s="220"/>
      <c r="AG64" s="220"/>
      <c r="AH64" s="220"/>
      <c r="AI64" s="220"/>
      <c r="AJ64" s="220"/>
      <c r="AK64" s="220"/>
      <c r="AL64" s="220"/>
      <c r="AM64" s="220"/>
      <c r="AN64" s="220"/>
    </row>
    <row r="65" spans="1:40" x14ac:dyDescent="0.2">
      <c r="A65" s="234"/>
      <c r="B65" s="233">
        <v>2018</v>
      </c>
      <c r="C65" s="234"/>
      <c r="D65" s="235"/>
      <c r="E65" s="263">
        <f t="shared" ref="E65:P65" si="36">SUM(E22:E32)</f>
        <v>3929</v>
      </c>
      <c r="F65" s="263">
        <f t="shared" si="36"/>
        <v>81</v>
      </c>
      <c r="G65" s="263">
        <f t="shared" si="36"/>
        <v>110</v>
      </c>
      <c r="H65" s="263">
        <f t="shared" si="36"/>
        <v>82</v>
      </c>
      <c r="I65" s="263">
        <f>SUM(I22:I32)</f>
        <v>100</v>
      </c>
      <c r="J65" s="263">
        <f t="shared" si="36"/>
        <v>196</v>
      </c>
      <c r="K65" s="263">
        <f>SUM(K22:K32)</f>
        <v>167</v>
      </c>
      <c r="L65" s="263">
        <f>SUM(L22:L32)</f>
        <v>155</v>
      </c>
      <c r="M65" s="263">
        <f>SUM(M22:M32)</f>
        <v>197</v>
      </c>
      <c r="N65" s="263">
        <f t="shared" si="36"/>
        <v>165</v>
      </c>
      <c r="O65" s="263">
        <f>SUM(O22:O32)</f>
        <v>183</v>
      </c>
      <c r="P65" s="263">
        <f t="shared" si="36"/>
        <v>281</v>
      </c>
      <c r="Q65" s="263">
        <f>SUM(Q22:Q32)</f>
        <v>216</v>
      </c>
      <c r="R65" s="335">
        <f t="shared" si="30"/>
        <v>1933</v>
      </c>
      <c r="S65" s="263">
        <f t="shared" si="33"/>
        <v>161.08333333333334</v>
      </c>
      <c r="T65" s="336">
        <f t="shared" si="34"/>
        <v>12.391101914123125</v>
      </c>
      <c r="U65" s="307">
        <f t="shared" si="25"/>
        <v>1996</v>
      </c>
      <c r="V65" s="233">
        <v>2018</v>
      </c>
      <c r="W65" s="234"/>
      <c r="X65" s="221"/>
      <c r="Y65" s="221"/>
      <c r="Z65" s="221"/>
      <c r="AA65" s="388"/>
      <c r="AB65" s="402"/>
      <c r="AC65" s="388"/>
      <c r="AD65" s="403"/>
      <c r="AE65" s="388"/>
      <c r="AF65" s="220"/>
      <c r="AG65" s="220"/>
      <c r="AH65" s="220"/>
      <c r="AI65" s="220"/>
      <c r="AJ65" s="220"/>
      <c r="AK65" s="220"/>
      <c r="AL65" s="220"/>
      <c r="AM65" s="220"/>
      <c r="AN65" s="220"/>
    </row>
    <row r="66" spans="1:40" x14ac:dyDescent="0.2">
      <c r="A66" s="234"/>
      <c r="B66" s="233">
        <v>2019</v>
      </c>
      <c r="C66" s="234"/>
      <c r="D66" s="256"/>
      <c r="E66" s="263">
        <f t="shared" ref="E66:P66" si="37">SUM(E34:E46)</f>
        <v>5303</v>
      </c>
      <c r="F66" s="263">
        <f t="shared" si="37"/>
        <v>198</v>
      </c>
      <c r="G66" s="263">
        <f t="shared" si="37"/>
        <v>59</v>
      </c>
      <c r="H66" s="263">
        <f t="shared" si="37"/>
        <v>113</v>
      </c>
      <c r="I66" s="263">
        <f>SUM(I34:I46)</f>
        <v>185</v>
      </c>
      <c r="J66" s="263">
        <f t="shared" si="37"/>
        <v>90</v>
      </c>
      <c r="K66" s="263">
        <f>SUM(K34:K46)</f>
        <v>97</v>
      </c>
      <c r="L66" s="263">
        <f>SUM(L34:L46)</f>
        <v>118</v>
      </c>
      <c r="M66" s="263">
        <f>SUM(M34:M46)</f>
        <v>83</v>
      </c>
      <c r="N66" s="263">
        <f t="shared" si="37"/>
        <v>65</v>
      </c>
      <c r="O66" s="263">
        <f>SUM(O34:O46)</f>
        <v>26</v>
      </c>
      <c r="P66" s="263">
        <f t="shared" si="37"/>
        <v>254</v>
      </c>
      <c r="Q66" s="263">
        <f>SUM(Q34:Q46)</f>
        <v>98</v>
      </c>
      <c r="R66" s="335">
        <f t="shared" si="30"/>
        <v>1386</v>
      </c>
      <c r="S66" s="263">
        <f t="shared" si="33"/>
        <v>115.5</v>
      </c>
      <c r="T66" s="336">
        <f t="shared" si="34"/>
        <v>33.913419913419915</v>
      </c>
      <c r="U66" s="307">
        <f t="shared" si="25"/>
        <v>3917</v>
      </c>
      <c r="V66" s="233">
        <v>2019</v>
      </c>
      <c r="W66" s="234"/>
      <c r="X66" s="221"/>
      <c r="Y66" s="221"/>
      <c r="Z66" s="221"/>
      <c r="AA66" s="388"/>
      <c r="AB66" s="402"/>
      <c r="AC66" s="388"/>
      <c r="AD66" s="403"/>
      <c r="AE66" s="388"/>
      <c r="AF66" s="220"/>
      <c r="AG66" s="220"/>
      <c r="AH66" s="220"/>
      <c r="AI66" s="220"/>
      <c r="AJ66" s="220"/>
      <c r="AK66" s="220"/>
      <c r="AL66" s="220"/>
      <c r="AM66" s="220"/>
      <c r="AN66" s="220"/>
    </row>
    <row r="67" spans="1:40" ht="18" x14ac:dyDescent="0.25">
      <c r="A67" s="234"/>
      <c r="B67" s="233">
        <v>2020</v>
      </c>
      <c r="C67" s="234"/>
      <c r="D67" s="421"/>
      <c r="E67" s="263">
        <f t="shared" ref="E67:P67" si="38">SUM(E48:E60)</f>
        <v>4072</v>
      </c>
      <c r="F67" s="263">
        <f t="shared" si="38"/>
        <v>0</v>
      </c>
      <c r="G67" s="263">
        <f t="shared" si="38"/>
        <v>0</v>
      </c>
      <c r="H67" s="263">
        <f t="shared" si="38"/>
        <v>0</v>
      </c>
      <c r="I67" s="263">
        <f>SUM(I48:I60)</f>
        <v>23</v>
      </c>
      <c r="J67" s="263">
        <f t="shared" si="38"/>
        <v>55</v>
      </c>
      <c r="K67" s="263">
        <f>SUM(K48:K60)</f>
        <v>37</v>
      </c>
      <c r="L67" s="263">
        <f>SUM(L48:L60)</f>
        <v>23</v>
      </c>
      <c r="M67" s="263">
        <f>SUM(M48:M60)</f>
        <v>28</v>
      </c>
      <c r="N67" s="263">
        <f t="shared" si="38"/>
        <v>38</v>
      </c>
      <c r="O67" s="263">
        <f>SUM(O48:O60)</f>
        <v>35</v>
      </c>
      <c r="P67" s="263">
        <f t="shared" si="38"/>
        <v>42</v>
      </c>
      <c r="Q67" s="263">
        <f>SUM(Q48:Q60)</f>
        <v>123</v>
      </c>
      <c r="R67" s="335">
        <f t="shared" si="30"/>
        <v>404</v>
      </c>
      <c r="S67" s="263">
        <f t="shared" si="33"/>
        <v>33.666666666666664</v>
      </c>
      <c r="T67" s="336">
        <f t="shared" si="34"/>
        <v>108.95049504950495</v>
      </c>
      <c r="U67" s="307">
        <f t="shared" si="25"/>
        <v>3668</v>
      </c>
      <c r="V67" s="233">
        <v>2020</v>
      </c>
      <c r="W67" s="234"/>
      <c r="X67" s="221"/>
      <c r="Y67" s="221"/>
      <c r="Z67" s="221"/>
      <c r="AA67" s="395"/>
      <c r="AB67" s="396"/>
      <c r="AC67" s="397"/>
      <c r="AD67" s="403"/>
      <c r="AE67" s="398"/>
      <c r="AF67" s="220"/>
      <c r="AG67" s="220"/>
      <c r="AH67" s="220"/>
      <c r="AI67" s="220"/>
      <c r="AJ67" s="220"/>
      <c r="AK67" s="220"/>
      <c r="AL67" s="220"/>
      <c r="AM67" s="220"/>
      <c r="AN67" s="220"/>
    </row>
    <row r="68" spans="1:40" ht="18" x14ac:dyDescent="0.25">
      <c r="A68" s="409"/>
      <c r="B68" s="412" t="s">
        <v>59</v>
      </c>
      <c r="C68" s="409"/>
      <c r="D68" s="413"/>
      <c r="E68" s="414">
        <f>SUM(E62:E67)</f>
        <v>14861</v>
      </c>
      <c r="F68" s="414">
        <f t="shared" ref="F68:P68" si="39">SUM(F62:F67)</f>
        <v>390</v>
      </c>
      <c r="G68" s="414">
        <f t="shared" si="39"/>
        <v>299</v>
      </c>
      <c r="H68" s="414">
        <f t="shared" si="39"/>
        <v>327</v>
      </c>
      <c r="I68" s="414">
        <f t="shared" si="39"/>
        <v>442</v>
      </c>
      <c r="J68" s="414">
        <f t="shared" si="39"/>
        <v>443</v>
      </c>
      <c r="K68" s="414">
        <f t="shared" si="39"/>
        <v>423</v>
      </c>
      <c r="L68" s="414">
        <f t="shared" si="39"/>
        <v>361</v>
      </c>
      <c r="M68" s="414">
        <f t="shared" si="39"/>
        <v>376</v>
      </c>
      <c r="N68" s="414">
        <f t="shared" si="39"/>
        <v>343</v>
      </c>
      <c r="O68" s="414">
        <f t="shared" si="39"/>
        <v>334</v>
      </c>
      <c r="P68" s="414">
        <f t="shared" si="39"/>
        <v>691</v>
      </c>
      <c r="Q68" s="414">
        <f>SUM(Q62:Q67)</f>
        <v>488</v>
      </c>
      <c r="R68" s="335">
        <f t="shared" si="30"/>
        <v>4917</v>
      </c>
      <c r="S68" s="414">
        <f t="shared" si="33"/>
        <v>409.75</v>
      </c>
      <c r="T68" s="416">
        <f>U68/S68</f>
        <v>24.268456375838927</v>
      </c>
      <c r="U68" s="427">
        <f t="shared" si="25"/>
        <v>9944</v>
      </c>
      <c r="V68" s="412" t="s">
        <v>59</v>
      </c>
      <c r="W68" s="409"/>
      <c r="X68" s="221"/>
      <c r="Y68" s="221"/>
      <c r="Z68" s="221"/>
      <c r="AA68" s="395"/>
      <c r="AB68" s="396"/>
      <c r="AC68" s="397"/>
      <c r="AD68" s="403"/>
      <c r="AE68" s="398"/>
      <c r="AF68" s="220"/>
      <c r="AG68" s="220"/>
      <c r="AH68" s="220"/>
      <c r="AI68" s="220"/>
      <c r="AJ68" s="220"/>
      <c r="AK68" s="220"/>
      <c r="AL68" s="220"/>
      <c r="AM68" s="220"/>
      <c r="AN68" s="220"/>
    </row>
    <row r="69" spans="1:40" s="407" customFormat="1" ht="18" x14ac:dyDescent="0.25">
      <c r="A69" s="226"/>
      <c r="B69" s="269"/>
      <c r="C69" s="269"/>
      <c r="D69" s="226"/>
      <c r="E69" s="271"/>
      <c r="F69" s="271"/>
      <c r="G69" s="271"/>
      <c r="H69" s="271"/>
      <c r="I69" s="271"/>
      <c r="J69" s="271"/>
      <c r="K69" s="272"/>
      <c r="L69" s="272"/>
      <c r="M69" s="272"/>
      <c r="N69" s="272"/>
      <c r="O69" s="272"/>
      <c r="P69" s="272"/>
      <c r="Q69" s="272"/>
      <c r="R69" s="272"/>
      <c r="S69" s="343"/>
      <c r="T69" s="344"/>
      <c r="U69" s="328"/>
      <c r="V69" s="269"/>
      <c r="W69" s="269"/>
      <c r="X69" s="408"/>
      <c r="Y69" s="408"/>
      <c r="Z69" s="408"/>
      <c r="AA69" s="395"/>
      <c r="AB69" s="396"/>
      <c r="AC69" s="397"/>
      <c r="AD69" s="403"/>
      <c r="AE69" s="398"/>
    </row>
    <row r="70" spans="1:40" ht="18" x14ac:dyDescent="0.25">
      <c r="A70" s="220"/>
      <c r="B70" s="220">
        <v>2017</v>
      </c>
      <c r="C70" s="220" t="s">
        <v>361</v>
      </c>
      <c r="D70" s="236">
        <v>168</v>
      </c>
      <c r="E70" s="276" t="s">
        <v>35</v>
      </c>
      <c r="F70" s="276">
        <v>1</v>
      </c>
      <c r="G70" s="276">
        <v>0</v>
      </c>
      <c r="H70" s="276">
        <v>0</v>
      </c>
      <c r="I70" s="276">
        <v>0</v>
      </c>
      <c r="J70" s="276"/>
      <c r="K70" s="221">
        <v>20</v>
      </c>
      <c r="L70" s="221">
        <v>35</v>
      </c>
      <c r="M70" s="221">
        <v>56</v>
      </c>
      <c r="N70" s="221">
        <v>19</v>
      </c>
      <c r="O70" s="221"/>
      <c r="P70" s="221"/>
      <c r="Q70" s="221"/>
      <c r="R70" s="221"/>
      <c r="S70" s="276"/>
      <c r="T70" s="345"/>
      <c r="U70" s="221">
        <v>0</v>
      </c>
      <c r="V70" s="220"/>
      <c r="W70" s="220"/>
      <c r="X70" s="221"/>
      <c r="Y70" s="221"/>
      <c r="Z70" s="221"/>
      <c r="AA70" s="391"/>
      <c r="AB70" s="276"/>
      <c r="AC70" s="392"/>
      <c r="AD70" s="393"/>
      <c r="AE70" s="394"/>
      <c r="AF70" s="220"/>
      <c r="AG70" s="220"/>
      <c r="AH70" s="220"/>
      <c r="AI70" s="220"/>
      <c r="AJ70" s="220"/>
      <c r="AK70" s="220"/>
      <c r="AL70" s="220"/>
      <c r="AM70" s="220"/>
      <c r="AN70" s="220"/>
    </row>
    <row r="71" spans="1:40" x14ac:dyDescent="0.2">
      <c r="A71" s="220"/>
      <c r="B71" s="220">
        <v>2018</v>
      </c>
      <c r="C71" s="220" t="s">
        <v>362</v>
      </c>
      <c r="D71" s="382">
        <v>112</v>
      </c>
      <c r="E71" s="276"/>
      <c r="F71" s="276">
        <v>112</v>
      </c>
      <c r="G71" s="276">
        <v>0</v>
      </c>
      <c r="H71" s="276">
        <v>0</v>
      </c>
      <c r="I71" s="276"/>
      <c r="J71" s="221"/>
      <c r="K71" s="221"/>
      <c r="L71" s="221"/>
      <c r="M71" s="221"/>
      <c r="N71" s="221"/>
      <c r="O71" s="221"/>
      <c r="P71" s="221"/>
      <c r="Q71" s="221"/>
      <c r="R71" s="276"/>
      <c r="S71" s="345"/>
      <c r="T71" s="221"/>
      <c r="U71" s="220">
        <v>0</v>
      </c>
      <c r="V71" s="220"/>
      <c r="W71" s="220"/>
      <c r="X71" s="221"/>
      <c r="Y71" s="221"/>
      <c r="Z71" s="221"/>
      <c r="AA71" s="461" t="s">
        <v>387</v>
      </c>
      <c r="AB71" s="461"/>
      <c r="AC71" s="461"/>
      <c r="AD71" s="461"/>
      <c r="AE71" s="461"/>
      <c r="AF71" s="220"/>
      <c r="AG71" s="220"/>
      <c r="AH71" s="220"/>
      <c r="AI71" s="220"/>
      <c r="AJ71" s="220"/>
      <c r="AK71" s="220"/>
      <c r="AL71" s="220"/>
      <c r="AM71" s="220"/>
      <c r="AN71" s="220"/>
    </row>
    <row r="72" spans="1:40" x14ac:dyDescent="0.2">
      <c r="A72" s="220"/>
      <c r="B72" s="220">
        <v>2018</v>
      </c>
      <c r="C72" s="220" t="s">
        <v>392</v>
      </c>
      <c r="D72" s="276">
        <v>112</v>
      </c>
      <c r="E72" s="276"/>
      <c r="F72" s="276">
        <v>112</v>
      </c>
      <c r="G72" s="276">
        <v>0</v>
      </c>
      <c r="H72" s="276">
        <v>0</v>
      </c>
      <c r="I72" s="276"/>
      <c r="J72" s="221"/>
      <c r="K72" s="221">
        <v>14</v>
      </c>
      <c r="L72" s="221"/>
      <c r="M72" s="221"/>
      <c r="N72" s="221"/>
      <c r="O72" s="221"/>
      <c r="P72" s="221"/>
      <c r="Q72" s="221"/>
      <c r="R72" s="276"/>
      <c r="S72" s="345"/>
      <c r="T72" s="221"/>
      <c r="U72" s="220">
        <v>0</v>
      </c>
      <c r="V72" s="220"/>
      <c r="W72" s="220"/>
      <c r="X72" s="221"/>
      <c r="Y72" s="221"/>
      <c r="Z72" s="221"/>
      <c r="AA72" s="399"/>
      <c r="AB72" s="400" t="s">
        <v>35</v>
      </c>
      <c r="AC72" s="400"/>
      <c r="AD72" s="400"/>
      <c r="AE72" s="400"/>
      <c r="AF72" s="220"/>
      <c r="AG72" s="220"/>
      <c r="AH72" s="220"/>
      <c r="AI72" s="220"/>
      <c r="AJ72" s="220"/>
      <c r="AK72" s="220"/>
      <c r="AL72" s="220"/>
      <c r="AM72" s="220"/>
    </row>
    <row r="73" spans="1:40" x14ac:dyDescent="0.2">
      <c r="A73" s="220"/>
      <c r="B73" s="220">
        <v>2019</v>
      </c>
      <c r="C73" s="220" t="s">
        <v>392</v>
      </c>
      <c r="D73" s="276">
        <v>14</v>
      </c>
      <c r="E73" s="276"/>
      <c r="F73" s="276"/>
      <c r="G73" s="276"/>
      <c r="H73" s="276"/>
      <c r="I73" s="276"/>
      <c r="J73" s="221"/>
      <c r="K73" s="221"/>
      <c r="L73" s="221"/>
      <c r="M73" s="221">
        <v>14</v>
      </c>
      <c r="N73" s="221"/>
      <c r="O73" s="221"/>
      <c r="P73" s="221"/>
      <c r="Q73" s="221"/>
      <c r="R73" s="276"/>
      <c r="S73" s="345"/>
      <c r="T73" s="221"/>
      <c r="U73" s="220">
        <v>0</v>
      </c>
      <c r="V73" s="220"/>
      <c r="W73" s="220"/>
      <c r="X73" s="221"/>
      <c r="Y73" s="221"/>
      <c r="Z73" s="221"/>
      <c r="AA73" s="420">
        <v>44304</v>
      </c>
      <c r="AB73" s="399">
        <v>2020</v>
      </c>
      <c r="AC73" s="400" t="s">
        <v>472</v>
      </c>
      <c r="AD73" s="400"/>
      <c r="AE73" s="400"/>
      <c r="AF73" s="220"/>
      <c r="AG73" s="220"/>
      <c r="AH73" s="220"/>
      <c r="AI73" s="220"/>
      <c r="AJ73" s="220"/>
      <c r="AK73" s="220"/>
      <c r="AL73" s="220"/>
      <c r="AM73" s="220"/>
    </row>
    <row r="74" spans="1:40" x14ac:dyDescent="0.2">
      <c r="A74" s="220"/>
      <c r="B74" s="297">
        <v>2019</v>
      </c>
      <c r="C74" s="220" t="s">
        <v>409</v>
      </c>
      <c r="D74" s="298">
        <v>14</v>
      </c>
      <c r="E74" s="276"/>
      <c r="F74" s="276"/>
      <c r="G74" s="276"/>
      <c r="H74" s="276"/>
      <c r="I74" s="276"/>
      <c r="J74" s="221"/>
      <c r="K74" s="221"/>
      <c r="L74" s="221"/>
      <c r="M74" s="221">
        <v>5</v>
      </c>
      <c r="N74" s="221"/>
      <c r="O74" s="221"/>
      <c r="P74" s="221"/>
      <c r="Q74" s="221"/>
      <c r="R74" s="276"/>
      <c r="S74" s="345"/>
      <c r="T74" s="221"/>
      <c r="U74" s="220">
        <v>9</v>
      </c>
      <c r="V74" s="220"/>
      <c r="W74" s="220"/>
      <c r="X74" s="221"/>
      <c r="Y74" s="221"/>
      <c r="Z74" s="221"/>
      <c r="AA74" s="420">
        <v>44331</v>
      </c>
      <c r="AB74" s="399">
        <v>2020</v>
      </c>
      <c r="AC74" s="400" t="s">
        <v>481</v>
      </c>
      <c r="AD74" s="400"/>
      <c r="AE74" s="400"/>
      <c r="AF74" s="220"/>
      <c r="AG74" s="220"/>
      <c r="AH74" s="220"/>
      <c r="AI74" s="220"/>
      <c r="AJ74" s="220"/>
      <c r="AK74" s="220"/>
      <c r="AL74" s="220"/>
      <c r="AM74" s="220"/>
    </row>
    <row r="75" spans="1:40" x14ac:dyDescent="0.2">
      <c r="A75" s="220"/>
      <c r="B75" s="297">
        <v>2019</v>
      </c>
      <c r="C75" s="220" t="s">
        <v>459</v>
      </c>
      <c r="D75" s="298">
        <v>37</v>
      </c>
      <c r="E75" s="276"/>
      <c r="F75" s="276"/>
      <c r="G75" s="276"/>
      <c r="H75" s="276">
        <v>37</v>
      </c>
      <c r="I75" s="276"/>
      <c r="J75" s="221"/>
      <c r="K75" s="221"/>
      <c r="L75" s="221"/>
      <c r="M75" s="221"/>
      <c r="N75" s="221"/>
      <c r="O75" s="221"/>
      <c r="P75" s="221"/>
      <c r="Q75" s="221"/>
      <c r="R75" s="276"/>
      <c r="S75" s="345"/>
      <c r="T75" s="221"/>
      <c r="U75" s="220">
        <v>0</v>
      </c>
      <c r="V75" s="220"/>
      <c r="W75" s="220"/>
      <c r="X75" s="221"/>
      <c r="Y75" s="221"/>
      <c r="Z75" s="221"/>
      <c r="AA75" s="420">
        <v>44440</v>
      </c>
      <c r="AB75" s="399">
        <v>2021</v>
      </c>
      <c r="AC75" s="400" t="s">
        <v>484</v>
      </c>
      <c r="AD75" s="400"/>
      <c r="AE75" s="400"/>
      <c r="AF75" s="220"/>
      <c r="AG75" s="220"/>
      <c r="AH75" s="220"/>
      <c r="AI75" s="220"/>
      <c r="AJ75" s="220"/>
      <c r="AK75" s="220"/>
      <c r="AL75" s="220"/>
      <c r="AM75" s="220"/>
    </row>
    <row r="76" spans="1:40" x14ac:dyDescent="0.2">
      <c r="B76" s="297">
        <v>2019</v>
      </c>
      <c r="C76" s="220" t="s">
        <v>460</v>
      </c>
      <c r="D76" s="298">
        <v>50</v>
      </c>
      <c r="U76" s="297">
        <v>50</v>
      </c>
      <c r="X76" s="221"/>
      <c r="Y76" s="221"/>
      <c r="Z76" s="221"/>
      <c r="AA76" s="420">
        <v>44440</v>
      </c>
      <c r="AB76" s="399">
        <v>2021</v>
      </c>
      <c r="AC76" s="400" t="s">
        <v>482</v>
      </c>
      <c r="AD76" s="400"/>
      <c r="AE76" s="400"/>
      <c r="AF76" s="220"/>
      <c r="AG76" s="220"/>
      <c r="AH76" s="220"/>
      <c r="AI76" s="220"/>
      <c r="AJ76" s="220"/>
      <c r="AK76" s="220"/>
      <c r="AL76" s="220"/>
      <c r="AM76" s="220"/>
    </row>
    <row r="77" spans="1:40" ht="18" x14ac:dyDescent="0.25">
      <c r="A77" s="226"/>
      <c r="B77" s="269"/>
      <c r="C77" s="269"/>
      <c r="D77" s="381">
        <v>112</v>
      </c>
      <c r="E77" s="271"/>
      <c r="F77" s="271"/>
      <c r="G77" s="271"/>
      <c r="H77" s="271"/>
      <c r="I77" s="271"/>
      <c r="J77" s="272"/>
      <c r="K77" s="272"/>
      <c r="L77" s="272"/>
      <c r="M77" s="272"/>
      <c r="N77" s="272"/>
      <c r="O77" s="272"/>
      <c r="P77" s="272"/>
      <c r="Q77" s="272"/>
      <c r="R77" s="343"/>
      <c r="S77" s="344"/>
      <c r="T77" s="328"/>
      <c r="U77" s="269"/>
      <c r="V77" s="269"/>
      <c r="W77" s="220"/>
      <c r="AA77" s="420">
        <v>44440</v>
      </c>
      <c r="AB77" s="399">
        <v>2021</v>
      </c>
      <c r="AC77" s="400" t="s">
        <v>483</v>
      </c>
      <c r="AD77" s="400"/>
      <c r="AE77" s="418"/>
    </row>
    <row r="78" spans="1:40" x14ac:dyDescent="0.2">
      <c r="A78" s="220"/>
      <c r="B78" s="220"/>
      <c r="C78" s="220"/>
      <c r="D78" s="221"/>
      <c r="E78" s="221"/>
      <c r="F78" s="221"/>
      <c r="G78" s="221"/>
      <c r="H78" s="221"/>
      <c r="I78" s="221"/>
      <c r="J78" s="221"/>
      <c r="K78" s="221"/>
      <c r="L78" s="221"/>
      <c r="M78" s="221"/>
      <c r="N78" s="221"/>
      <c r="O78" s="221"/>
      <c r="P78" s="221"/>
      <c r="Q78" s="221"/>
      <c r="R78" s="276"/>
      <c r="S78" s="345"/>
      <c r="T78" s="276"/>
      <c r="U78" s="220"/>
      <c r="V78" s="220"/>
      <c r="W78" s="220"/>
      <c r="X78" s="221"/>
      <c r="Y78" s="221"/>
      <c r="Z78" s="221"/>
      <c r="AA78" s="420"/>
      <c r="AB78" s="399"/>
      <c r="AC78" s="361"/>
      <c r="AD78" s="400"/>
      <c r="AE78" s="400"/>
      <c r="AF78" s="220"/>
      <c r="AG78" s="220"/>
      <c r="AH78" s="220"/>
      <c r="AI78" s="220"/>
      <c r="AJ78" s="220"/>
      <c r="AK78" s="220"/>
      <c r="AL78" s="220"/>
      <c r="AM78" s="220"/>
    </row>
    <row r="79" spans="1:40" x14ac:dyDescent="0.2">
      <c r="A79" s="220"/>
      <c r="B79" s="220"/>
      <c r="C79" s="220"/>
      <c r="D79" s="221"/>
      <c r="E79" s="221"/>
      <c r="F79" s="221"/>
      <c r="G79" s="221"/>
      <c r="H79" s="221"/>
      <c r="I79" s="221"/>
      <c r="J79" s="221"/>
      <c r="K79" s="221"/>
      <c r="L79" s="221"/>
      <c r="M79" s="221"/>
      <c r="N79" s="221"/>
      <c r="O79" s="221"/>
      <c r="P79" s="221"/>
      <c r="Q79" s="221"/>
      <c r="R79" s="221"/>
      <c r="S79" s="221"/>
      <c r="T79" s="221"/>
      <c r="U79" s="220"/>
      <c r="V79" s="220"/>
      <c r="W79" s="220"/>
      <c r="X79" s="221"/>
      <c r="Y79" s="221"/>
      <c r="Z79" s="221"/>
      <c r="AA79" s="420"/>
      <c r="AB79" s="399"/>
      <c r="AC79" s="400"/>
      <c r="AD79" s="400"/>
      <c r="AE79" s="400"/>
      <c r="AF79" s="220"/>
      <c r="AG79" s="220"/>
      <c r="AH79" s="220"/>
      <c r="AI79" s="220"/>
      <c r="AJ79" s="220"/>
      <c r="AK79" s="220"/>
      <c r="AL79" s="220"/>
      <c r="AM79" s="220"/>
    </row>
    <row r="80" spans="1:40" x14ac:dyDescent="0.2">
      <c r="A80" s="220"/>
      <c r="B80" s="220"/>
      <c r="C80" s="220"/>
      <c r="D80" s="221"/>
      <c r="E80" s="221"/>
      <c r="F80" s="221"/>
      <c r="G80" s="221"/>
      <c r="H80" s="221"/>
      <c r="I80" s="221"/>
      <c r="J80" s="221"/>
      <c r="K80" s="221"/>
      <c r="L80" s="221"/>
      <c r="M80" s="221"/>
      <c r="N80" s="221"/>
      <c r="O80" s="221"/>
      <c r="P80" s="221"/>
      <c r="Q80" s="221"/>
      <c r="R80" s="221"/>
      <c r="S80" s="221"/>
      <c r="T80" s="221"/>
      <c r="U80" s="220"/>
      <c r="V80" s="220"/>
      <c r="W80" s="220"/>
      <c r="X80" s="221"/>
      <c r="Y80" s="221"/>
      <c r="Z80" s="221"/>
      <c r="AA80" s="420"/>
      <c r="AB80" s="399"/>
      <c r="AC80" s="400"/>
      <c r="AD80" s="400"/>
      <c r="AE80" s="400"/>
      <c r="AF80" s="220"/>
      <c r="AG80" s="220"/>
      <c r="AH80" s="220"/>
      <c r="AI80" s="220"/>
      <c r="AJ80" s="220"/>
      <c r="AK80" s="220"/>
      <c r="AL80" s="220"/>
      <c r="AM80" s="220"/>
    </row>
    <row r="81" spans="1:39" ht="15.75" x14ac:dyDescent="0.25">
      <c r="A81" s="220"/>
      <c r="B81" s="278" t="s">
        <v>318</v>
      </c>
      <c r="C81" s="220"/>
      <c r="D81" s="221"/>
      <c r="E81" s="221"/>
      <c r="F81" s="221"/>
      <c r="G81" s="221"/>
      <c r="H81" s="221"/>
      <c r="I81" s="221"/>
      <c r="J81" s="221"/>
      <c r="K81" s="221"/>
      <c r="L81" s="221"/>
      <c r="M81" s="221"/>
      <c r="N81" s="221"/>
      <c r="O81" s="221"/>
      <c r="P81" s="221"/>
      <c r="Q81" s="221"/>
      <c r="R81" s="221"/>
      <c r="S81" s="221"/>
      <c r="T81" s="221"/>
      <c r="U81" s="220"/>
      <c r="V81" s="220"/>
      <c r="W81" s="220"/>
      <c r="X81" s="221"/>
      <c r="Y81" s="221"/>
      <c r="Z81" s="221"/>
      <c r="AA81" s="420"/>
      <c r="AB81" s="399"/>
      <c r="AC81" s="400"/>
      <c r="AD81" s="400"/>
      <c r="AE81" s="400"/>
      <c r="AF81" s="220"/>
      <c r="AG81" s="220"/>
      <c r="AH81" s="220"/>
      <c r="AI81" s="220"/>
      <c r="AJ81" s="220"/>
      <c r="AK81" s="220"/>
      <c r="AL81" s="220"/>
      <c r="AM81" s="220"/>
    </row>
    <row r="82" spans="1:39" ht="15.75" x14ac:dyDescent="0.25">
      <c r="A82" s="220"/>
      <c r="B82" s="278" t="s">
        <v>306</v>
      </c>
      <c r="C82" s="1" t="s">
        <v>307</v>
      </c>
      <c r="D82" s="1" t="s">
        <v>365</v>
      </c>
      <c r="E82" s="372" t="s">
        <v>4</v>
      </c>
      <c r="F82" s="373" t="s">
        <v>5</v>
      </c>
      <c r="G82" s="373" t="s">
        <v>6</v>
      </c>
      <c r="H82" s="373" t="s">
        <v>7</v>
      </c>
      <c r="I82" s="373" t="s">
        <v>8</v>
      </c>
      <c r="J82" s="373" t="s">
        <v>9</v>
      </c>
      <c r="K82" s="373" t="s">
        <v>10</v>
      </c>
      <c r="L82" s="373" t="s">
        <v>11</v>
      </c>
      <c r="M82" s="373" t="s">
        <v>12</v>
      </c>
      <c r="N82" s="373" t="s">
        <v>13</v>
      </c>
      <c r="O82" s="373" t="s">
        <v>14</v>
      </c>
      <c r="P82" s="373" t="s">
        <v>15</v>
      </c>
      <c r="Q82" s="221"/>
      <c r="R82" s="221"/>
      <c r="S82" s="221"/>
      <c r="T82" s="221"/>
      <c r="U82" s="220"/>
      <c r="V82" s="220"/>
      <c r="W82" s="220"/>
      <c r="X82" s="221"/>
      <c r="Y82" s="221"/>
      <c r="Z82" s="221"/>
      <c r="AA82" s="420"/>
      <c r="AB82" s="399"/>
      <c r="AC82" s="400"/>
      <c r="AD82" s="400"/>
      <c r="AE82" s="400"/>
      <c r="AF82" s="220"/>
      <c r="AG82" s="220"/>
      <c r="AH82" s="220"/>
      <c r="AI82" s="220"/>
      <c r="AJ82" s="220"/>
      <c r="AK82" s="220"/>
      <c r="AL82" s="220"/>
      <c r="AM82" s="220"/>
    </row>
    <row r="83" spans="1:39" x14ac:dyDescent="0.2">
      <c r="A83" s="220"/>
      <c r="B83" s="250">
        <v>2020</v>
      </c>
      <c r="C83" s="250" t="s">
        <v>31</v>
      </c>
      <c r="D83" s="252">
        <v>2694</v>
      </c>
      <c r="E83" s="252">
        <v>2600</v>
      </c>
      <c r="F83" s="252">
        <v>2600</v>
      </c>
      <c r="G83" s="252"/>
      <c r="H83" s="2"/>
      <c r="I83" s="252"/>
      <c r="J83" s="252"/>
      <c r="K83" s="252"/>
      <c r="L83" s="252"/>
      <c r="M83" s="252"/>
      <c r="N83" s="252"/>
      <c r="O83" s="252"/>
      <c r="P83" s="252"/>
      <c r="Q83" s="221"/>
      <c r="R83" s="221"/>
      <c r="S83" s="221"/>
      <c r="T83" s="221"/>
      <c r="U83" s="220"/>
      <c r="V83" s="220"/>
      <c r="W83" s="220"/>
      <c r="X83" s="221"/>
      <c r="Y83" s="221"/>
      <c r="Z83" s="221"/>
      <c r="AA83" s="420"/>
      <c r="AB83" s="399"/>
      <c r="AC83" s="400"/>
      <c r="AD83" s="400"/>
      <c r="AE83" s="400"/>
      <c r="AF83" s="220"/>
      <c r="AG83" s="220"/>
      <c r="AH83" s="220"/>
      <c r="AI83" s="220"/>
      <c r="AJ83" s="220"/>
      <c r="AK83" s="220"/>
      <c r="AL83" s="220"/>
      <c r="AM83" s="220"/>
    </row>
    <row r="84" spans="1:39" x14ac:dyDescent="0.2">
      <c r="A84" s="220"/>
      <c r="B84" s="250"/>
      <c r="C84" s="250" t="s">
        <v>426</v>
      </c>
      <c r="D84" s="252">
        <v>550</v>
      </c>
      <c r="E84" s="252">
        <v>550</v>
      </c>
      <c r="F84" s="252">
        <v>550</v>
      </c>
      <c r="G84" s="252"/>
      <c r="H84" s="2"/>
      <c r="I84" s="252"/>
      <c r="J84" s="252"/>
      <c r="K84" s="252"/>
      <c r="L84" s="252"/>
      <c r="M84" s="252"/>
      <c r="N84" s="252"/>
      <c r="O84" s="252"/>
      <c r="P84" s="252"/>
      <c r="Q84" s="221"/>
      <c r="R84" s="221"/>
      <c r="S84" s="221"/>
      <c r="T84" s="221"/>
      <c r="U84" s="220"/>
      <c r="V84" s="220"/>
      <c r="W84" s="220"/>
      <c r="X84" s="221"/>
      <c r="Y84" s="221"/>
      <c r="Z84" s="221"/>
      <c r="AA84" s="420"/>
      <c r="AB84" s="399"/>
      <c r="AC84" s="400"/>
      <c r="AD84" s="400"/>
      <c r="AE84" s="400"/>
      <c r="AF84" s="220"/>
      <c r="AG84" s="220"/>
      <c r="AH84" s="220"/>
      <c r="AI84" s="220"/>
      <c r="AJ84" s="220"/>
      <c r="AK84" s="220"/>
      <c r="AL84" s="220"/>
      <c r="AM84" s="220"/>
    </row>
    <row r="85" spans="1:39" x14ac:dyDescent="0.2">
      <c r="A85" s="220"/>
      <c r="B85" s="250"/>
      <c r="C85" s="250" t="s">
        <v>46</v>
      </c>
      <c r="D85" s="252">
        <v>1350</v>
      </c>
      <c r="E85" s="252">
        <v>1325</v>
      </c>
      <c r="F85" s="252">
        <v>1325</v>
      </c>
      <c r="G85" s="252"/>
      <c r="H85" s="2"/>
      <c r="I85" s="252"/>
      <c r="J85" s="252"/>
      <c r="K85" s="252"/>
      <c r="L85" s="252"/>
      <c r="M85" s="252"/>
      <c r="N85" s="252"/>
      <c r="O85" s="252"/>
      <c r="P85" s="252"/>
      <c r="Q85" s="221"/>
      <c r="R85" s="221"/>
      <c r="S85" s="221"/>
      <c r="T85" s="221"/>
      <c r="U85" s="220"/>
      <c r="V85" s="220"/>
      <c r="W85" s="220"/>
      <c r="X85" s="221"/>
      <c r="Y85" s="221"/>
      <c r="Z85" s="221"/>
      <c r="AA85" s="420"/>
      <c r="AB85" s="399"/>
      <c r="AC85" s="400"/>
      <c r="AD85" s="400"/>
      <c r="AE85" s="400"/>
      <c r="AF85" s="220"/>
      <c r="AG85" s="220"/>
      <c r="AH85" s="220"/>
      <c r="AI85" s="220"/>
      <c r="AJ85" s="220"/>
      <c r="AK85" s="220"/>
      <c r="AL85" s="220"/>
      <c r="AM85" s="220"/>
    </row>
    <row r="86" spans="1:39" x14ac:dyDescent="0.2">
      <c r="A86" s="220"/>
      <c r="B86" s="250"/>
      <c r="C86" s="250" t="s">
        <v>30</v>
      </c>
      <c r="D86" s="252">
        <v>550</v>
      </c>
      <c r="E86" s="252">
        <v>550</v>
      </c>
      <c r="F86" s="252">
        <v>550</v>
      </c>
      <c r="G86" s="252"/>
      <c r="H86" s="2"/>
      <c r="I86" s="252"/>
      <c r="J86" s="252"/>
      <c r="K86" s="252"/>
      <c r="L86" s="252"/>
      <c r="M86" s="252"/>
      <c r="N86" s="252"/>
      <c r="O86" s="252"/>
      <c r="P86" s="252"/>
      <c r="Q86" s="221"/>
      <c r="R86" s="221"/>
      <c r="S86" s="221"/>
      <c r="T86" s="221"/>
      <c r="U86" s="220"/>
      <c r="V86" s="220"/>
      <c r="W86" s="220"/>
      <c r="X86" s="221"/>
      <c r="Y86" s="221"/>
      <c r="Z86" s="221"/>
      <c r="AD86" s="220"/>
      <c r="AE86" s="220"/>
      <c r="AF86" s="220"/>
      <c r="AG86" s="220"/>
      <c r="AH86" s="220"/>
      <c r="AI86" s="220"/>
      <c r="AJ86" s="220"/>
      <c r="AK86" s="220"/>
      <c r="AL86" s="220"/>
      <c r="AM86" s="220"/>
    </row>
    <row r="87" spans="1:39" x14ac:dyDescent="0.2">
      <c r="A87" s="220"/>
      <c r="B87" s="250"/>
      <c r="C87" s="250" t="s">
        <v>402</v>
      </c>
      <c r="D87" s="252">
        <v>275</v>
      </c>
      <c r="E87" s="252">
        <v>275</v>
      </c>
      <c r="F87" s="252">
        <v>275</v>
      </c>
      <c r="G87" s="252"/>
      <c r="H87" s="2"/>
      <c r="I87" s="252"/>
      <c r="J87" s="252"/>
      <c r="K87" s="252"/>
      <c r="L87" s="252"/>
      <c r="M87" s="252"/>
      <c r="N87" s="252"/>
      <c r="O87" s="252"/>
      <c r="P87" s="252"/>
      <c r="Q87" s="221"/>
      <c r="R87" s="221"/>
      <c r="S87" s="221"/>
      <c r="T87" s="221"/>
      <c r="U87" s="220"/>
      <c r="V87" s="220"/>
      <c r="W87" s="220"/>
      <c r="X87" s="221"/>
      <c r="Y87" s="221"/>
      <c r="Z87" s="221"/>
      <c r="AD87" s="220"/>
      <c r="AE87" s="220"/>
      <c r="AF87" s="220"/>
      <c r="AG87" s="220"/>
      <c r="AH87" s="220"/>
      <c r="AI87" s="220"/>
      <c r="AJ87" s="220"/>
      <c r="AK87" s="220"/>
      <c r="AL87" s="220"/>
      <c r="AM87" s="220"/>
    </row>
    <row r="88" spans="1:39" x14ac:dyDescent="0.2">
      <c r="A88" s="220"/>
      <c r="B88" s="250"/>
      <c r="C88" s="250" t="s">
        <v>24</v>
      </c>
      <c r="D88" s="252">
        <v>1540</v>
      </c>
      <c r="E88" s="252">
        <v>1540</v>
      </c>
      <c r="F88" s="252">
        <v>1540</v>
      </c>
      <c r="G88" s="252"/>
      <c r="H88" s="2"/>
      <c r="I88" s="252"/>
      <c r="J88" s="252"/>
      <c r="K88" s="252"/>
      <c r="L88" s="252"/>
      <c r="M88" s="252"/>
      <c r="N88" s="252"/>
      <c r="O88" s="252"/>
      <c r="P88" s="252"/>
      <c r="Q88" s="221"/>
      <c r="R88" s="221"/>
      <c r="S88" s="221"/>
      <c r="T88" s="221"/>
      <c r="U88" s="220"/>
      <c r="V88" s="220"/>
      <c r="W88" s="220"/>
      <c r="X88" s="221"/>
      <c r="Y88" s="221"/>
      <c r="Z88" s="221"/>
      <c r="AD88" s="220"/>
      <c r="AE88" s="220"/>
      <c r="AF88" s="220"/>
      <c r="AG88" s="220"/>
      <c r="AH88" s="220"/>
      <c r="AI88" s="220"/>
      <c r="AJ88" s="220"/>
      <c r="AK88" s="220"/>
      <c r="AL88" s="220"/>
      <c r="AM88" s="220"/>
    </row>
    <row r="89" spans="1:39" x14ac:dyDescent="0.2">
      <c r="A89" s="220"/>
      <c r="B89" s="250"/>
      <c r="C89" s="250" t="s">
        <v>427</v>
      </c>
      <c r="D89" s="252">
        <v>275</v>
      </c>
      <c r="E89" s="252">
        <v>275</v>
      </c>
      <c r="F89" s="252">
        <v>275</v>
      </c>
      <c r="G89" s="252"/>
      <c r="H89" s="2"/>
      <c r="I89" s="252"/>
      <c r="J89" s="252"/>
      <c r="K89" s="252"/>
      <c r="L89" s="252"/>
      <c r="M89" s="252"/>
      <c r="N89" s="252"/>
      <c r="O89" s="252"/>
      <c r="P89" s="252"/>
      <c r="Q89" s="221"/>
      <c r="R89" s="221"/>
      <c r="S89" s="221"/>
      <c r="T89" s="221"/>
      <c r="U89" s="220"/>
      <c r="V89" s="220"/>
      <c r="W89" s="220"/>
      <c r="X89" s="221"/>
      <c r="Y89" s="221"/>
      <c r="Z89" s="221"/>
      <c r="AD89" s="220"/>
      <c r="AE89" s="220"/>
      <c r="AF89" s="220"/>
      <c r="AG89" s="220"/>
      <c r="AH89" s="220"/>
      <c r="AI89" s="220"/>
      <c r="AJ89" s="220"/>
      <c r="AK89" s="220"/>
      <c r="AL89" s="220"/>
      <c r="AM89" s="220"/>
    </row>
    <row r="90" spans="1:39" x14ac:dyDescent="0.2">
      <c r="A90" s="220"/>
      <c r="B90" s="250"/>
      <c r="C90" s="250" t="s">
        <v>29</v>
      </c>
      <c r="D90" s="252">
        <v>280</v>
      </c>
      <c r="E90" s="252">
        <v>280</v>
      </c>
      <c r="F90" s="252">
        <v>280</v>
      </c>
      <c r="G90" s="252"/>
      <c r="H90" s="2"/>
      <c r="I90" s="252"/>
      <c r="J90" s="252"/>
      <c r="K90" s="252"/>
      <c r="L90" s="252"/>
      <c r="M90" s="252"/>
      <c r="N90" s="252"/>
      <c r="O90" s="252"/>
      <c r="P90" s="252"/>
      <c r="Q90" s="221"/>
      <c r="R90" s="221"/>
      <c r="S90" s="221"/>
      <c r="T90" s="221"/>
      <c r="U90" s="220"/>
      <c r="V90" s="220"/>
      <c r="W90" s="220"/>
      <c r="X90" s="221"/>
      <c r="Y90" s="221"/>
      <c r="Z90" s="221"/>
      <c r="AD90" s="220"/>
      <c r="AE90" s="220"/>
      <c r="AF90" s="220"/>
      <c r="AG90" s="220"/>
      <c r="AH90" s="220"/>
      <c r="AI90" s="220"/>
      <c r="AJ90" s="220"/>
      <c r="AK90" s="220"/>
      <c r="AL90" s="220"/>
      <c r="AM90" s="220"/>
    </row>
    <row r="91" spans="1:39" x14ac:dyDescent="0.2">
      <c r="A91" s="220"/>
      <c r="B91" s="250"/>
      <c r="C91" s="250" t="s">
        <v>23</v>
      </c>
      <c r="D91" s="252">
        <v>2220</v>
      </c>
      <c r="E91" s="252">
        <v>1890</v>
      </c>
      <c r="F91" s="252">
        <v>1890</v>
      </c>
      <c r="G91" s="252"/>
      <c r="H91" s="2"/>
      <c r="I91" s="252"/>
      <c r="J91" s="252"/>
      <c r="K91" s="252"/>
      <c r="L91" s="252"/>
      <c r="M91" s="252"/>
      <c r="N91" s="252"/>
      <c r="O91" s="252"/>
      <c r="P91" s="252"/>
      <c r="Q91" s="221"/>
      <c r="R91" s="221"/>
      <c r="S91" s="221"/>
      <c r="T91" s="221"/>
      <c r="U91" s="220"/>
      <c r="V91" s="220"/>
      <c r="W91" s="220"/>
      <c r="X91" s="221"/>
      <c r="Y91" s="221"/>
      <c r="Z91" s="221"/>
      <c r="AD91" s="220"/>
      <c r="AE91" s="220"/>
      <c r="AF91" s="220"/>
      <c r="AG91" s="220"/>
      <c r="AH91" s="220"/>
      <c r="AI91" s="220"/>
      <c r="AJ91" s="220"/>
      <c r="AK91" s="220"/>
      <c r="AL91" s="220"/>
      <c r="AM91" s="220"/>
    </row>
    <row r="92" spans="1:39" x14ac:dyDescent="0.2">
      <c r="A92" s="220"/>
      <c r="B92" s="250"/>
      <c r="C92" s="250" t="s">
        <v>56</v>
      </c>
      <c r="D92" s="252">
        <v>2860</v>
      </c>
      <c r="E92" s="252">
        <v>2520</v>
      </c>
      <c r="F92" s="252">
        <v>2520</v>
      </c>
      <c r="G92" s="252"/>
      <c r="H92" s="2"/>
      <c r="I92" s="252"/>
      <c r="J92" s="252"/>
      <c r="K92" s="252"/>
      <c r="L92" s="252"/>
      <c r="M92" s="252"/>
      <c r="N92" s="252"/>
      <c r="O92" s="252"/>
      <c r="P92" s="252"/>
      <c r="Q92" s="221"/>
      <c r="R92" s="221"/>
      <c r="S92" s="221"/>
      <c r="T92" s="221"/>
      <c r="U92" s="220"/>
      <c r="V92" s="220"/>
      <c r="W92" s="220"/>
      <c r="X92" s="221"/>
      <c r="Y92" s="221"/>
      <c r="Z92" s="221"/>
      <c r="AD92" s="220"/>
      <c r="AE92" s="220"/>
      <c r="AF92" s="220"/>
      <c r="AG92" s="220"/>
      <c r="AH92" s="220"/>
      <c r="AI92" s="220"/>
      <c r="AJ92" s="220"/>
      <c r="AK92" s="220"/>
      <c r="AL92" s="220"/>
      <c r="AM92" s="220"/>
    </row>
    <row r="93" spans="1:39" x14ac:dyDescent="0.2">
      <c r="A93" s="220"/>
      <c r="B93" s="250"/>
      <c r="C93" s="250" t="s">
        <v>131</v>
      </c>
      <c r="D93" s="252">
        <v>0</v>
      </c>
      <c r="E93" s="252">
        <v>0</v>
      </c>
      <c r="F93" s="252">
        <v>0</v>
      </c>
      <c r="G93" s="252"/>
      <c r="H93" s="2"/>
      <c r="I93" s="252"/>
      <c r="J93" s="252"/>
      <c r="K93" s="252"/>
      <c r="L93" s="252"/>
      <c r="M93" s="252"/>
      <c r="N93" s="252"/>
      <c r="O93" s="252"/>
      <c r="P93" s="252"/>
      <c r="Q93" s="221"/>
      <c r="R93" s="221"/>
      <c r="S93" s="221"/>
      <c r="T93" s="221"/>
      <c r="U93" s="220"/>
      <c r="V93" s="220"/>
      <c r="W93" s="220"/>
      <c r="X93" s="221"/>
      <c r="Y93" s="221"/>
      <c r="Z93" s="221"/>
      <c r="AD93" s="220"/>
      <c r="AE93" s="220"/>
      <c r="AF93" s="220"/>
      <c r="AG93" s="220"/>
      <c r="AH93" s="220"/>
      <c r="AI93" s="220"/>
      <c r="AJ93" s="220"/>
      <c r="AK93" s="220"/>
      <c r="AL93" s="220"/>
      <c r="AM93" s="220"/>
    </row>
    <row r="94" spans="1:39" x14ac:dyDescent="0.2">
      <c r="A94" s="220"/>
      <c r="B94" s="250"/>
      <c r="C94" s="250" t="s">
        <v>439</v>
      </c>
      <c r="D94" s="252">
        <v>0</v>
      </c>
      <c r="E94" s="252">
        <v>0</v>
      </c>
      <c r="F94" s="252">
        <v>0</v>
      </c>
      <c r="G94" s="252"/>
      <c r="H94" s="2"/>
      <c r="I94" s="252"/>
      <c r="J94" s="252"/>
      <c r="K94" s="252"/>
      <c r="L94" s="252"/>
      <c r="M94" s="252"/>
      <c r="N94" s="252"/>
      <c r="O94" s="252"/>
      <c r="P94" s="252"/>
      <c r="Q94" s="221"/>
      <c r="R94" s="221"/>
      <c r="S94" s="221"/>
      <c r="T94" s="221"/>
      <c r="U94" s="220"/>
      <c r="V94" s="220"/>
      <c r="W94" s="220"/>
      <c r="X94" s="221"/>
      <c r="Y94" s="221"/>
      <c r="Z94" s="221"/>
      <c r="AD94" s="220"/>
      <c r="AE94" s="220"/>
      <c r="AF94" s="220"/>
      <c r="AG94" s="220"/>
      <c r="AH94" s="220"/>
      <c r="AI94" s="220"/>
      <c r="AJ94" s="220"/>
      <c r="AK94" s="220"/>
      <c r="AL94" s="220"/>
      <c r="AM94" s="220"/>
    </row>
    <row r="95" spans="1:39" x14ac:dyDescent="0.2">
      <c r="A95" s="220"/>
      <c r="B95" s="250"/>
      <c r="C95" s="250" t="s">
        <v>33</v>
      </c>
      <c r="D95" s="252">
        <v>275</v>
      </c>
      <c r="E95" s="252">
        <v>275</v>
      </c>
      <c r="F95" s="252">
        <v>275</v>
      </c>
      <c r="G95" s="252"/>
      <c r="H95" s="2"/>
      <c r="I95" s="252"/>
      <c r="J95" s="252"/>
      <c r="K95" s="252"/>
      <c r="L95" s="252"/>
      <c r="M95" s="252"/>
      <c r="N95" s="252"/>
      <c r="O95" s="252"/>
      <c r="P95" s="252"/>
      <c r="Q95" s="221"/>
      <c r="R95" s="221"/>
      <c r="S95" s="221"/>
      <c r="T95" s="221"/>
      <c r="U95" s="220"/>
      <c r="V95" s="220"/>
      <c r="W95" s="220"/>
      <c r="X95" s="221"/>
      <c r="Y95" s="221"/>
      <c r="Z95" s="221"/>
      <c r="AD95" s="220"/>
      <c r="AE95" s="220"/>
      <c r="AF95" s="220"/>
      <c r="AG95" s="220"/>
      <c r="AH95" s="220"/>
      <c r="AI95" s="220"/>
      <c r="AJ95" s="220"/>
      <c r="AK95" s="220"/>
      <c r="AL95" s="220"/>
      <c r="AM95" s="220"/>
    </row>
    <row r="96" spans="1:39" x14ac:dyDescent="0.2">
      <c r="A96" s="220"/>
      <c r="B96" s="250"/>
      <c r="C96" s="250" t="s">
        <v>440</v>
      </c>
      <c r="D96" s="252">
        <v>550</v>
      </c>
      <c r="E96" s="252">
        <v>550</v>
      </c>
      <c r="F96" s="252">
        <v>550</v>
      </c>
      <c r="G96" s="252"/>
      <c r="H96" s="2"/>
      <c r="I96" s="252"/>
      <c r="J96" s="252"/>
      <c r="K96" s="252"/>
      <c r="L96" s="252"/>
      <c r="M96" s="252"/>
      <c r="N96" s="252"/>
      <c r="O96" s="252"/>
      <c r="P96" s="252"/>
      <c r="Q96" s="221"/>
      <c r="R96" s="221"/>
      <c r="S96" s="221"/>
      <c r="T96" s="221"/>
      <c r="U96" s="220"/>
      <c r="V96" s="220"/>
      <c r="W96" s="220"/>
      <c r="X96" s="221"/>
      <c r="Y96" s="221"/>
      <c r="Z96" s="221"/>
      <c r="AD96" s="220"/>
      <c r="AE96" s="220"/>
      <c r="AF96" s="220"/>
      <c r="AG96" s="220"/>
      <c r="AH96" s="220"/>
      <c r="AI96" s="220"/>
      <c r="AJ96" s="220"/>
      <c r="AK96" s="220"/>
      <c r="AL96" s="220"/>
      <c r="AM96" s="220"/>
    </row>
    <row r="97" spans="1:39" x14ac:dyDescent="0.2">
      <c r="A97" s="220"/>
      <c r="B97" s="250"/>
      <c r="C97" s="250" t="s">
        <v>26</v>
      </c>
      <c r="D97" s="252">
        <v>1695</v>
      </c>
      <c r="E97" s="252">
        <v>1680</v>
      </c>
      <c r="F97" s="252">
        <v>1610</v>
      </c>
      <c r="G97" s="252"/>
      <c r="H97" s="2"/>
      <c r="I97" s="252"/>
      <c r="J97" s="252"/>
      <c r="K97" s="252"/>
      <c r="L97" s="252"/>
      <c r="M97" s="252"/>
      <c r="N97" s="252"/>
      <c r="O97" s="252"/>
      <c r="P97" s="252"/>
      <c r="Q97" s="221"/>
      <c r="R97" s="221"/>
      <c r="S97" s="221"/>
      <c r="T97" s="221"/>
      <c r="U97" s="220"/>
      <c r="V97" s="220"/>
      <c r="W97" s="220"/>
      <c r="X97" s="221"/>
      <c r="Y97" s="221"/>
      <c r="Z97" s="221"/>
      <c r="AD97" s="220"/>
      <c r="AE97" s="220"/>
      <c r="AF97" s="220"/>
      <c r="AG97" s="220"/>
      <c r="AH97" s="220"/>
      <c r="AI97" s="220"/>
      <c r="AJ97" s="220"/>
      <c r="AK97" s="220"/>
      <c r="AL97" s="220"/>
      <c r="AM97" s="220"/>
    </row>
    <row r="98" spans="1:39" x14ac:dyDescent="0.2">
      <c r="A98" s="220"/>
      <c r="B98" s="250"/>
      <c r="C98" s="250" t="s">
        <v>205</v>
      </c>
      <c r="D98" s="252">
        <v>275</v>
      </c>
      <c r="E98" s="252">
        <v>275</v>
      </c>
      <c r="F98" s="252">
        <v>275</v>
      </c>
      <c r="G98" s="252"/>
      <c r="H98" s="2"/>
      <c r="I98" s="252"/>
      <c r="J98" s="252"/>
      <c r="K98" s="252"/>
      <c r="L98" s="252"/>
      <c r="M98" s="252"/>
      <c r="N98" s="252"/>
      <c r="O98" s="252"/>
      <c r="P98" s="252"/>
      <c r="Q98" s="221"/>
      <c r="R98" s="221"/>
      <c r="S98" s="221"/>
      <c r="T98" s="221"/>
      <c r="U98" s="220"/>
      <c r="V98" s="220"/>
      <c r="W98" s="220"/>
      <c r="X98" s="221"/>
      <c r="Y98" s="221"/>
      <c r="Z98" s="221"/>
      <c r="AD98" s="220"/>
      <c r="AE98" s="220"/>
      <c r="AF98" s="220"/>
      <c r="AG98" s="220"/>
      <c r="AH98" s="220"/>
      <c r="AI98" s="220"/>
      <c r="AJ98" s="220"/>
      <c r="AK98" s="220"/>
      <c r="AL98" s="220"/>
      <c r="AM98" s="220"/>
    </row>
    <row r="99" spans="1:39" x14ac:dyDescent="0.2">
      <c r="A99" s="220"/>
      <c r="B99" s="234"/>
      <c r="C99" s="234"/>
      <c r="D99" s="236"/>
      <c r="E99" s="236"/>
      <c r="F99" s="236"/>
      <c r="G99" s="236"/>
      <c r="H99" s="404"/>
      <c r="I99" s="374"/>
      <c r="J99" s="236"/>
      <c r="K99" s="236"/>
      <c r="L99" s="236"/>
      <c r="M99" s="374"/>
      <c r="N99" s="236"/>
      <c r="O99" s="236"/>
      <c r="P99" s="236"/>
      <c r="Q99" s="221"/>
      <c r="R99" s="221"/>
      <c r="S99" s="221"/>
      <c r="T99" s="221"/>
      <c r="U99" s="220"/>
      <c r="V99" s="220"/>
      <c r="W99" s="220"/>
      <c r="X99" s="221"/>
      <c r="Y99" s="221"/>
      <c r="Z99" s="221"/>
      <c r="AD99" s="220"/>
      <c r="AE99" s="220"/>
      <c r="AF99" s="220"/>
      <c r="AG99" s="220"/>
      <c r="AH99" s="220"/>
      <c r="AI99" s="220"/>
      <c r="AJ99" s="220"/>
      <c r="AK99" s="220"/>
      <c r="AL99" s="220"/>
      <c r="AM99" s="220"/>
    </row>
    <row r="100" spans="1:39" x14ac:dyDescent="0.2">
      <c r="A100" s="220"/>
      <c r="B100" s="234"/>
      <c r="C100" s="234"/>
      <c r="D100" s="236"/>
      <c r="E100" s="236"/>
      <c r="F100" s="236"/>
      <c r="G100" s="236"/>
      <c r="H100" s="404"/>
      <c r="I100" s="374"/>
      <c r="J100" s="236"/>
      <c r="K100" s="236"/>
      <c r="L100" s="236"/>
      <c r="M100" s="374"/>
      <c r="N100" s="236"/>
      <c r="O100" s="236"/>
      <c r="P100" s="236"/>
      <c r="Q100" s="221"/>
      <c r="R100" s="221"/>
      <c r="S100" s="221"/>
      <c r="T100" s="221"/>
      <c r="U100" s="220"/>
      <c r="V100" s="220"/>
      <c r="W100" s="220"/>
      <c r="X100" s="221"/>
      <c r="Y100" s="221"/>
      <c r="Z100" s="221"/>
      <c r="AD100" s="220"/>
      <c r="AE100" s="220"/>
      <c r="AF100" s="220"/>
      <c r="AG100" s="220"/>
      <c r="AH100" s="220"/>
      <c r="AI100" s="220"/>
      <c r="AJ100" s="220"/>
      <c r="AK100" s="220"/>
      <c r="AL100" s="220"/>
      <c r="AM100" s="220"/>
    </row>
    <row r="101" spans="1:39" x14ac:dyDescent="0.2">
      <c r="A101" s="220"/>
      <c r="B101" s="234"/>
      <c r="C101" s="234"/>
      <c r="D101" s="236"/>
      <c r="E101" s="236"/>
      <c r="F101" s="236"/>
      <c r="G101" s="236"/>
      <c r="H101" s="404"/>
      <c r="I101" s="236"/>
      <c r="J101" s="236"/>
      <c r="K101" s="236"/>
      <c r="L101" s="236"/>
      <c r="M101" s="236"/>
      <c r="N101" s="236"/>
      <c r="O101" s="236"/>
      <c r="P101" s="236"/>
      <c r="Q101" s="221"/>
      <c r="R101" s="221"/>
      <c r="S101" s="221"/>
      <c r="T101" s="221"/>
      <c r="U101" s="220"/>
      <c r="V101" s="220"/>
      <c r="W101" s="220"/>
      <c r="X101" s="221"/>
      <c r="Y101" s="221"/>
      <c r="Z101" s="221"/>
      <c r="AD101" s="220"/>
      <c r="AE101" s="220"/>
      <c r="AF101" s="220"/>
      <c r="AG101" s="220"/>
      <c r="AH101" s="220"/>
      <c r="AI101" s="220"/>
      <c r="AJ101" s="220"/>
      <c r="AK101" s="220"/>
      <c r="AL101" s="220"/>
      <c r="AM101" s="220"/>
    </row>
    <row r="102" spans="1:39" x14ac:dyDescent="0.2">
      <c r="A102" s="220"/>
      <c r="B102" s="234"/>
      <c r="C102" s="234"/>
      <c r="D102" s="236"/>
      <c r="E102" s="236"/>
      <c r="F102" s="236"/>
      <c r="G102" s="236"/>
      <c r="H102" s="404"/>
      <c r="I102" s="236"/>
      <c r="J102" s="236"/>
      <c r="K102" s="236"/>
      <c r="L102" s="236"/>
      <c r="M102" s="236"/>
      <c r="N102" s="236"/>
      <c r="O102" s="236"/>
      <c r="P102" s="236"/>
      <c r="Q102" s="221"/>
      <c r="R102" s="221"/>
      <c r="S102" s="221"/>
      <c r="T102" s="221"/>
      <c r="U102" s="220"/>
      <c r="V102" s="220"/>
      <c r="W102" s="220"/>
      <c r="X102" s="221"/>
      <c r="Y102" s="221"/>
      <c r="Z102" s="221"/>
      <c r="AD102" s="220"/>
      <c r="AE102" s="220"/>
      <c r="AF102" s="220"/>
      <c r="AG102" s="220"/>
      <c r="AH102" s="220"/>
      <c r="AI102" s="220"/>
      <c r="AJ102" s="220"/>
      <c r="AK102" s="220"/>
      <c r="AL102" s="220"/>
      <c r="AM102" s="220"/>
    </row>
    <row r="103" spans="1:39" x14ac:dyDescent="0.2">
      <c r="A103" s="220"/>
      <c r="B103" s="234"/>
      <c r="C103" s="234"/>
      <c r="D103" s="236"/>
      <c r="E103" s="236"/>
      <c r="F103" s="236"/>
      <c r="G103" s="236"/>
      <c r="H103" s="404"/>
      <c r="I103" s="236"/>
      <c r="J103" s="236"/>
      <c r="K103" s="236"/>
      <c r="L103" s="236"/>
      <c r="M103" s="236"/>
      <c r="N103" s="236"/>
      <c r="O103" s="236"/>
      <c r="P103" s="236"/>
      <c r="Q103" s="221"/>
      <c r="R103" s="221"/>
      <c r="S103" s="221"/>
      <c r="T103" s="221"/>
      <c r="U103" s="220"/>
      <c r="V103" s="220"/>
      <c r="W103" s="220"/>
      <c r="X103" s="221"/>
      <c r="Y103" s="221"/>
      <c r="Z103" s="221"/>
      <c r="AD103" s="220"/>
      <c r="AE103" s="220"/>
      <c r="AF103" s="220"/>
      <c r="AG103" s="220"/>
      <c r="AH103" s="220"/>
      <c r="AI103" s="220"/>
      <c r="AJ103" s="220"/>
      <c r="AK103" s="220"/>
      <c r="AL103" s="220"/>
      <c r="AM103" s="220"/>
    </row>
    <row r="104" spans="1:39" x14ac:dyDescent="0.2">
      <c r="A104" s="220"/>
      <c r="B104" s="234"/>
      <c r="C104" s="234"/>
      <c r="D104" s="236"/>
      <c r="E104" s="236"/>
      <c r="F104" s="236"/>
      <c r="G104" s="236"/>
      <c r="H104" s="404"/>
      <c r="I104" s="236"/>
      <c r="J104" s="236"/>
      <c r="K104" s="236"/>
      <c r="L104" s="236"/>
      <c r="M104" s="236"/>
      <c r="N104" s="236"/>
      <c r="O104" s="236"/>
      <c r="P104" s="236"/>
      <c r="Q104" s="221"/>
      <c r="R104" s="221"/>
      <c r="S104" s="221"/>
      <c r="T104" s="221"/>
      <c r="U104" s="220"/>
      <c r="V104" s="220"/>
      <c r="W104" s="220"/>
      <c r="X104" s="221"/>
      <c r="Y104" s="221"/>
      <c r="Z104" s="221"/>
      <c r="AD104" s="220"/>
      <c r="AE104" s="220"/>
      <c r="AF104" s="220"/>
      <c r="AG104" s="220"/>
      <c r="AH104" s="220"/>
      <c r="AI104" s="220"/>
      <c r="AJ104" s="220"/>
      <c r="AK104" s="220"/>
      <c r="AL104" s="220"/>
      <c r="AM104" s="220"/>
    </row>
    <row r="105" spans="1:39" x14ac:dyDescent="0.2">
      <c r="A105" s="220"/>
      <c r="B105" s="234"/>
      <c r="C105" s="234"/>
      <c r="D105" s="236"/>
      <c r="E105" s="236"/>
      <c r="F105" s="236"/>
      <c r="G105" s="236"/>
      <c r="H105" s="404"/>
      <c r="I105" s="236"/>
      <c r="J105" s="236"/>
      <c r="K105" s="236"/>
      <c r="L105" s="236"/>
      <c r="M105" s="236"/>
      <c r="N105" s="236"/>
      <c r="O105" s="236"/>
      <c r="P105" s="236"/>
      <c r="Q105" s="221"/>
      <c r="R105" s="221"/>
      <c r="S105" s="221"/>
      <c r="T105" s="221"/>
      <c r="U105" s="220"/>
      <c r="V105" s="220"/>
      <c r="W105" s="220"/>
      <c r="X105" s="221"/>
      <c r="Y105" s="221"/>
      <c r="Z105" s="221"/>
      <c r="AD105" s="220"/>
      <c r="AE105" s="220"/>
      <c r="AF105" s="220"/>
      <c r="AG105" s="220"/>
      <c r="AH105" s="220"/>
      <c r="AI105" s="220"/>
      <c r="AJ105" s="220"/>
      <c r="AK105" s="220"/>
      <c r="AL105" s="220"/>
      <c r="AM105" s="220"/>
    </row>
    <row r="106" spans="1:39" x14ac:dyDescent="0.2">
      <c r="A106" s="220"/>
      <c r="B106" s="234"/>
      <c r="C106" s="234"/>
      <c r="D106" s="236"/>
      <c r="E106" s="236"/>
      <c r="F106" s="236"/>
      <c r="G106" s="236"/>
      <c r="H106" s="404"/>
      <c r="I106" s="236"/>
      <c r="J106" s="236"/>
      <c r="K106" s="236"/>
      <c r="L106" s="236"/>
      <c r="M106" s="236"/>
      <c r="N106" s="236"/>
      <c r="O106" s="236"/>
      <c r="P106" s="236"/>
      <c r="Q106" s="221"/>
      <c r="R106" s="221"/>
      <c r="S106" s="221"/>
      <c r="T106" s="221"/>
      <c r="U106" s="220"/>
      <c r="V106" s="220"/>
      <c r="W106" s="220"/>
      <c r="X106" s="221"/>
      <c r="Y106" s="221"/>
      <c r="Z106" s="221"/>
      <c r="AD106" s="220"/>
      <c r="AE106" s="220"/>
      <c r="AF106" s="220"/>
      <c r="AG106" s="220"/>
      <c r="AH106" s="220"/>
      <c r="AI106" s="220"/>
      <c r="AJ106" s="220"/>
      <c r="AK106" s="220"/>
      <c r="AL106" s="220"/>
      <c r="AM106" s="220"/>
    </row>
    <row r="107" spans="1:39" x14ac:dyDescent="0.2">
      <c r="A107" s="220"/>
      <c r="B107" s="234"/>
      <c r="C107" s="234"/>
      <c r="D107" s="236"/>
      <c r="E107" s="236"/>
      <c r="F107" s="236"/>
      <c r="G107" s="236"/>
      <c r="H107" s="404"/>
      <c r="I107" s="236"/>
      <c r="J107" s="236"/>
      <c r="K107" s="236"/>
      <c r="L107" s="236"/>
      <c r="M107" s="236"/>
      <c r="N107" s="236"/>
      <c r="O107" s="236"/>
      <c r="P107" s="236"/>
      <c r="Q107" s="221"/>
      <c r="R107" s="221"/>
      <c r="S107" s="221"/>
      <c r="T107" s="221"/>
      <c r="U107" s="220"/>
      <c r="V107" s="220"/>
      <c r="W107" s="220"/>
      <c r="X107" s="221"/>
      <c r="Y107" s="221"/>
      <c r="Z107" s="221"/>
      <c r="AE107" s="220"/>
      <c r="AF107" s="220"/>
      <c r="AG107" s="220"/>
      <c r="AH107" s="220"/>
      <c r="AI107" s="220"/>
      <c r="AJ107" s="220"/>
      <c r="AK107" s="220"/>
      <c r="AL107" s="220"/>
      <c r="AM107" s="220"/>
    </row>
    <row r="108" spans="1:39" x14ac:dyDescent="0.2">
      <c r="A108" s="220"/>
      <c r="B108" s="234"/>
      <c r="C108" s="234"/>
      <c r="D108" s="236"/>
      <c r="E108" s="236"/>
      <c r="F108" s="236"/>
      <c r="G108" s="236"/>
      <c r="H108" s="404"/>
      <c r="I108" s="236"/>
      <c r="J108" s="236"/>
      <c r="K108" s="236"/>
      <c r="L108" s="236"/>
      <c r="M108" s="236"/>
      <c r="N108" s="236"/>
      <c r="O108" s="236"/>
      <c r="P108" s="236"/>
      <c r="Q108" s="221"/>
      <c r="R108" s="221"/>
      <c r="S108" s="221"/>
      <c r="T108" s="221"/>
      <c r="U108" s="220"/>
      <c r="V108" s="220"/>
      <c r="W108" s="220"/>
      <c r="X108" s="221"/>
      <c r="Y108" s="221"/>
      <c r="Z108" s="221"/>
      <c r="AE108" s="220"/>
      <c r="AF108" s="220"/>
      <c r="AG108" s="220"/>
      <c r="AH108" s="220"/>
      <c r="AI108" s="220"/>
      <c r="AJ108" s="220"/>
      <c r="AK108" s="220"/>
      <c r="AL108" s="220"/>
      <c r="AM108" s="220"/>
    </row>
    <row r="109" spans="1:39" x14ac:dyDescent="0.2">
      <c r="A109" s="220"/>
      <c r="B109" s="234"/>
      <c r="C109" s="234"/>
      <c r="D109" s="236"/>
      <c r="E109" s="236"/>
      <c r="F109" s="236"/>
      <c r="G109" s="236"/>
      <c r="H109" s="404"/>
      <c r="I109" s="236"/>
      <c r="J109" s="236"/>
      <c r="K109" s="236"/>
      <c r="L109" s="236"/>
      <c r="M109" s="236"/>
      <c r="N109" s="236"/>
      <c r="O109" s="236"/>
      <c r="P109" s="236"/>
      <c r="Q109" s="221"/>
      <c r="R109" s="221"/>
      <c r="S109" s="221"/>
      <c r="T109" s="221"/>
      <c r="U109" s="220"/>
      <c r="V109" s="220"/>
      <c r="W109" s="220"/>
      <c r="X109" s="221"/>
      <c r="Y109" s="221"/>
      <c r="Z109" s="221"/>
      <c r="AE109" s="220"/>
      <c r="AF109" s="220"/>
      <c r="AG109" s="220"/>
      <c r="AH109" s="220"/>
      <c r="AI109" s="220"/>
      <c r="AJ109" s="220"/>
      <c r="AK109" s="220"/>
      <c r="AL109" s="220"/>
      <c r="AM109" s="220"/>
    </row>
    <row r="110" spans="1:39" x14ac:dyDescent="0.2">
      <c r="A110" s="220"/>
      <c r="B110" s="234"/>
      <c r="C110" s="234"/>
      <c r="D110" s="236"/>
      <c r="E110" s="236"/>
      <c r="F110" s="236"/>
      <c r="G110" s="236"/>
      <c r="H110" s="404"/>
      <c r="I110" s="236"/>
      <c r="J110" s="236"/>
      <c r="K110" s="236"/>
      <c r="L110" s="236"/>
      <c r="M110" s="236"/>
      <c r="N110" s="236"/>
      <c r="O110" s="236"/>
      <c r="P110" s="236"/>
      <c r="Q110" s="221"/>
      <c r="R110" s="221"/>
      <c r="S110" s="221"/>
      <c r="T110" s="221"/>
      <c r="U110" s="220"/>
      <c r="V110" s="220"/>
      <c r="W110" s="220"/>
      <c r="X110" s="221"/>
      <c r="Y110" s="221"/>
      <c r="Z110" s="221"/>
      <c r="AE110" s="220"/>
      <c r="AF110" s="220"/>
      <c r="AG110" s="220"/>
      <c r="AH110" s="220"/>
      <c r="AI110" s="220"/>
      <c r="AJ110" s="220"/>
      <c r="AK110" s="220"/>
      <c r="AL110" s="220"/>
      <c r="AM110" s="220"/>
    </row>
    <row r="111" spans="1:39" x14ac:dyDescent="0.2">
      <c r="A111" s="220"/>
      <c r="B111" s="234"/>
      <c r="C111" s="234"/>
      <c r="D111" s="236"/>
      <c r="E111" s="236"/>
      <c r="F111" s="236"/>
      <c r="G111" s="236"/>
      <c r="H111" s="404"/>
      <c r="I111" s="236"/>
      <c r="J111" s="236"/>
      <c r="K111" s="236"/>
      <c r="L111" s="236"/>
      <c r="M111" s="236"/>
      <c r="N111" s="236"/>
      <c r="O111" s="236"/>
      <c r="P111" s="236"/>
      <c r="Q111" s="221"/>
      <c r="R111" s="221"/>
      <c r="S111" s="221"/>
      <c r="T111" s="221"/>
      <c r="U111" s="220"/>
      <c r="V111" s="220"/>
      <c r="W111" s="220"/>
      <c r="X111" s="221"/>
      <c r="Y111" s="221"/>
      <c r="Z111" s="221"/>
      <c r="AE111" s="220"/>
      <c r="AF111" s="220"/>
      <c r="AG111" s="220"/>
      <c r="AH111" s="220"/>
      <c r="AI111" s="220"/>
      <c r="AJ111" s="220"/>
      <c r="AK111" s="220"/>
      <c r="AL111" s="220"/>
      <c r="AM111" s="220"/>
    </row>
    <row r="112" spans="1:39" x14ac:dyDescent="0.2">
      <c r="A112" s="220"/>
      <c r="B112" s="234"/>
      <c r="C112" s="234"/>
      <c r="D112" s="236"/>
      <c r="E112" s="236"/>
      <c r="F112" s="236"/>
      <c r="G112" s="236"/>
      <c r="H112" s="404"/>
      <c r="I112" s="236"/>
      <c r="J112" s="236"/>
      <c r="K112" s="236"/>
      <c r="L112" s="236"/>
      <c r="M112" s="236"/>
      <c r="N112" s="236"/>
      <c r="O112" s="236"/>
      <c r="P112" s="236"/>
      <c r="Q112" s="221"/>
      <c r="R112" s="221"/>
      <c r="S112" s="221"/>
      <c r="T112" s="221"/>
      <c r="U112" s="220"/>
      <c r="V112" s="220"/>
      <c r="W112" s="220"/>
      <c r="X112" s="221"/>
      <c r="Y112" s="221"/>
      <c r="Z112" s="221"/>
      <c r="AE112" s="220"/>
      <c r="AF112" s="220"/>
      <c r="AG112" s="220"/>
      <c r="AH112" s="220"/>
      <c r="AI112" s="220"/>
      <c r="AJ112" s="220"/>
      <c r="AK112" s="220"/>
      <c r="AL112" s="220"/>
      <c r="AM112" s="220"/>
    </row>
    <row r="113" spans="1:39" x14ac:dyDescent="0.2">
      <c r="A113" s="220"/>
      <c r="B113" s="234"/>
      <c r="C113" s="234"/>
      <c r="D113" s="236"/>
      <c r="E113" s="236"/>
      <c r="F113" s="236"/>
      <c r="G113" s="236"/>
      <c r="H113" s="404"/>
      <c r="I113" s="236"/>
      <c r="J113" s="236"/>
      <c r="K113" s="236"/>
      <c r="L113" s="236"/>
      <c r="M113" s="236"/>
      <c r="N113" s="236"/>
      <c r="O113" s="236"/>
      <c r="P113" s="236"/>
      <c r="Q113" s="221"/>
      <c r="R113" s="221"/>
      <c r="S113" s="221"/>
      <c r="T113" s="221"/>
      <c r="U113" s="220"/>
      <c r="V113" s="220"/>
      <c r="W113" s="220"/>
      <c r="X113" s="221"/>
      <c r="Y113" s="221"/>
      <c r="Z113" s="221"/>
      <c r="AE113" s="220"/>
      <c r="AF113" s="220"/>
      <c r="AG113" s="220"/>
      <c r="AH113" s="220"/>
      <c r="AI113" s="220"/>
      <c r="AJ113" s="220"/>
      <c r="AK113" s="220"/>
      <c r="AL113" s="220"/>
      <c r="AM113" s="220"/>
    </row>
    <row r="114" spans="1:39" x14ac:dyDescent="0.2">
      <c r="A114" s="220"/>
      <c r="B114" s="234"/>
      <c r="C114" s="234"/>
      <c r="D114" s="236"/>
      <c r="E114" s="236"/>
      <c r="F114" s="236"/>
      <c r="G114" s="236"/>
      <c r="H114" s="404"/>
      <c r="I114" s="236"/>
      <c r="J114" s="236"/>
      <c r="K114" s="236"/>
      <c r="L114" s="236"/>
      <c r="M114" s="236"/>
      <c r="N114" s="236"/>
      <c r="O114" s="236"/>
      <c r="P114" s="236"/>
      <c r="Q114" s="221"/>
      <c r="R114" s="221"/>
      <c r="S114" s="221"/>
      <c r="T114" s="221"/>
      <c r="U114" s="220"/>
      <c r="V114" s="220"/>
      <c r="W114" s="220"/>
      <c r="X114" s="221"/>
      <c r="Y114" s="221"/>
      <c r="Z114" s="221"/>
      <c r="AE114" s="220"/>
      <c r="AF114" s="220"/>
      <c r="AG114" s="220"/>
      <c r="AH114" s="220"/>
      <c r="AI114" s="220"/>
      <c r="AJ114" s="220"/>
      <c r="AK114" s="220"/>
      <c r="AL114" s="220"/>
      <c r="AM114" s="220"/>
    </row>
    <row r="115" spans="1:39" x14ac:dyDescent="0.2">
      <c r="A115" s="220"/>
      <c r="B115" s="250"/>
      <c r="C115" s="250"/>
      <c r="D115" s="252"/>
      <c r="E115" s="252"/>
      <c r="F115" s="252"/>
      <c r="G115" s="252"/>
      <c r="H115" s="404"/>
      <c r="I115" s="252"/>
      <c r="J115" s="252"/>
      <c r="K115" s="252"/>
      <c r="L115" s="252"/>
      <c r="M115" s="252"/>
      <c r="N115" s="252"/>
      <c r="O115" s="252"/>
      <c r="P115" s="252"/>
      <c r="Q115" s="221"/>
      <c r="R115" s="221"/>
      <c r="S115" s="221"/>
      <c r="T115" s="221"/>
      <c r="U115" s="220"/>
      <c r="V115" s="220"/>
      <c r="W115" s="220"/>
      <c r="X115" s="221"/>
      <c r="Y115" s="221"/>
      <c r="Z115" s="221"/>
      <c r="AE115" s="220"/>
      <c r="AF115" s="220"/>
      <c r="AG115" s="220"/>
      <c r="AH115" s="220"/>
      <c r="AI115" s="220"/>
      <c r="AJ115" s="220"/>
      <c r="AK115" s="220"/>
      <c r="AL115" s="220"/>
      <c r="AM115" s="220"/>
    </row>
    <row r="116" spans="1:39" x14ac:dyDescent="0.2">
      <c r="A116" s="220"/>
      <c r="B116" s="250"/>
      <c r="C116" s="250"/>
      <c r="D116" s="252"/>
      <c r="E116" s="252"/>
      <c r="F116" s="252"/>
      <c r="G116" s="252"/>
      <c r="H116" s="404"/>
      <c r="I116" s="252"/>
      <c r="J116" s="252"/>
      <c r="K116" s="252"/>
      <c r="L116" s="252"/>
      <c r="M116" s="252"/>
      <c r="N116" s="252"/>
      <c r="O116" s="252"/>
      <c r="P116" s="252"/>
      <c r="Q116" s="221"/>
      <c r="R116" s="221"/>
      <c r="S116" s="221"/>
      <c r="T116" s="221"/>
      <c r="U116" s="220"/>
      <c r="V116" s="220"/>
      <c r="W116" s="220"/>
      <c r="X116" s="221"/>
      <c r="Y116" s="221"/>
      <c r="Z116" s="221"/>
      <c r="AE116" s="220"/>
      <c r="AF116" s="220"/>
      <c r="AG116" s="220"/>
      <c r="AH116" s="220"/>
      <c r="AI116" s="220"/>
      <c r="AJ116" s="220"/>
      <c r="AK116" s="220"/>
      <c r="AL116" s="220"/>
      <c r="AM116" s="220"/>
    </row>
    <row r="117" spans="1:39" x14ac:dyDescent="0.2">
      <c r="A117" s="220"/>
      <c r="B117" s="250"/>
      <c r="C117" s="250"/>
      <c r="D117" s="252"/>
      <c r="E117" s="252"/>
      <c r="F117" s="252"/>
      <c r="G117" s="252"/>
      <c r="H117" s="404"/>
      <c r="I117" s="252"/>
      <c r="J117" s="252"/>
      <c r="K117" s="252"/>
      <c r="L117" s="252"/>
      <c r="M117" s="252"/>
      <c r="N117" s="252"/>
      <c r="O117" s="252"/>
      <c r="P117" s="252"/>
      <c r="Q117" s="221"/>
      <c r="R117" s="221"/>
      <c r="S117" s="221"/>
      <c r="T117" s="221"/>
      <c r="U117" s="220"/>
      <c r="V117" s="220"/>
      <c r="W117" s="220"/>
      <c r="X117" s="221"/>
      <c r="Y117" s="221"/>
      <c r="Z117" s="221"/>
      <c r="AE117" s="220"/>
      <c r="AF117" s="220"/>
      <c r="AG117" s="220"/>
      <c r="AH117" s="220"/>
      <c r="AI117" s="220"/>
      <c r="AJ117" s="220"/>
      <c r="AK117" s="220"/>
      <c r="AL117" s="220"/>
      <c r="AM117" s="220"/>
    </row>
    <row r="118" spans="1:39" x14ac:dyDescent="0.2">
      <c r="A118" s="220"/>
      <c r="B118" s="250"/>
      <c r="C118" s="250"/>
      <c r="D118" s="252"/>
      <c r="E118" s="252"/>
      <c r="F118" s="252"/>
      <c r="G118" s="252"/>
      <c r="H118" s="406"/>
      <c r="I118" s="252"/>
      <c r="J118" s="252"/>
      <c r="K118" s="252"/>
      <c r="L118" s="252"/>
      <c r="M118" s="252"/>
      <c r="N118" s="252"/>
      <c r="O118" s="252"/>
      <c r="P118" s="252"/>
      <c r="Q118" s="221"/>
      <c r="R118" s="221"/>
      <c r="S118" s="221"/>
      <c r="T118" s="221"/>
      <c r="U118" s="220"/>
      <c r="V118" s="220"/>
      <c r="W118" s="220"/>
      <c r="X118" s="221"/>
      <c r="Y118" s="221"/>
      <c r="Z118" s="221"/>
      <c r="AE118" s="220"/>
      <c r="AF118" s="220"/>
      <c r="AG118" s="220"/>
      <c r="AH118" s="220"/>
      <c r="AI118" s="220"/>
      <c r="AJ118" s="220"/>
      <c r="AK118" s="220"/>
      <c r="AL118" s="220"/>
      <c r="AM118" s="220"/>
    </row>
    <row r="119" spans="1:39" x14ac:dyDescent="0.2">
      <c r="A119" s="220"/>
      <c r="B119" s="250"/>
      <c r="C119" s="250"/>
      <c r="D119" s="252"/>
      <c r="E119" s="252"/>
      <c r="F119" s="252"/>
      <c r="G119" s="252"/>
      <c r="H119" s="2"/>
      <c r="I119" s="252"/>
      <c r="J119" s="252"/>
      <c r="K119" s="252"/>
      <c r="L119" s="252"/>
      <c r="M119" s="252"/>
      <c r="N119" s="252"/>
      <c r="O119" s="252"/>
      <c r="P119" s="252"/>
      <c r="Q119" s="221"/>
      <c r="R119" s="221"/>
      <c r="S119" s="221"/>
      <c r="T119" s="221"/>
      <c r="U119" s="220"/>
      <c r="V119" s="220"/>
      <c r="W119" s="220"/>
      <c r="X119" s="221"/>
      <c r="Y119" s="221"/>
      <c r="Z119" s="221"/>
      <c r="AE119" s="220"/>
      <c r="AF119" s="220"/>
      <c r="AG119" s="220"/>
      <c r="AH119" s="220"/>
      <c r="AI119" s="220"/>
      <c r="AJ119" s="220"/>
      <c r="AK119" s="220"/>
      <c r="AL119" s="220"/>
      <c r="AM119" s="220"/>
    </row>
    <row r="120" spans="1:39" x14ac:dyDescent="0.2">
      <c r="A120" s="220"/>
      <c r="B120" s="250"/>
      <c r="C120" s="250"/>
      <c r="D120" s="252"/>
      <c r="E120" s="252"/>
      <c r="F120" s="252"/>
      <c r="G120" s="252"/>
      <c r="H120" s="2"/>
      <c r="I120" s="252"/>
      <c r="J120" s="252"/>
      <c r="K120" s="252"/>
      <c r="L120" s="252"/>
      <c r="M120" s="252"/>
      <c r="N120" s="252"/>
      <c r="O120" s="252"/>
      <c r="P120" s="252"/>
      <c r="Q120" s="221"/>
      <c r="R120" s="221"/>
      <c r="S120" s="221"/>
      <c r="T120" s="221"/>
      <c r="U120" s="220"/>
      <c r="V120" s="220"/>
      <c r="W120" s="220"/>
      <c r="X120" s="221"/>
      <c r="Y120" s="221"/>
      <c r="Z120" s="221"/>
      <c r="AE120" s="220"/>
      <c r="AF120" s="220"/>
      <c r="AG120" s="220"/>
      <c r="AH120" s="220"/>
      <c r="AI120" s="220"/>
      <c r="AJ120" s="220"/>
      <c r="AK120" s="220"/>
      <c r="AL120" s="220"/>
      <c r="AM120" s="220"/>
    </row>
    <row r="121" spans="1:39" x14ac:dyDescent="0.2">
      <c r="A121" s="220"/>
      <c r="B121" s="250"/>
      <c r="C121" s="250"/>
      <c r="D121" s="252"/>
      <c r="E121" s="252"/>
      <c r="F121" s="252"/>
      <c r="G121" s="252"/>
      <c r="H121" s="2"/>
      <c r="I121" s="252"/>
      <c r="J121" s="252"/>
      <c r="K121" s="252"/>
      <c r="L121" s="252"/>
      <c r="M121" s="252"/>
      <c r="N121" s="252"/>
      <c r="O121" s="252"/>
      <c r="P121" s="252"/>
      <c r="Q121" s="221"/>
      <c r="R121" s="221"/>
      <c r="S121" s="221"/>
      <c r="T121" s="221"/>
      <c r="U121" s="220"/>
      <c r="V121" s="220"/>
      <c r="W121" s="220"/>
      <c r="X121" s="221"/>
      <c r="Y121" s="221"/>
      <c r="Z121" s="221"/>
      <c r="AE121" s="220"/>
      <c r="AF121" s="220"/>
      <c r="AG121" s="220"/>
      <c r="AH121" s="220"/>
      <c r="AI121" s="220"/>
      <c r="AJ121" s="220"/>
      <c r="AK121" s="220"/>
      <c r="AL121" s="220"/>
      <c r="AM121" s="220"/>
    </row>
    <row r="122" spans="1:39" x14ac:dyDescent="0.2">
      <c r="A122" s="220"/>
      <c r="B122" s="250"/>
      <c r="C122" s="250"/>
      <c r="D122" s="252"/>
      <c r="E122" s="252"/>
      <c r="F122" s="252"/>
      <c r="G122" s="252"/>
      <c r="H122" s="2"/>
      <c r="I122" s="252"/>
      <c r="J122" s="252"/>
      <c r="K122" s="252"/>
      <c r="L122" s="252"/>
      <c r="M122" s="252"/>
      <c r="N122" s="252"/>
      <c r="O122" s="252"/>
      <c r="P122" s="252"/>
      <c r="Q122" s="221"/>
      <c r="R122" s="221"/>
      <c r="S122" s="221"/>
      <c r="T122" s="221"/>
      <c r="U122" s="220"/>
      <c r="V122" s="220"/>
      <c r="W122" s="220"/>
      <c r="X122" s="221"/>
      <c r="Y122" s="221"/>
      <c r="Z122" s="221"/>
      <c r="AE122" s="220"/>
      <c r="AF122" s="220"/>
      <c r="AG122" s="220"/>
      <c r="AH122" s="220"/>
      <c r="AI122" s="220"/>
      <c r="AJ122" s="220"/>
      <c r="AK122" s="220"/>
      <c r="AL122" s="220"/>
      <c r="AM122" s="220"/>
    </row>
    <row r="123" spans="1:39" x14ac:dyDescent="0.2">
      <c r="A123" s="220"/>
      <c r="B123" s="250"/>
      <c r="C123" s="250"/>
      <c r="D123" s="252"/>
      <c r="E123" s="252"/>
      <c r="F123" s="252"/>
      <c r="G123" s="252"/>
      <c r="H123" s="2"/>
      <c r="I123" s="252"/>
      <c r="J123" s="252"/>
      <c r="K123" s="252"/>
      <c r="L123" s="252"/>
      <c r="M123" s="252"/>
      <c r="N123" s="252"/>
      <c r="O123" s="252"/>
      <c r="P123" s="252"/>
      <c r="Q123" s="221"/>
      <c r="R123" s="221"/>
      <c r="S123" s="221"/>
      <c r="T123" s="221"/>
      <c r="U123" s="220"/>
      <c r="V123" s="220"/>
      <c r="W123" s="220"/>
      <c r="X123" s="221"/>
      <c r="Y123" s="221"/>
      <c r="Z123" s="221"/>
      <c r="AE123" s="220"/>
      <c r="AF123" s="220"/>
      <c r="AG123" s="220"/>
      <c r="AH123" s="220"/>
      <c r="AI123" s="220"/>
      <c r="AJ123" s="220"/>
      <c r="AK123" s="220"/>
      <c r="AL123" s="220"/>
      <c r="AM123" s="220"/>
    </row>
    <row r="124" spans="1:39" x14ac:dyDescent="0.2">
      <c r="A124" s="220"/>
      <c r="B124" s="250"/>
      <c r="C124" s="250"/>
      <c r="D124" s="252"/>
      <c r="E124" s="252"/>
      <c r="F124" s="252"/>
      <c r="G124" s="252"/>
      <c r="H124" s="2"/>
      <c r="I124" s="252"/>
      <c r="J124" s="252"/>
      <c r="K124" s="252"/>
      <c r="L124" s="252"/>
      <c r="M124" s="252"/>
      <c r="N124" s="252"/>
      <c r="O124" s="252"/>
      <c r="P124" s="252"/>
      <c r="Q124" s="221"/>
      <c r="R124" s="221"/>
      <c r="S124" s="221"/>
      <c r="T124" s="221"/>
      <c r="U124" s="220"/>
      <c r="V124" s="220"/>
      <c r="W124" s="220"/>
      <c r="X124" s="221"/>
      <c r="Y124" s="221"/>
      <c r="Z124" s="221"/>
      <c r="AE124" s="220"/>
      <c r="AF124" s="220"/>
      <c r="AG124" s="220"/>
      <c r="AH124" s="220"/>
      <c r="AI124" s="220"/>
      <c r="AJ124" s="220"/>
      <c r="AK124" s="220"/>
      <c r="AL124" s="220"/>
      <c r="AM124" s="220"/>
    </row>
    <row r="125" spans="1:39" x14ac:dyDescent="0.2">
      <c r="A125" s="220"/>
      <c r="B125" s="250"/>
      <c r="C125" s="250"/>
      <c r="D125" s="252"/>
      <c r="E125" s="252"/>
      <c r="F125" s="252"/>
      <c r="G125" s="252"/>
      <c r="H125" s="2"/>
      <c r="I125" s="252"/>
      <c r="J125" s="252"/>
      <c r="K125" s="252"/>
      <c r="L125" s="252"/>
      <c r="M125" s="252"/>
      <c r="N125" s="252"/>
      <c r="O125" s="252"/>
      <c r="P125" s="252"/>
      <c r="Q125" s="221"/>
      <c r="R125" s="221"/>
      <c r="S125" s="221"/>
      <c r="T125" s="221"/>
      <c r="U125" s="220"/>
      <c r="V125" s="220"/>
      <c r="W125" s="220"/>
      <c r="X125" s="221"/>
      <c r="Y125" s="221"/>
      <c r="Z125" s="221"/>
      <c r="AE125" s="220"/>
      <c r="AF125" s="220"/>
      <c r="AG125" s="220"/>
      <c r="AH125" s="220"/>
      <c r="AI125" s="220"/>
      <c r="AJ125" s="220"/>
      <c r="AK125" s="220"/>
      <c r="AL125" s="220"/>
      <c r="AM125" s="220"/>
    </row>
    <row r="126" spans="1:39" x14ac:dyDescent="0.2">
      <c r="A126" s="220"/>
      <c r="B126" s="250"/>
      <c r="C126" s="250"/>
      <c r="D126" s="252"/>
      <c r="E126" s="252"/>
      <c r="F126" s="252"/>
      <c r="G126" s="252"/>
      <c r="H126" s="2"/>
      <c r="I126" s="252"/>
      <c r="J126" s="252"/>
      <c r="K126" s="252"/>
      <c r="L126" s="252"/>
      <c r="M126" s="252"/>
      <c r="N126" s="252"/>
      <c r="O126" s="252"/>
      <c r="P126" s="252"/>
      <c r="Q126" s="221"/>
      <c r="R126" s="221"/>
      <c r="S126" s="221"/>
      <c r="T126" s="221"/>
      <c r="U126" s="220"/>
      <c r="V126" s="220"/>
      <c r="W126" s="220"/>
      <c r="X126" s="221"/>
      <c r="Y126" s="221"/>
      <c r="Z126" s="221"/>
      <c r="AE126" s="220"/>
      <c r="AF126" s="220"/>
      <c r="AG126" s="220"/>
      <c r="AH126" s="220"/>
      <c r="AI126" s="220"/>
      <c r="AJ126" s="220"/>
      <c r="AK126" s="220"/>
      <c r="AL126" s="220"/>
      <c r="AM126" s="220"/>
    </row>
    <row r="127" spans="1:39" x14ac:dyDescent="0.2">
      <c r="A127" s="220"/>
      <c r="B127" s="250"/>
      <c r="C127" s="250"/>
      <c r="D127" s="252"/>
      <c r="E127" s="252"/>
      <c r="F127" s="252"/>
      <c r="G127" s="252"/>
      <c r="H127" s="2"/>
      <c r="I127" s="252"/>
      <c r="J127" s="252"/>
      <c r="K127" s="252"/>
      <c r="L127" s="252"/>
      <c r="M127" s="252"/>
      <c r="N127" s="252"/>
      <c r="O127" s="252"/>
      <c r="P127" s="252"/>
      <c r="Q127" s="221"/>
      <c r="R127" s="221"/>
      <c r="S127" s="221"/>
      <c r="T127" s="221"/>
      <c r="U127" s="220"/>
      <c r="V127" s="220"/>
      <c r="W127" s="220"/>
      <c r="X127" s="221"/>
      <c r="Y127" s="221"/>
      <c r="Z127" s="221"/>
      <c r="AE127" s="220"/>
      <c r="AF127" s="220"/>
      <c r="AG127" s="220"/>
      <c r="AH127" s="220"/>
      <c r="AI127" s="220"/>
      <c r="AJ127" s="220"/>
      <c r="AK127" s="220"/>
      <c r="AL127" s="220"/>
      <c r="AM127" s="220"/>
    </row>
    <row r="128" spans="1:39" x14ac:dyDescent="0.2">
      <c r="A128" s="220"/>
      <c r="B128" s="250"/>
      <c r="C128" s="250"/>
      <c r="D128" s="252"/>
      <c r="E128" s="252"/>
      <c r="F128" s="252"/>
      <c r="G128" s="252"/>
      <c r="H128" s="2"/>
      <c r="I128" s="252"/>
      <c r="J128" s="252"/>
      <c r="K128" s="252"/>
      <c r="L128" s="252"/>
      <c r="M128" s="252"/>
      <c r="N128" s="252"/>
      <c r="O128" s="252"/>
      <c r="P128" s="252"/>
      <c r="Q128" s="221"/>
      <c r="R128" s="221"/>
      <c r="S128" s="221"/>
      <c r="T128" s="221"/>
      <c r="U128" s="220"/>
      <c r="V128" s="220"/>
      <c r="W128" s="220"/>
      <c r="X128" s="221"/>
      <c r="Y128" s="221"/>
      <c r="Z128" s="221"/>
      <c r="AE128" s="220"/>
      <c r="AF128" s="220"/>
      <c r="AG128" s="220"/>
      <c r="AH128" s="220"/>
      <c r="AI128" s="220"/>
      <c r="AJ128" s="220"/>
      <c r="AK128" s="220"/>
      <c r="AL128" s="220"/>
      <c r="AM128" s="220"/>
    </row>
    <row r="129" spans="1:39" x14ac:dyDescent="0.2">
      <c r="A129" s="220"/>
      <c r="B129" s="250"/>
      <c r="C129" s="250"/>
      <c r="D129" s="252"/>
      <c r="E129" s="252"/>
      <c r="F129" s="252"/>
      <c r="G129" s="252"/>
      <c r="H129" s="2"/>
      <c r="I129" s="252"/>
      <c r="J129" s="252"/>
      <c r="K129" s="252"/>
      <c r="L129" s="252"/>
      <c r="M129" s="252"/>
      <c r="N129" s="252"/>
      <c r="O129" s="252"/>
      <c r="P129" s="252"/>
      <c r="Q129" s="221"/>
      <c r="R129" s="221"/>
      <c r="S129" s="221"/>
      <c r="T129" s="221"/>
      <c r="U129" s="220"/>
      <c r="V129" s="220"/>
      <c r="W129" s="220"/>
      <c r="X129" s="221"/>
      <c r="Y129" s="221"/>
      <c r="Z129" s="221"/>
      <c r="AE129" s="220"/>
      <c r="AF129" s="220"/>
      <c r="AG129" s="220"/>
      <c r="AH129" s="220"/>
      <c r="AI129" s="220"/>
      <c r="AJ129" s="220"/>
      <c r="AK129" s="220"/>
      <c r="AL129" s="220"/>
      <c r="AM129" s="220"/>
    </row>
    <row r="130" spans="1:39" x14ac:dyDescent="0.2">
      <c r="A130" s="220"/>
      <c r="B130" s="250"/>
      <c r="C130" s="250"/>
      <c r="D130" s="252"/>
      <c r="E130" s="252"/>
      <c r="F130" s="252"/>
      <c r="G130" s="252"/>
      <c r="H130" s="2"/>
      <c r="I130" s="252"/>
      <c r="J130" s="252"/>
      <c r="K130" s="252"/>
      <c r="L130" s="252"/>
      <c r="M130" s="252"/>
      <c r="N130" s="252"/>
      <c r="O130" s="252"/>
      <c r="P130" s="252"/>
      <c r="Q130" s="221"/>
      <c r="R130" s="221"/>
      <c r="S130" s="221"/>
      <c r="T130" s="221"/>
      <c r="U130" s="220"/>
      <c r="V130" s="220"/>
      <c r="W130" s="220"/>
      <c r="X130" s="221"/>
      <c r="Y130" s="221"/>
      <c r="Z130" s="221"/>
      <c r="AE130" s="220"/>
      <c r="AF130" s="220"/>
      <c r="AG130" s="220"/>
      <c r="AH130" s="220"/>
      <c r="AI130" s="220"/>
      <c r="AJ130" s="220"/>
      <c r="AK130" s="220"/>
      <c r="AL130" s="220"/>
      <c r="AM130" s="220"/>
    </row>
    <row r="131" spans="1:39" x14ac:dyDescent="0.2">
      <c r="A131" s="220"/>
      <c r="B131" s="250"/>
      <c r="C131" s="250"/>
      <c r="D131" s="252"/>
      <c r="E131" s="252"/>
      <c r="F131" s="252"/>
      <c r="G131" s="252"/>
      <c r="H131" s="2"/>
      <c r="I131" s="252"/>
      <c r="J131" s="252"/>
      <c r="K131" s="252"/>
      <c r="L131" s="252"/>
      <c r="M131" s="252"/>
      <c r="N131" s="252"/>
      <c r="O131" s="252"/>
      <c r="P131" s="252"/>
      <c r="Q131" s="221"/>
      <c r="R131" s="221"/>
      <c r="S131" s="221"/>
      <c r="T131" s="221"/>
      <c r="U131" s="220"/>
      <c r="V131" s="220"/>
      <c r="W131" s="220"/>
      <c r="X131" s="221"/>
      <c r="Y131" s="221"/>
      <c r="Z131" s="221"/>
      <c r="AE131" s="220"/>
      <c r="AF131" s="220"/>
      <c r="AG131" s="220"/>
      <c r="AH131" s="220"/>
      <c r="AI131" s="220"/>
      <c r="AJ131" s="220"/>
      <c r="AK131" s="220"/>
      <c r="AL131" s="220"/>
      <c r="AM131" s="220"/>
    </row>
    <row r="132" spans="1:39" x14ac:dyDescent="0.2">
      <c r="A132" s="220"/>
      <c r="B132" s="250"/>
      <c r="C132" s="250"/>
      <c r="D132" s="252"/>
      <c r="E132" s="252"/>
      <c r="F132" s="252"/>
      <c r="G132" s="252"/>
      <c r="H132" s="2"/>
      <c r="I132" s="252"/>
      <c r="J132" s="252"/>
      <c r="K132" s="252"/>
      <c r="L132" s="252"/>
      <c r="M132" s="252"/>
      <c r="N132" s="252"/>
      <c r="O132" s="252"/>
      <c r="P132" s="252"/>
      <c r="Q132" s="221"/>
      <c r="R132" s="221"/>
      <c r="S132" s="221"/>
      <c r="T132" s="221"/>
      <c r="U132" s="220"/>
      <c r="V132" s="220"/>
      <c r="W132" s="220"/>
      <c r="X132" s="221"/>
      <c r="Y132" s="221"/>
      <c r="Z132" s="221"/>
      <c r="AE132" s="220"/>
      <c r="AF132" s="220"/>
      <c r="AG132" s="220"/>
      <c r="AH132" s="220"/>
      <c r="AI132" s="220"/>
      <c r="AJ132" s="220"/>
      <c r="AK132" s="220"/>
      <c r="AL132" s="220"/>
      <c r="AM132" s="220"/>
    </row>
    <row r="133" spans="1:39" x14ac:dyDescent="0.2">
      <c r="A133" s="220"/>
      <c r="B133" s="250"/>
      <c r="C133" s="250"/>
      <c r="D133" s="252"/>
      <c r="E133" s="252"/>
      <c r="F133" s="252"/>
      <c r="G133" s="252"/>
      <c r="H133" s="2"/>
      <c r="I133" s="252"/>
      <c r="J133" s="252"/>
      <c r="K133" s="252"/>
      <c r="L133" s="252"/>
      <c r="M133" s="252"/>
      <c r="N133" s="252"/>
      <c r="O133" s="252"/>
      <c r="P133" s="252"/>
      <c r="Q133" s="221"/>
      <c r="R133" s="221"/>
      <c r="S133" s="221"/>
      <c r="T133" s="221"/>
      <c r="U133" s="220"/>
      <c r="V133" s="220"/>
      <c r="W133" s="220"/>
      <c r="X133" s="221"/>
      <c r="Y133" s="221"/>
      <c r="Z133" s="221"/>
      <c r="AE133" s="220"/>
      <c r="AF133" s="220"/>
      <c r="AG133" s="220"/>
      <c r="AH133" s="220"/>
      <c r="AI133" s="220"/>
      <c r="AJ133" s="220"/>
      <c r="AK133" s="220"/>
      <c r="AL133" s="220"/>
      <c r="AM133" s="220"/>
    </row>
    <row r="134" spans="1:39" x14ac:dyDescent="0.2">
      <c r="A134" s="220"/>
      <c r="B134" s="250"/>
      <c r="C134" s="250"/>
      <c r="D134" s="252"/>
      <c r="E134" s="252"/>
      <c r="F134" s="252"/>
      <c r="G134" s="252"/>
      <c r="H134" s="2"/>
      <c r="I134" s="252"/>
      <c r="J134" s="252"/>
      <c r="K134" s="252"/>
      <c r="L134" s="252"/>
      <c r="M134" s="252"/>
      <c r="N134" s="252"/>
      <c r="O134" s="252"/>
      <c r="P134" s="252"/>
      <c r="Q134" s="221"/>
      <c r="R134" s="221"/>
      <c r="S134" s="221"/>
      <c r="T134" s="221"/>
      <c r="U134" s="220"/>
      <c r="V134" s="220"/>
      <c r="W134" s="220"/>
      <c r="X134" s="221"/>
      <c r="Y134" s="221"/>
      <c r="Z134" s="221"/>
      <c r="AE134" s="220"/>
      <c r="AF134" s="220"/>
      <c r="AG134" s="220"/>
      <c r="AH134" s="220"/>
      <c r="AI134" s="220"/>
      <c r="AJ134" s="220"/>
      <c r="AK134" s="220"/>
      <c r="AL134" s="220"/>
      <c r="AM134" s="220"/>
    </row>
    <row r="135" spans="1:39" x14ac:dyDescent="0.2">
      <c r="A135" s="220"/>
      <c r="B135" s="250"/>
      <c r="C135" s="250"/>
      <c r="D135" s="252"/>
      <c r="E135" s="252"/>
      <c r="F135" s="252"/>
      <c r="G135" s="252"/>
      <c r="H135" s="2"/>
      <c r="I135" s="252"/>
      <c r="J135" s="252"/>
      <c r="K135" s="252"/>
      <c r="L135" s="252"/>
      <c r="M135" s="252"/>
      <c r="N135" s="252"/>
      <c r="O135" s="252"/>
      <c r="P135" s="252"/>
      <c r="Q135" s="221"/>
      <c r="R135" s="221"/>
      <c r="S135" s="221"/>
      <c r="T135" s="221"/>
      <c r="U135" s="220"/>
      <c r="V135" s="220"/>
      <c r="W135" s="220"/>
      <c r="X135" s="221"/>
      <c r="Y135" s="221"/>
      <c r="Z135" s="221"/>
      <c r="AE135" s="220"/>
      <c r="AF135" s="220"/>
      <c r="AG135" s="220"/>
      <c r="AH135" s="220"/>
      <c r="AI135" s="220"/>
      <c r="AJ135" s="220"/>
      <c r="AK135" s="220"/>
      <c r="AL135" s="220"/>
      <c r="AM135" s="220"/>
    </row>
    <row r="136" spans="1:39" ht="15.75" x14ac:dyDescent="0.25">
      <c r="A136" s="220"/>
      <c r="B136" s="160"/>
      <c r="C136" s="160" t="s">
        <v>59</v>
      </c>
      <c r="D136" s="401">
        <f>SUM(D83:D115)</f>
        <v>15389</v>
      </c>
      <c r="E136" s="401">
        <f>SUM(E83:E115)</f>
        <v>14585</v>
      </c>
      <c r="F136" s="401">
        <f>SUM(F83:F116)</f>
        <v>14515</v>
      </c>
      <c r="G136" s="401">
        <f>SUM(G83:G118)</f>
        <v>0</v>
      </c>
      <c r="H136" s="401">
        <f>SUM(H83:H119)</f>
        <v>0</v>
      </c>
      <c r="I136" s="401">
        <f>SUM(I83:I119)</f>
        <v>0</v>
      </c>
      <c r="J136" s="401">
        <f t="shared" ref="J136" si="40">SUM(J83:J115)</f>
        <v>0</v>
      </c>
      <c r="K136" s="401">
        <f>SUM(K83:K119)</f>
        <v>0</v>
      </c>
      <c r="L136" s="401">
        <f>SUM(L83:L119)</f>
        <v>0</v>
      </c>
      <c r="M136" s="401">
        <f>SUM(M83:M127)</f>
        <v>0</v>
      </c>
      <c r="N136" s="401">
        <f>SUM(N83:N135)</f>
        <v>0</v>
      </c>
      <c r="O136" s="401">
        <f>SUM(O83:O135)</f>
        <v>0</v>
      </c>
      <c r="P136" s="401">
        <f>SUM(P83:P135)</f>
        <v>0</v>
      </c>
      <c r="Q136" s="221"/>
      <c r="R136" s="221"/>
      <c r="S136" s="221"/>
      <c r="T136" s="221"/>
      <c r="U136" s="220"/>
      <c r="V136" s="220"/>
      <c r="W136" s="220"/>
      <c r="X136" s="221"/>
      <c r="Y136" s="221"/>
      <c r="Z136" s="221"/>
      <c r="AE136" s="220"/>
      <c r="AF136" s="220"/>
      <c r="AG136" s="220"/>
      <c r="AH136" s="220"/>
      <c r="AI136" s="220"/>
      <c r="AJ136" s="220"/>
      <c r="AK136" s="220"/>
      <c r="AL136" s="220"/>
      <c r="AM136" s="220"/>
    </row>
    <row r="137" spans="1:39" ht="15.75" x14ac:dyDescent="0.25">
      <c r="A137" s="220"/>
      <c r="B137" s="278"/>
      <c r="C137" s="278"/>
      <c r="D137" s="1"/>
      <c r="E137" s="1"/>
      <c r="F137" s="1"/>
      <c r="G137" s="1"/>
      <c r="H137" s="1"/>
      <c r="I137" s="1"/>
      <c r="J137" s="1"/>
      <c r="K137" s="1"/>
      <c r="L137" s="1"/>
      <c r="M137" s="1"/>
      <c r="N137" s="1"/>
      <c r="O137" s="1"/>
      <c r="P137" s="1"/>
      <c r="Q137" s="221"/>
      <c r="R137" s="221"/>
      <c r="S137" s="221"/>
      <c r="T137" s="221"/>
      <c r="U137" s="220"/>
      <c r="V137" s="220"/>
      <c r="W137" s="220"/>
      <c r="X137" s="221"/>
      <c r="Y137" s="221"/>
      <c r="Z137" s="221"/>
      <c r="AE137" s="220"/>
      <c r="AF137" s="220"/>
      <c r="AG137" s="220"/>
      <c r="AH137" s="220"/>
      <c r="AI137" s="220"/>
      <c r="AJ137" s="220"/>
      <c r="AK137" s="220"/>
      <c r="AL137" s="220"/>
      <c r="AM137" s="220"/>
    </row>
    <row r="138" spans="1:39" x14ac:dyDescent="0.2">
      <c r="A138" s="220"/>
      <c r="B138" s="220"/>
      <c r="C138" s="220"/>
      <c r="D138" s="221"/>
      <c r="E138" s="221"/>
      <c r="F138" s="221"/>
      <c r="G138" s="221"/>
      <c r="H138" s="221"/>
      <c r="I138" s="221"/>
      <c r="J138" s="221"/>
      <c r="K138" s="221"/>
      <c r="L138" s="221"/>
      <c r="M138" s="221"/>
      <c r="N138" s="221"/>
      <c r="O138" s="221"/>
      <c r="P138" s="221"/>
      <c r="Q138" s="221"/>
      <c r="R138" s="221"/>
      <c r="S138" s="221"/>
      <c r="T138" s="221"/>
      <c r="U138" s="220"/>
      <c r="V138" s="220"/>
      <c r="W138" s="220"/>
      <c r="X138" s="221"/>
      <c r="Y138" s="221"/>
      <c r="Z138" s="221"/>
      <c r="AE138" s="220"/>
      <c r="AF138" s="220"/>
      <c r="AG138" s="220"/>
      <c r="AH138" s="220"/>
      <c r="AI138" s="220"/>
      <c r="AJ138" s="220"/>
      <c r="AK138" s="220"/>
      <c r="AL138" s="220"/>
      <c r="AM138" s="220"/>
    </row>
    <row r="139" spans="1:39" ht="18" x14ac:dyDescent="0.25">
      <c r="A139" s="220"/>
      <c r="B139" s="220"/>
      <c r="C139" s="409" t="s">
        <v>435</v>
      </c>
      <c r="D139" s="410" t="s">
        <v>430</v>
      </c>
      <c r="E139" s="410" t="s">
        <v>114</v>
      </c>
      <c r="F139" s="410" t="s">
        <v>119</v>
      </c>
      <c r="G139" s="410" t="s">
        <v>117</v>
      </c>
      <c r="H139" s="410" t="s">
        <v>121</v>
      </c>
      <c r="I139" s="410" t="s">
        <v>116</v>
      </c>
      <c r="J139" s="410" t="s">
        <v>428</v>
      </c>
      <c r="K139" s="410" t="s">
        <v>429</v>
      </c>
      <c r="L139" s="410"/>
      <c r="M139" s="410" t="s">
        <v>389</v>
      </c>
      <c r="N139" s="221" t="s">
        <v>432</v>
      </c>
      <c r="O139" s="221" t="s">
        <v>433</v>
      </c>
      <c r="P139" s="221" t="s">
        <v>434</v>
      </c>
      <c r="Q139" s="221"/>
      <c r="R139" s="221"/>
      <c r="S139" s="221"/>
      <c r="T139" s="221"/>
      <c r="U139" s="220"/>
      <c r="V139" s="220"/>
      <c r="W139" s="220"/>
      <c r="X139" s="221"/>
      <c r="Y139" s="221"/>
      <c r="Z139" s="221"/>
      <c r="AE139" s="220"/>
      <c r="AF139" s="220"/>
      <c r="AG139" s="220"/>
      <c r="AH139" s="220"/>
      <c r="AI139" s="220"/>
      <c r="AJ139" s="220"/>
      <c r="AK139" s="220"/>
      <c r="AL139" s="220"/>
      <c r="AM139" s="220"/>
    </row>
    <row r="140" spans="1:39" ht="18" x14ac:dyDescent="0.25">
      <c r="A140" s="220"/>
      <c r="B140" s="220"/>
      <c r="C140" s="289" t="s">
        <v>431</v>
      </c>
      <c r="D140" s="221">
        <v>7.5</v>
      </c>
      <c r="E140" s="221" t="s">
        <v>35</v>
      </c>
      <c r="F140" s="221" t="s">
        <v>35</v>
      </c>
      <c r="G140" s="221" t="s">
        <v>35</v>
      </c>
      <c r="H140" s="221" t="s">
        <v>35</v>
      </c>
      <c r="I140" s="221" t="s">
        <v>35</v>
      </c>
      <c r="J140" s="221" t="s">
        <v>35</v>
      </c>
      <c r="K140" s="221">
        <v>7.5</v>
      </c>
      <c r="L140" s="221">
        <f>SUM(E140:K140)</f>
        <v>7.5</v>
      </c>
      <c r="M140" s="408">
        <f>L140*30</f>
        <v>225</v>
      </c>
      <c r="N140" s="221">
        <v>225</v>
      </c>
      <c r="O140" s="221" t="s">
        <v>35</v>
      </c>
      <c r="P140" s="221"/>
      <c r="Q140" s="221"/>
      <c r="R140" s="221"/>
      <c r="S140" s="221"/>
      <c r="T140" s="221"/>
      <c r="U140" s="220"/>
      <c r="V140" s="220"/>
      <c r="W140" s="220"/>
      <c r="X140" s="221"/>
      <c r="Y140" s="221"/>
      <c r="Z140" s="221"/>
      <c r="AE140" s="220"/>
      <c r="AF140" s="220"/>
      <c r="AG140" s="220"/>
      <c r="AH140" s="220"/>
      <c r="AI140" s="220"/>
      <c r="AJ140" s="220"/>
      <c r="AK140" s="220"/>
      <c r="AL140" s="220"/>
      <c r="AM140" s="220"/>
    </row>
    <row r="141" spans="1:39" ht="18" x14ac:dyDescent="0.25">
      <c r="A141" s="220"/>
      <c r="B141" s="220"/>
      <c r="C141" s="234" t="s">
        <v>56</v>
      </c>
      <c r="D141" s="221">
        <v>13</v>
      </c>
      <c r="E141" s="221"/>
      <c r="F141" s="221"/>
      <c r="G141" s="221"/>
      <c r="H141" s="221"/>
      <c r="I141" s="221">
        <v>13</v>
      </c>
      <c r="J141" s="221"/>
      <c r="K141" s="221"/>
      <c r="L141" s="221">
        <f t="shared" ref="L141:L145" si="41">SUM(E141:K141)</f>
        <v>13</v>
      </c>
      <c r="M141" s="408">
        <f t="shared" ref="M141:M147" si="42">L141*30</f>
        <v>390</v>
      </c>
      <c r="N141" s="221" t="s">
        <v>35</v>
      </c>
      <c r="O141" s="221">
        <f>M141</f>
        <v>390</v>
      </c>
      <c r="P141" s="221"/>
      <c r="Q141" s="221"/>
      <c r="R141" s="221"/>
      <c r="S141" s="221"/>
      <c r="T141" s="221"/>
      <c r="U141" s="220"/>
      <c r="V141" s="220"/>
      <c r="W141" s="220"/>
      <c r="X141" s="221"/>
      <c r="Y141" s="221"/>
      <c r="Z141" s="221"/>
      <c r="AE141" s="220"/>
      <c r="AF141" s="220"/>
      <c r="AG141" s="220"/>
      <c r="AH141" s="220"/>
      <c r="AI141" s="220"/>
      <c r="AJ141" s="220"/>
      <c r="AK141" s="220"/>
      <c r="AL141" s="220"/>
      <c r="AM141" s="220"/>
    </row>
    <row r="142" spans="1:39" ht="18" x14ac:dyDescent="0.25">
      <c r="A142" s="220"/>
      <c r="B142" s="220"/>
      <c r="C142" s="234" t="s">
        <v>24</v>
      </c>
      <c r="D142" s="221">
        <v>8.5</v>
      </c>
      <c r="E142" s="221"/>
      <c r="F142" s="221"/>
      <c r="G142" s="221">
        <v>8.5</v>
      </c>
      <c r="H142" s="221"/>
      <c r="I142" s="221"/>
      <c r="J142" s="221"/>
      <c r="K142" s="221"/>
      <c r="L142" s="221">
        <f t="shared" si="41"/>
        <v>8.5</v>
      </c>
      <c r="M142" s="411">
        <f t="shared" si="42"/>
        <v>255</v>
      </c>
      <c r="N142" s="221" t="s">
        <v>35</v>
      </c>
      <c r="O142" s="221">
        <f>M142</f>
        <v>255</v>
      </c>
      <c r="P142" s="221"/>
      <c r="Q142" s="221" t="s">
        <v>35</v>
      </c>
      <c r="R142" s="221"/>
      <c r="S142" s="221"/>
      <c r="T142" s="221"/>
      <c r="U142" s="220"/>
      <c r="V142" s="220"/>
      <c r="W142" s="220"/>
      <c r="X142" s="221"/>
      <c r="Y142" s="221"/>
      <c r="Z142" s="221"/>
      <c r="AE142" s="220"/>
      <c r="AF142" s="220"/>
      <c r="AG142" s="220"/>
      <c r="AH142" s="220"/>
      <c r="AI142" s="220"/>
      <c r="AJ142" s="220"/>
      <c r="AK142" s="220"/>
      <c r="AL142" s="220"/>
      <c r="AM142" s="220"/>
    </row>
    <row r="143" spans="1:39" ht="18" x14ac:dyDescent="0.25">
      <c r="A143" s="220"/>
      <c r="B143" s="220"/>
      <c r="C143" s="234" t="s">
        <v>23</v>
      </c>
      <c r="D143" s="221">
        <v>32</v>
      </c>
      <c r="E143" s="221">
        <v>22</v>
      </c>
      <c r="F143" s="221">
        <v>10</v>
      </c>
      <c r="G143" s="221"/>
      <c r="H143" s="221"/>
      <c r="I143" s="221"/>
      <c r="J143" s="221"/>
      <c r="K143" s="221"/>
      <c r="L143" s="221">
        <f t="shared" si="41"/>
        <v>32</v>
      </c>
      <c r="M143" s="408">
        <f t="shared" si="42"/>
        <v>960</v>
      </c>
      <c r="O143" s="221">
        <f>M143</f>
        <v>960</v>
      </c>
      <c r="P143" s="221"/>
      <c r="Q143" s="221"/>
      <c r="R143" s="221"/>
      <c r="S143" s="221"/>
      <c r="T143" s="221"/>
      <c r="U143" s="220"/>
      <c r="V143" s="220"/>
      <c r="W143" s="220"/>
      <c r="X143" s="221"/>
      <c r="Y143" s="221"/>
      <c r="Z143" s="221"/>
      <c r="AE143" s="220"/>
      <c r="AF143" s="220"/>
      <c r="AG143" s="220"/>
      <c r="AH143" s="220"/>
      <c r="AI143" s="220"/>
      <c r="AJ143" s="220"/>
      <c r="AK143" s="220"/>
      <c r="AL143" s="220"/>
      <c r="AM143" s="220"/>
    </row>
    <row r="144" spans="1:39" ht="18" x14ac:dyDescent="0.25">
      <c r="A144" s="220"/>
      <c r="B144" s="220"/>
      <c r="C144" s="234" t="s">
        <v>22</v>
      </c>
      <c r="D144" s="221">
        <v>19</v>
      </c>
      <c r="E144" s="221"/>
      <c r="F144" s="221"/>
      <c r="G144" s="221"/>
      <c r="H144" s="221">
        <v>19</v>
      </c>
      <c r="I144" s="221"/>
      <c r="J144" s="221"/>
      <c r="K144" s="221"/>
      <c r="L144" s="221">
        <f t="shared" si="41"/>
        <v>19</v>
      </c>
      <c r="M144" s="408">
        <f t="shared" si="42"/>
        <v>570</v>
      </c>
      <c r="N144" s="221">
        <f>M144</f>
        <v>570</v>
      </c>
      <c r="P144" s="221"/>
      <c r="Q144" s="221"/>
      <c r="R144" s="221"/>
      <c r="S144" s="221"/>
      <c r="T144" s="221"/>
      <c r="U144" s="220"/>
      <c r="V144" s="220"/>
      <c r="X144" s="221"/>
      <c r="Y144" s="221"/>
      <c r="Z144" s="221"/>
      <c r="AE144" s="220"/>
      <c r="AF144" s="220"/>
      <c r="AG144" s="220"/>
      <c r="AH144" s="220"/>
      <c r="AI144" s="220"/>
      <c r="AJ144" s="220"/>
      <c r="AK144" s="220"/>
      <c r="AL144" s="220"/>
      <c r="AM144" s="220"/>
    </row>
    <row r="145" spans="1:31" ht="18" x14ac:dyDescent="0.25">
      <c r="A145" s="220"/>
      <c r="B145" s="220"/>
      <c r="C145" s="234" t="s">
        <v>94</v>
      </c>
      <c r="D145" s="221">
        <v>29</v>
      </c>
      <c r="E145" s="221" t="s">
        <v>35</v>
      </c>
      <c r="F145" s="221"/>
      <c r="G145" s="221"/>
      <c r="H145" s="221"/>
      <c r="I145" s="221"/>
      <c r="J145" s="221">
        <v>29</v>
      </c>
      <c r="K145" s="221"/>
      <c r="L145" s="221">
        <f t="shared" si="41"/>
        <v>29</v>
      </c>
      <c r="M145" s="408">
        <f t="shared" si="42"/>
        <v>870</v>
      </c>
      <c r="N145" s="221" t="s">
        <v>35</v>
      </c>
      <c r="O145" s="221"/>
      <c r="P145" s="221">
        <f>M145</f>
        <v>870</v>
      </c>
      <c r="Q145" s="221"/>
      <c r="R145" s="221"/>
      <c r="S145" s="221"/>
      <c r="T145" s="221"/>
      <c r="U145" s="220"/>
      <c r="V145" s="220"/>
      <c r="AE145" s="220"/>
    </row>
    <row r="146" spans="1:31" ht="18" x14ac:dyDescent="0.25">
      <c r="A146" s="220"/>
      <c r="B146" s="220"/>
      <c r="C146" s="250" t="s">
        <v>25</v>
      </c>
      <c r="D146" s="221">
        <v>25</v>
      </c>
      <c r="E146" s="221"/>
      <c r="F146" s="221"/>
      <c r="G146" s="221"/>
      <c r="H146" s="221"/>
      <c r="I146" s="221"/>
      <c r="J146" s="221"/>
      <c r="K146" s="221" t="s">
        <v>35</v>
      </c>
      <c r="L146" s="221">
        <v>25</v>
      </c>
      <c r="M146" s="408">
        <f t="shared" si="42"/>
        <v>750</v>
      </c>
      <c r="N146" s="221">
        <f>M146</f>
        <v>750</v>
      </c>
      <c r="O146" s="221"/>
      <c r="Q146" s="221"/>
      <c r="R146" s="221"/>
      <c r="S146" s="221"/>
      <c r="T146" s="221"/>
      <c r="U146" s="220"/>
      <c r="V146" s="220"/>
      <c r="AE146" s="220"/>
    </row>
    <row r="147" spans="1:31" ht="18" x14ac:dyDescent="0.25">
      <c r="A147" s="407"/>
      <c r="B147" s="407"/>
      <c r="C147" s="409"/>
      <c r="D147" s="410">
        <f>SUM(D140:D146)</f>
        <v>134</v>
      </c>
      <c r="E147" s="410"/>
      <c r="F147" s="410"/>
      <c r="G147" s="410"/>
      <c r="H147" s="410"/>
      <c r="I147" s="410"/>
      <c r="J147" s="410"/>
      <c r="K147" s="410"/>
      <c r="L147" s="410">
        <f>SUM(L140:L146)</f>
        <v>134</v>
      </c>
      <c r="M147" s="410">
        <f t="shared" si="42"/>
        <v>4020</v>
      </c>
      <c r="N147" s="221">
        <f>SUM(N140:N146)</f>
        <v>1545</v>
      </c>
      <c r="O147" s="221">
        <f>SUM(O140:O146)</f>
        <v>1605</v>
      </c>
      <c r="P147" s="221">
        <f>SUM(P140:P145)</f>
        <v>870</v>
      </c>
      <c r="Q147" s="408"/>
      <c r="R147" s="408"/>
      <c r="S147" s="408"/>
      <c r="T147" s="408"/>
      <c r="U147" s="407"/>
      <c r="V147" s="407"/>
      <c r="W147" s="407"/>
      <c r="AE147" s="220"/>
    </row>
    <row r="148" spans="1:31" s="407" customFormat="1" ht="18" x14ac:dyDescent="0.25">
      <c r="A148" s="220"/>
      <c r="B148" s="220"/>
      <c r="C148" s="220"/>
      <c r="D148" s="221"/>
      <c r="E148" s="221"/>
      <c r="F148" s="221"/>
      <c r="G148" s="221"/>
      <c r="H148" s="221"/>
      <c r="I148" s="221"/>
      <c r="J148" s="221"/>
      <c r="K148" s="221"/>
      <c r="L148" s="221"/>
      <c r="M148" s="221"/>
      <c r="N148" s="298"/>
      <c r="O148" s="298"/>
      <c r="P148" s="221"/>
      <c r="Q148" s="221"/>
      <c r="R148" s="221"/>
      <c r="S148" s="221"/>
      <c r="T148" s="221"/>
      <c r="U148" s="220"/>
      <c r="V148" s="220"/>
      <c r="W148" s="297"/>
      <c r="X148" s="408"/>
      <c r="Y148" s="408"/>
      <c r="Z148" s="408"/>
      <c r="AA148" s="298"/>
      <c r="AB148" s="297"/>
      <c r="AC148" s="297"/>
      <c r="AD148" s="297"/>
      <c r="AE148" s="220"/>
    </row>
    <row r="149" spans="1:31" x14ac:dyDescent="0.2">
      <c r="A149" s="220"/>
      <c r="B149" s="220"/>
      <c r="C149" s="220"/>
      <c r="D149" s="221"/>
      <c r="E149" s="221"/>
      <c r="F149" s="221"/>
      <c r="G149" s="221"/>
      <c r="H149" s="221"/>
      <c r="I149" s="221"/>
      <c r="J149" s="221"/>
      <c r="K149" s="221"/>
      <c r="L149" s="221"/>
      <c r="M149" s="221"/>
      <c r="N149" s="221"/>
      <c r="O149" s="221"/>
      <c r="P149" s="221"/>
      <c r="Q149" s="221"/>
      <c r="R149" s="221"/>
      <c r="S149" s="221"/>
      <c r="T149" s="221"/>
      <c r="U149" s="220"/>
      <c r="V149" s="220"/>
      <c r="AE149" s="220"/>
    </row>
    <row r="150" spans="1:31" x14ac:dyDescent="0.2">
      <c r="A150" s="220"/>
      <c r="B150" s="220"/>
      <c r="C150" s="220"/>
      <c r="D150" s="221"/>
      <c r="E150" s="221"/>
      <c r="F150" s="221"/>
      <c r="G150" s="221"/>
      <c r="H150" s="221"/>
      <c r="I150" s="221"/>
      <c r="J150" s="221"/>
      <c r="K150" s="221"/>
      <c r="L150" s="221"/>
      <c r="M150" s="221"/>
      <c r="N150" s="221"/>
      <c r="O150" s="221"/>
      <c r="P150" s="221"/>
      <c r="Q150" s="221"/>
      <c r="R150" s="221"/>
      <c r="S150" s="221"/>
      <c r="T150" s="221"/>
      <c r="U150" s="220"/>
      <c r="V150" s="220"/>
      <c r="AE150" s="220"/>
    </row>
    <row r="151" spans="1:31" x14ac:dyDescent="0.2">
      <c r="A151" s="220"/>
      <c r="B151" s="220"/>
      <c r="C151" s="220"/>
      <c r="D151" s="221"/>
      <c r="E151" s="221"/>
      <c r="F151" s="221"/>
      <c r="G151" s="221"/>
      <c r="H151" s="221"/>
      <c r="I151" s="221"/>
      <c r="J151" s="221"/>
      <c r="K151" s="221"/>
      <c r="L151" s="221"/>
      <c r="M151" s="221"/>
      <c r="N151" s="221"/>
      <c r="O151" s="221"/>
      <c r="P151" s="221"/>
      <c r="Q151" s="221"/>
      <c r="R151" s="221"/>
      <c r="S151" s="221"/>
      <c r="T151" s="221"/>
      <c r="U151" s="220"/>
      <c r="V151" s="220"/>
    </row>
    <row r="152" spans="1:31" x14ac:dyDescent="0.2">
      <c r="A152" s="220"/>
      <c r="B152" s="220"/>
      <c r="C152" s="220"/>
      <c r="D152" s="221"/>
      <c r="E152" s="221"/>
      <c r="F152" s="221"/>
      <c r="G152" s="221"/>
      <c r="H152" s="221"/>
      <c r="I152" s="221"/>
      <c r="J152" s="221"/>
      <c r="K152" s="221"/>
      <c r="L152" s="221"/>
      <c r="M152" s="221"/>
      <c r="N152" s="221"/>
      <c r="O152" s="221"/>
      <c r="P152" s="221"/>
      <c r="Q152" s="221"/>
      <c r="R152" s="221"/>
      <c r="S152" s="221"/>
      <c r="T152" s="221"/>
      <c r="U152" s="220"/>
      <c r="V152" s="220"/>
    </row>
    <row r="153" spans="1:31" x14ac:dyDescent="0.2">
      <c r="A153" s="220"/>
      <c r="B153" s="220"/>
      <c r="C153" s="220"/>
      <c r="D153" s="221"/>
      <c r="E153" s="221"/>
      <c r="F153" s="221"/>
      <c r="G153" s="221"/>
      <c r="H153" s="221"/>
      <c r="I153" s="221"/>
      <c r="J153" s="221"/>
      <c r="K153" s="221"/>
      <c r="L153" s="221"/>
      <c r="M153" s="221"/>
      <c r="N153" s="221"/>
      <c r="O153" s="221"/>
      <c r="P153" s="221"/>
      <c r="Q153" s="221"/>
      <c r="R153" s="221"/>
      <c r="S153" s="221"/>
      <c r="T153" s="221"/>
      <c r="U153" s="220"/>
      <c r="V153" s="220"/>
    </row>
    <row r="154" spans="1:31" ht="18" x14ac:dyDescent="0.25">
      <c r="A154" s="220"/>
      <c r="B154" s="220"/>
      <c r="C154" s="220"/>
      <c r="D154" s="221"/>
      <c r="E154" s="221"/>
      <c r="F154" s="221"/>
      <c r="G154" s="221"/>
      <c r="H154" s="221"/>
      <c r="I154" s="221"/>
      <c r="J154" s="221"/>
      <c r="K154" s="221"/>
      <c r="L154" s="221"/>
      <c r="M154" s="221"/>
      <c r="N154" s="221"/>
      <c r="O154" s="221"/>
      <c r="P154" s="221"/>
      <c r="Q154" s="221"/>
      <c r="R154" s="221"/>
      <c r="S154" s="221"/>
      <c r="T154" s="221"/>
      <c r="U154" s="220"/>
      <c r="V154" s="220"/>
      <c r="AA154" s="408"/>
      <c r="AB154" s="407"/>
      <c r="AC154" s="407"/>
      <c r="AD154" s="407"/>
      <c r="AE154" s="407"/>
    </row>
    <row r="155" spans="1:31" x14ac:dyDescent="0.2">
      <c r="A155" s="220"/>
      <c r="B155" s="220"/>
      <c r="C155" s="220"/>
      <c r="D155" s="221"/>
      <c r="E155" s="221"/>
      <c r="F155" s="221"/>
      <c r="G155" s="221"/>
      <c r="H155" s="221"/>
      <c r="I155" s="221"/>
      <c r="J155" s="221"/>
      <c r="K155" s="221"/>
      <c r="L155" s="221"/>
      <c r="M155" s="221"/>
      <c r="N155" s="221"/>
      <c r="O155" s="221"/>
      <c r="P155" s="221"/>
      <c r="Q155" s="221"/>
      <c r="R155" s="221"/>
      <c r="S155" s="221"/>
      <c r="T155" s="221"/>
      <c r="U155" s="220"/>
      <c r="V155" s="220"/>
    </row>
    <row r="156" spans="1:31" x14ac:dyDescent="0.2">
      <c r="A156" s="220"/>
      <c r="B156" s="220"/>
      <c r="C156" s="220"/>
      <c r="D156" s="221"/>
      <c r="E156" s="221"/>
      <c r="F156" s="221"/>
      <c r="G156" s="221"/>
      <c r="H156" s="221"/>
      <c r="I156" s="221"/>
      <c r="J156" s="221"/>
      <c r="K156" s="221"/>
      <c r="L156" s="221"/>
      <c r="M156" s="221"/>
      <c r="N156" s="221"/>
      <c r="O156" s="221"/>
      <c r="P156" s="221"/>
      <c r="Q156" s="221"/>
      <c r="R156" s="221"/>
      <c r="S156" s="221"/>
      <c r="T156" s="221"/>
      <c r="U156" s="220"/>
      <c r="V156" s="220"/>
    </row>
    <row r="157" spans="1:31" x14ac:dyDescent="0.2">
      <c r="A157" s="220"/>
      <c r="B157" s="220"/>
      <c r="C157" s="220"/>
      <c r="E157" s="221"/>
      <c r="F157" s="221"/>
      <c r="G157" s="221"/>
      <c r="H157" s="221"/>
      <c r="I157" s="221"/>
      <c r="J157" s="221"/>
      <c r="K157" s="221"/>
      <c r="L157" s="221"/>
      <c r="M157" s="221"/>
      <c r="N157" s="221"/>
      <c r="O157" s="221"/>
      <c r="P157" s="221"/>
      <c r="Q157" s="221"/>
      <c r="R157" s="221"/>
      <c r="S157" s="221"/>
      <c r="T157" s="221"/>
      <c r="U157" s="220"/>
      <c r="V157" s="220"/>
    </row>
  </sheetData>
  <mergeCells count="3">
    <mergeCell ref="AA3:AE3"/>
    <mergeCell ref="AA20:AE20"/>
    <mergeCell ref="AA71:AE71"/>
  </mergeCells>
  <pageMargins left="0.25" right="0.25"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D6A7C-3F7B-4E18-9662-1D37CE46C0EE}">
  <dimension ref="A1:AO155"/>
  <sheetViews>
    <sheetView tabSelected="1" topLeftCell="A44" zoomScale="83" zoomScaleNormal="80" workbookViewId="0">
      <selection activeCell="E43" sqref="E43"/>
    </sheetView>
  </sheetViews>
  <sheetFormatPr defaultColWidth="9.28515625" defaultRowHeight="15" x14ac:dyDescent="0.2"/>
  <cols>
    <col min="1" max="1" width="9.28515625" style="297" bestFit="1" customWidth="1"/>
    <col min="2" max="2" width="9.28515625" style="297"/>
    <col min="3" max="3" width="29" style="297" customWidth="1"/>
    <col min="4" max="4" width="10.28515625" style="298" customWidth="1"/>
    <col min="5" max="5" width="11.7109375" style="298" customWidth="1"/>
    <col min="6" max="6" width="10.42578125" style="298" customWidth="1"/>
    <col min="7" max="7" width="7.42578125" style="298" customWidth="1"/>
    <col min="8" max="8" width="8.28515625" style="298" customWidth="1"/>
    <col min="9" max="10" width="7.42578125" style="298" customWidth="1"/>
    <col min="11" max="11" width="8.42578125" style="298" customWidth="1"/>
    <col min="12" max="12" width="6.7109375" style="298" customWidth="1"/>
    <col min="13" max="13" width="8.42578125" style="298" customWidth="1"/>
    <col min="14" max="18" width="8.7109375" style="298" customWidth="1"/>
    <col min="19" max="19" width="10.28515625" style="298" customWidth="1"/>
    <col min="20" max="20" width="13" style="298" customWidth="1"/>
    <col min="21" max="21" width="12.7109375" style="298" customWidth="1"/>
    <col min="22" max="22" width="13.28515625" style="297" customWidth="1"/>
    <col min="23" max="23" width="11.28515625" style="297" customWidth="1"/>
    <col min="24" max="24" width="22.7109375" style="297" bestFit="1" customWidth="1"/>
    <col min="25" max="25" width="11.28515625" style="298" customWidth="1"/>
    <col min="26" max="27" width="10.28515625" style="298" customWidth="1"/>
    <col min="28" max="28" width="12.5703125" style="298" bestFit="1" customWidth="1"/>
    <col min="29" max="29" width="12.7109375" style="297" customWidth="1"/>
    <col min="30" max="30" width="50.5703125" style="297" customWidth="1"/>
    <col min="31" max="31" width="12" style="297" bestFit="1" customWidth="1"/>
    <col min="32" max="32" width="11.5703125" style="297" bestFit="1" customWidth="1"/>
    <col min="33" max="36" width="9.28515625" style="297"/>
    <col min="37" max="40" width="24.42578125" style="297" customWidth="1"/>
    <col min="41" max="16384" width="9.28515625" style="297"/>
  </cols>
  <sheetData>
    <row r="1" spans="1:41" x14ac:dyDescent="0.2">
      <c r="G1" s="356"/>
      <c r="V1" s="298"/>
      <c r="AB1" s="301"/>
      <c r="AC1" s="298"/>
    </row>
    <row r="2" spans="1:41" x14ac:dyDescent="0.2">
      <c r="A2" s="220"/>
      <c r="B2" s="220"/>
      <c r="C2" s="315" t="s">
        <v>35</v>
      </c>
      <c r="G2" s="221"/>
      <c r="H2" s="221"/>
      <c r="I2" s="221"/>
      <c r="J2" s="221"/>
      <c r="K2" s="221"/>
      <c r="L2" s="221"/>
      <c r="M2" s="221"/>
      <c r="N2" s="221"/>
      <c r="O2" s="221"/>
      <c r="P2" s="221"/>
      <c r="Q2" s="221"/>
      <c r="R2" s="221"/>
      <c r="S2" s="221"/>
      <c r="T2" s="221"/>
      <c r="U2" s="221"/>
      <c r="V2" s="221"/>
      <c r="W2" s="220"/>
      <c r="X2" s="220"/>
      <c r="Y2" s="221"/>
      <c r="Z2" s="221"/>
      <c r="AA2" s="221"/>
      <c r="AB2" s="310"/>
      <c r="AC2" s="221"/>
      <c r="AD2" s="220"/>
      <c r="AE2" s="220"/>
      <c r="AF2" s="220"/>
      <c r="AG2" s="220"/>
      <c r="AH2" s="220"/>
      <c r="AI2" s="220"/>
      <c r="AJ2" s="220"/>
      <c r="AK2" s="220"/>
      <c r="AL2" s="220"/>
    </row>
    <row r="3" spans="1:41" x14ac:dyDescent="0.2">
      <c r="A3" s="220"/>
      <c r="B3" s="220"/>
      <c r="C3" s="221"/>
      <c r="E3" s="221"/>
      <c r="F3" s="221"/>
      <c r="G3" s="221"/>
      <c r="H3" s="221"/>
      <c r="I3" s="221"/>
      <c r="J3" s="221"/>
      <c r="K3" s="221"/>
      <c r="L3" s="221"/>
      <c r="M3" s="221"/>
      <c r="N3" s="221"/>
      <c r="O3" s="221"/>
      <c r="P3" s="221"/>
      <c r="Q3" s="221"/>
      <c r="R3" s="221"/>
      <c r="S3" s="221"/>
      <c r="T3" s="221"/>
      <c r="U3" s="221"/>
      <c r="V3" s="221"/>
      <c r="W3" s="220"/>
      <c r="X3" s="220"/>
      <c r="Y3" s="221"/>
      <c r="Z3" s="221"/>
      <c r="AA3" s="221"/>
      <c r="AB3" s="459" t="s">
        <v>516</v>
      </c>
      <c r="AC3" s="459"/>
      <c r="AD3" s="459"/>
      <c r="AE3" s="459"/>
      <c r="AF3" s="459"/>
      <c r="AG3" s="220"/>
      <c r="AH3" s="220"/>
      <c r="AI3" s="220"/>
      <c r="AJ3" s="220"/>
      <c r="AK3" s="220"/>
      <c r="AL3" s="220"/>
    </row>
    <row r="4" spans="1:41" x14ac:dyDescent="0.2">
      <c r="A4" s="220"/>
      <c r="B4" s="220"/>
      <c r="C4" s="220"/>
      <c r="E4" s="221"/>
      <c r="F4" s="221"/>
      <c r="G4" s="221"/>
      <c r="H4" s="221"/>
      <c r="I4" s="221"/>
      <c r="J4" s="221"/>
      <c r="K4" s="221"/>
      <c r="L4" s="221"/>
      <c r="M4" s="221"/>
      <c r="N4" s="221"/>
      <c r="O4" s="221"/>
      <c r="P4" s="221"/>
      <c r="Q4" s="221"/>
      <c r="R4" s="221"/>
      <c r="S4" s="221"/>
      <c r="T4" s="221"/>
      <c r="U4" s="221"/>
      <c r="V4" s="221"/>
      <c r="W4" s="220"/>
      <c r="X4" s="220"/>
      <c r="Y4" s="221"/>
      <c r="Z4" s="221"/>
      <c r="AA4" s="221"/>
      <c r="AB4"/>
      <c r="AC4"/>
      <c r="AD4"/>
      <c r="AE4"/>
      <c r="AF4"/>
      <c r="AG4" s="220"/>
      <c r="AH4" s="220"/>
      <c r="AI4" s="220"/>
      <c r="AJ4" s="220"/>
      <c r="AK4" s="220"/>
      <c r="AL4" s="220"/>
    </row>
    <row r="5" spans="1:41" ht="15.75" thickBot="1" x14ac:dyDescent="0.25">
      <c r="A5" s="220"/>
      <c r="B5" s="220"/>
      <c r="C5" s="220"/>
      <c r="E5" s="221"/>
      <c r="F5" s="221"/>
      <c r="G5" s="221"/>
      <c r="H5" s="221"/>
      <c r="I5" s="221"/>
      <c r="J5" s="221"/>
      <c r="K5" s="221"/>
      <c r="L5" s="221"/>
      <c r="M5" s="221"/>
      <c r="N5" s="221" t="s">
        <v>360</v>
      </c>
      <c r="O5" s="221"/>
      <c r="P5" s="221"/>
      <c r="Q5" s="221"/>
      <c r="R5" s="221"/>
      <c r="S5" s="221"/>
      <c r="T5" s="221"/>
      <c r="U5" s="221"/>
      <c r="V5" s="221"/>
      <c r="W5" s="220"/>
      <c r="X5" s="220"/>
      <c r="Y5" s="221"/>
      <c r="Z5" s="221"/>
      <c r="AA5" s="221"/>
      <c r="AB5" s="433">
        <v>44623</v>
      </c>
      <c r="AC5">
        <v>2021</v>
      </c>
      <c r="AD5" t="s">
        <v>517</v>
      </c>
      <c r="AE5">
        <v>426</v>
      </c>
      <c r="AF5" t="s">
        <v>102</v>
      </c>
      <c r="AG5" s="220"/>
      <c r="AH5" s="220"/>
      <c r="AI5" s="220"/>
      <c r="AJ5" s="220"/>
      <c r="AK5" s="220"/>
      <c r="AL5" s="220"/>
    </row>
    <row r="6" spans="1:41" ht="16.5" thickBot="1" x14ac:dyDescent="0.3">
      <c r="A6" s="222"/>
      <c r="B6" s="223" t="s">
        <v>0</v>
      </c>
      <c r="C6" s="224"/>
      <c r="D6" s="224"/>
      <c r="E6" s="349"/>
      <c r="F6" s="349"/>
      <c r="G6" s="349"/>
      <c r="H6" s="349"/>
      <c r="I6" s="349"/>
      <c r="J6" s="349"/>
      <c r="K6" s="349"/>
      <c r="L6" s="349"/>
      <c r="M6" s="349"/>
      <c r="N6" s="349"/>
      <c r="O6" s="349"/>
      <c r="P6" s="349"/>
      <c r="Q6" s="349"/>
      <c r="R6" s="349"/>
      <c r="S6" s="349"/>
      <c r="T6" s="349"/>
      <c r="U6" s="349"/>
      <c r="V6" s="311"/>
      <c r="W6" s="223" t="s">
        <v>0</v>
      </c>
      <c r="X6" s="224"/>
      <c r="Y6" s="221"/>
      <c r="Z6" s="221"/>
      <c r="AA6" s="221"/>
      <c r="AB6" s="433">
        <v>44623</v>
      </c>
      <c r="AC6">
        <v>2021</v>
      </c>
      <c r="AD6" t="s">
        <v>518</v>
      </c>
      <c r="AE6">
        <v>200</v>
      </c>
      <c r="AF6" t="s">
        <v>102</v>
      </c>
      <c r="AG6" s="220"/>
      <c r="AH6" s="220"/>
      <c r="AI6" s="220"/>
      <c r="AJ6" s="220"/>
      <c r="AK6" s="220"/>
      <c r="AL6" s="220"/>
    </row>
    <row r="7" spans="1:41" ht="48" thickBot="1" x14ac:dyDescent="0.3">
      <c r="A7" s="160" t="s">
        <v>79</v>
      </c>
      <c r="B7" s="156" t="s">
        <v>3</v>
      </c>
      <c r="C7" s="107" t="s">
        <v>2</v>
      </c>
      <c r="D7" s="108" t="s">
        <v>523</v>
      </c>
      <c r="E7" s="109" t="s">
        <v>514</v>
      </c>
      <c r="F7" s="109" t="s">
        <v>525</v>
      </c>
      <c r="G7" s="219" t="s">
        <v>4</v>
      </c>
      <c r="H7" s="110" t="s">
        <v>5</v>
      </c>
      <c r="I7" s="110" t="s">
        <v>6</v>
      </c>
      <c r="J7" s="110" t="s">
        <v>7</v>
      </c>
      <c r="K7" s="110" t="s">
        <v>8</v>
      </c>
      <c r="L7" s="110" t="s">
        <v>9</v>
      </c>
      <c r="M7" s="110" t="s">
        <v>10</v>
      </c>
      <c r="N7" s="110" t="s">
        <v>11</v>
      </c>
      <c r="O7" s="110" t="s">
        <v>12</v>
      </c>
      <c r="P7" s="110" t="s">
        <v>13</v>
      </c>
      <c r="Q7" s="110" t="s">
        <v>14</v>
      </c>
      <c r="R7" s="110" t="s">
        <v>15</v>
      </c>
      <c r="S7" s="111" t="s">
        <v>16</v>
      </c>
      <c r="T7" s="112" t="s">
        <v>515</v>
      </c>
      <c r="U7" s="109" t="s">
        <v>19</v>
      </c>
      <c r="V7" s="113" t="s">
        <v>41</v>
      </c>
      <c r="W7" s="156" t="s">
        <v>3</v>
      </c>
      <c r="X7" s="107" t="s">
        <v>2</v>
      </c>
      <c r="Y7" s="221"/>
      <c r="Z7" s="221"/>
      <c r="AA7" s="221"/>
      <c r="AB7" s="433">
        <v>44623</v>
      </c>
      <c r="AC7">
        <v>2021</v>
      </c>
      <c r="AD7" t="s">
        <v>519</v>
      </c>
      <c r="AE7">
        <v>97</v>
      </c>
      <c r="AF7" t="s">
        <v>102</v>
      </c>
      <c r="AG7" s="220"/>
      <c r="AH7" s="220"/>
      <c r="AI7" s="220"/>
      <c r="AJ7" s="220"/>
      <c r="AK7" s="220"/>
      <c r="AL7" s="220"/>
    </row>
    <row r="8" spans="1:41" x14ac:dyDescent="0.2">
      <c r="A8" s="226"/>
      <c r="B8" s="226"/>
      <c r="C8" s="226"/>
      <c r="D8" s="333"/>
      <c r="E8" s="243"/>
      <c r="F8" s="243"/>
      <c r="G8" s="243"/>
      <c r="H8" s="243"/>
      <c r="I8" s="243"/>
      <c r="J8" s="243"/>
      <c r="K8" s="243"/>
      <c r="L8" s="243"/>
      <c r="M8" s="243"/>
      <c r="N8" s="243"/>
      <c r="O8" s="243"/>
      <c r="P8" s="243"/>
      <c r="Q8" s="243"/>
      <c r="R8" s="243"/>
      <c r="S8" s="338"/>
      <c r="T8" s="339"/>
      <c r="U8" s="340"/>
      <c r="V8" s="320"/>
      <c r="W8" s="226"/>
      <c r="X8" s="226"/>
      <c r="Y8" s="221"/>
      <c r="Z8" s="221"/>
      <c r="AA8" s="221"/>
      <c r="AB8" s="433">
        <v>44623</v>
      </c>
      <c r="AC8">
        <v>2021</v>
      </c>
      <c r="AD8" t="s">
        <v>520</v>
      </c>
      <c r="AE8">
        <v>115</v>
      </c>
      <c r="AF8" t="s">
        <v>102</v>
      </c>
      <c r="AG8" s="220"/>
      <c r="AH8" s="220"/>
      <c r="AI8" s="220"/>
      <c r="AJ8" s="220"/>
      <c r="AK8" s="220"/>
      <c r="AL8" s="220"/>
    </row>
    <row r="9" spans="1:41" x14ac:dyDescent="0.2">
      <c r="A9" s="234">
        <v>30306</v>
      </c>
      <c r="B9" s="255">
        <v>2015</v>
      </c>
      <c r="C9" s="234" t="s">
        <v>244</v>
      </c>
      <c r="D9" s="263">
        <v>0.83333333333333337</v>
      </c>
      <c r="E9" s="2">
        <v>165</v>
      </c>
      <c r="F9" s="2">
        <v>0</v>
      </c>
      <c r="G9" s="2">
        <v>7</v>
      </c>
      <c r="H9" s="2">
        <v>63</v>
      </c>
      <c r="I9" s="2">
        <v>0</v>
      </c>
      <c r="J9" s="2">
        <v>0</v>
      </c>
      <c r="K9" s="2">
        <v>0</v>
      </c>
      <c r="L9" s="2">
        <v>0</v>
      </c>
      <c r="M9" s="2">
        <v>0</v>
      </c>
      <c r="N9" s="2"/>
      <c r="O9" s="2"/>
      <c r="P9" s="2"/>
      <c r="Q9" s="2"/>
      <c r="R9" s="2"/>
      <c r="S9" s="335">
        <f>SUM(G9:R9)</f>
        <v>70</v>
      </c>
      <c r="T9" s="263">
        <f>IFERROR((AVERAGE(G9:R9)),0)</f>
        <v>10</v>
      </c>
      <c r="U9" s="336">
        <f t="shared" ref="U9" si="0">IFERROR((V9/T9),0)</f>
        <v>9.5</v>
      </c>
      <c r="V9" s="307">
        <f>E9+F9-S9</f>
        <v>95</v>
      </c>
      <c r="W9" s="255">
        <v>2015</v>
      </c>
      <c r="X9" s="234" t="s">
        <v>84</v>
      </c>
      <c r="Y9" s="221"/>
      <c r="Z9" s="221"/>
      <c r="AA9" s="221"/>
      <c r="AB9" s="433">
        <v>44623</v>
      </c>
      <c r="AC9">
        <v>2021</v>
      </c>
      <c r="AD9" t="s">
        <v>521</v>
      </c>
      <c r="AE9">
        <v>114</v>
      </c>
      <c r="AF9" t="s">
        <v>102</v>
      </c>
      <c r="AG9" s="220"/>
      <c r="AH9" s="220"/>
      <c r="AI9" s="220"/>
      <c r="AJ9" s="220"/>
      <c r="AK9" s="220"/>
      <c r="AL9" s="220"/>
    </row>
    <row r="10" spans="1:41" x14ac:dyDescent="0.2">
      <c r="A10" s="226"/>
      <c r="B10" s="226"/>
      <c r="C10" s="226"/>
      <c r="D10" s="432"/>
      <c r="E10" s="243"/>
      <c r="F10" s="243"/>
      <c r="G10" s="243"/>
      <c r="H10" s="243"/>
      <c r="I10" s="243"/>
      <c r="J10" s="243"/>
      <c r="K10" s="243"/>
      <c r="L10" s="243"/>
      <c r="M10" s="243"/>
      <c r="N10" s="243"/>
      <c r="O10" s="243"/>
      <c r="P10" s="243"/>
      <c r="Q10" s="243"/>
      <c r="R10" s="243"/>
      <c r="S10" s="243"/>
      <c r="T10" s="243"/>
      <c r="U10" s="243"/>
      <c r="V10" s="243"/>
      <c r="W10" s="226"/>
      <c r="X10" s="226"/>
      <c r="Y10" s="221"/>
      <c r="Z10" s="221"/>
      <c r="AA10" s="221"/>
      <c r="AB10"/>
      <c r="AC10"/>
      <c r="AD10"/>
      <c r="AE10"/>
      <c r="AF10"/>
      <c r="AG10" s="220"/>
      <c r="AH10" s="220"/>
      <c r="AI10" s="220"/>
      <c r="AJ10" s="220"/>
      <c r="AK10" s="220"/>
      <c r="AL10" s="220"/>
    </row>
    <row r="11" spans="1:41" ht="15" customHeight="1" x14ac:dyDescent="0.2">
      <c r="A11" s="234">
        <v>57630</v>
      </c>
      <c r="B11" s="233">
        <v>2017</v>
      </c>
      <c r="C11" s="234" t="s">
        <v>25</v>
      </c>
      <c r="D11" s="431">
        <v>33.25</v>
      </c>
      <c r="E11" s="2">
        <v>93</v>
      </c>
      <c r="F11" s="2">
        <v>0</v>
      </c>
      <c r="G11" s="2">
        <v>9</v>
      </c>
      <c r="H11" s="2">
        <v>28</v>
      </c>
      <c r="I11" s="2">
        <v>19</v>
      </c>
      <c r="J11" s="2">
        <v>29</v>
      </c>
      <c r="K11" s="2">
        <v>8</v>
      </c>
      <c r="L11" s="439"/>
      <c r="M11" s="439"/>
      <c r="N11" s="439"/>
      <c r="O11" s="439"/>
      <c r="P11" s="439"/>
      <c r="Q11" s="439"/>
      <c r="R11" s="439"/>
      <c r="S11" s="335">
        <f t="shared" ref="S11:S12" si="1">SUM(G11:R11)</f>
        <v>93</v>
      </c>
      <c r="T11" s="263">
        <f t="shared" ref="T11:T20" si="2">IFERROR((AVERAGE(G11:R11)),0)</f>
        <v>18.600000000000001</v>
      </c>
      <c r="U11" s="336">
        <f t="shared" ref="U11:U20" si="3">IFERROR((V11/T11),0)</f>
        <v>0</v>
      </c>
      <c r="V11" s="307">
        <f t="shared" ref="V11:V13" si="4">E11+F11-S11</f>
        <v>0</v>
      </c>
      <c r="W11" s="233">
        <v>2017</v>
      </c>
      <c r="X11" s="234" t="s">
        <v>25</v>
      </c>
      <c r="Y11" s="221"/>
      <c r="Z11" s="221"/>
      <c r="AA11" s="221"/>
      <c r="AB11" s="433">
        <v>44672</v>
      </c>
      <c r="AC11">
        <v>2021</v>
      </c>
      <c r="AD11" t="s">
        <v>521</v>
      </c>
      <c r="AE11" s="297">
        <v>110</v>
      </c>
      <c r="AF11" s="220" t="s">
        <v>102</v>
      </c>
      <c r="AG11" s="220"/>
      <c r="AH11" s="220"/>
      <c r="AI11" s="220"/>
      <c r="AJ11" s="220"/>
      <c r="AK11" s="220"/>
      <c r="AL11" s="220"/>
      <c r="AM11" s="220"/>
      <c r="AN11" s="220"/>
      <c r="AO11" s="220"/>
    </row>
    <row r="12" spans="1:41" ht="15" customHeight="1" x14ac:dyDescent="0.2">
      <c r="A12" s="234">
        <v>135370</v>
      </c>
      <c r="B12" s="233">
        <v>2017</v>
      </c>
      <c r="C12" s="234" t="s">
        <v>217</v>
      </c>
      <c r="D12" s="430">
        <v>7.666666666666667</v>
      </c>
      <c r="E12" s="2">
        <v>64</v>
      </c>
      <c r="F12" s="2">
        <v>0</v>
      </c>
      <c r="G12" s="2">
        <v>13</v>
      </c>
      <c r="H12" s="2">
        <v>9</v>
      </c>
      <c r="I12" s="2">
        <v>9</v>
      </c>
      <c r="J12" s="2">
        <v>6</v>
      </c>
      <c r="K12" s="2">
        <v>8</v>
      </c>
      <c r="L12" s="2">
        <v>5</v>
      </c>
      <c r="M12" s="2">
        <v>5</v>
      </c>
      <c r="N12" s="2"/>
      <c r="O12" s="2"/>
      <c r="P12" s="2"/>
      <c r="Q12" s="2"/>
      <c r="R12" s="2"/>
      <c r="S12" s="335">
        <f t="shared" si="1"/>
        <v>55</v>
      </c>
      <c r="T12" s="263">
        <f t="shared" si="2"/>
        <v>7.8571428571428568</v>
      </c>
      <c r="U12" s="336">
        <f t="shared" si="3"/>
        <v>1.1454545454545455</v>
      </c>
      <c r="V12" s="307">
        <f t="shared" si="4"/>
        <v>9</v>
      </c>
      <c r="W12" s="233">
        <v>2017</v>
      </c>
      <c r="X12" s="234" t="s">
        <v>217</v>
      </c>
      <c r="Y12" s="221"/>
      <c r="Z12" s="221"/>
      <c r="AA12" s="221"/>
      <c r="AG12" s="220"/>
      <c r="AH12" s="220"/>
      <c r="AI12" s="220"/>
      <c r="AJ12" s="220"/>
      <c r="AK12" s="220"/>
      <c r="AL12" s="220"/>
      <c r="AM12" s="220"/>
      <c r="AN12" s="220"/>
      <c r="AO12" s="220"/>
    </row>
    <row r="13" spans="1:41" ht="15" customHeight="1" x14ac:dyDescent="0.2">
      <c r="A13" s="234">
        <v>137517</v>
      </c>
      <c r="B13" s="233">
        <v>2017</v>
      </c>
      <c r="C13" s="234" t="s">
        <v>292</v>
      </c>
      <c r="D13" s="430">
        <v>4.916666666666667</v>
      </c>
      <c r="E13" s="2">
        <v>41</v>
      </c>
      <c r="F13" s="2">
        <v>0</v>
      </c>
      <c r="G13" s="2">
        <v>1</v>
      </c>
      <c r="H13" s="2">
        <v>2</v>
      </c>
      <c r="I13" s="2">
        <v>5</v>
      </c>
      <c r="J13" s="2">
        <v>1</v>
      </c>
      <c r="K13" s="2">
        <v>4</v>
      </c>
      <c r="L13" s="2">
        <v>5</v>
      </c>
      <c r="M13" s="2">
        <v>2</v>
      </c>
      <c r="N13" s="2"/>
      <c r="O13" s="2"/>
      <c r="P13" s="2"/>
      <c r="Q13" s="2"/>
      <c r="R13" s="2"/>
      <c r="S13" s="335">
        <f t="shared" ref="S13:S20" si="5">SUM(G13:R13)</f>
        <v>20</v>
      </c>
      <c r="T13" s="263">
        <f t="shared" si="2"/>
        <v>2.8571428571428572</v>
      </c>
      <c r="U13" s="336">
        <f t="shared" si="3"/>
        <v>7.35</v>
      </c>
      <c r="V13" s="307">
        <f t="shared" si="4"/>
        <v>21</v>
      </c>
      <c r="W13" s="233">
        <v>2017</v>
      </c>
      <c r="X13" s="234" t="s">
        <v>292</v>
      </c>
      <c r="Y13" s="221"/>
      <c r="Z13" s="221"/>
      <c r="AA13" s="221"/>
      <c r="AB13" s="433">
        <v>44672</v>
      </c>
      <c r="AC13">
        <v>2021</v>
      </c>
      <c r="AD13" t="s">
        <v>526</v>
      </c>
      <c r="AE13">
        <v>222</v>
      </c>
      <c r="AF13" t="s">
        <v>102</v>
      </c>
      <c r="AG13" s="220"/>
      <c r="AH13" s="220"/>
      <c r="AI13" s="220"/>
      <c r="AJ13" s="220">
        <v>7</v>
      </c>
      <c r="AK13" s="220"/>
      <c r="AL13" s="220"/>
      <c r="AM13" s="220"/>
      <c r="AN13" s="220"/>
      <c r="AO13" s="220"/>
    </row>
    <row r="14" spans="1:41" ht="15" customHeight="1" x14ac:dyDescent="0.2">
      <c r="A14" s="226"/>
      <c r="B14" s="342"/>
      <c r="C14" s="226"/>
      <c r="D14" s="435"/>
      <c r="E14" s="243" t="e">
        <v>#VALUE!</v>
      </c>
      <c r="F14" s="243"/>
      <c r="G14" s="243"/>
      <c r="H14" s="243"/>
      <c r="I14" s="243"/>
      <c r="J14" s="243"/>
      <c r="K14" s="243"/>
      <c r="L14" s="243"/>
      <c r="M14" s="243"/>
      <c r="N14" s="243"/>
      <c r="O14" s="243"/>
      <c r="P14" s="243"/>
      <c r="Q14" s="243"/>
      <c r="R14" s="243"/>
      <c r="S14" s="243" t="s">
        <v>35</v>
      </c>
      <c r="T14" s="339">
        <f t="shared" si="2"/>
        <v>0</v>
      </c>
      <c r="U14" s="340">
        <f t="shared" si="3"/>
        <v>0</v>
      </c>
      <c r="V14" s="320" t="e">
        <f t="shared" ref="V14" si="6">SUM(E14-S14)</f>
        <v>#VALUE!</v>
      </c>
      <c r="W14" s="342"/>
      <c r="X14" s="226"/>
      <c r="Y14" s="221"/>
      <c r="Z14" s="221"/>
      <c r="AA14" s="221"/>
      <c r="AB14" s="433">
        <v>44672</v>
      </c>
      <c r="AC14">
        <v>2021</v>
      </c>
      <c r="AD14" t="s">
        <v>531</v>
      </c>
      <c r="AE14">
        <v>56</v>
      </c>
      <c r="AF14" t="s">
        <v>102</v>
      </c>
      <c r="AG14" s="220"/>
      <c r="AH14" s="220"/>
      <c r="AI14" s="220"/>
      <c r="AJ14" s="220"/>
      <c r="AK14" s="220"/>
      <c r="AL14" s="220"/>
      <c r="AM14" s="220"/>
      <c r="AN14" s="220"/>
      <c r="AO14" s="220"/>
    </row>
    <row r="15" spans="1:41" ht="15" customHeight="1" x14ac:dyDescent="0.2">
      <c r="A15" s="234">
        <v>57630</v>
      </c>
      <c r="B15" s="233">
        <v>2018</v>
      </c>
      <c r="C15" s="234" t="s">
        <v>25</v>
      </c>
      <c r="D15" s="430">
        <v>28</v>
      </c>
      <c r="E15" s="2">
        <v>360</v>
      </c>
      <c r="F15" s="2">
        <v>0</v>
      </c>
      <c r="G15" s="434">
        <v>27</v>
      </c>
      <c r="H15" s="434">
        <v>1</v>
      </c>
      <c r="I15" s="434">
        <v>3</v>
      </c>
      <c r="J15" s="434">
        <v>2</v>
      </c>
      <c r="K15" s="196">
        <v>29</v>
      </c>
      <c r="L15" s="196">
        <v>28</v>
      </c>
      <c r="M15" s="196">
        <v>21</v>
      </c>
      <c r="N15" s="196"/>
      <c r="O15" s="196"/>
      <c r="P15" s="196"/>
      <c r="Q15" s="196"/>
      <c r="R15" s="196"/>
      <c r="S15" s="335">
        <f t="shared" si="5"/>
        <v>111</v>
      </c>
      <c r="T15" s="263">
        <f t="shared" si="2"/>
        <v>15.857142857142858</v>
      </c>
      <c r="U15" s="336">
        <f t="shared" si="3"/>
        <v>15.702702702702702</v>
      </c>
      <c r="V15" s="307">
        <f t="shared" ref="V15:V32" si="7">E15+F15-S15</f>
        <v>249</v>
      </c>
      <c r="W15" s="233">
        <v>2018</v>
      </c>
      <c r="X15" s="234" t="s">
        <v>25</v>
      </c>
      <c r="Y15" s="221"/>
      <c r="Z15" s="221"/>
      <c r="AA15" s="221"/>
      <c r="AB15" s="433">
        <v>44672</v>
      </c>
      <c r="AC15">
        <v>2021</v>
      </c>
      <c r="AD15" t="s">
        <v>527</v>
      </c>
      <c r="AE15">
        <v>197</v>
      </c>
      <c r="AF15" t="s">
        <v>102</v>
      </c>
      <c r="AG15" s="220"/>
      <c r="AH15" s="220"/>
      <c r="AI15" s="220"/>
      <c r="AJ15" s="220"/>
      <c r="AK15" s="220"/>
      <c r="AL15" s="220"/>
      <c r="AM15" s="220"/>
      <c r="AN15" s="220"/>
      <c r="AO15" s="220"/>
    </row>
    <row r="16" spans="1:41" ht="15" customHeight="1" x14ac:dyDescent="0.2">
      <c r="A16" s="234">
        <v>133688</v>
      </c>
      <c r="B16" s="233">
        <v>2018</v>
      </c>
      <c r="C16" s="234" t="s">
        <v>23</v>
      </c>
      <c r="D16" s="430">
        <v>10.75</v>
      </c>
      <c r="E16" s="2">
        <v>200</v>
      </c>
      <c r="F16" s="2">
        <v>0</v>
      </c>
      <c r="G16" s="2">
        <v>20</v>
      </c>
      <c r="H16" s="2">
        <v>32</v>
      </c>
      <c r="I16" s="2">
        <v>26</v>
      </c>
      <c r="J16" s="2">
        <v>27</v>
      </c>
      <c r="K16" s="2">
        <v>19</v>
      </c>
      <c r="L16" s="2">
        <v>22</v>
      </c>
      <c r="M16" s="2">
        <v>10</v>
      </c>
      <c r="N16" s="2"/>
      <c r="O16" s="2"/>
      <c r="P16" s="2"/>
      <c r="Q16" s="2"/>
      <c r="R16" s="2"/>
      <c r="S16" s="335">
        <f t="shared" si="5"/>
        <v>156</v>
      </c>
      <c r="T16" s="263">
        <f t="shared" si="2"/>
        <v>22.285714285714285</v>
      </c>
      <c r="U16" s="336">
        <f t="shared" si="3"/>
        <v>1.9743589743589745</v>
      </c>
      <c r="V16" s="307">
        <f t="shared" si="7"/>
        <v>44</v>
      </c>
      <c r="W16" s="233">
        <v>2018</v>
      </c>
      <c r="X16" s="234" t="s">
        <v>23</v>
      </c>
      <c r="Y16" s="221"/>
      <c r="Z16" s="221"/>
      <c r="AA16" s="221"/>
      <c r="AB16" s="433">
        <v>44672</v>
      </c>
      <c r="AC16">
        <v>2021</v>
      </c>
      <c r="AD16" t="s">
        <v>528</v>
      </c>
      <c r="AE16">
        <v>473</v>
      </c>
      <c r="AF16" t="s">
        <v>102</v>
      </c>
      <c r="AG16" s="220"/>
      <c r="AH16" s="220"/>
      <c r="AI16" s="220"/>
      <c r="AJ16" s="220"/>
      <c r="AK16" s="220"/>
      <c r="AL16" s="220"/>
      <c r="AM16" s="220"/>
      <c r="AN16" s="220"/>
      <c r="AO16" s="220"/>
    </row>
    <row r="17" spans="1:41" ht="15" customHeight="1" x14ac:dyDescent="0.2">
      <c r="A17" s="234">
        <v>27736</v>
      </c>
      <c r="B17" s="233">
        <v>2018</v>
      </c>
      <c r="C17" s="234" t="s">
        <v>56</v>
      </c>
      <c r="D17" s="430">
        <v>8.5</v>
      </c>
      <c r="E17" s="2">
        <v>135</v>
      </c>
      <c r="F17" s="2">
        <v>0</v>
      </c>
      <c r="G17" s="2">
        <v>0</v>
      </c>
      <c r="H17" s="2">
        <v>0</v>
      </c>
      <c r="I17" s="2">
        <v>0</v>
      </c>
      <c r="J17" s="2">
        <v>8</v>
      </c>
      <c r="K17" s="2">
        <v>101</v>
      </c>
      <c r="L17" s="2">
        <v>26</v>
      </c>
      <c r="M17" s="150" t="s">
        <v>35</v>
      </c>
      <c r="N17" s="150"/>
      <c r="O17" s="150"/>
      <c r="P17" s="150"/>
      <c r="Q17" s="150"/>
      <c r="R17" s="150"/>
      <c r="S17" s="335">
        <f t="shared" si="5"/>
        <v>135</v>
      </c>
      <c r="T17" s="263">
        <f t="shared" si="2"/>
        <v>22.5</v>
      </c>
      <c r="U17" s="336">
        <f t="shared" si="3"/>
        <v>0</v>
      </c>
      <c r="V17" s="307">
        <f t="shared" si="7"/>
        <v>0</v>
      </c>
      <c r="W17" s="233">
        <v>2018</v>
      </c>
      <c r="X17" s="234" t="s">
        <v>56</v>
      </c>
      <c r="Y17" s="221"/>
      <c r="Z17" s="221"/>
      <c r="AA17" s="221"/>
      <c r="AB17" s="433">
        <v>44672</v>
      </c>
      <c r="AC17">
        <v>2021</v>
      </c>
      <c r="AD17" t="s">
        <v>529</v>
      </c>
      <c r="AE17">
        <v>411</v>
      </c>
      <c r="AF17" t="s">
        <v>102</v>
      </c>
      <c r="AG17" s="220"/>
      <c r="AH17" s="220"/>
      <c r="AI17" s="220"/>
      <c r="AJ17" s="220"/>
      <c r="AK17" s="220"/>
      <c r="AL17" s="220"/>
      <c r="AM17" s="220"/>
      <c r="AN17" s="220"/>
      <c r="AO17" s="220"/>
    </row>
    <row r="18" spans="1:41" ht="15" customHeight="1" x14ac:dyDescent="0.2">
      <c r="A18" s="234">
        <v>135371</v>
      </c>
      <c r="B18" s="233">
        <v>2018</v>
      </c>
      <c r="C18" s="234" t="s">
        <v>291</v>
      </c>
      <c r="D18" s="430">
        <v>16</v>
      </c>
      <c r="E18" s="2">
        <v>228</v>
      </c>
      <c r="F18" s="2">
        <v>0</v>
      </c>
      <c r="G18" s="2">
        <v>12</v>
      </c>
      <c r="H18" s="2">
        <v>23</v>
      </c>
      <c r="I18" s="2">
        <v>18</v>
      </c>
      <c r="J18" s="2">
        <v>13</v>
      </c>
      <c r="K18" s="2">
        <v>15</v>
      </c>
      <c r="L18" s="2">
        <v>13</v>
      </c>
      <c r="M18" s="2">
        <v>13</v>
      </c>
      <c r="N18" s="2"/>
      <c r="O18" s="2"/>
      <c r="P18" s="2"/>
      <c r="Q18" s="2"/>
      <c r="R18" s="2"/>
      <c r="S18" s="335">
        <f t="shared" si="5"/>
        <v>107</v>
      </c>
      <c r="T18" s="263">
        <f t="shared" si="2"/>
        <v>15.285714285714286</v>
      </c>
      <c r="U18" s="336">
        <f t="shared" si="3"/>
        <v>7.9158878504672892</v>
      </c>
      <c r="V18" s="307">
        <f t="shared" si="7"/>
        <v>121</v>
      </c>
      <c r="W18" s="233">
        <v>2018</v>
      </c>
      <c r="X18" s="234" t="s">
        <v>291</v>
      </c>
      <c r="Y18" s="221"/>
      <c r="Z18" s="221"/>
      <c r="AA18" s="221"/>
      <c r="AB18" s="433">
        <v>44672</v>
      </c>
      <c r="AC18">
        <v>2021</v>
      </c>
      <c r="AD18" t="s">
        <v>530</v>
      </c>
      <c r="AE18">
        <v>114</v>
      </c>
      <c r="AF18" t="s">
        <v>102</v>
      </c>
      <c r="AG18" s="220"/>
      <c r="AH18" s="220"/>
      <c r="AI18" s="220"/>
      <c r="AJ18" s="220"/>
      <c r="AK18" s="220"/>
      <c r="AL18" s="220"/>
      <c r="AM18" s="220"/>
      <c r="AN18" s="220"/>
      <c r="AO18" s="220"/>
    </row>
    <row r="19" spans="1:41" x14ac:dyDescent="0.2">
      <c r="A19" s="234">
        <v>22921</v>
      </c>
      <c r="B19" s="233">
        <v>2018</v>
      </c>
      <c r="C19" s="234" t="s">
        <v>277</v>
      </c>
      <c r="D19" s="430">
        <v>54</v>
      </c>
      <c r="E19" s="2">
        <v>578</v>
      </c>
      <c r="F19" s="2">
        <v>0</v>
      </c>
      <c r="G19" s="2">
        <v>43</v>
      </c>
      <c r="H19" s="2">
        <v>83</v>
      </c>
      <c r="I19" s="2">
        <v>48</v>
      </c>
      <c r="J19" s="2">
        <v>28</v>
      </c>
      <c r="K19" s="2">
        <v>42</v>
      </c>
      <c r="L19" s="2">
        <v>35</v>
      </c>
      <c r="M19" s="2">
        <v>25</v>
      </c>
      <c r="N19" s="2"/>
      <c r="O19" s="2"/>
      <c r="P19" s="2"/>
      <c r="Q19" s="2"/>
      <c r="R19" s="2"/>
      <c r="S19" s="335">
        <f t="shared" si="5"/>
        <v>304</v>
      </c>
      <c r="T19" s="263">
        <f t="shared" si="2"/>
        <v>43.428571428571431</v>
      </c>
      <c r="U19" s="336">
        <f t="shared" si="3"/>
        <v>6.3092105263157894</v>
      </c>
      <c r="V19" s="307">
        <f t="shared" si="7"/>
        <v>274</v>
      </c>
      <c r="W19" s="233">
        <v>2018</v>
      </c>
      <c r="X19" s="234" t="s">
        <v>277</v>
      </c>
      <c r="Y19" s="221"/>
      <c r="Z19" s="221"/>
      <c r="AA19" s="221"/>
      <c r="AB19" s="433">
        <v>44763</v>
      </c>
      <c r="AC19">
        <v>2021</v>
      </c>
      <c r="AD19" t="s">
        <v>31</v>
      </c>
      <c r="AE19">
        <v>253</v>
      </c>
      <c r="AF19" t="s">
        <v>102</v>
      </c>
      <c r="AG19" s="220"/>
      <c r="AH19" s="220"/>
      <c r="AI19" s="220"/>
      <c r="AJ19" s="220"/>
      <c r="AK19" s="220"/>
      <c r="AL19" s="220"/>
      <c r="AM19" s="220"/>
      <c r="AN19" s="220"/>
      <c r="AO19" s="220"/>
    </row>
    <row r="20" spans="1:41" ht="15" customHeight="1" x14ac:dyDescent="0.2">
      <c r="A20" s="234">
        <v>137519</v>
      </c>
      <c r="B20" s="233" t="s">
        <v>294</v>
      </c>
      <c r="C20" s="234" t="s">
        <v>94</v>
      </c>
      <c r="D20" s="430">
        <v>42.333333333333336</v>
      </c>
      <c r="E20" s="2">
        <v>311</v>
      </c>
      <c r="F20" s="2">
        <v>0</v>
      </c>
      <c r="G20" s="2">
        <v>25</v>
      </c>
      <c r="H20" s="2">
        <v>45</v>
      </c>
      <c r="I20" s="2">
        <v>18</v>
      </c>
      <c r="J20" s="2">
        <v>33</v>
      </c>
      <c r="K20" s="2">
        <v>66</v>
      </c>
      <c r="L20" s="2">
        <v>21</v>
      </c>
      <c r="M20" s="2">
        <v>29</v>
      </c>
      <c r="N20" s="2"/>
      <c r="O20" s="2"/>
      <c r="P20" s="2"/>
      <c r="Q20" s="2"/>
      <c r="R20" s="2"/>
      <c r="S20" s="335">
        <f t="shared" si="5"/>
        <v>237</v>
      </c>
      <c r="T20" s="263">
        <f t="shared" si="2"/>
        <v>33.857142857142854</v>
      </c>
      <c r="U20" s="336">
        <f t="shared" si="3"/>
        <v>2.185654008438819</v>
      </c>
      <c r="V20" s="307">
        <f t="shared" si="7"/>
        <v>74</v>
      </c>
      <c r="W20" s="233" t="s">
        <v>294</v>
      </c>
      <c r="X20" s="234" t="s">
        <v>94</v>
      </c>
      <c r="Y20" s="221"/>
      <c r="Z20" s="221"/>
      <c r="AA20" s="221"/>
      <c r="AB20" s="433">
        <v>44763</v>
      </c>
      <c r="AC20">
        <v>2021</v>
      </c>
      <c r="AD20" t="s">
        <v>25</v>
      </c>
      <c r="AE20">
        <v>306</v>
      </c>
      <c r="AF20" t="s">
        <v>102</v>
      </c>
      <c r="AG20" s="220"/>
      <c r="AH20" s="220"/>
      <c r="AI20" s="220"/>
      <c r="AJ20" s="220"/>
      <c r="AK20" s="220"/>
      <c r="AL20" s="220"/>
      <c r="AM20" s="220"/>
      <c r="AN20" s="220"/>
      <c r="AO20" s="220"/>
    </row>
    <row r="21" spans="1:41" ht="15" customHeight="1" x14ac:dyDescent="0.2">
      <c r="A21" s="226"/>
      <c r="B21" s="342"/>
      <c r="C21" s="226"/>
      <c r="D21" s="432"/>
      <c r="E21" s="243"/>
      <c r="F21" s="243">
        <v>0</v>
      </c>
      <c r="G21" s="243"/>
      <c r="H21" s="243"/>
      <c r="I21" s="243"/>
      <c r="J21" s="243"/>
      <c r="K21" s="243"/>
      <c r="L21" s="243"/>
      <c r="M21" s="243"/>
      <c r="N21" s="243"/>
      <c r="O21" s="243"/>
      <c r="P21" s="243"/>
      <c r="Q21" s="243"/>
      <c r="R21" s="243"/>
      <c r="S21" s="243"/>
      <c r="T21" s="339"/>
      <c r="U21" s="340"/>
      <c r="V21" s="320"/>
      <c r="W21" s="342"/>
      <c r="X21" s="226"/>
      <c r="Y21" s="221"/>
      <c r="Z21" s="221"/>
      <c r="AA21" s="221"/>
      <c r="AB21" s="433"/>
      <c r="AC21"/>
      <c r="AD21"/>
      <c r="AE21"/>
      <c r="AF21"/>
      <c r="AG21" s="220"/>
      <c r="AH21" s="220"/>
      <c r="AI21" s="220"/>
      <c r="AJ21" s="220"/>
      <c r="AK21" s="220"/>
      <c r="AL21" s="220"/>
      <c r="AM21" s="220"/>
      <c r="AN21" s="220"/>
      <c r="AO21" s="220"/>
    </row>
    <row r="22" spans="1:41" ht="15" customHeight="1" x14ac:dyDescent="0.2">
      <c r="A22" s="234">
        <v>152192</v>
      </c>
      <c r="B22" s="266" t="s">
        <v>133</v>
      </c>
      <c r="C22" s="234" t="s">
        <v>356</v>
      </c>
      <c r="D22" s="431">
        <v>45.333333333333336</v>
      </c>
      <c r="E22" s="2">
        <v>202</v>
      </c>
      <c r="F22" s="2">
        <v>0</v>
      </c>
      <c r="G22" s="2">
        <v>10</v>
      </c>
      <c r="H22" s="2">
        <v>79</v>
      </c>
      <c r="I22" s="2">
        <v>29</v>
      </c>
      <c r="J22" s="2">
        <v>16</v>
      </c>
      <c r="K22" s="2">
        <v>68</v>
      </c>
      <c r="L22" s="439"/>
      <c r="M22" s="439"/>
      <c r="N22" s="439"/>
      <c r="O22" s="439"/>
      <c r="P22" s="439"/>
      <c r="Q22" s="439"/>
      <c r="R22" s="439"/>
      <c r="S22" s="335">
        <f t="shared" ref="S22:S32" si="8">SUM(G22:R22)</f>
        <v>202</v>
      </c>
      <c r="T22" s="263">
        <f t="shared" ref="T22:T33" si="9">IFERROR((AVERAGE(G22:R22)),0)</f>
        <v>40.4</v>
      </c>
      <c r="U22" s="336">
        <f t="shared" ref="U22:U33" si="10">IFERROR((V22/T22),0)</f>
        <v>0</v>
      </c>
      <c r="V22" s="307">
        <f t="shared" si="7"/>
        <v>0</v>
      </c>
      <c r="W22" s="233">
        <v>2019</v>
      </c>
      <c r="X22" s="234" t="s">
        <v>356</v>
      </c>
      <c r="Y22" s="221"/>
      <c r="Z22" s="221"/>
      <c r="AA22" s="221"/>
      <c r="AB22"/>
      <c r="AC22"/>
      <c r="AD22"/>
      <c r="AE22"/>
      <c r="AF22"/>
      <c r="AG22" s="220"/>
      <c r="AH22" s="220"/>
      <c r="AI22" s="220"/>
      <c r="AJ22" s="220"/>
      <c r="AK22" s="220"/>
      <c r="AL22" s="220"/>
      <c r="AM22" s="220"/>
      <c r="AN22" s="220"/>
      <c r="AO22" s="220"/>
    </row>
    <row r="23" spans="1:41" ht="15" customHeight="1" x14ac:dyDescent="0.2">
      <c r="A23" s="234">
        <v>151516</v>
      </c>
      <c r="B23" s="233">
        <v>2019</v>
      </c>
      <c r="C23" s="234" t="s">
        <v>359</v>
      </c>
      <c r="D23" s="379">
        <v>16</v>
      </c>
      <c r="E23" s="2">
        <v>149</v>
      </c>
      <c r="F23" s="2">
        <v>0</v>
      </c>
      <c r="G23" s="2">
        <v>2</v>
      </c>
      <c r="H23" s="2">
        <v>36</v>
      </c>
      <c r="I23" s="2">
        <v>9</v>
      </c>
      <c r="J23" s="2">
        <v>9</v>
      </c>
      <c r="K23" s="2">
        <v>11</v>
      </c>
      <c r="L23" s="2">
        <v>16</v>
      </c>
      <c r="M23" s="2">
        <v>9</v>
      </c>
      <c r="N23" s="2"/>
      <c r="O23" s="2"/>
      <c r="P23" s="2"/>
      <c r="Q23" s="2"/>
      <c r="R23" s="2"/>
      <c r="S23" s="335">
        <f t="shared" si="8"/>
        <v>92</v>
      </c>
      <c r="T23" s="263">
        <f t="shared" si="9"/>
        <v>13.142857142857142</v>
      </c>
      <c r="U23" s="336">
        <f t="shared" si="10"/>
        <v>4.3369565217391308</v>
      </c>
      <c r="V23" s="307">
        <f t="shared" si="7"/>
        <v>57</v>
      </c>
      <c r="W23" s="233">
        <v>2019</v>
      </c>
      <c r="X23" s="234" t="s">
        <v>359</v>
      </c>
      <c r="Y23" s="221"/>
      <c r="Z23" s="221"/>
      <c r="AA23" s="221"/>
      <c r="AB23"/>
      <c r="AC23"/>
      <c r="AD23"/>
      <c r="AE23"/>
      <c r="AF23"/>
      <c r="AG23" s="220"/>
      <c r="AH23" s="220"/>
      <c r="AI23" s="220"/>
      <c r="AJ23" s="220"/>
      <c r="AK23" s="220"/>
      <c r="AL23" s="220"/>
      <c r="AM23" s="220"/>
      <c r="AN23" s="220"/>
      <c r="AO23" s="220"/>
    </row>
    <row r="24" spans="1:41" ht="15" customHeight="1" x14ac:dyDescent="0.2">
      <c r="A24" s="234">
        <v>57632</v>
      </c>
      <c r="B24" s="233">
        <v>2019</v>
      </c>
      <c r="C24" s="234" t="s">
        <v>31</v>
      </c>
      <c r="D24" s="380">
        <v>6</v>
      </c>
      <c r="E24" s="2">
        <v>414</v>
      </c>
      <c r="F24" s="2">
        <v>0</v>
      </c>
      <c r="G24" s="2">
        <v>17</v>
      </c>
      <c r="H24" s="2">
        <v>22</v>
      </c>
      <c r="I24" s="2">
        <v>15</v>
      </c>
      <c r="J24" s="2">
        <v>30</v>
      </c>
      <c r="K24" s="2">
        <v>60</v>
      </c>
      <c r="L24" s="2">
        <v>30</v>
      </c>
      <c r="M24" s="2">
        <v>19</v>
      </c>
      <c r="N24" s="2"/>
      <c r="O24" s="2"/>
      <c r="P24" s="2"/>
      <c r="Q24" s="2"/>
      <c r="R24" s="2"/>
      <c r="S24" s="335">
        <f t="shared" si="8"/>
        <v>193</v>
      </c>
      <c r="T24" s="263">
        <f t="shared" si="9"/>
        <v>27.571428571428573</v>
      </c>
      <c r="U24" s="336">
        <f t="shared" si="10"/>
        <v>8.0155440414507773</v>
      </c>
      <c r="V24" s="307">
        <f t="shared" si="7"/>
        <v>221</v>
      </c>
      <c r="W24" s="233">
        <v>2019</v>
      </c>
      <c r="X24" s="234" t="s">
        <v>31</v>
      </c>
      <c r="Y24" s="221"/>
      <c r="Z24" s="221"/>
      <c r="AA24" s="221"/>
      <c r="AB24" s="384"/>
      <c r="AC24" s="385"/>
      <c r="AD24" s="386"/>
      <c r="AE24" s="387"/>
      <c r="AF24" s="386"/>
      <c r="AG24" s="220"/>
      <c r="AH24" s="220"/>
      <c r="AI24" s="220"/>
      <c r="AJ24" s="220"/>
      <c r="AK24" s="220"/>
      <c r="AL24" s="220"/>
      <c r="AM24" s="220"/>
      <c r="AN24" s="220"/>
      <c r="AO24" s="220"/>
    </row>
    <row r="25" spans="1:41" ht="15" customHeight="1" x14ac:dyDescent="0.2">
      <c r="A25" s="234">
        <v>57630</v>
      </c>
      <c r="B25" s="233">
        <v>2019</v>
      </c>
      <c r="C25" s="234" t="s">
        <v>25</v>
      </c>
      <c r="D25" s="431">
        <v>2</v>
      </c>
      <c r="E25" s="2">
        <v>361</v>
      </c>
      <c r="F25" s="2">
        <v>0</v>
      </c>
      <c r="G25" s="434">
        <v>0</v>
      </c>
      <c r="H25" s="434">
        <v>0</v>
      </c>
      <c r="I25" s="434"/>
      <c r="J25" s="434">
        <v>0</v>
      </c>
      <c r="K25" s="434">
        <v>0</v>
      </c>
      <c r="L25" s="434">
        <v>0</v>
      </c>
      <c r="M25" s="434">
        <v>0</v>
      </c>
      <c r="N25" s="434"/>
      <c r="O25" s="434"/>
      <c r="P25" s="434"/>
      <c r="Q25" s="434"/>
      <c r="R25" s="434"/>
      <c r="S25" s="335">
        <f t="shared" si="8"/>
        <v>0</v>
      </c>
      <c r="T25" s="263">
        <f t="shared" si="9"/>
        <v>0</v>
      </c>
      <c r="U25" s="336">
        <f t="shared" si="10"/>
        <v>0</v>
      </c>
      <c r="V25" s="307">
        <f t="shared" si="7"/>
        <v>361</v>
      </c>
      <c r="W25" s="233">
        <v>2019</v>
      </c>
      <c r="X25" s="234" t="s">
        <v>25</v>
      </c>
      <c r="Y25" s="221"/>
      <c r="Z25" s="221"/>
      <c r="AA25" s="221"/>
      <c r="AG25" s="220"/>
      <c r="AH25" s="220"/>
      <c r="AI25" s="220"/>
      <c r="AJ25" s="220"/>
      <c r="AK25" s="220"/>
      <c r="AL25" s="220"/>
      <c r="AM25" s="220"/>
      <c r="AN25" s="220"/>
      <c r="AO25" s="220"/>
    </row>
    <row r="26" spans="1:41" ht="15" customHeight="1" x14ac:dyDescent="0.25">
      <c r="A26" s="234">
        <v>22384</v>
      </c>
      <c r="B26" s="233">
        <v>2019</v>
      </c>
      <c r="C26" s="234" t="s">
        <v>26</v>
      </c>
      <c r="D26" s="380">
        <v>6.166666666666667</v>
      </c>
      <c r="E26" s="2">
        <v>153</v>
      </c>
      <c r="F26" s="2">
        <v>0</v>
      </c>
      <c r="G26" s="2">
        <v>9</v>
      </c>
      <c r="H26" s="2">
        <v>19</v>
      </c>
      <c r="I26" s="2">
        <v>14</v>
      </c>
      <c r="J26" s="2">
        <v>9</v>
      </c>
      <c r="K26" s="2">
        <v>11</v>
      </c>
      <c r="L26" s="2">
        <v>2</v>
      </c>
      <c r="M26" s="2">
        <v>11</v>
      </c>
      <c r="N26" s="2"/>
      <c r="O26" s="2"/>
      <c r="P26" s="2"/>
      <c r="Q26" s="2"/>
      <c r="R26" s="2"/>
      <c r="S26" s="335">
        <f t="shared" si="8"/>
        <v>75</v>
      </c>
      <c r="T26" s="263">
        <f t="shared" si="9"/>
        <v>10.714285714285714</v>
      </c>
      <c r="U26" s="336">
        <f t="shared" si="10"/>
        <v>7.28</v>
      </c>
      <c r="V26" s="307">
        <f t="shared" si="7"/>
        <v>78</v>
      </c>
      <c r="W26" s="233">
        <v>2019</v>
      </c>
      <c r="X26" s="234" t="s">
        <v>26</v>
      </c>
      <c r="Y26" s="221"/>
      <c r="Z26" s="221"/>
      <c r="AA26" s="221"/>
      <c r="AB26" s="460" t="s">
        <v>386</v>
      </c>
      <c r="AC26" s="460"/>
      <c r="AD26" s="460"/>
      <c r="AE26" s="460"/>
      <c r="AF26" s="460"/>
      <c r="AG26" s="220"/>
      <c r="AH26" s="220"/>
      <c r="AI26" s="220"/>
      <c r="AJ26" s="220"/>
      <c r="AK26" s="220"/>
      <c r="AL26" s="220"/>
      <c r="AM26" s="220"/>
      <c r="AN26" s="220"/>
      <c r="AO26" s="220"/>
    </row>
    <row r="27" spans="1:41" ht="15" customHeight="1" x14ac:dyDescent="0.2">
      <c r="A27" s="234">
        <v>133688</v>
      </c>
      <c r="B27" s="233">
        <v>2019</v>
      </c>
      <c r="C27" s="234" t="s">
        <v>23</v>
      </c>
      <c r="D27" s="431">
        <v>1.4166666666666667</v>
      </c>
      <c r="E27" s="2">
        <v>640</v>
      </c>
      <c r="F27" s="2">
        <v>0</v>
      </c>
      <c r="G27" s="434">
        <v>2</v>
      </c>
      <c r="H27" s="434">
        <v>0</v>
      </c>
      <c r="I27" s="434">
        <v>1</v>
      </c>
      <c r="J27" s="434">
        <v>0</v>
      </c>
      <c r="K27" s="434">
        <v>0</v>
      </c>
      <c r="L27" s="434">
        <v>0</v>
      </c>
      <c r="M27" s="434">
        <v>0</v>
      </c>
      <c r="N27" s="434"/>
      <c r="O27" s="434"/>
      <c r="P27" s="434"/>
      <c r="Q27" s="434"/>
      <c r="R27" s="434"/>
      <c r="S27" s="335">
        <f t="shared" si="8"/>
        <v>3</v>
      </c>
      <c r="T27" s="263">
        <f t="shared" si="9"/>
        <v>0.42857142857142855</v>
      </c>
      <c r="U27" s="336">
        <f t="shared" si="10"/>
        <v>1486.3333333333335</v>
      </c>
      <c r="V27" s="307">
        <f t="shared" si="7"/>
        <v>637</v>
      </c>
      <c r="W27" s="233">
        <v>2019</v>
      </c>
      <c r="X27" s="234" t="s">
        <v>23</v>
      </c>
      <c r="Y27" s="221"/>
      <c r="Z27" s="221"/>
      <c r="AA27" s="221"/>
      <c r="AB27" s="388" t="s">
        <v>380</v>
      </c>
      <c r="AC27" s="389" t="s">
        <v>383</v>
      </c>
      <c r="AD27" s="390" t="s">
        <v>381</v>
      </c>
      <c r="AE27" s="390" t="s">
        <v>384</v>
      </c>
      <c r="AF27" s="390" t="s">
        <v>382</v>
      </c>
      <c r="AG27" s="220"/>
      <c r="AH27" s="220"/>
      <c r="AI27" s="220"/>
      <c r="AJ27" s="220"/>
      <c r="AK27" s="220"/>
      <c r="AL27" s="220"/>
      <c r="AM27" s="220"/>
      <c r="AN27" s="220"/>
      <c r="AO27" s="220"/>
    </row>
    <row r="28" spans="1:41" ht="15" customHeight="1" x14ac:dyDescent="0.2">
      <c r="A28" s="234">
        <v>133687</v>
      </c>
      <c r="B28" s="233">
        <v>2019</v>
      </c>
      <c r="C28" s="234" t="s">
        <v>93</v>
      </c>
      <c r="D28" s="431">
        <v>3.25</v>
      </c>
      <c r="E28" s="2">
        <v>259</v>
      </c>
      <c r="F28" s="2">
        <v>0</v>
      </c>
      <c r="G28" s="2">
        <v>10</v>
      </c>
      <c r="H28" s="2">
        <v>12</v>
      </c>
      <c r="I28" s="2">
        <v>8</v>
      </c>
      <c r="J28" s="2">
        <v>7</v>
      </c>
      <c r="K28" s="2">
        <v>18</v>
      </c>
      <c r="L28" s="2">
        <v>7</v>
      </c>
      <c r="M28" s="2">
        <v>6</v>
      </c>
      <c r="N28" s="2"/>
      <c r="O28" s="2"/>
      <c r="P28" s="2"/>
      <c r="Q28" s="2"/>
      <c r="R28" s="2"/>
      <c r="S28" s="335">
        <f t="shared" si="8"/>
        <v>68</v>
      </c>
      <c r="T28" s="263">
        <f t="shared" si="9"/>
        <v>9.7142857142857135</v>
      </c>
      <c r="U28" s="336">
        <f t="shared" si="10"/>
        <v>19.661764705882355</v>
      </c>
      <c r="V28" s="307">
        <f t="shared" si="7"/>
        <v>191</v>
      </c>
      <c r="W28" s="233">
        <v>2019</v>
      </c>
      <c r="X28" s="234" t="s">
        <v>442</v>
      </c>
      <c r="Y28" s="221"/>
      <c r="Z28" s="221"/>
      <c r="AA28" s="221"/>
      <c r="AB28"/>
      <c r="AC28"/>
      <c r="AD28"/>
      <c r="AE28"/>
      <c r="AF28"/>
      <c r="AG28" s="220"/>
      <c r="AH28" s="220"/>
      <c r="AI28" s="220"/>
      <c r="AJ28" s="220"/>
      <c r="AK28" s="220"/>
      <c r="AL28" s="220"/>
      <c r="AM28" s="220"/>
      <c r="AN28" s="220"/>
      <c r="AO28" s="220"/>
    </row>
    <row r="29" spans="1:41" ht="15" customHeight="1" x14ac:dyDescent="0.2">
      <c r="A29" s="234">
        <v>27736</v>
      </c>
      <c r="B29" s="233">
        <v>2019</v>
      </c>
      <c r="C29" s="234" t="s">
        <v>56</v>
      </c>
      <c r="D29" s="431">
        <v>7.916666666666667</v>
      </c>
      <c r="E29" s="2">
        <v>296</v>
      </c>
      <c r="F29" s="2">
        <v>0</v>
      </c>
      <c r="G29" s="2">
        <v>19</v>
      </c>
      <c r="H29" s="2">
        <v>21</v>
      </c>
      <c r="I29" s="2">
        <v>45</v>
      </c>
      <c r="J29" s="2">
        <v>28</v>
      </c>
      <c r="K29" s="2">
        <v>37</v>
      </c>
      <c r="L29" s="2">
        <v>18</v>
      </c>
      <c r="M29" s="2">
        <v>13</v>
      </c>
      <c r="N29" s="2"/>
      <c r="O29" s="2"/>
      <c r="P29" s="2"/>
      <c r="Q29" s="2"/>
      <c r="R29" s="2"/>
      <c r="S29" s="335">
        <f t="shared" si="8"/>
        <v>181</v>
      </c>
      <c r="T29" s="263">
        <f t="shared" si="9"/>
        <v>25.857142857142858</v>
      </c>
      <c r="U29" s="336">
        <f t="shared" si="10"/>
        <v>4.4475138121546962</v>
      </c>
      <c r="V29" s="307">
        <f t="shared" si="7"/>
        <v>115</v>
      </c>
      <c r="W29" s="233">
        <v>2019</v>
      </c>
      <c r="X29" s="234" t="s">
        <v>56</v>
      </c>
      <c r="Y29" s="221"/>
      <c r="Z29" s="221"/>
      <c r="AA29" s="221"/>
      <c r="AB29" s="215"/>
      <c r="AC29" s="126"/>
      <c r="AD29" s="126"/>
      <c r="AE29" s="126"/>
      <c r="AF29" s="126"/>
      <c r="AG29" s="220"/>
      <c r="AH29" s="220"/>
      <c r="AI29" s="220"/>
      <c r="AJ29" s="220"/>
      <c r="AK29" s="220"/>
      <c r="AL29" s="220"/>
      <c r="AM29" s="220"/>
      <c r="AN29" s="220"/>
      <c r="AO29" s="220"/>
    </row>
    <row r="30" spans="1:41" ht="15" customHeight="1" x14ac:dyDescent="0.2">
      <c r="A30" s="234">
        <v>135371</v>
      </c>
      <c r="B30" s="233">
        <v>2019</v>
      </c>
      <c r="C30" s="234" t="s">
        <v>291</v>
      </c>
      <c r="D30" s="436">
        <v>1.25</v>
      </c>
      <c r="E30" s="2">
        <v>78</v>
      </c>
      <c r="F30" s="2">
        <v>0</v>
      </c>
      <c r="G30" s="434">
        <v>3</v>
      </c>
      <c r="H30" s="434">
        <v>0</v>
      </c>
      <c r="I30" s="434">
        <v>2</v>
      </c>
      <c r="J30" s="434">
        <v>0</v>
      </c>
      <c r="K30" s="434">
        <v>0</v>
      </c>
      <c r="L30" s="434">
        <v>0</v>
      </c>
      <c r="M30" s="434">
        <v>0</v>
      </c>
      <c r="N30" s="434"/>
      <c r="O30" s="434"/>
      <c r="P30" s="434"/>
      <c r="Q30" s="434"/>
      <c r="R30" s="434"/>
      <c r="S30" s="335">
        <f t="shared" si="8"/>
        <v>5</v>
      </c>
      <c r="T30" s="263">
        <f t="shared" si="9"/>
        <v>0.7142857142857143</v>
      </c>
      <c r="U30" s="336">
        <f t="shared" si="10"/>
        <v>102.2</v>
      </c>
      <c r="V30" s="307">
        <f t="shared" si="7"/>
        <v>73</v>
      </c>
      <c r="W30" s="233">
        <v>2019</v>
      </c>
      <c r="X30" s="234" t="s">
        <v>291</v>
      </c>
      <c r="Y30" s="221"/>
      <c r="Z30" s="221"/>
      <c r="AA30" s="221"/>
      <c r="AB30" s="437">
        <v>44641</v>
      </c>
      <c r="AC30" s="126">
        <v>2021</v>
      </c>
      <c r="AD30" s="126" t="s">
        <v>537</v>
      </c>
      <c r="AE30" s="126">
        <v>200</v>
      </c>
      <c r="AF30" s="126" t="s">
        <v>102</v>
      </c>
      <c r="AG30" s="220"/>
      <c r="AH30" s="220"/>
      <c r="AI30" s="220"/>
      <c r="AJ30" s="220"/>
      <c r="AK30" s="220"/>
      <c r="AL30" s="220"/>
      <c r="AM30" s="220"/>
      <c r="AN30" s="220"/>
      <c r="AO30" s="220"/>
    </row>
    <row r="31" spans="1:41" x14ac:dyDescent="0.2">
      <c r="A31" s="234">
        <v>22921</v>
      </c>
      <c r="B31" s="233">
        <v>2019</v>
      </c>
      <c r="C31" s="234" t="s">
        <v>277</v>
      </c>
      <c r="D31" s="431">
        <v>1.1666666666666667</v>
      </c>
      <c r="E31" s="2">
        <v>546</v>
      </c>
      <c r="F31" s="2">
        <v>0</v>
      </c>
      <c r="G31" s="434">
        <v>0</v>
      </c>
      <c r="H31" s="434">
        <v>0</v>
      </c>
      <c r="I31" s="434">
        <v>0</v>
      </c>
      <c r="J31" s="434">
        <v>0</v>
      </c>
      <c r="K31" s="434">
        <v>0</v>
      </c>
      <c r="L31" s="434">
        <v>0</v>
      </c>
      <c r="M31" s="434">
        <v>0</v>
      </c>
      <c r="N31" s="434"/>
      <c r="O31" s="434"/>
      <c r="P31" s="434"/>
      <c r="Q31" s="434"/>
      <c r="R31" s="434"/>
      <c r="S31" s="335">
        <f t="shared" si="8"/>
        <v>0</v>
      </c>
      <c r="T31" s="263">
        <f t="shared" si="9"/>
        <v>0</v>
      </c>
      <c r="U31" s="336">
        <f t="shared" si="10"/>
        <v>0</v>
      </c>
      <c r="V31" s="307">
        <f t="shared" si="7"/>
        <v>546</v>
      </c>
      <c r="W31" s="233">
        <v>2019</v>
      </c>
      <c r="X31" s="234" t="s">
        <v>277</v>
      </c>
      <c r="Y31" s="221"/>
      <c r="Z31" s="221"/>
      <c r="AA31" s="221"/>
      <c r="AB31" s="215"/>
      <c r="AC31" s="126"/>
      <c r="AD31" s="126"/>
      <c r="AE31" s="126"/>
      <c r="AF31" s="126"/>
      <c r="AG31" s="220"/>
      <c r="AH31" s="220"/>
      <c r="AI31" s="220"/>
      <c r="AJ31" s="220"/>
      <c r="AK31" s="220"/>
      <c r="AL31" s="220"/>
      <c r="AM31" s="220"/>
      <c r="AN31" s="220"/>
      <c r="AO31" s="220"/>
    </row>
    <row r="32" spans="1:41" ht="15.75" customHeight="1" x14ac:dyDescent="0.2">
      <c r="A32" s="234">
        <v>168932</v>
      </c>
      <c r="B32" s="233" t="s">
        <v>357</v>
      </c>
      <c r="C32" s="234" t="s">
        <v>94</v>
      </c>
      <c r="D32" s="431">
        <v>6.083333333333333</v>
      </c>
      <c r="E32" s="2">
        <v>806</v>
      </c>
      <c r="F32" s="2">
        <v>0</v>
      </c>
      <c r="G32" s="434">
        <v>10</v>
      </c>
      <c r="H32" s="434">
        <v>1</v>
      </c>
      <c r="I32" s="434">
        <v>10</v>
      </c>
      <c r="J32" s="434">
        <v>0</v>
      </c>
      <c r="K32" s="434">
        <v>0</v>
      </c>
      <c r="L32" s="434">
        <v>0</v>
      </c>
      <c r="M32" s="434">
        <v>0</v>
      </c>
      <c r="N32" s="434"/>
      <c r="O32" s="434"/>
      <c r="P32" s="434"/>
      <c r="Q32" s="434"/>
      <c r="R32" s="434"/>
      <c r="S32" s="335">
        <f t="shared" si="8"/>
        <v>21</v>
      </c>
      <c r="T32" s="263">
        <f t="shared" si="9"/>
        <v>3</v>
      </c>
      <c r="U32" s="336">
        <f t="shared" si="10"/>
        <v>261.66666666666669</v>
      </c>
      <c r="V32" s="307">
        <f t="shared" si="7"/>
        <v>785</v>
      </c>
      <c r="W32" s="233" t="s">
        <v>357</v>
      </c>
      <c r="X32" s="234" t="s">
        <v>94</v>
      </c>
      <c r="Y32"/>
      <c r="Z32"/>
      <c r="AA32"/>
      <c r="AB32" s="438">
        <v>44672</v>
      </c>
      <c r="AC32" s="126">
        <v>2021</v>
      </c>
      <c r="AD32" s="126" t="s">
        <v>538</v>
      </c>
      <c r="AE32" s="126">
        <v>56</v>
      </c>
      <c r="AF32" s="126" t="s">
        <v>102</v>
      </c>
      <c r="AG32" s="220"/>
      <c r="AH32" s="220"/>
      <c r="AI32" s="220"/>
      <c r="AJ32" s="220"/>
      <c r="AK32" s="220"/>
      <c r="AL32" s="220"/>
      <c r="AM32" s="220"/>
      <c r="AN32" s="220"/>
      <c r="AO32" s="220"/>
    </row>
    <row r="33" spans="1:41" ht="15.75" hidden="1" customHeight="1" x14ac:dyDescent="0.2">
      <c r="A33" s="234"/>
      <c r="B33" s="233"/>
      <c r="C33" s="234" t="s">
        <v>417</v>
      </c>
      <c r="D33" s="429">
        <v>6.083333333333333</v>
      </c>
      <c r="E33" s="2"/>
      <c r="F33" s="2"/>
      <c r="G33" s="2"/>
      <c r="H33" s="2"/>
      <c r="I33" s="2"/>
      <c r="J33" s="2"/>
      <c r="K33" s="2"/>
      <c r="L33" s="2"/>
      <c r="M33" s="2"/>
      <c r="N33" s="2"/>
      <c r="O33" s="2"/>
      <c r="P33" s="2"/>
      <c r="Q33" s="2"/>
      <c r="R33" s="2"/>
      <c r="S33" s="335">
        <f t="shared" ref="S33" si="11">SUM(G33:R33)</f>
        <v>0</v>
      </c>
      <c r="T33" s="263">
        <f t="shared" si="9"/>
        <v>0</v>
      </c>
      <c r="U33" s="336">
        <f t="shared" si="10"/>
        <v>0</v>
      </c>
      <c r="V33" s="307">
        <f t="shared" ref="V33" si="12">SUM(E33-S33)</f>
        <v>0</v>
      </c>
      <c r="W33" s="233"/>
      <c r="X33" s="234" t="s">
        <v>443</v>
      </c>
      <c r="Y33"/>
      <c r="Z33"/>
      <c r="AA33"/>
      <c r="AB33" s="438">
        <v>44672</v>
      </c>
      <c r="AC33" s="126">
        <v>2021</v>
      </c>
      <c r="AD33" s="126" t="s">
        <v>539</v>
      </c>
      <c r="AE33" s="126">
        <v>197</v>
      </c>
      <c r="AF33" s="126" t="s">
        <v>102</v>
      </c>
      <c r="AG33" s="220"/>
      <c r="AH33" s="220"/>
      <c r="AI33" s="220"/>
      <c r="AJ33" s="220"/>
      <c r="AK33" s="220"/>
      <c r="AL33" s="220"/>
      <c r="AM33" s="220"/>
      <c r="AN33" s="220"/>
      <c r="AO33" s="220"/>
    </row>
    <row r="34" spans="1:41" ht="15.75" customHeight="1" x14ac:dyDescent="0.2">
      <c r="A34" s="226"/>
      <c r="B34" s="342"/>
      <c r="C34" s="226"/>
      <c r="D34" s="432"/>
      <c r="E34" s="243"/>
      <c r="F34" s="243"/>
      <c r="G34" s="243"/>
      <c r="H34" s="243"/>
      <c r="I34" s="243"/>
      <c r="J34" s="243"/>
      <c r="K34" s="243"/>
      <c r="L34" s="243"/>
      <c r="M34" s="243"/>
      <c r="N34" s="243"/>
      <c r="O34" s="243"/>
      <c r="P34" s="243"/>
      <c r="Q34" s="243"/>
      <c r="R34" s="243"/>
      <c r="S34" s="243"/>
      <c r="T34" s="339"/>
      <c r="U34" s="340"/>
      <c r="V34" s="320"/>
      <c r="W34" s="342"/>
      <c r="X34" s="226"/>
      <c r="Y34"/>
      <c r="Z34"/>
      <c r="AA34"/>
      <c r="AB34" s="438">
        <v>44672</v>
      </c>
      <c r="AC34" s="126">
        <v>2021</v>
      </c>
      <c r="AD34" s="126" t="s">
        <v>529</v>
      </c>
      <c r="AE34" s="126">
        <v>411</v>
      </c>
      <c r="AF34" s="126" t="s">
        <v>102</v>
      </c>
      <c r="AG34" s="220"/>
      <c r="AH34" s="220"/>
      <c r="AI34" s="220"/>
      <c r="AJ34" s="220"/>
      <c r="AK34" s="220"/>
      <c r="AL34" s="220"/>
      <c r="AM34" s="220"/>
      <c r="AN34" s="220"/>
      <c r="AO34" s="220"/>
    </row>
    <row r="35" spans="1:41" ht="15.75" customHeight="1" x14ac:dyDescent="0.2">
      <c r="A35" s="234">
        <v>11198</v>
      </c>
      <c r="B35" s="233">
        <v>2020</v>
      </c>
      <c r="C35" s="234" t="s">
        <v>46</v>
      </c>
      <c r="D35" s="431">
        <v>17.333333333333332</v>
      </c>
      <c r="E35" s="2">
        <v>180</v>
      </c>
      <c r="F35" s="2">
        <v>0</v>
      </c>
      <c r="G35" s="2">
        <v>16</v>
      </c>
      <c r="H35" s="2">
        <v>16</v>
      </c>
      <c r="I35" s="2">
        <v>26</v>
      </c>
      <c r="J35" s="2">
        <v>23</v>
      </c>
      <c r="K35" s="2">
        <v>33</v>
      </c>
      <c r="L35" s="2">
        <v>35</v>
      </c>
      <c r="M35" s="2">
        <v>23</v>
      </c>
      <c r="N35" s="2"/>
      <c r="O35" s="2"/>
      <c r="P35" s="2"/>
      <c r="Q35" s="2"/>
      <c r="R35" s="2"/>
      <c r="S35" s="335">
        <f t="shared" ref="S35:S40" si="13">SUM(G35:R35)</f>
        <v>172</v>
      </c>
      <c r="T35" s="263">
        <f t="shared" ref="T35:T46" si="14">IFERROR((AVERAGE(G35:R35)),0)</f>
        <v>24.571428571428573</v>
      </c>
      <c r="U35" s="336">
        <f t="shared" ref="U35:U46" si="15">IFERROR((V35/T35),0)</f>
        <v>0.32558139534883718</v>
      </c>
      <c r="V35" s="307">
        <f t="shared" ref="V35:W67" si="16">E35+F35-S35</f>
        <v>8</v>
      </c>
      <c r="W35" s="233">
        <v>2020</v>
      </c>
      <c r="X35" s="234" t="s">
        <v>46</v>
      </c>
      <c r="Y35"/>
      <c r="Z35"/>
      <c r="AA35"/>
      <c r="AB35" s="438">
        <v>44672</v>
      </c>
      <c r="AC35" s="126">
        <v>2021</v>
      </c>
      <c r="AD35" s="126" t="s">
        <v>540</v>
      </c>
      <c r="AE35" s="126">
        <v>114</v>
      </c>
      <c r="AF35" s="126" t="s">
        <v>102</v>
      </c>
      <c r="AG35" s="220"/>
      <c r="AH35" s="220"/>
      <c r="AI35" s="220"/>
      <c r="AJ35" s="220"/>
      <c r="AK35" s="220"/>
      <c r="AL35" s="220"/>
      <c r="AM35" s="220"/>
      <c r="AN35" s="220"/>
      <c r="AO35" s="220"/>
    </row>
    <row r="36" spans="1:41" ht="15.75" customHeight="1" x14ac:dyDescent="0.2">
      <c r="A36" s="234">
        <v>57632</v>
      </c>
      <c r="B36" s="233">
        <v>2020</v>
      </c>
      <c r="C36" s="234" t="s">
        <v>31</v>
      </c>
      <c r="D36" s="380">
        <v>22.6</v>
      </c>
      <c r="E36" s="2">
        <v>417</v>
      </c>
      <c r="F36" s="2">
        <v>0</v>
      </c>
      <c r="G36" s="434">
        <v>0</v>
      </c>
      <c r="H36" s="434">
        <v>0</v>
      </c>
      <c r="I36" s="434">
        <v>0</v>
      </c>
      <c r="J36" s="434">
        <v>0</v>
      </c>
      <c r="K36" s="434">
        <v>0</v>
      </c>
      <c r="L36" s="434">
        <v>0</v>
      </c>
      <c r="M36" s="434">
        <v>0</v>
      </c>
      <c r="N36" s="434"/>
      <c r="O36" s="434"/>
      <c r="P36" s="434"/>
      <c r="Q36" s="434"/>
      <c r="R36" s="434"/>
      <c r="S36" s="335">
        <f t="shared" si="13"/>
        <v>0</v>
      </c>
      <c r="T36" s="263">
        <f t="shared" si="14"/>
        <v>0</v>
      </c>
      <c r="U36" s="336">
        <f t="shared" si="15"/>
        <v>0</v>
      </c>
      <c r="V36" s="307">
        <f t="shared" si="16"/>
        <v>417</v>
      </c>
      <c r="W36" s="233">
        <v>2020</v>
      </c>
      <c r="X36" s="234" t="s">
        <v>31</v>
      </c>
      <c r="Y36"/>
      <c r="Z36"/>
      <c r="AA36"/>
      <c r="AB36" s="438">
        <v>44672</v>
      </c>
      <c r="AC36" s="126">
        <v>2021</v>
      </c>
      <c r="AD36" s="126" t="s">
        <v>541</v>
      </c>
      <c r="AE36" s="126">
        <v>411</v>
      </c>
      <c r="AF36" s="126" t="s">
        <v>102</v>
      </c>
      <c r="AG36" s="220"/>
      <c r="AH36" s="220"/>
      <c r="AI36" s="220"/>
      <c r="AJ36" s="220"/>
      <c r="AK36" s="220"/>
      <c r="AL36" s="220"/>
      <c r="AM36" s="220"/>
      <c r="AN36" s="220"/>
      <c r="AO36" s="220"/>
    </row>
    <row r="37" spans="1:41" ht="15.75" customHeight="1" x14ac:dyDescent="0.2">
      <c r="A37" s="234">
        <v>57630</v>
      </c>
      <c r="B37" s="233">
        <v>2020</v>
      </c>
      <c r="C37" s="234" t="s">
        <v>25</v>
      </c>
      <c r="D37" s="431">
        <v>0.2857142857142857</v>
      </c>
      <c r="E37" s="2">
        <v>0</v>
      </c>
      <c r="F37" s="2">
        <v>0</v>
      </c>
      <c r="G37" s="2">
        <v>0</v>
      </c>
      <c r="H37" s="2"/>
      <c r="I37" s="2"/>
      <c r="J37" s="2"/>
      <c r="K37" s="2"/>
      <c r="L37" s="2"/>
      <c r="M37" s="2"/>
      <c r="N37" s="2"/>
      <c r="O37" s="2"/>
      <c r="P37" s="2"/>
      <c r="Q37" s="2"/>
      <c r="R37" s="2"/>
      <c r="S37" s="335">
        <f t="shared" si="13"/>
        <v>0</v>
      </c>
      <c r="T37" s="263">
        <f t="shared" si="14"/>
        <v>0</v>
      </c>
      <c r="U37" s="336">
        <f t="shared" si="15"/>
        <v>0</v>
      </c>
      <c r="V37" s="307">
        <f t="shared" si="16"/>
        <v>0</v>
      </c>
      <c r="W37" s="233">
        <v>2020</v>
      </c>
      <c r="X37" s="234" t="s">
        <v>25</v>
      </c>
      <c r="Y37"/>
      <c r="Z37"/>
      <c r="AA37"/>
      <c r="AG37" s="220"/>
      <c r="AH37" s="220"/>
      <c r="AI37" s="220"/>
      <c r="AJ37" s="220"/>
      <c r="AK37" s="220"/>
      <c r="AL37" s="220"/>
      <c r="AM37" s="220"/>
      <c r="AN37" s="220"/>
      <c r="AO37" s="220"/>
    </row>
    <row r="38" spans="1:41" ht="15.75" customHeight="1" x14ac:dyDescent="0.2">
      <c r="A38" s="250">
        <v>34641</v>
      </c>
      <c r="B38" s="233">
        <v>2020</v>
      </c>
      <c r="C38" s="234" t="s">
        <v>118</v>
      </c>
      <c r="D38" s="380">
        <v>0</v>
      </c>
      <c r="E38" s="2">
        <v>393</v>
      </c>
      <c r="F38" s="2">
        <v>0</v>
      </c>
      <c r="G38" s="434">
        <v>4</v>
      </c>
      <c r="H38" s="434">
        <v>0</v>
      </c>
      <c r="I38" s="434">
        <v>22</v>
      </c>
      <c r="J38" s="434">
        <v>0</v>
      </c>
      <c r="K38" s="434">
        <v>0</v>
      </c>
      <c r="L38" s="434">
        <v>0</v>
      </c>
      <c r="M38" s="434">
        <v>0</v>
      </c>
      <c r="N38" s="434"/>
      <c r="O38" s="434"/>
      <c r="P38" s="434"/>
      <c r="Q38" s="434"/>
      <c r="R38" s="434"/>
      <c r="S38" s="335">
        <f t="shared" si="13"/>
        <v>26</v>
      </c>
      <c r="T38" s="263">
        <f t="shared" si="14"/>
        <v>3.7142857142857144</v>
      </c>
      <c r="U38" s="336">
        <f t="shared" si="15"/>
        <v>98.807692307692307</v>
      </c>
      <c r="V38" s="307">
        <f t="shared" si="16"/>
        <v>367</v>
      </c>
      <c r="W38" s="233">
        <v>2020</v>
      </c>
      <c r="X38" s="234" t="s">
        <v>118</v>
      </c>
      <c r="Y38"/>
      <c r="Z38"/>
      <c r="AA38"/>
      <c r="AB38"/>
      <c r="AC38"/>
      <c r="AD38"/>
      <c r="AE38"/>
      <c r="AF38"/>
      <c r="AG38" s="220"/>
      <c r="AH38" s="220"/>
      <c r="AI38" s="220"/>
      <c r="AJ38" s="220"/>
      <c r="AK38" s="220"/>
      <c r="AL38" s="220"/>
      <c r="AM38" s="220"/>
      <c r="AN38" s="220"/>
      <c r="AO38" s="220"/>
    </row>
    <row r="39" spans="1:41" ht="15.75" customHeight="1" x14ac:dyDescent="0.2">
      <c r="A39" s="234">
        <v>133688</v>
      </c>
      <c r="B39" s="233">
        <v>2020</v>
      </c>
      <c r="C39" s="234" t="s">
        <v>23</v>
      </c>
      <c r="D39" s="429">
        <v>10</v>
      </c>
      <c r="E39" s="2">
        <v>398</v>
      </c>
      <c r="F39" s="2">
        <v>0</v>
      </c>
      <c r="G39" s="434">
        <v>11</v>
      </c>
      <c r="H39" s="434">
        <v>0</v>
      </c>
      <c r="I39" s="434">
        <v>2</v>
      </c>
      <c r="J39" s="434">
        <v>1</v>
      </c>
      <c r="K39" s="434">
        <v>0</v>
      </c>
      <c r="L39" s="434">
        <v>0</v>
      </c>
      <c r="M39" s="434">
        <v>0</v>
      </c>
      <c r="N39" s="434"/>
      <c r="O39" s="434"/>
      <c r="P39" s="434"/>
      <c r="Q39" s="434"/>
      <c r="R39" s="434"/>
      <c r="S39" s="335">
        <f t="shared" si="13"/>
        <v>14</v>
      </c>
      <c r="T39" s="263">
        <f t="shared" si="14"/>
        <v>2</v>
      </c>
      <c r="U39" s="336">
        <f t="shared" si="15"/>
        <v>192</v>
      </c>
      <c r="V39" s="307">
        <f t="shared" si="16"/>
        <v>384</v>
      </c>
      <c r="W39" s="233">
        <v>2020</v>
      </c>
      <c r="X39" s="234" t="s">
        <v>23</v>
      </c>
      <c r="Y39"/>
      <c r="Z39"/>
      <c r="AA39"/>
      <c r="AB39"/>
      <c r="AC39"/>
      <c r="AD39"/>
      <c r="AE39"/>
      <c r="AF39"/>
      <c r="AG39" s="220"/>
      <c r="AH39" s="220"/>
      <c r="AI39" s="220"/>
      <c r="AJ39" s="220"/>
      <c r="AK39" s="220"/>
      <c r="AL39" s="220"/>
      <c r="AM39" s="220"/>
      <c r="AN39" s="220"/>
      <c r="AO39" s="220"/>
    </row>
    <row r="40" spans="1:41" ht="15.75" customHeight="1" x14ac:dyDescent="0.2">
      <c r="A40" s="234">
        <v>133687</v>
      </c>
      <c r="B40" s="233">
        <v>2020</v>
      </c>
      <c r="C40" s="234" t="s">
        <v>93</v>
      </c>
      <c r="D40" s="429">
        <v>26</v>
      </c>
      <c r="E40" s="2">
        <v>236</v>
      </c>
      <c r="F40" s="2">
        <v>0</v>
      </c>
      <c r="G40" s="434">
        <v>2</v>
      </c>
      <c r="H40" s="434">
        <v>0</v>
      </c>
      <c r="I40" s="434">
        <v>0</v>
      </c>
      <c r="J40" s="434">
        <v>0</v>
      </c>
      <c r="K40" s="434">
        <v>0</v>
      </c>
      <c r="L40" s="434">
        <v>0</v>
      </c>
      <c r="M40" s="434">
        <v>0</v>
      </c>
      <c r="N40" s="434"/>
      <c r="O40" s="434"/>
      <c r="P40" s="434"/>
      <c r="Q40" s="434"/>
      <c r="R40" s="434"/>
      <c r="S40" s="335">
        <f t="shared" si="13"/>
        <v>2</v>
      </c>
      <c r="T40" s="263">
        <f t="shared" si="14"/>
        <v>0.2857142857142857</v>
      </c>
      <c r="U40" s="336">
        <f t="shared" si="15"/>
        <v>819</v>
      </c>
      <c r="V40" s="307">
        <f t="shared" si="16"/>
        <v>234</v>
      </c>
      <c r="W40" s="233">
        <v>2020</v>
      </c>
      <c r="X40" s="234" t="s">
        <v>442</v>
      </c>
      <c r="Y40"/>
      <c r="Z40"/>
      <c r="AA40"/>
      <c r="AB40"/>
      <c r="AC40"/>
      <c r="AD40"/>
      <c r="AE40"/>
      <c r="AF40"/>
      <c r="AG40" s="220"/>
      <c r="AH40" s="220"/>
      <c r="AI40" s="220"/>
      <c r="AJ40" s="220"/>
      <c r="AK40" s="220"/>
      <c r="AL40" s="220"/>
      <c r="AM40" s="220"/>
      <c r="AN40" s="220"/>
      <c r="AO40" s="220"/>
    </row>
    <row r="41" spans="1:41" ht="15.75" customHeight="1" x14ac:dyDescent="0.2">
      <c r="A41" s="234">
        <v>27736</v>
      </c>
      <c r="B41" s="233">
        <v>2020</v>
      </c>
      <c r="C41" s="234" t="s">
        <v>56</v>
      </c>
      <c r="D41" s="429">
        <v>0</v>
      </c>
      <c r="E41" s="2">
        <v>322</v>
      </c>
      <c r="F41" s="2">
        <v>0</v>
      </c>
      <c r="G41" s="434">
        <v>0</v>
      </c>
      <c r="H41" s="434">
        <v>0</v>
      </c>
      <c r="I41" s="434">
        <v>12</v>
      </c>
      <c r="J41" s="434">
        <v>10</v>
      </c>
      <c r="K41" s="434">
        <v>0</v>
      </c>
      <c r="L41" s="434">
        <v>0</v>
      </c>
      <c r="M41" s="434">
        <v>0</v>
      </c>
      <c r="N41" s="434"/>
      <c r="O41" s="434"/>
      <c r="P41" s="434"/>
      <c r="Q41" s="434"/>
      <c r="R41" s="434"/>
      <c r="S41" s="335">
        <f t="shared" ref="S41:S45" si="17">SUM(G41:R41)</f>
        <v>22</v>
      </c>
      <c r="T41" s="263">
        <f t="shared" si="14"/>
        <v>3.1428571428571428</v>
      </c>
      <c r="U41" s="336">
        <f t="shared" si="15"/>
        <v>95.454545454545453</v>
      </c>
      <c r="V41" s="307">
        <f t="shared" si="16"/>
        <v>300</v>
      </c>
      <c r="W41" s="233">
        <v>2020</v>
      </c>
      <c r="X41" s="234" t="s">
        <v>56</v>
      </c>
      <c r="Y41"/>
      <c r="Z41"/>
      <c r="AA41"/>
      <c r="AB41"/>
      <c r="AC41"/>
      <c r="AD41"/>
      <c r="AE41"/>
      <c r="AF41"/>
      <c r="AG41" s="220"/>
      <c r="AH41" s="220"/>
      <c r="AI41" s="220"/>
      <c r="AJ41" s="220"/>
      <c r="AK41" s="220"/>
      <c r="AL41" s="220"/>
      <c r="AM41" s="220"/>
      <c r="AN41" s="220"/>
      <c r="AO41" s="220"/>
    </row>
    <row r="42" spans="1:41" ht="15.75" customHeight="1" x14ac:dyDescent="0.2">
      <c r="A42" s="234">
        <v>135370</v>
      </c>
      <c r="B42" s="233">
        <v>2020</v>
      </c>
      <c r="C42" s="234" t="s">
        <v>217</v>
      </c>
      <c r="D42" s="429">
        <v>23</v>
      </c>
      <c r="E42" s="2">
        <v>288</v>
      </c>
      <c r="F42" s="2">
        <v>0</v>
      </c>
      <c r="G42" s="434">
        <v>15</v>
      </c>
      <c r="H42" s="434">
        <v>0</v>
      </c>
      <c r="I42" s="434">
        <v>6</v>
      </c>
      <c r="J42" s="434">
        <v>1</v>
      </c>
      <c r="K42" s="434">
        <v>0</v>
      </c>
      <c r="L42" s="434">
        <v>0</v>
      </c>
      <c r="M42" s="434">
        <v>0</v>
      </c>
      <c r="N42" s="434"/>
      <c r="O42" s="434"/>
      <c r="P42" s="434"/>
      <c r="Q42" s="434"/>
      <c r="R42" s="434"/>
      <c r="S42" s="335">
        <f t="shared" ref="S42" si="18">SUM(G42:R42)</f>
        <v>22</v>
      </c>
      <c r="T42" s="263">
        <f t="shared" si="14"/>
        <v>3.1428571428571428</v>
      </c>
      <c r="U42" s="336">
        <f t="shared" si="15"/>
        <v>84.63636363636364</v>
      </c>
      <c r="V42" s="307">
        <f t="shared" si="16"/>
        <v>266</v>
      </c>
      <c r="W42" s="233">
        <v>2020</v>
      </c>
      <c r="X42" s="234" t="s">
        <v>480</v>
      </c>
      <c r="Y42"/>
      <c r="Z42"/>
      <c r="AA42"/>
      <c r="AB42" s="461" t="s">
        <v>387</v>
      </c>
      <c r="AC42" s="461"/>
      <c r="AD42" s="461"/>
      <c r="AE42" s="461"/>
      <c r="AF42" s="461"/>
      <c r="AG42" s="220"/>
      <c r="AH42" s="220"/>
      <c r="AI42" s="220"/>
      <c r="AJ42" s="220"/>
      <c r="AK42" s="220"/>
      <c r="AL42" s="220"/>
      <c r="AM42" s="220"/>
      <c r="AN42" s="220"/>
      <c r="AO42" s="220"/>
    </row>
    <row r="43" spans="1:41" ht="15.75" customHeight="1" x14ac:dyDescent="0.2">
      <c r="A43" s="234">
        <v>135371</v>
      </c>
      <c r="B43" s="233">
        <v>2020</v>
      </c>
      <c r="C43" s="234" t="s">
        <v>291</v>
      </c>
      <c r="D43" s="428">
        <v>31</v>
      </c>
      <c r="E43" s="2">
        <v>139</v>
      </c>
      <c r="F43" s="2">
        <v>0</v>
      </c>
      <c r="G43" s="434">
        <v>0</v>
      </c>
      <c r="H43" s="434">
        <v>0</v>
      </c>
      <c r="I43" s="434">
        <v>0</v>
      </c>
      <c r="J43" s="434">
        <v>0</v>
      </c>
      <c r="K43" s="434">
        <v>0</v>
      </c>
      <c r="L43" s="434">
        <v>0</v>
      </c>
      <c r="M43" s="434">
        <v>0</v>
      </c>
      <c r="N43" s="434"/>
      <c r="O43" s="434"/>
      <c r="P43" s="434"/>
      <c r="Q43" s="434"/>
      <c r="R43" s="434"/>
      <c r="S43" s="335">
        <f t="shared" si="17"/>
        <v>0</v>
      </c>
      <c r="T43" s="263">
        <f t="shared" si="14"/>
        <v>0</v>
      </c>
      <c r="U43" s="336">
        <f t="shared" si="15"/>
        <v>0</v>
      </c>
      <c r="V43" s="307">
        <f t="shared" si="16"/>
        <v>139</v>
      </c>
      <c r="W43" s="233">
        <v>2020</v>
      </c>
      <c r="X43" s="234" t="s">
        <v>291</v>
      </c>
      <c r="Y43"/>
      <c r="Z43"/>
      <c r="AA43"/>
      <c r="AB43" s="399"/>
      <c r="AC43" s="400" t="s">
        <v>35</v>
      </c>
      <c r="AD43" s="400"/>
      <c r="AE43" s="400"/>
      <c r="AF43" s="400"/>
      <c r="AG43" s="220"/>
      <c r="AH43" s="220"/>
      <c r="AI43" s="220"/>
      <c r="AJ43" s="220"/>
      <c r="AK43" s="220"/>
      <c r="AL43" s="220"/>
      <c r="AM43" s="220"/>
      <c r="AN43" s="220"/>
      <c r="AO43" s="220"/>
    </row>
    <row r="44" spans="1:41" ht="15.75" customHeight="1" x14ac:dyDescent="0.2">
      <c r="A44" s="234">
        <v>133687</v>
      </c>
      <c r="B44" s="233">
        <v>2020</v>
      </c>
      <c r="C44" s="234" t="s">
        <v>277</v>
      </c>
      <c r="D44" s="429">
        <v>0</v>
      </c>
      <c r="E44" s="2">
        <v>666</v>
      </c>
      <c r="F44" s="2">
        <v>0</v>
      </c>
      <c r="G44" s="434">
        <v>2</v>
      </c>
      <c r="H44" s="434">
        <v>0</v>
      </c>
      <c r="I44" s="434">
        <v>2</v>
      </c>
      <c r="J44" s="434">
        <v>0</v>
      </c>
      <c r="K44" s="434">
        <v>0</v>
      </c>
      <c r="L44" s="434">
        <v>0</v>
      </c>
      <c r="M44" s="434">
        <v>0</v>
      </c>
      <c r="N44" s="434"/>
      <c r="O44" s="434"/>
      <c r="P44" s="434"/>
      <c r="Q44" s="434"/>
      <c r="R44" s="434"/>
      <c r="S44" s="335">
        <f t="shared" si="17"/>
        <v>4</v>
      </c>
      <c r="T44" s="263">
        <f t="shared" si="14"/>
        <v>0.5714285714285714</v>
      </c>
      <c r="U44" s="336">
        <f t="shared" si="15"/>
        <v>1158.5</v>
      </c>
      <c r="V44" s="307">
        <f t="shared" si="16"/>
        <v>662</v>
      </c>
      <c r="W44" s="233">
        <v>2020</v>
      </c>
      <c r="X44" s="234" t="s">
        <v>277</v>
      </c>
      <c r="Y44"/>
      <c r="Z44"/>
      <c r="AA44"/>
      <c r="AB44" s="420">
        <v>44622</v>
      </c>
      <c r="AC44" s="399"/>
      <c r="AD44" s="400" t="s">
        <v>522</v>
      </c>
      <c r="AE44" s="400">
        <v>11</v>
      </c>
      <c r="AF44" s="400" t="s">
        <v>532</v>
      </c>
      <c r="AG44" s="220"/>
      <c r="AH44" s="220"/>
      <c r="AI44" s="220"/>
      <c r="AJ44" s="220"/>
      <c r="AK44" s="220"/>
      <c r="AL44" s="220"/>
      <c r="AM44" s="220"/>
      <c r="AN44" s="220"/>
      <c r="AO44" s="220"/>
    </row>
    <row r="45" spans="1:41" x14ac:dyDescent="0.2">
      <c r="A45" s="234">
        <v>168932</v>
      </c>
      <c r="B45" s="233" t="s">
        <v>467</v>
      </c>
      <c r="C45" s="234" t="s">
        <v>94</v>
      </c>
      <c r="D45" s="429">
        <v>0</v>
      </c>
      <c r="E45" s="2">
        <v>599</v>
      </c>
      <c r="F45" s="2">
        <v>0</v>
      </c>
      <c r="G45" s="434">
        <v>5</v>
      </c>
      <c r="H45" s="434">
        <v>0</v>
      </c>
      <c r="I45" s="434">
        <v>0</v>
      </c>
      <c r="J45" s="434">
        <v>0</v>
      </c>
      <c r="K45" s="434">
        <v>0</v>
      </c>
      <c r="L45" s="434">
        <v>0</v>
      </c>
      <c r="M45" s="434">
        <v>0</v>
      </c>
      <c r="N45" s="434"/>
      <c r="O45" s="434"/>
      <c r="P45" s="434"/>
      <c r="Q45" s="434"/>
      <c r="R45" s="434"/>
      <c r="S45" s="335">
        <f t="shared" si="17"/>
        <v>5</v>
      </c>
      <c r="T45" s="263">
        <f t="shared" si="14"/>
        <v>0.7142857142857143</v>
      </c>
      <c r="U45" s="336">
        <f t="shared" si="15"/>
        <v>831.6</v>
      </c>
      <c r="V45" s="307">
        <f t="shared" si="16"/>
        <v>594</v>
      </c>
      <c r="W45" s="233" t="s">
        <v>467</v>
      </c>
      <c r="X45" s="234" t="s">
        <v>94</v>
      </c>
      <c r="Y45"/>
      <c r="Z45"/>
      <c r="AA45"/>
      <c r="AB45" s="420"/>
      <c r="AC45" s="399"/>
      <c r="AD45" s="400"/>
      <c r="AE45" s="400"/>
      <c r="AF45" s="400"/>
      <c r="AG45" s="220"/>
      <c r="AH45" s="220"/>
      <c r="AI45" s="220"/>
      <c r="AJ45" s="220"/>
      <c r="AK45" s="220"/>
      <c r="AL45" s="220"/>
      <c r="AM45" s="220"/>
      <c r="AN45" s="220"/>
      <c r="AO45" s="220"/>
    </row>
    <row r="46" spans="1:41" ht="15.75" customHeight="1" x14ac:dyDescent="0.2">
      <c r="A46" s="234"/>
      <c r="B46" s="233"/>
      <c r="C46" s="234" t="s">
        <v>417</v>
      </c>
      <c r="D46" s="429">
        <v>3</v>
      </c>
      <c r="E46" s="2">
        <v>33</v>
      </c>
      <c r="F46" s="2">
        <v>0</v>
      </c>
      <c r="G46" s="2">
        <v>7</v>
      </c>
      <c r="H46" s="2">
        <v>11</v>
      </c>
      <c r="I46" s="2">
        <v>0</v>
      </c>
      <c r="J46" s="2">
        <v>8</v>
      </c>
      <c r="K46" s="2">
        <v>7</v>
      </c>
      <c r="L46" s="439"/>
      <c r="M46" s="439"/>
      <c r="N46" s="439"/>
      <c r="O46" s="439"/>
      <c r="P46" s="439"/>
      <c r="Q46" s="439"/>
      <c r="R46" s="439"/>
      <c r="S46" s="335">
        <f t="shared" ref="S46:S72" si="19">SUM(G46:R46)</f>
        <v>33</v>
      </c>
      <c r="T46" s="263">
        <f t="shared" si="14"/>
        <v>6.6</v>
      </c>
      <c r="U46" s="336">
        <f t="shared" si="15"/>
        <v>0</v>
      </c>
      <c r="V46" s="307">
        <f t="shared" si="16"/>
        <v>0</v>
      </c>
      <c r="W46" s="233"/>
      <c r="X46" s="234" t="s">
        <v>443</v>
      </c>
      <c r="Y46"/>
      <c r="Z46"/>
      <c r="AA46"/>
      <c r="AB46" s="420">
        <v>44670</v>
      </c>
      <c r="AC46" s="399"/>
      <c r="AD46" s="400" t="s">
        <v>534</v>
      </c>
      <c r="AE46" s="400">
        <v>30</v>
      </c>
      <c r="AF46" s="400" t="s">
        <v>532</v>
      </c>
      <c r="AG46" s="220"/>
      <c r="AH46" s="220"/>
      <c r="AI46" s="220"/>
      <c r="AJ46" s="220"/>
      <c r="AK46" s="220"/>
      <c r="AL46" s="220"/>
      <c r="AM46" s="220"/>
      <c r="AN46" s="220"/>
      <c r="AO46" s="220"/>
    </row>
    <row r="47" spans="1:41" ht="15.75" customHeight="1" x14ac:dyDescent="0.2">
      <c r="A47" s="226"/>
      <c r="B47" s="342"/>
      <c r="C47" s="226"/>
      <c r="D47" s="226"/>
      <c r="E47" s="338"/>
      <c r="F47" s="338"/>
      <c r="G47" s="338"/>
      <c r="H47" s="338"/>
      <c r="I47" s="338"/>
      <c r="J47" s="338"/>
      <c r="K47" s="338"/>
      <c r="L47" s="338"/>
      <c r="M47" s="338"/>
      <c r="N47" s="338"/>
      <c r="O47" s="338"/>
      <c r="P47" s="338"/>
      <c r="Q47" s="338"/>
      <c r="R47" s="338"/>
      <c r="S47" s="243">
        <f t="shared" ref="S47:S58" si="20">SUM(G47:R47)</f>
        <v>0</v>
      </c>
      <c r="T47" s="339"/>
      <c r="U47" s="340"/>
      <c r="V47" s="320">
        <f t="shared" ref="V47" si="21">SUM(E47-S47)</f>
        <v>0</v>
      </c>
      <c r="W47" s="342"/>
      <c r="X47" s="226"/>
      <c r="Y47"/>
      <c r="Z47"/>
      <c r="AA47"/>
      <c r="AB47" s="420">
        <v>44670</v>
      </c>
      <c r="AC47" s="399"/>
      <c r="AD47" s="400" t="s">
        <v>533</v>
      </c>
      <c r="AE47" s="400">
        <v>44</v>
      </c>
      <c r="AF47" s="400" t="s">
        <v>532</v>
      </c>
      <c r="AG47" s="220"/>
      <c r="AH47" s="220"/>
      <c r="AI47" s="220"/>
      <c r="AJ47" s="220"/>
      <c r="AK47" s="220"/>
      <c r="AL47" s="220"/>
      <c r="AM47" s="220"/>
      <c r="AN47" s="220"/>
      <c r="AO47" s="220"/>
    </row>
    <row r="48" spans="1:41" ht="15.75" customHeight="1" x14ac:dyDescent="0.2">
      <c r="A48" s="234">
        <v>11198</v>
      </c>
      <c r="B48" s="233">
        <v>2021</v>
      </c>
      <c r="C48" s="234" t="s">
        <v>46</v>
      </c>
      <c r="D48" s="431">
        <v>26</v>
      </c>
      <c r="E48" s="2">
        <v>0</v>
      </c>
      <c r="F48" s="2">
        <v>426</v>
      </c>
      <c r="G48" s="434" t="s">
        <v>35</v>
      </c>
      <c r="H48" s="434" t="s">
        <v>35</v>
      </c>
      <c r="I48" s="434">
        <v>44</v>
      </c>
      <c r="J48" s="434">
        <v>2</v>
      </c>
      <c r="K48" s="434">
        <v>0</v>
      </c>
      <c r="L48" s="434">
        <v>0</v>
      </c>
      <c r="M48" s="434">
        <v>2</v>
      </c>
      <c r="N48" s="434"/>
      <c r="O48" s="434"/>
      <c r="P48" s="434"/>
      <c r="Q48" s="434"/>
      <c r="R48" s="434"/>
      <c r="S48" s="335">
        <f t="shared" si="20"/>
        <v>48</v>
      </c>
      <c r="T48" s="263">
        <f t="shared" ref="T48:T63" si="22">IFERROR((AVERAGE(G48:R48)),0)</f>
        <v>9.6</v>
      </c>
      <c r="U48" s="336">
        <f t="shared" ref="U48:U63" si="23">IFERROR((V48/T48),0)</f>
        <v>39.375</v>
      </c>
      <c r="V48" s="307">
        <f t="shared" si="16"/>
        <v>378</v>
      </c>
      <c r="W48" s="233">
        <v>2021</v>
      </c>
      <c r="X48" s="234" t="s">
        <v>46</v>
      </c>
      <c r="Y48"/>
      <c r="Z48"/>
      <c r="AA48"/>
      <c r="AB48" s="420">
        <v>44670</v>
      </c>
      <c r="AC48" s="399"/>
      <c r="AD48" s="400" t="s">
        <v>535</v>
      </c>
      <c r="AE48" s="400">
        <v>52</v>
      </c>
      <c r="AF48" s="400" t="s">
        <v>532</v>
      </c>
      <c r="AG48" s="220"/>
      <c r="AH48" s="220"/>
      <c r="AI48" s="220"/>
      <c r="AJ48" s="220"/>
      <c r="AK48" s="220"/>
      <c r="AL48" s="220"/>
      <c r="AM48" s="220"/>
      <c r="AN48" s="220"/>
      <c r="AO48" s="220"/>
    </row>
    <row r="49" spans="1:41" ht="15.75" customHeight="1" x14ac:dyDescent="0.2">
      <c r="A49" s="234">
        <v>168933</v>
      </c>
      <c r="B49" s="233">
        <v>2021</v>
      </c>
      <c r="C49" s="234" t="s">
        <v>468</v>
      </c>
      <c r="D49" s="379">
        <v>19</v>
      </c>
      <c r="E49" s="2">
        <v>0</v>
      </c>
      <c r="F49" s="2">
        <v>222</v>
      </c>
      <c r="G49" s="434" t="s">
        <v>35</v>
      </c>
      <c r="H49" s="434" t="s">
        <v>35</v>
      </c>
      <c r="I49" s="434" t="s">
        <v>35</v>
      </c>
      <c r="J49" s="434" t="s">
        <v>35</v>
      </c>
      <c r="K49" s="196">
        <v>8</v>
      </c>
      <c r="L49" s="196">
        <v>5</v>
      </c>
      <c r="M49" s="196">
        <v>24</v>
      </c>
      <c r="N49" s="196"/>
      <c r="O49" s="196"/>
      <c r="P49" s="196"/>
      <c r="Q49" s="196"/>
      <c r="R49" s="196"/>
      <c r="S49" s="335">
        <f t="shared" ref="S49" si="24">SUM(G49:R49)</f>
        <v>37</v>
      </c>
      <c r="T49" s="263">
        <f t="shared" ref="T49" si="25">IFERROR((AVERAGE(G49:R49)),0)</f>
        <v>12.333333333333334</v>
      </c>
      <c r="U49" s="336">
        <f t="shared" ref="U49" si="26">IFERROR((V49/T49),0)</f>
        <v>15</v>
      </c>
      <c r="V49" s="307">
        <f t="shared" si="16"/>
        <v>185</v>
      </c>
      <c r="W49" s="233">
        <v>2021</v>
      </c>
      <c r="X49" s="234" t="s">
        <v>468</v>
      </c>
      <c r="Y49"/>
      <c r="Z49"/>
      <c r="AA49"/>
      <c r="AB49" s="420"/>
      <c r="AC49" s="399"/>
      <c r="AD49" s="400"/>
      <c r="AE49" s="400"/>
      <c r="AF49" s="400"/>
      <c r="AG49" s="220"/>
      <c r="AH49" s="220"/>
      <c r="AI49" s="220"/>
      <c r="AJ49" s="220"/>
      <c r="AK49" s="220"/>
      <c r="AL49" s="220"/>
      <c r="AM49" s="220"/>
      <c r="AN49" s="220"/>
      <c r="AO49" s="220"/>
    </row>
    <row r="50" spans="1:41" ht="15.75" customHeight="1" x14ac:dyDescent="0.2">
      <c r="A50" s="234">
        <v>168933</v>
      </c>
      <c r="B50" s="233">
        <v>2021</v>
      </c>
      <c r="C50" s="234" t="s">
        <v>536</v>
      </c>
      <c r="D50" s="429">
        <v>0</v>
      </c>
      <c r="E50" s="2">
        <v>0</v>
      </c>
      <c r="F50" s="2">
        <v>127</v>
      </c>
      <c r="G50" s="434" t="s">
        <v>35</v>
      </c>
      <c r="H50" s="434" t="s">
        <v>35</v>
      </c>
      <c r="I50" s="434"/>
      <c r="J50" s="196">
        <v>35</v>
      </c>
      <c r="K50" s="196">
        <v>90</v>
      </c>
      <c r="L50" s="196">
        <v>2</v>
      </c>
      <c r="M50" s="439"/>
      <c r="N50" s="439"/>
      <c r="O50" s="439"/>
      <c r="P50" s="439"/>
      <c r="Q50" s="439"/>
      <c r="R50" s="439"/>
      <c r="S50" s="335">
        <f>SUM(G50:R50)</f>
        <v>127</v>
      </c>
      <c r="T50" s="263">
        <f>IFERROR((AVERAGE(G50:R50)),0)</f>
        <v>42.333333333333336</v>
      </c>
      <c r="U50" s="336">
        <f>IFERROR((V50/T50),0)</f>
        <v>0</v>
      </c>
      <c r="V50" s="307">
        <f t="shared" si="16"/>
        <v>0</v>
      </c>
      <c r="W50" s="233">
        <v>2021</v>
      </c>
      <c r="X50" s="234" t="s">
        <v>542</v>
      </c>
      <c r="Y50"/>
      <c r="Z50"/>
      <c r="AA50"/>
      <c r="AB50" s="420"/>
      <c r="AC50" s="399"/>
      <c r="AD50" s="400"/>
      <c r="AE50" s="400"/>
      <c r="AF50" s="400"/>
      <c r="AG50" s="220"/>
      <c r="AH50" s="220"/>
      <c r="AI50" s="220"/>
      <c r="AJ50" s="220"/>
      <c r="AK50" s="220"/>
      <c r="AL50" s="220"/>
      <c r="AM50" s="220"/>
      <c r="AN50" s="220"/>
      <c r="AO50" s="220"/>
    </row>
    <row r="51" spans="1:41" ht="15.75" customHeight="1" x14ac:dyDescent="0.2">
      <c r="A51" s="234">
        <v>57632</v>
      </c>
      <c r="B51" s="233">
        <v>2021</v>
      </c>
      <c r="C51" s="234" t="s">
        <v>31</v>
      </c>
      <c r="D51" s="380">
        <v>36</v>
      </c>
      <c r="E51" s="2">
        <v>0</v>
      </c>
      <c r="F51" s="2">
        <v>253</v>
      </c>
      <c r="G51" s="434" t="s">
        <v>35</v>
      </c>
      <c r="H51" s="434" t="s">
        <v>35</v>
      </c>
      <c r="I51" s="434"/>
      <c r="J51" s="434"/>
      <c r="K51" s="434"/>
      <c r="L51" s="434"/>
      <c r="M51" s="434">
        <v>0</v>
      </c>
      <c r="N51" s="434"/>
      <c r="O51" s="434"/>
      <c r="P51" s="434"/>
      <c r="Q51" s="434"/>
      <c r="R51" s="434"/>
      <c r="S51" s="335">
        <f t="shared" si="20"/>
        <v>0</v>
      </c>
      <c r="T51" s="263">
        <f t="shared" si="22"/>
        <v>0</v>
      </c>
      <c r="U51" s="336">
        <f t="shared" si="23"/>
        <v>0</v>
      </c>
      <c r="V51" s="307">
        <f t="shared" si="16"/>
        <v>253</v>
      </c>
      <c r="W51" s="233">
        <v>2021</v>
      </c>
      <c r="X51" s="234" t="s">
        <v>31</v>
      </c>
      <c r="Y51"/>
      <c r="Z51"/>
      <c r="AA51"/>
      <c r="AB51" s="420"/>
      <c r="AC51" s="399"/>
      <c r="AD51" s="400"/>
      <c r="AE51" s="400"/>
      <c r="AF51" s="400"/>
      <c r="AG51" s="220"/>
      <c r="AH51" s="220"/>
      <c r="AI51" s="220"/>
      <c r="AJ51" s="220"/>
      <c r="AK51" s="220"/>
      <c r="AL51" s="220"/>
      <c r="AM51" s="220"/>
      <c r="AN51" s="220"/>
      <c r="AO51" s="220"/>
    </row>
    <row r="52" spans="1:41" ht="15.75" customHeight="1" x14ac:dyDescent="0.2">
      <c r="A52" s="234">
        <v>57630</v>
      </c>
      <c r="B52" s="233">
        <v>2021</v>
      </c>
      <c r="C52" s="234" t="s">
        <v>25</v>
      </c>
      <c r="D52" s="431">
        <v>30</v>
      </c>
      <c r="E52" s="2">
        <v>0</v>
      </c>
      <c r="F52" s="2">
        <v>306</v>
      </c>
      <c r="G52" s="434" t="s">
        <v>35</v>
      </c>
      <c r="H52" s="434" t="s">
        <v>35</v>
      </c>
      <c r="I52" s="434"/>
      <c r="J52" s="434"/>
      <c r="K52" s="434"/>
      <c r="L52" s="434"/>
      <c r="M52" s="434">
        <v>0</v>
      </c>
      <c r="N52" s="434"/>
      <c r="O52" s="434"/>
      <c r="P52" s="434"/>
      <c r="Q52" s="434"/>
      <c r="R52" s="434"/>
      <c r="S52" s="335">
        <f t="shared" si="20"/>
        <v>0</v>
      </c>
      <c r="T52" s="263">
        <f t="shared" si="22"/>
        <v>0</v>
      </c>
      <c r="U52" s="336">
        <f t="shared" si="23"/>
        <v>0</v>
      </c>
      <c r="V52" s="307">
        <f t="shared" si="16"/>
        <v>306</v>
      </c>
      <c r="W52" s="233">
        <v>2021</v>
      </c>
      <c r="X52" s="234" t="s">
        <v>25</v>
      </c>
      <c r="Y52"/>
      <c r="Z52"/>
      <c r="AA52"/>
      <c r="AB52" s="420"/>
      <c r="AC52" s="399"/>
      <c r="AD52" s="400"/>
      <c r="AE52" s="400"/>
      <c r="AF52" s="400"/>
      <c r="AG52" s="220"/>
      <c r="AH52" s="220"/>
      <c r="AI52" s="220"/>
      <c r="AJ52" s="220"/>
      <c r="AK52" s="220"/>
      <c r="AL52" s="220"/>
      <c r="AM52" s="220"/>
      <c r="AN52" s="220"/>
      <c r="AO52" s="220"/>
    </row>
    <row r="53" spans="1:41" ht="15.75" customHeight="1" x14ac:dyDescent="0.2">
      <c r="A53" s="234">
        <v>111575</v>
      </c>
      <c r="B53" s="233">
        <v>2021</v>
      </c>
      <c r="C53" s="234" t="s">
        <v>110</v>
      </c>
      <c r="D53" s="431">
        <v>45.333333333333336</v>
      </c>
      <c r="E53" s="2">
        <v>0</v>
      </c>
      <c r="F53" s="2">
        <v>473</v>
      </c>
      <c r="G53" s="434" t="s">
        <v>35</v>
      </c>
      <c r="H53" s="434" t="s">
        <v>35</v>
      </c>
      <c r="I53" s="434" t="s">
        <v>35</v>
      </c>
      <c r="J53" s="434" t="s">
        <v>35</v>
      </c>
      <c r="K53" s="196">
        <v>11</v>
      </c>
      <c r="L53" s="196">
        <v>26</v>
      </c>
      <c r="M53" s="196">
        <v>17</v>
      </c>
      <c r="N53" s="196"/>
      <c r="O53" s="196"/>
      <c r="P53" s="196"/>
      <c r="Q53" s="196"/>
      <c r="R53" s="196"/>
      <c r="S53" s="335">
        <f t="shared" ref="S53" si="27">SUM(G53:R53)</f>
        <v>54</v>
      </c>
      <c r="T53" s="263">
        <f t="shared" ref="T53" si="28">IFERROR((AVERAGE(G53:R53)),0)</f>
        <v>18</v>
      </c>
      <c r="U53" s="336">
        <f t="shared" ref="U53" si="29">IFERROR((V53/T53),0)</f>
        <v>23.277777777777779</v>
      </c>
      <c r="V53" s="307">
        <f t="shared" si="16"/>
        <v>419</v>
      </c>
      <c r="W53" s="233">
        <v>2021</v>
      </c>
      <c r="X53" s="234" t="s">
        <v>110</v>
      </c>
      <c r="Y53"/>
      <c r="Z53"/>
      <c r="AA53"/>
      <c r="AB53" s="420"/>
      <c r="AC53" s="399"/>
      <c r="AD53" s="400"/>
      <c r="AE53" s="400"/>
      <c r="AF53" s="400"/>
      <c r="AG53" s="220"/>
      <c r="AH53" s="220"/>
      <c r="AI53" s="220"/>
      <c r="AJ53" s="220"/>
      <c r="AK53" s="220"/>
      <c r="AL53" s="220"/>
      <c r="AM53" s="220"/>
      <c r="AN53" s="220"/>
      <c r="AO53" s="220"/>
    </row>
    <row r="54" spans="1:41" ht="15.75" customHeight="1" x14ac:dyDescent="0.2">
      <c r="A54" s="234">
        <v>178211</v>
      </c>
      <c r="B54" s="233">
        <v>2021</v>
      </c>
      <c r="C54" s="234" t="s">
        <v>544</v>
      </c>
      <c r="D54" s="431"/>
      <c r="E54" s="2">
        <v>0</v>
      </c>
      <c r="F54" s="2">
        <v>96</v>
      </c>
      <c r="G54" s="434" t="s">
        <v>35</v>
      </c>
      <c r="H54" s="434" t="s">
        <v>35</v>
      </c>
      <c r="I54" s="434" t="s">
        <v>35</v>
      </c>
      <c r="J54" s="434" t="s">
        <v>35</v>
      </c>
      <c r="K54" s="434"/>
      <c r="L54" s="434"/>
      <c r="M54" s="196">
        <v>38</v>
      </c>
      <c r="N54" s="196"/>
      <c r="O54" s="196"/>
      <c r="P54" s="196"/>
      <c r="Q54" s="196"/>
      <c r="R54" s="196"/>
      <c r="S54" s="335">
        <f t="shared" ref="S54:S56" si="30">SUM(G54:R54)</f>
        <v>38</v>
      </c>
      <c r="T54" s="263">
        <f t="shared" ref="T54:T56" si="31">IFERROR((AVERAGE(G54:R54)),0)</f>
        <v>38</v>
      </c>
      <c r="U54" s="336">
        <f t="shared" ref="U54:U56" si="32">IFERROR((V54/T54),0)</f>
        <v>1.5263157894736843</v>
      </c>
      <c r="V54" s="307">
        <f t="shared" ref="V54:V56" si="33">E54+F54-S54</f>
        <v>58</v>
      </c>
      <c r="W54" s="233"/>
      <c r="X54" s="234" t="s">
        <v>23</v>
      </c>
      <c r="Y54"/>
      <c r="Z54"/>
      <c r="AA54"/>
      <c r="AB54" s="420"/>
      <c r="AC54" s="399"/>
      <c r="AD54" s="400"/>
      <c r="AE54" s="400"/>
      <c r="AF54" s="400"/>
      <c r="AG54" s="220"/>
      <c r="AH54" s="220"/>
      <c r="AI54" s="220"/>
      <c r="AJ54" s="220"/>
      <c r="AK54" s="220"/>
      <c r="AL54" s="220"/>
      <c r="AM54" s="220"/>
      <c r="AN54" s="220"/>
      <c r="AO54" s="220"/>
    </row>
    <row r="55" spans="1:41" ht="15.75" customHeight="1" x14ac:dyDescent="0.2">
      <c r="A55" s="234">
        <v>179588</v>
      </c>
      <c r="B55" s="233">
        <v>2021</v>
      </c>
      <c r="C55" s="234" t="s">
        <v>545</v>
      </c>
      <c r="D55" s="431"/>
      <c r="E55" s="2"/>
      <c r="F55" s="2">
        <v>106</v>
      </c>
      <c r="G55" s="434" t="s">
        <v>35</v>
      </c>
      <c r="H55" s="434" t="s">
        <v>35</v>
      </c>
      <c r="I55" s="434" t="s">
        <v>35</v>
      </c>
      <c r="J55" s="434" t="s">
        <v>35</v>
      </c>
      <c r="K55" s="434"/>
      <c r="L55" s="434"/>
      <c r="M55" s="196">
        <v>39</v>
      </c>
      <c r="N55" s="196"/>
      <c r="O55" s="196"/>
      <c r="P55" s="196"/>
      <c r="Q55" s="196"/>
      <c r="R55" s="196"/>
      <c r="S55" s="335">
        <f t="shared" si="30"/>
        <v>39</v>
      </c>
      <c r="T55" s="263">
        <f t="shared" si="31"/>
        <v>39</v>
      </c>
      <c r="U55" s="336">
        <f t="shared" si="32"/>
        <v>1.7179487179487178</v>
      </c>
      <c r="V55" s="307">
        <f t="shared" si="33"/>
        <v>67</v>
      </c>
      <c r="W55" s="233"/>
      <c r="X55" s="234" t="s">
        <v>442</v>
      </c>
      <c r="Y55"/>
      <c r="Z55"/>
      <c r="AA55"/>
      <c r="AB55" s="420"/>
      <c r="AC55" s="399"/>
      <c r="AD55" s="400"/>
      <c r="AE55" s="400"/>
      <c r="AF55" s="400"/>
      <c r="AG55" s="220"/>
      <c r="AH55" s="220"/>
      <c r="AI55" s="220"/>
      <c r="AJ55" s="220"/>
      <c r="AK55" s="220"/>
      <c r="AL55" s="220"/>
      <c r="AM55" s="220"/>
      <c r="AN55" s="220"/>
      <c r="AO55" s="220"/>
    </row>
    <row r="56" spans="1:41" ht="15.75" customHeight="1" x14ac:dyDescent="0.2">
      <c r="A56" s="234"/>
      <c r="B56" s="233">
        <v>2021</v>
      </c>
      <c r="C56" s="234" t="s">
        <v>546</v>
      </c>
      <c r="D56" s="431"/>
      <c r="E56" s="2">
        <v>0</v>
      </c>
      <c r="F56" s="2">
        <v>124</v>
      </c>
      <c r="G56" s="434" t="s">
        <v>35</v>
      </c>
      <c r="H56" s="434" t="s">
        <v>35</v>
      </c>
      <c r="I56" s="434" t="s">
        <v>35</v>
      </c>
      <c r="J56" s="434" t="s">
        <v>35</v>
      </c>
      <c r="K56" s="434"/>
      <c r="L56" s="434"/>
      <c r="M56" s="196">
        <v>41</v>
      </c>
      <c r="N56" s="196"/>
      <c r="O56" s="196"/>
      <c r="P56" s="196"/>
      <c r="Q56" s="196"/>
      <c r="R56" s="196"/>
      <c r="S56" s="335">
        <f t="shared" si="30"/>
        <v>41</v>
      </c>
      <c r="T56" s="263">
        <f t="shared" si="31"/>
        <v>41</v>
      </c>
      <c r="U56" s="336">
        <f t="shared" si="32"/>
        <v>2.024390243902439</v>
      </c>
      <c r="V56" s="307">
        <f t="shared" si="33"/>
        <v>83</v>
      </c>
      <c r="W56" s="233"/>
      <c r="X56" s="234" t="s">
        <v>56</v>
      </c>
      <c r="Y56"/>
      <c r="Z56"/>
      <c r="AA56"/>
      <c r="AB56" s="420"/>
      <c r="AC56" s="399"/>
      <c r="AD56" s="400"/>
      <c r="AE56" s="400"/>
      <c r="AF56" s="400"/>
      <c r="AG56" s="220"/>
      <c r="AH56" s="220"/>
      <c r="AI56" s="220"/>
      <c r="AJ56" s="220"/>
      <c r="AK56" s="220"/>
      <c r="AL56" s="220"/>
      <c r="AM56" s="220"/>
      <c r="AN56" s="220"/>
      <c r="AO56" s="220"/>
    </row>
    <row r="57" spans="1:41" ht="15.75" customHeight="1" x14ac:dyDescent="0.2">
      <c r="A57" s="234">
        <v>133688</v>
      </c>
      <c r="B57" s="233">
        <v>2021</v>
      </c>
      <c r="C57" s="234" t="s">
        <v>23</v>
      </c>
      <c r="D57" s="429">
        <v>39</v>
      </c>
      <c r="E57" s="2">
        <v>0</v>
      </c>
      <c r="F57" s="2">
        <v>0</v>
      </c>
      <c r="G57" s="434" t="s">
        <v>35</v>
      </c>
      <c r="H57" s="434" t="s">
        <v>35</v>
      </c>
      <c r="I57" s="434"/>
      <c r="J57" s="434"/>
      <c r="K57" s="434"/>
      <c r="L57" s="434"/>
      <c r="M57" s="434"/>
      <c r="N57" s="434"/>
      <c r="O57" s="434"/>
      <c r="P57" s="434"/>
      <c r="Q57" s="434"/>
      <c r="R57" s="434"/>
      <c r="S57" s="335">
        <f t="shared" si="20"/>
        <v>0</v>
      </c>
      <c r="T57" s="263">
        <f t="shared" si="22"/>
        <v>0</v>
      </c>
      <c r="U57" s="336">
        <f t="shared" si="23"/>
        <v>0</v>
      </c>
      <c r="V57" s="307">
        <f t="shared" si="16"/>
        <v>0</v>
      </c>
      <c r="W57" s="233">
        <v>2021</v>
      </c>
      <c r="X57" s="234" t="s">
        <v>291</v>
      </c>
      <c r="Y57"/>
      <c r="Z57"/>
      <c r="AA57"/>
      <c r="AB57"/>
      <c r="AC57"/>
      <c r="AD57"/>
      <c r="AE57"/>
      <c r="AF57"/>
      <c r="AG57" s="220"/>
      <c r="AH57" s="220"/>
      <c r="AI57" s="220"/>
      <c r="AJ57" s="220"/>
      <c r="AK57" s="220"/>
      <c r="AL57" s="220"/>
      <c r="AM57" s="220"/>
      <c r="AN57" s="220"/>
      <c r="AO57" s="220"/>
    </row>
    <row r="58" spans="1:41" ht="15.75" customHeight="1" x14ac:dyDescent="0.2">
      <c r="A58" s="234">
        <v>133687</v>
      </c>
      <c r="B58" s="233">
        <v>2021</v>
      </c>
      <c r="C58" s="234" t="s">
        <v>93</v>
      </c>
      <c r="D58" s="429" t="s">
        <v>35</v>
      </c>
      <c r="E58" s="2">
        <v>0</v>
      </c>
      <c r="F58" s="2">
        <v>0</v>
      </c>
      <c r="G58" s="434" t="s">
        <v>35</v>
      </c>
      <c r="H58" s="434" t="s">
        <v>35</v>
      </c>
      <c r="I58" s="434"/>
      <c r="J58" s="434"/>
      <c r="K58" s="434"/>
      <c r="L58" s="434"/>
      <c r="M58" s="434"/>
      <c r="N58" s="434"/>
      <c r="O58" s="434"/>
      <c r="P58" s="434"/>
      <c r="Q58" s="434"/>
      <c r="R58" s="434"/>
      <c r="S58" s="335">
        <f t="shared" si="20"/>
        <v>0</v>
      </c>
      <c r="T58" s="263">
        <f t="shared" si="22"/>
        <v>0</v>
      </c>
      <c r="U58" s="336">
        <f t="shared" si="23"/>
        <v>0</v>
      </c>
      <c r="V58" s="307">
        <f t="shared" si="16"/>
        <v>0</v>
      </c>
      <c r="W58" s="233">
        <v>2021</v>
      </c>
      <c r="X58" s="234" t="s">
        <v>277</v>
      </c>
      <c r="Y58"/>
      <c r="Z58"/>
      <c r="AA58"/>
      <c r="AB58"/>
      <c r="AC58"/>
      <c r="AD58"/>
      <c r="AE58"/>
      <c r="AF58"/>
      <c r="AG58" s="220"/>
      <c r="AH58" s="220"/>
      <c r="AI58" s="220"/>
      <c r="AJ58" s="220"/>
      <c r="AK58" s="220"/>
      <c r="AL58" s="220"/>
      <c r="AM58" s="220"/>
      <c r="AN58" s="220"/>
      <c r="AO58" s="220"/>
    </row>
    <row r="59" spans="1:41" ht="15.75" customHeight="1" x14ac:dyDescent="0.2">
      <c r="A59" s="234">
        <v>27736</v>
      </c>
      <c r="B59" s="233">
        <v>2021</v>
      </c>
      <c r="C59" s="234" t="s">
        <v>56</v>
      </c>
      <c r="D59" s="429">
        <v>29</v>
      </c>
      <c r="E59" s="2">
        <v>0</v>
      </c>
      <c r="F59" s="2">
        <v>0</v>
      </c>
      <c r="G59" s="434" t="s">
        <v>35</v>
      </c>
      <c r="H59" s="434" t="s">
        <v>35</v>
      </c>
      <c r="I59" s="434"/>
      <c r="J59" s="434"/>
      <c r="K59" s="434"/>
      <c r="L59" s="434"/>
      <c r="M59" s="434"/>
      <c r="N59" s="434"/>
      <c r="O59" s="434"/>
      <c r="P59" s="434"/>
      <c r="Q59" s="434"/>
      <c r="R59" s="434"/>
      <c r="S59" s="335">
        <f t="shared" ref="S59:S62" si="34">SUM(G59:R59)</f>
        <v>0</v>
      </c>
      <c r="T59" s="263">
        <f t="shared" si="22"/>
        <v>0</v>
      </c>
      <c r="U59" s="336">
        <f t="shared" si="23"/>
        <v>0</v>
      </c>
      <c r="V59" s="307">
        <f t="shared" si="16"/>
        <v>0</v>
      </c>
      <c r="W59" s="233">
        <v>2021</v>
      </c>
      <c r="X59" s="234" t="s">
        <v>94</v>
      </c>
      <c r="Y59"/>
      <c r="Z59"/>
      <c r="AA59"/>
      <c r="AB59"/>
      <c r="AC59"/>
      <c r="AD59"/>
      <c r="AE59"/>
      <c r="AF59"/>
      <c r="AG59" s="220"/>
      <c r="AH59" s="220"/>
      <c r="AI59" s="220"/>
      <c r="AJ59" s="220"/>
      <c r="AK59" s="220"/>
      <c r="AL59" s="220"/>
      <c r="AM59" s="220"/>
      <c r="AN59" s="220"/>
      <c r="AO59" s="220"/>
    </row>
    <row r="60" spans="1:41" ht="15.75" customHeight="1" x14ac:dyDescent="0.2">
      <c r="A60" s="234">
        <v>133688</v>
      </c>
      <c r="B60" s="233">
        <v>2021</v>
      </c>
      <c r="C60" s="234" t="s">
        <v>291</v>
      </c>
      <c r="D60" s="428">
        <v>0</v>
      </c>
      <c r="E60" s="2">
        <v>0</v>
      </c>
      <c r="F60" s="2">
        <v>0</v>
      </c>
      <c r="G60" s="434" t="s">
        <v>35</v>
      </c>
      <c r="H60" s="434" t="s">
        <v>35</v>
      </c>
      <c r="I60" s="434"/>
      <c r="J60" s="434"/>
      <c r="K60" s="434"/>
      <c r="L60" s="434"/>
      <c r="M60" s="434"/>
      <c r="N60" s="434"/>
      <c r="O60" s="434"/>
      <c r="P60" s="434"/>
      <c r="Q60" s="434"/>
      <c r="R60" s="434"/>
      <c r="S60" s="335">
        <f t="shared" si="34"/>
        <v>0</v>
      </c>
      <c r="T60" s="263">
        <f t="shared" si="22"/>
        <v>0</v>
      </c>
      <c r="U60" s="336">
        <f t="shared" si="23"/>
        <v>0</v>
      </c>
      <c r="V60" s="307">
        <f t="shared" si="16"/>
        <v>0</v>
      </c>
      <c r="W60" s="233">
        <v>2021</v>
      </c>
      <c r="X60" s="234" t="s">
        <v>443</v>
      </c>
      <c r="Y60" s="221"/>
      <c r="Z60" s="221"/>
      <c r="AA60" s="221"/>
      <c r="AB60"/>
      <c r="AC60"/>
      <c r="AD60"/>
      <c r="AE60"/>
      <c r="AF60"/>
      <c r="AG60" s="220"/>
      <c r="AH60" s="220"/>
      <c r="AI60" s="220"/>
      <c r="AJ60" s="220"/>
      <c r="AK60" s="220"/>
      <c r="AL60" s="220"/>
      <c r="AM60" s="220"/>
      <c r="AN60" s="220"/>
      <c r="AO60" s="220"/>
    </row>
    <row r="61" spans="1:41" ht="15.75" customHeight="1" x14ac:dyDescent="0.2">
      <c r="A61" s="234">
        <v>133687</v>
      </c>
      <c r="B61" s="233">
        <v>2021</v>
      </c>
      <c r="C61" s="234" t="s">
        <v>277</v>
      </c>
      <c r="D61" s="429">
        <v>54</v>
      </c>
      <c r="E61" s="2">
        <v>0</v>
      </c>
      <c r="F61" s="2">
        <v>0</v>
      </c>
      <c r="G61" s="434" t="s">
        <v>35</v>
      </c>
      <c r="H61" s="434" t="s">
        <v>35</v>
      </c>
      <c r="I61" s="434"/>
      <c r="J61" s="434"/>
      <c r="K61" s="434"/>
      <c r="L61" s="434"/>
      <c r="M61" s="434"/>
      <c r="N61" s="434"/>
      <c r="O61" s="434"/>
      <c r="P61" s="434"/>
      <c r="Q61" s="434"/>
      <c r="R61" s="434"/>
      <c r="S61" s="335">
        <f t="shared" si="34"/>
        <v>0</v>
      </c>
      <c r="T61" s="263">
        <f t="shared" si="22"/>
        <v>0</v>
      </c>
      <c r="U61" s="336">
        <f t="shared" si="23"/>
        <v>0</v>
      </c>
      <c r="V61" s="307">
        <f t="shared" si="16"/>
        <v>0</v>
      </c>
      <c r="W61" s="233">
        <v>2021</v>
      </c>
      <c r="X61" s="226"/>
      <c r="Y61" s="221"/>
      <c r="Z61" s="221"/>
      <c r="AA61" s="221"/>
      <c r="AB61"/>
      <c r="AC61"/>
      <c r="AD61"/>
      <c r="AE61"/>
      <c r="AF61"/>
      <c r="AG61" s="220"/>
      <c r="AH61" s="220"/>
      <c r="AI61" s="220"/>
      <c r="AJ61" s="220"/>
      <c r="AK61" s="220"/>
      <c r="AL61" s="220"/>
      <c r="AM61" s="220"/>
      <c r="AN61" s="220"/>
      <c r="AO61" s="220"/>
    </row>
    <row r="62" spans="1:41" ht="15.75" customHeight="1" x14ac:dyDescent="0.2">
      <c r="A62" s="297">
        <v>27736</v>
      </c>
      <c r="B62" s="233" t="s">
        <v>35</v>
      </c>
      <c r="C62" s="234" t="s">
        <v>94</v>
      </c>
      <c r="D62" s="429">
        <v>0</v>
      </c>
      <c r="E62" s="2">
        <v>0</v>
      </c>
      <c r="F62" s="2">
        <v>0</v>
      </c>
      <c r="G62" s="434" t="s">
        <v>35</v>
      </c>
      <c r="H62" s="434" t="s">
        <v>35</v>
      </c>
      <c r="I62" s="434"/>
      <c r="J62" s="434"/>
      <c r="K62" s="434"/>
      <c r="L62" s="434"/>
      <c r="M62" s="434"/>
      <c r="N62" s="434"/>
      <c r="O62" s="434"/>
      <c r="P62" s="434"/>
      <c r="Q62" s="434"/>
      <c r="R62" s="434"/>
      <c r="S62" s="335">
        <f t="shared" si="34"/>
        <v>0</v>
      </c>
      <c r="T62" s="263">
        <f t="shared" si="22"/>
        <v>0</v>
      </c>
      <c r="U62" s="336">
        <f t="shared" si="23"/>
        <v>0</v>
      </c>
      <c r="V62" s="307">
        <f t="shared" si="16"/>
        <v>0</v>
      </c>
      <c r="W62" s="233" t="s">
        <v>524</v>
      </c>
      <c r="X62" s="234"/>
      <c r="Y62" s="221"/>
      <c r="Z62" s="221"/>
      <c r="AA62" s="221"/>
      <c r="AB62"/>
      <c r="AC62"/>
      <c r="AD62"/>
      <c r="AE62"/>
      <c r="AF62"/>
      <c r="AG62" s="220"/>
      <c r="AH62" s="220"/>
      <c r="AI62" s="220"/>
      <c r="AJ62" s="220"/>
      <c r="AK62" s="220"/>
      <c r="AL62" s="220"/>
      <c r="AM62" s="220"/>
      <c r="AN62" s="220"/>
      <c r="AO62" s="220"/>
    </row>
    <row r="63" spans="1:41" ht="15.75" customHeight="1" x14ac:dyDescent="0.2">
      <c r="A63" s="234">
        <v>135371</v>
      </c>
      <c r="B63" s="233"/>
      <c r="C63" s="234" t="s">
        <v>134</v>
      </c>
      <c r="D63" s="429"/>
      <c r="E63" s="2">
        <v>0</v>
      </c>
      <c r="F63" s="2">
        <v>37</v>
      </c>
      <c r="G63" s="434" t="s">
        <v>35</v>
      </c>
      <c r="H63" s="434" t="s">
        <v>35</v>
      </c>
      <c r="I63" s="434" t="s">
        <v>35</v>
      </c>
      <c r="J63" s="434" t="s">
        <v>35</v>
      </c>
      <c r="K63" s="434">
        <v>1</v>
      </c>
      <c r="L63" s="196">
        <v>15</v>
      </c>
      <c r="M63" s="196">
        <v>9</v>
      </c>
      <c r="N63" s="196"/>
      <c r="O63" s="196"/>
      <c r="P63" s="196"/>
      <c r="Q63" s="196"/>
      <c r="R63" s="196"/>
      <c r="S63" s="335">
        <f t="shared" ref="S63:S64" si="35">SUM(G63:R63)</f>
        <v>25</v>
      </c>
      <c r="T63" s="263">
        <f t="shared" si="22"/>
        <v>8.3333333333333339</v>
      </c>
      <c r="U63" s="336">
        <f t="shared" si="23"/>
        <v>1.44</v>
      </c>
      <c r="V63" s="307">
        <f t="shared" si="16"/>
        <v>12</v>
      </c>
      <c r="W63" s="233"/>
      <c r="X63" s="234"/>
      <c r="Y63" s="221"/>
      <c r="Z63" s="221"/>
      <c r="AA63" s="221"/>
      <c r="AB63"/>
      <c r="AC63"/>
      <c r="AD63"/>
      <c r="AE63"/>
      <c r="AF63"/>
      <c r="AG63" s="220"/>
      <c r="AH63" s="220"/>
      <c r="AI63" s="220"/>
      <c r="AJ63" s="220"/>
      <c r="AK63" s="220"/>
      <c r="AL63" s="220"/>
      <c r="AM63" s="220"/>
      <c r="AN63" s="220"/>
      <c r="AO63" s="220"/>
    </row>
    <row r="64" spans="1:41" ht="15.75" customHeight="1" x14ac:dyDescent="0.2">
      <c r="A64" s="226"/>
      <c r="B64" s="342"/>
      <c r="C64" s="226"/>
      <c r="D64" s="226"/>
      <c r="E64" s="338"/>
      <c r="F64" s="338"/>
      <c r="G64" s="338"/>
      <c r="H64" s="338"/>
      <c r="I64" s="338"/>
      <c r="J64" s="338"/>
      <c r="K64" s="338"/>
      <c r="L64" s="338"/>
      <c r="M64" s="338"/>
      <c r="N64" s="338"/>
      <c r="O64" s="338"/>
      <c r="P64" s="338"/>
      <c r="Q64" s="338"/>
      <c r="R64" s="338"/>
      <c r="S64" s="243">
        <f t="shared" si="35"/>
        <v>0</v>
      </c>
      <c r="T64" s="339"/>
      <c r="U64" s="340"/>
      <c r="V64" s="320">
        <f t="shared" ref="V64" si="36">SUM(E64-S64)</f>
        <v>0</v>
      </c>
      <c r="W64" s="342"/>
      <c r="X64" s="234"/>
      <c r="Y64" s="221"/>
      <c r="Z64" s="221"/>
      <c r="AA64" s="221"/>
      <c r="AB64"/>
      <c r="AC64"/>
      <c r="AD64"/>
      <c r="AE64"/>
      <c r="AF64"/>
      <c r="AG64" s="220"/>
      <c r="AH64" s="220"/>
      <c r="AI64" s="220"/>
      <c r="AJ64" s="220"/>
      <c r="AK64" s="220"/>
      <c r="AL64" s="220"/>
      <c r="AM64" s="220"/>
      <c r="AN64" s="220"/>
      <c r="AO64" s="220"/>
    </row>
    <row r="65" spans="1:41" ht="15.75" customHeight="1" x14ac:dyDescent="0.2">
      <c r="A65" s="234"/>
      <c r="B65" s="233">
        <v>2015</v>
      </c>
      <c r="C65" s="234"/>
      <c r="D65" s="235"/>
      <c r="E65" s="263">
        <f>SUM(E9:E9)</f>
        <v>165</v>
      </c>
      <c r="F65" s="263"/>
      <c r="G65" s="263">
        <f t="shared" ref="G65:R65" si="37">SUM(G9:G9)</f>
        <v>7</v>
      </c>
      <c r="H65" s="263">
        <f t="shared" si="37"/>
        <v>63</v>
      </c>
      <c r="I65" s="263">
        <f t="shared" si="37"/>
        <v>0</v>
      </c>
      <c r="J65" s="263">
        <f t="shared" si="37"/>
        <v>0</v>
      </c>
      <c r="K65" s="263">
        <f t="shared" si="37"/>
        <v>0</v>
      </c>
      <c r="L65" s="263">
        <f t="shared" si="37"/>
        <v>0</v>
      </c>
      <c r="M65" s="263">
        <f>SUM(M9:M9)</f>
        <v>0</v>
      </c>
      <c r="N65" s="263">
        <f t="shared" si="37"/>
        <v>0</v>
      </c>
      <c r="O65" s="263">
        <f t="shared" si="37"/>
        <v>0</v>
      </c>
      <c r="P65" s="263">
        <f t="shared" si="37"/>
        <v>0</v>
      </c>
      <c r="Q65" s="263">
        <f t="shared" si="37"/>
        <v>0</v>
      </c>
      <c r="R65" s="263">
        <f t="shared" si="37"/>
        <v>0</v>
      </c>
      <c r="S65" s="335">
        <f t="shared" si="19"/>
        <v>70</v>
      </c>
      <c r="T65" s="263">
        <f>AVERAGE(G65:R65)</f>
        <v>5.833333333333333</v>
      </c>
      <c r="U65" s="336">
        <f>V65/T65</f>
        <v>16.285714285714288</v>
      </c>
      <c r="V65" s="307">
        <f t="shared" si="16"/>
        <v>95</v>
      </c>
      <c r="W65" s="233">
        <v>2015</v>
      </c>
      <c r="X65" s="234"/>
      <c r="Y65" s="221"/>
      <c r="Z65" s="221"/>
      <c r="AA65" s="221"/>
      <c r="AB65"/>
      <c r="AC65"/>
      <c r="AD65"/>
      <c r="AE65"/>
      <c r="AF65"/>
      <c r="AG65" s="220"/>
      <c r="AH65" s="220"/>
      <c r="AI65" s="220"/>
      <c r="AJ65" s="220"/>
      <c r="AK65" s="220"/>
      <c r="AL65" s="220"/>
      <c r="AM65" s="220"/>
      <c r="AN65" s="220"/>
      <c r="AO65" s="220"/>
    </row>
    <row r="66" spans="1:41" ht="15.75" customHeight="1" x14ac:dyDescent="0.2">
      <c r="A66" s="234"/>
      <c r="B66" s="233">
        <v>2016</v>
      </c>
      <c r="C66" s="234"/>
      <c r="D66" s="235"/>
      <c r="E66" s="263">
        <v>0</v>
      </c>
      <c r="F66" s="263"/>
      <c r="G66" s="263">
        <v>0</v>
      </c>
      <c r="H66" s="263">
        <v>0</v>
      </c>
      <c r="I66" s="263">
        <v>0</v>
      </c>
      <c r="J66" s="263">
        <v>0</v>
      </c>
      <c r="K66" s="263">
        <v>0</v>
      </c>
      <c r="L66" s="263">
        <v>0</v>
      </c>
      <c r="M66" s="263">
        <v>0</v>
      </c>
      <c r="N66" s="263">
        <v>0</v>
      </c>
      <c r="O66" s="263">
        <v>0</v>
      </c>
      <c r="P66" s="263">
        <v>0</v>
      </c>
      <c r="Q66" s="263">
        <v>0</v>
      </c>
      <c r="R66" s="263">
        <v>0</v>
      </c>
      <c r="S66" s="335">
        <f t="shared" si="19"/>
        <v>0</v>
      </c>
      <c r="T66" s="263">
        <f t="shared" ref="T66:T72" si="38">AVERAGE(G66:R66)</f>
        <v>0</v>
      </c>
      <c r="U66" s="336">
        <v>0</v>
      </c>
      <c r="V66" s="307">
        <f t="shared" si="16"/>
        <v>0</v>
      </c>
      <c r="W66" s="233">
        <v>2016</v>
      </c>
      <c r="X66" s="234"/>
      <c r="Y66" s="221"/>
      <c r="Z66" s="221"/>
      <c r="AA66" s="221"/>
      <c r="AB66"/>
      <c r="AC66"/>
      <c r="AD66"/>
      <c r="AE66"/>
      <c r="AF66"/>
      <c r="AG66" s="220"/>
      <c r="AH66" s="220"/>
      <c r="AI66" s="220"/>
      <c r="AJ66" s="220"/>
      <c r="AK66" s="220"/>
      <c r="AL66" s="220"/>
      <c r="AM66" s="220"/>
      <c r="AN66" s="220"/>
      <c r="AO66" s="220"/>
    </row>
    <row r="67" spans="1:41" ht="15.75" customHeight="1" x14ac:dyDescent="0.2">
      <c r="A67" s="234"/>
      <c r="B67" s="233">
        <v>2017</v>
      </c>
      <c r="C67" s="234"/>
      <c r="D67" s="235"/>
      <c r="E67" s="263">
        <f>SUM(E11:E13)</f>
        <v>198</v>
      </c>
      <c r="F67" s="263"/>
      <c r="G67" s="263">
        <f t="shared" ref="G67:R67" si="39">SUM(G11:G13)</f>
        <v>23</v>
      </c>
      <c r="H67" s="263">
        <f t="shared" si="39"/>
        <v>39</v>
      </c>
      <c r="I67" s="263">
        <f t="shared" si="39"/>
        <v>33</v>
      </c>
      <c r="J67" s="263">
        <f t="shared" si="39"/>
        <v>36</v>
      </c>
      <c r="K67" s="263">
        <f t="shared" si="39"/>
        <v>20</v>
      </c>
      <c r="L67" s="263">
        <f t="shared" si="39"/>
        <v>10</v>
      </c>
      <c r="M67" s="263">
        <f>SUM(M11:M13)</f>
        <v>7</v>
      </c>
      <c r="N67" s="263">
        <f t="shared" si="39"/>
        <v>0</v>
      </c>
      <c r="O67" s="263">
        <f t="shared" si="39"/>
        <v>0</v>
      </c>
      <c r="P67" s="263">
        <f t="shared" si="39"/>
        <v>0</v>
      </c>
      <c r="Q67" s="263">
        <f t="shared" si="39"/>
        <v>0</v>
      </c>
      <c r="R67" s="263">
        <f t="shared" si="39"/>
        <v>0</v>
      </c>
      <c r="S67" s="335">
        <f t="shared" si="19"/>
        <v>168</v>
      </c>
      <c r="T67" s="263">
        <f t="shared" si="38"/>
        <v>14</v>
      </c>
      <c r="U67" s="336">
        <f t="shared" ref="U67:U70" si="40">V67/T67</f>
        <v>2.1428571428571428</v>
      </c>
      <c r="V67" s="307">
        <f t="shared" si="16"/>
        <v>30</v>
      </c>
      <c r="W67" s="307">
        <f t="shared" si="16"/>
        <v>9</v>
      </c>
      <c r="X67" s="234"/>
      <c r="Y67" s="221"/>
      <c r="Z67" s="221"/>
      <c r="AA67" s="221"/>
      <c r="AB67"/>
      <c r="AC67"/>
      <c r="AD67"/>
      <c r="AE67"/>
      <c r="AF67"/>
      <c r="AG67" s="220"/>
      <c r="AH67" s="220"/>
      <c r="AI67" s="220"/>
      <c r="AJ67" s="220"/>
    </row>
    <row r="68" spans="1:41" ht="15.75" customHeight="1" x14ac:dyDescent="0.2">
      <c r="A68" s="234"/>
      <c r="B68" s="233">
        <v>2018</v>
      </c>
      <c r="C68" s="234"/>
      <c r="D68" s="235"/>
      <c r="E68" s="263">
        <f>SUM(E15:E20)</f>
        <v>1812</v>
      </c>
      <c r="F68" s="263"/>
      <c r="G68" s="263">
        <f t="shared" ref="G68:R68" si="41">SUM(G15:G20)</f>
        <v>127</v>
      </c>
      <c r="H68" s="263">
        <f t="shared" si="41"/>
        <v>184</v>
      </c>
      <c r="I68" s="263">
        <f t="shared" si="41"/>
        <v>113</v>
      </c>
      <c r="J68" s="263">
        <f t="shared" si="41"/>
        <v>111</v>
      </c>
      <c r="K68" s="263">
        <f t="shared" si="41"/>
        <v>272</v>
      </c>
      <c r="L68" s="263">
        <f t="shared" si="41"/>
        <v>145</v>
      </c>
      <c r="M68" s="263">
        <f>SUM(M15:M20)</f>
        <v>98</v>
      </c>
      <c r="N68" s="263">
        <f t="shared" si="41"/>
        <v>0</v>
      </c>
      <c r="O68" s="263">
        <f t="shared" si="41"/>
        <v>0</v>
      </c>
      <c r="P68" s="263">
        <f t="shared" si="41"/>
        <v>0</v>
      </c>
      <c r="Q68" s="263">
        <f t="shared" si="41"/>
        <v>0</v>
      </c>
      <c r="R68" s="263">
        <f t="shared" si="41"/>
        <v>0</v>
      </c>
      <c r="S68" s="335">
        <f t="shared" si="19"/>
        <v>1050</v>
      </c>
      <c r="T68" s="263">
        <f t="shared" si="38"/>
        <v>87.5</v>
      </c>
      <c r="U68" s="336">
        <f t="shared" si="40"/>
        <v>8.7085714285714282</v>
      </c>
      <c r="V68" s="307">
        <f t="shared" ref="V68:V72" si="42">E68+F68-S68</f>
        <v>762</v>
      </c>
      <c r="W68" s="233">
        <v>2018</v>
      </c>
      <c r="X68" s="234"/>
      <c r="Y68" s="221"/>
      <c r="Z68" s="221"/>
      <c r="AA68" s="221"/>
      <c r="AB68"/>
      <c r="AC68"/>
      <c r="AD68"/>
      <c r="AE68"/>
      <c r="AF68"/>
      <c r="AG68" s="220"/>
      <c r="AH68" s="220"/>
      <c r="AI68" s="220"/>
      <c r="AJ68" s="220"/>
    </row>
    <row r="69" spans="1:41" ht="15.75" customHeight="1" x14ac:dyDescent="0.25">
      <c r="A69" s="234"/>
      <c r="B69" s="233">
        <v>2019</v>
      </c>
      <c r="C69" s="234"/>
      <c r="D69" s="256"/>
      <c r="E69" s="263">
        <f>SUM(E22:E33)</f>
        <v>3904</v>
      </c>
      <c r="F69" s="263"/>
      <c r="G69" s="263">
        <f t="shared" ref="G69:R69" si="43">SUM(G22:G33)</f>
        <v>82</v>
      </c>
      <c r="H69" s="263">
        <f t="shared" si="43"/>
        <v>190</v>
      </c>
      <c r="I69" s="263">
        <f t="shared" si="43"/>
        <v>133</v>
      </c>
      <c r="J69" s="263">
        <f t="shared" si="43"/>
        <v>99</v>
      </c>
      <c r="K69" s="263">
        <f t="shared" si="43"/>
        <v>205</v>
      </c>
      <c r="L69" s="263">
        <f t="shared" si="43"/>
        <v>73</v>
      </c>
      <c r="M69" s="263">
        <f>SUM(M22:M33)</f>
        <v>58</v>
      </c>
      <c r="N69" s="263">
        <f t="shared" si="43"/>
        <v>0</v>
      </c>
      <c r="O69" s="263">
        <f t="shared" si="43"/>
        <v>0</v>
      </c>
      <c r="P69" s="263">
        <f t="shared" si="43"/>
        <v>0</v>
      </c>
      <c r="Q69" s="263">
        <f t="shared" si="43"/>
        <v>0</v>
      </c>
      <c r="R69" s="263">
        <f t="shared" si="43"/>
        <v>0</v>
      </c>
      <c r="S69" s="335">
        <f t="shared" si="19"/>
        <v>840</v>
      </c>
      <c r="T69" s="263">
        <f t="shared" si="38"/>
        <v>70</v>
      </c>
      <c r="U69" s="336">
        <f t="shared" si="40"/>
        <v>43.771428571428572</v>
      </c>
      <c r="V69" s="307">
        <f t="shared" si="42"/>
        <v>3064</v>
      </c>
      <c r="W69" s="233">
        <v>2019</v>
      </c>
      <c r="X69" s="409"/>
      <c r="Y69" s="221"/>
      <c r="Z69" s="221"/>
      <c r="AA69" s="221"/>
      <c r="AB69" s="220"/>
      <c r="AC69" s="220"/>
      <c r="AD69" s="220"/>
      <c r="AE69" s="220"/>
      <c r="AF69" s="220"/>
      <c r="AG69" s="220"/>
      <c r="AH69" s="220"/>
      <c r="AI69" s="220"/>
      <c r="AJ69" s="220"/>
    </row>
    <row r="70" spans="1:41" ht="15.75" customHeight="1" x14ac:dyDescent="0.25">
      <c r="A70" s="409"/>
      <c r="B70" s="233">
        <v>2020</v>
      </c>
      <c r="C70" s="234"/>
      <c r="D70" s="421"/>
      <c r="E70" s="263">
        <f>SUM(E35:E46)</f>
        <v>3671</v>
      </c>
      <c r="F70" s="263"/>
      <c r="G70" s="263">
        <f t="shared" ref="G70:R70" si="44">SUM(G35:G46)</f>
        <v>62</v>
      </c>
      <c r="H70" s="263">
        <f t="shared" si="44"/>
        <v>27</v>
      </c>
      <c r="I70" s="263">
        <f t="shared" si="44"/>
        <v>70</v>
      </c>
      <c r="J70" s="263">
        <f t="shared" si="44"/>
        <v>43</v>
      </c>
      <c r="K70" s="263">
        <f t="shared" si="44"/>
        <v>40</v>
      </c>
      <c r="L70" s="263">
        <f t="shared" si="44"/>
        <v>35</v>
      </c>
      <c r="M70" s="263">
        <f>SUM(M35:M46)</f>
        <v>23</v>
      </c>
      <c r="N70" s="263">
        <f t="shared" si="44"/>
        <v>0</v>
      </c>
      <c r="O70" s="263">
        <f t="shared" si="44"/>
        <v>0</v>
      </c>
      <c r="P70" s="263">
        <f t="shared" si="44"/>
        <v>0</v>
      </c>
      <c r="Q70" s="263">
        <f t="shared" si="44"/>
        <v>0</v>
      </c>
      <c r="R70" s="263">
        <f t="shared" si="44"/>
        <v>0</v>
      </c>
      <c r="S70" s="335">
        <f t="shared" si="19"/>
        <v>300</v>
      </c>
      <c r="T70" s="263">
        <f t="shared" si="38"/>
        <v>25</v>
      </c>
      <c r="U70" s="336">
        <f t="shared" si="40"/>
        <v>134.84</v>
      </c>
      <c r="V70" s="307">
        <f t="shared" si="42"/>
        <v>3371</v>
      </c>
      <c r="W70" s="233">
        <v>2020</v>
      </c>
      <c r="X70" s="269"/>
      <c r="Y70" s="221"/>
      <c r="Z70" s="221"/>
      <c r="AA70" s="221"/>
      <c r="AB70" s="220"/>
      <c r="AC70" s="220"/>
      <c r="AD70" s="220"/>
      <c r="AE70" s="220"/>
      <c r="AF70" s="220"/>
      <c r="AG70" s="220"/>
      <c r="AH70" s="220"/>
      <c r="AI70" s="220"/>
      <c r="AJ70" s="220"/>
    </row>
    <row r="71" spans="1:41" x14ac:dyDescent="0.2">
      <c r="B71" s="233">
        <v>2021</v>
      </c>
      <c r="C71" s="234"/>
      <c r="D71" s="421"/>
      <c r="E71" s="263">
        <f t="shared" ref="E71:R71" si="45">SUM(E48:E63)</f>
        <v>0</v>
      </c>
      <c r="F71" s="263">
        <f t="shared" si="45"/>
        <v>2170</v>
      </c>
      <c r="G71" s="263">
        <f t="shared" si="45"/>
        <v>0</v>
      </c>
      <c r="H71" s="263">
        <f t="shared" si="45"/>
        <v>0</v>
      </c>
      <c r="I71" s="263">
        <f t="shared" si="45"/>
        <v>44</v>
      </c>
      <c r="J71" s="263">
        <f t="shared" si="45"/>
        <v>37</v>
      </c>
      <c r="K71" s="263">
        <f t="shared" si="45"/>
        <v>110</v>
      </c>
      <c r="L71" s="263">
        <f t="shared" si="45"/>
        <v>48</v>
      </c>
      <c r="M71" s="263">
        <f>SUM(M48:M63)</f>
        <v>170</v>
      </c>
      <c r="N71" s="263">
        <f t="shared" si="45"/>
        <v>0</v>
      </c>
      <c r="O71" s="263">
        <f t="shared" si="45"/>
        <v>0</v>
      </c>
      <c r="P71" s="263">
        <f t="shared" si="45"/>
        <v>0</v>
      </c>
      <c r="Q71" s="263">
        <f t="shared" si="45"/>
        <v>0</v>
      </c>
      <c r="R71" s="263">
        <f t="shared" si="45"/>
        <v>0</v>
      </c>
      <c r="S71" s="341">
        <f>SUM(G71:R71)</f>
        <v>409</v>
      </c>
      <c r="T71" s="263">
        <f t="shared" si="38"/>
        <v>34.083333333333336</v>
      </c>
      <c r="U71" s="336"/>
      <c r="V71" s="307">
        <f t="shared" si="42"/>
        <v>1761</v>
      </c>
      <c r="W71" s="233"/>
      <c r="Y71" s="221"/>
      <c r="Z71" s="221"/>
      <c r="AA71" s="221"/>
      <c r="AB71" s="220"/>
      <c r="AC71" s="220"/>
      <c r="AD71" s="220"/>
      <c r="AE71" s="220"/>
      <c r="AF71" s="220"/>
      <c r="AG71" s="220"/>
      <c r="AH71" s="220"/>
      <c r="AI71" s="220"/>
      <c r="AJ71" s="220"/>
    </row>
    <row r="72" spans="1:41" ht="18" x14ac:dyDescent="0.25">
      <c r="A72" s="220"/>
      <c r="B72" s="412" t="s">
        <v>59</v>
      </c>
      <c r="C72" s="409"/>
      <c r="D72" s="413"/>
      <c r="E72" s="414">
        <f>SUM(E65:E70)</f>
        <v>9750</v>
      </c>
      <c r="F72" s="414"/>
      <c r="G72" s="414">
        <f>SUM(G65:G71)</f>
        <v>301</v>
      </c>
      <c r="H72" s="414">
        <f t="shared" ref="H72:R72" si="46">SUM(H65:H71)</f>
        <v>503</v>
      </c>
      <c r="I72" s="414">
        <f t="shared" si="46"/>
        <v>393</v>
      </c>
      <c r="J72" s="414">
        <f t="shared" si="46"/>
        <v>326</v>
      </c>
      <c r="K72" s="414">
        <f t="shared" si="46"/>
        <v>647</v>
      </c>
      <c r="L72" s="414">
        <f t="shared" si="46"/>
        <v>311</v>
      </c>
      <c r="M72" s="414">
        <f>SUM(M65:M71)</f>
        <v>356</v>
      </c>
      <c r="N72" s="414">
        <f t="shared" si="46"/>
        <v>0</v>
      </c>
      <c r="O72" s="414">
        <f t="shared" si="46"/>
        <v>0</v>
      </c>
      <c r="P72" s="414">
        <f t="shared" si="46"/>
        <v>0</v>
      </c>
      <c r="Q72" s="414">
        <f t="shared" si="46"/>
        <v>0</v>
      </c>
      <c r="R72" s="414">
        <f t="shared" si="46"/>
        <v>0</v>
      </c>
      <c r="S72" s="335">
        <f t="shared" si="19"/>
        <v>2837</v>
      </c>
      <c r="T72" s="414">
        <f t="shared" si="38"/>
        <v>236.41666666666666</v>
      </c>
      <c r="U72" s="416">
        <f>V72/T72</f>
        <v>29.240747268241101</v>
      </c>
      <c r="V72" s="307">
        <f t="shared" si="42"/>
        <v>6913</v>
      </c>
      <c r="W72" s="412" t="s">
        <v>59</v>
      </c>
      <c r="X72" s="269"/>
      <c r="Y72" s="221"/>
      <c r="Z72" s="221"/>
      <c r="AA72" s="221"/>
      <c r="AB72" s="391"/>
      <c r="AC72" s="276"/>
      <c r="AD72" s="392"/>
      <c r="AE72" s="393"/>
      <c r="AF72" s="394"/>
      <c r="AG72" s="220"/>
      <c r="AH72" s="220"/>
      <c r="AI72" s="220"/>
      <c r="AJ72" s="220"/>
    </row>
    <row r="73" spans="1:41" x14ac:dyDescent="0.2">
      <c r="A73" s="226"/>
      <c r="B73" s="269"/>
      <c r="C73" s="269"/>
      <c r="D73" s="226"/>
      <c r="E73" s="271"/>
      <c r="F73" s="271"/>
      <c r="G73" s="271"/>
      <c r="H73" s="271"/>
      <c r="I73" s="271"/>
      <c r="J73" s="271"/>
      <c r="K73" s="271"/>
      <c r="L73" s="272"/>
      <c r="M73" s="272"/>
      <c r="N73" s="272"/>
      <c r="O73" s="272"/>
      <c r="P73" s="272"/>
      <c r="Q73" s="272"/>
      <c r="R73" s="272"/>
      <c r="S73" s="272"/>
      <c r="T73" s="343"/>
      <c r="U73" s="344"/>
      <c r="V73" s="328"/>
      <c r="W73" s="269"/>
      <c r="X73" s="220"/>
      <c r="Y73" s="221"/>
      <c r="Z73" s="221"/>
      <c r="AA73" s="221"/>
      <c r="AG73" s="220"/>
      <c r="AH73" s="220"/>
      <c r="AI73" s="220"/>
      <c r="AJ73" s="220"/>
    </row>
    <row r="74" spans="1:41" s="407" customFormat="1" ht="18" x14ac:dyDescent="0.25">
      <c r="A74" s="220"/>
      <c r="B74" s="297">
        <v>2019</v>
      </c>
      <c r="C74" s="220" t="s">
        <v>460</v>
      </c>
      <c r="D74" s="298">
        <v>50</v>
      </c>
      <c r="E74" s="298"/>
      <c r="F74" s="298"/>
      <c r="G74" s="298"/>
      <c r="H74" s="298"/>
      <c r="I74" s="298"/>
      <c r="J74" s="298"/>
      <c r="K74" s="298"/>
      <c r="L74" s="298"/>
      <c r="M74" s="298"/>
      <c r="N74" s="298"/>
      <c r="O74" s="298"/>
      <c r="P74" s="298"/>
      <c r="Q74" s="298"/>
      <c r="R74" s="298"/>
      <c r="S74" s="298"/>
      <c r="T74" s="298"/>
      <c r="U74" s="298"/>
      <c r="V74" s="297">
        <v>50</v>
      </c>
      <c r="W74" s="297"/>
      <c r="X74" s="220"/>
      <c r="Y74" s="408"/>
      <c r="Z74" s="408"/>
      <c r="AA74" s="408"/>
      <c r="AB74" s="298"/>
      <c r="AC74" s="297"/>
      <c r="AD74" s="297"/>
      <c r="AE74" s="297"/>
      <c r="AF74" s="297"/>
    </row>
    <row r="75" spans="1:41" x14ac:dyDescent="0.2">
      <c r="A75" s="226"/>
      <c r="B75" s="269"/>
      <c r="C75" s="269"/>
      <c r="D75" s="381">
        <v>112</v>
      </c>
      <c r="E75" s="271"/>
      <c r="F75" s="271"/>
      <c r="G75" s="271"/>
      <c r="H75" s="271"/>
      <c r="I75" s="271"/>
      <c r="J75" s="271"/>
      <c r="K75" s="272"/>
      <c r="L75" s="272"/>
      <c r="M75" s="272"/>
      <c r="N75" s="272"/>
      <c r="O75" s="272"/>
      <c r="P75" s="272"/>
      <c r="Q75" s="272"/>
      <c r="R75" s="272"/>
      <c r="S75" s="343"/>
      <c r="T75" s="344"/>
      <c r="U75" s="328"/>
      <c r="V75" s="269"/>
      <c r="W75" s="269"/>
      <c r="X75" s="220"/>
      <c r="Y75" s="221"/>
      <c r="Z75" s="221"/>
      <c r="AA75" s="221"/>
      <c r="AG75" s="220"/>
      <c r="AH75" s="220"/>
      <c r="AI75" s="220"/>
      <c r="AJ75" s="220"/>
    </row>
    <row r="76" spans="1:41" ht="18" x14ac:dyDescent="0.25">
      <c r="A76" s="220"/>
      <c r="B76" s="233">
        <v>2021</v>
      </c>
      <c r="C76" s="234" t="s">
        <v>544</v>
      </c>
      <c r="D76" s="431"/>
      <c r="E76" s="2">
        <v>0</v>
      </c>
      <c r="F76" s="2">
        <v>144</v>
      </c>
      <c r="G76" s="434" t="s">
        <v>35</v>
      </c>
      <c r="H76" s="434" t="s">
        <v>35</v>
      </c>
      <c r="I76" s="434" t="s">
        <v>35</v>
      </c>
      <c r="J76" s="434" t="s">
        <v>35</v>
      </c>
      <c r="K76" s="196"/>
      <c r="L76" s="196"/>
      <c r="M76" s="196">
        <v>57</v>
      </c>
      <c r="N76" s="196"/>
      <c r="O76" s="196"/>
      <c r="P76" s="196"/>
      <c r="Q76" s="196"/>
      <c r="R76" s="196"/>
      <c r="S76" s="335">
        <f t="shared" ref="S76:S78" si="47">SUM(G76:R76)</f>
        <v>57</v>
      </c>
      <c r="T76" s="263">
        <f t="shared" ref="T76:T78" si="48">IFERROR((AVERAGE(G76:R76)),0)</f>
        <v>57</v>
      </c>
      <c r="U76" s="336">
        <f t="shared" ref="U76:U78" si="49">IFERROR((V76/T76),0)</f>
        <v>1.5263157894736843</v>
      </c>
      <c r="V76" s="307">
        <f t="shared" ref="V76:V78" si="50">E76+F76-S76</f>
        <v>87</v>
      </c>
      <c r="W76" s="220"/>
      <c r="X76" s="220"/>
      <c r="Y76" s="221"/>
      <c r="Z76" s="221"/>
      <c r="AA76" s="221"/>
      <c r="AB76" s="407"/>
      <c r="AC76" s="407"/>
      <c r="AD76" s="407"/>
      <c r="AE76" s="407"/>
      <c r="AF76" s="407"/>
      <c r="AG76" s="220"/>
      <c r="AH76" s="220"/>
      <c r="AI76" s="220"/>
      <c r="AJ76" s="220"/>
    </row>
    <row r="77" spans="1:41" x14ac:dyDescent="0.2">
      <c r="A77" s="220"/>
      <c r="B77" s="233">
        <v>2021</v>
      </c>
      <c r="C77" s="234" t="s">
        <v>545</v>
      </c>
      <c r="D77" s="431"/>
      <c r="E77" s="2"/>
      <c r="F77" s="2">
        <v>159</v>
      </c>
      <c r="G77" s="434" t="s">
        <v>35</v>
      </c>
      <c r="H77" s="434" t="s">
        <v>35</v>
      </c>
      <c r="I77" s="434" t="s">
        <v>35</v>
      </c>
      <c r="J77" s="434" t="s">
        <v>35</v>
      </c>
      <c r="K77" s="196"/>
      <c r="L77" s="196"/>
      <c r="M77" s="196">
        <v>59</v>
      </c>
      <c r="N77" s="196"/>
      <c r="O77" s="196"/>
      <c r="P77" s="196"/>
      <c r="Q77" s="196"/>
      <c r="R77" s="196"/>
      <c r="S77" s="335">
        <f t="shared" si="47"/>
        <v>59</v>
      </c>
      <c r="T77" s="263">
        <f t="shared" si="48"/>
        <v>59</v>
      </c>
      <c r="U77" s="336">
        <f t="shared" si="49"/>
        <v>1.6949152542372881</v>
      </c>
      <c r="V77" s="307">
        <f t="shared" si="50"/>
        <v>100</v>
      </c>
      <c r="W77" s="220"/>
      <c r="X77" s="220"/>
      <c r="Y77" s="221"/>
      <c r="Z77" s="221"/>
      <c r="AA77" s="221"/>
      <c r="AG77" s="220"/>
      <c r="AH77" s="220"/>
      <c r="AI77" s="220"/>
    </row>
    <row r="78" spans="1:41" x14ac:dyDescent="0.2">
      <c r="A78" s="220"/>
      <c r="B78" s="233">
        <v>2021</v>
      </c>
      <c r="C78" s="234" t="s">
        <v>546</v>
      </c>
      <c r="D78" s="431"/>
      <c r="E78" s="2">
        <v>0</v>
      </c>
      <c r="F78" s="2">
        <v>187</v>
      </c>
      <c r="G78" s="434" t="s">
        <v>35</v>
      </c>
      <c r="H78" s="434" t="s">
        <v>35</v>
      </c>
      <c r="I78" s="434" t="s">
        <v>35</v>
      </c>
      <c r="J78" s="434" t="s">
        <v>35</v>
      </c>
      <c r="K78" s="196"/>
      <c r="L78" s="196"/>
      <c r="M78" s="196">
        <v>62</v>
      </c>
      <c r="N78" s="196"/>
      <c r="O78" s="196"/>
      <c r="P78" s="196"/>
      <c r="Q78" s="196"/>
      <c r="R78" s="196"/>
      <c r="S78" s="335">
        <f t="shared" si="47"/>
        <v>62</v>
      </c>
      <c r="T78" s="263">
        <f t="shared" si="48"/>
        <v>62</v>
      </c>
      <c r="U78" s="336">
        <f t="shared" si="49"/>
        <v>2.0161290322580645</v>
      </c>
      <c r="V78" s="307">
        <f t="shared" si="50"/>
        <v>125</v>
      </c>
      <c r="W78" s="220"/>
      <c r="X78" s="220"/>
      <c r="Y78" s="221"/>
      <c r="Z78" s="221"/>
      <c r="AA78" s="221"/>
      <c r="AG78" s="220"/>
      <c r="AH78" s="220"/>
      <c r="AI78" s="220"/>
    </row>
    <row r="79" spans="1:41" ht="15.75" x14ac:dyDescent="0.25">
      <c r="A79" s="220" t="s">
        <v>547</v>
      </c>
      <c r="B79" s="278" t="s">
        <v>318</v>
      </c>
      <c r="C79" s="220"/>
      <c r="D79" s="221"/>
      <c r="E79" s="221"/>
      <c r="F79" s="221"/>
      <c r="G79" s="221"/>
      <c r="H79" s="221"/>
      <c r="I79" s="221"/>
      <c r="J79" s="221"/>
      <c r="K79" s="221"/>
      <c r="L79" s="221"/>
      <c r="M79" s="221"/>
      <c r="N79" s="221"/>
      <c r="O79" s="221"/>
      <c r="P79" s="221"/>
      <c r="Q79" s="221"/>
      <c r="R79" s="221"/>
      <c r="S79" s="221"/>
      <c r="T79" s="221"/>
      <c r="U79" s="221"/>
      <c r="V79" s="220"/>
      <c r="W79" s="220"/>
      <c r="X79" s="220"/>
      <c r="Y79" s="221"/>
      <c r="Z79" s="221"/>
      <c r="AA79" s="221"/>
      <c r="AG79" s="220"/>
      <c r="AH79" s="220"/>
      <c r="AI79" s="220"/>
    </row>
    <row r="80" spans="1:41" ht="15.75" x14ac:dyDescent="0.25">
      <c r="A80" s="220" t="s">
        <v>547</v>
      </c>
      <c r="B80" s="278" t="s">
        <v>306</v>
      </c>
      <c r="C80" s="1" t="s">
        <v>307</v>
      </c>
      <c r="D80" s="1" t="s">
        <v>365</v>
      </c>
      <c r="E80" s="372" t="s">
        <v>4</v>
      </c>
      <c r="F80" s="372"/>
      <c r="G80" s="373" t="s">
        <v>5</v>
      </c>
      <c r="H80" s="373" t="s">
        <v>6</v>
      </c>
      <c r="I80" s="373" t="s">
        <v>7</v>
      </c>
      <c r="J80" s="373" t="s">
        <v>8</v>
      </c>
      <c r="K80" s="373" t="s">
        <v>9</v>
      </c>
      <c r="L80" s="373" t="s">
        <v>10</v>
      </c>
      <c r="M80" s="373" t="s">
        <v>11</v>
      </c>
      <c r="N80" s="373" t="s">
        <v>12</v>
      </c>
      <c r="O80" s="373" t="s">
        <v>13</v>
      </c>
      <c r="P80" s="373" t="s">
        <v>14</v>
      </c>
      <c r="Q80" s="373" t="s">
        <v>15</v>
      </c>
      <c r="R80" s="221"/>
      <c r="S80" s="221"/>
      <c r="T80" s="221"/>
      <c r="U80" s="221"/>
      <c r="V80" s="220"/>
      <c r="W80" s="220"/>
      <c r="X80" s="220"/>
      <c r="Y80" s="221"/>
      <c r="Z80" s="221"/>
      <c r="AA80" s="221"/>
      <c r="AG80" s="220"/>
      <c r="AH80" s="220"/>
      <c r="AI80" s="220"/>
    </row>
    <row r="81" spans="1:40" x14ac:dyDescent="0.2">
      <c r="A81" s="220" t="s">
        <v>547</v>
      </c>
      <c r="B81" s="250">
        <v>2020</v>
      </c>
      <c r="C81"/>
      <c r="D81"/>
      <c r="E81"/>
      <c r="F81"/>
      <c r="G81"/>
      <c r="H81" s="252"/>
      <c r="I81" s="2"/>
      <c r="J81" s="252"/>
      <c r="K81" s="252"/>
      <c r="L81" s="252"/>
      <c r="M81" s="252"/>
      <c r="N81" s="252"/>
      <c r="O81" s="252"/>
      <c r="P81" s="252"/>
      <c r="Q81" s="252"/>
      <c r="R81" s="221"/>
      <c r="S81" s="221"/>
      <c r="T81" s="221"/>
      <c r="U81" s="221"/>
      <c r="V81" s="220"/>
      <c r="W81" s="220"/>
      <c r="X81" s="220"/>
      <c r="Y81" s="221"/>
      <c r="Z81" s="221"/>
      <c r="AA81" s="221"/>
      <c r="AG81" s="220"/>
      <c r="AH81" s="220"/>
      <c r="AI81" s="220"/>
      <c r="AJ81" s="220"/>
      <c r="AK81" s="220"/>
      <c r="AL81" s="220"/>
      <c r="AM81" s="220"/>
      <c r="AN81" s="220"/>
    </row>
    <row r="82" spans="1:40" x14ac:dyDescent="0.2">
      <c r="A82" s="220"/>
      <c r="B82" s="250"/>
      <c r="C82"/>
      <c r="D82"/>
      <c r="E82"/>
      <c r="F82"/>
      <c r="G82"/>
      <c r="H82" s="252"/>
      <c r="I82" s="2"/>
      <c r="J82" s="252"/>
      <c r="K82" s="252"/>
      <c r="L82" s="252"/>
      <c r="M82" s="252"/>
      <c r="N82" s="252"/>
      <c r="O82" s="252"/>
      <c r="P82" s="252"/>
      <c r="Q82" s="252"/>
      <c r="R82" s="221"/>
      <c r="S82" s="221"/>
      <c r="T82" s="221"/>
      <c r="U82" s="221"/>
      <c r="V82" s="220"/>
      <c r="W82" s="220"/>
      <c r="X82" s="220"/>
      <c r="AE82" s="220"/>
      <c r="AF82" s="220"/>
    </row>
    <row r="83" spans="1:40" x14ac:dyDescent="0.2">
      <c r="A83" s="220"/>
      <c r="B83" s="250"/>
      <c r="C83"/>
      <c r="D83"/>
      <c r="E83"/>
      <c r="F83"/>
      <c r="G83"/>
      <c r="H83" s="252"/>
      <c r="I83" s="2"/>
      <c r="J83" s="252"/>
      <c r="K83" s="252"/>
      <c r="L83" s="252"/>
      <c r="M83" s="252"/>
      <c r="N83" s="252"/>
      <c r="O83" s="252"/>
      <c r="P83" s="252"/>
      <c r="Q83" s="252"/>
      <c r="R83" s="221"/>
      <c r="S83" s="221"/>
      <c r="T83" s="221"/>
      <c r="U83" s="221"/>
      <c r="V83" s="220"/>
      <c r="W83" s="220"/>
      <c r="X83" s="220"/>
      <c r="Y83" s="221"/>
      <c r="Z83" s="221"/>
      <c r="AA83" s="221"/>
      <c r="AE83" s="220"/>
      <c r="AF83" s="220"/>
      <c r="AG83" s="220"/>
      <c r="AH83" s="220"/>
      <c r="AI83" s="220"/>
      <c r="AJ83" s="220"/>
      <c r="AK83" s="220"/>
      <c r="AL83" s="220"/>
      <c r="AM83" s="220"/>
      <c r="AN83" s="220"/>
    </row>
    <row r="84" spans="1:40" x14ac:dyDescent="0.2">
      <c r="A84" s="220"/>
      <c r="B84" s="250"/>
      <c r="C84"/>
      <c r="D84"/>
      <c r="E84"/>
      <c r="F84"/>
      <c r="G84"/>
      <c r="H84" s="252"/>
      <c r="I84" s="2"/>
      <c r="J84" s="252"/>
      <c r="K84" s="252"/>
      <c r="L84" s="252"/>
      <c r="M84" s="252"/>
      <c r="N84" s="252"/>
      <c r="O84" s="252"/>
      <c r="P84" s="252"/>
      <c r="Q84" s="252"/>
      <c r="R84" s="221"/>
      <c r="S84" s="221"/>
      <c r="T84" s="221"/>
      <c r="U84" s="221"/>
      <c r="V84" s="220"/>
      <c r="W84" s="220"/>
      <c r="X84" s="220"/>
      <c r="Y84" s="221"/>
      <c r="Z84" s="221"/>
      <c r="AA84" s="221"/>
      <c r="AE84" s="220"/>
      <c r="AF84" s="220"/>
      <c r="AG84" s="220"/>
      <c r="AH84" s="220"/>
      <c r="AI84" s="220"/>
      <c r="AJ84" s="220"/>
      <c r="AK84" s="220"/>
      <c r="AL84" s="220"/>
      <c r="AM84" s="220"/>
      <c r="AN84" s="220"/>
    </row>
    <row r="85" spans="1:40" x14ac:dyDescent="0.2">
      <c r="A85" s="220"/>
      <c r="B85" s="250"/>
      <c r="C85"/>
      <c r="D85"/>
      <c r="E85"/>
      <c r="F85"/>
      <c r="G85"/>
      <c r="H85" s="252"/>
      <c r="I85" s="2"/>
      <c r="J85" s="252"/>
      <c r="K85" s="252"/>
      <c r="L85" s="252"/>
      <c r="M85" s="252"/>
      <c r="N85" s="252"/>
      <c r="O85" s="252"/>
      <c r="P85" s="252"/>
      <c r="Q85" s="252"/>
      <c r="R85" s="221"/>
      <c r="S85" s="221"/>
      <c r="T85" s="221"/>
      <c r="U85" s="221"/>
      <c r="V85" s="220"/>
      <c r="W85" s="220"/>
      <c r="X85" s="220"/>
      <c r="Y85" s="221"/>
      <c r="Z85" s="221"/>
      <c r="AA85" s="221"/>
      <c r="AE85" s="220"/>
      <c r="AF85" s="220"/>
      <c r="AG85" s="220"/>
      <c r="AH85" s="220"/>
      <c r="AI85" s="220"/>
      <c r="AJ85" s="220"/>
      <c r="AK85" s="220"/>
      <c r="AL85" s="220"/>
      <c r="AM85" s="220"/>
      <c r="AN85" s="220"/>
    </row>
    <row r="86" spans="1:40" x14ac:dyDescent="0.2">
      <c r="A86" s="220"/>
      <c r="B86" s="250"/>
      <c r="C86"/>
      <c r="D86"/>
      <c r="E86"/>
      <c r="F86"/>
      <c r="G86"/>
      <c r="H86" s="252"/>
      <c r="I86" s="2"/>
      <c r="J86" s="252"/>
      <c r="K86" s="252"/>
      <c r="L86" s="252"/>
      <c r="M86" s="252"/>
      <c r="N86" s="252"/>
      <c r="O86" s="252"/>
      <c r="P86" s="252"/>
      <c r="Q86" s="252"/>
      <c r="R86" s="221"/>
      <c r="S86" s="221"/>
      <c r="T86" s="221"/>
      <c r="U86" s="221"/>
      <c r="V86" s="220"/>
      <c r="W86" s="220"/>
      <c r="X86" s="220"/>
      <c r="Y86" s="221"/>
      <c r="Z86" s="221"/>
      <c r="AA86" s="221"/>
      <c r="AE86" s="220"/>
      <c r="AF86" s="220"/>
      <c r="AG86" s="220"/>
      <c r="AH86" s="220"/>
      <c r="AI86" s="220"/>
      <c r="AJ86" s="220"/>
      <c r="AK86" s="220"/>
      <c r="AL86" s="220"/>
      <c r="AM86" s="220"/>
      <c r="AN86" s="220"/>
    </row>
    <row r="87" spans="1:40" x14ac:dyDescent="0.2">
      <c r="A87" s="220"/>
      <c r="B87" s="250"/>
      <c r="C87"/>
      <c r="D87"/>
      <c r="E87"/>
      <c r="F87"/>
      <c r="G87"/>
      <c r="H87" s="252"/>
      <c r="I87" s="2"/>
      <c r="J87" s="252"/>
      <c r="K87" s="252"/>
      <c r="L87" s="252"/>
      <c r="M87" s="252"/>
      <c r="N87" s="252"/>
      <c r="O87" s="252"/>
      <c r="P87" s="252"/>
      <c r="Q87" s="252"/>
      <c r="R87" s="221"/>
      <c r="S87" s="221"/>
      <c r="T87" s="221"/>
      <c r="U87" s="221"/>
      <c r="V87" s="220"/>
      <c r="W87" s="220"/>
      <c r="X87" s="220"/>
      <c r="Y87" s="221"/>
      <c r="Z87" s="221"/>
      <c r="AA87" s="221"/>
      <c r="AE87" s="220"/>
      <c r="AF87" s="220"/>
      <c r="AG87" s="220"/>
      <c r="AH87" s="220"/>
      <c r="AI87" s="220"/>
      <c r="AJ87" s="220"/>
      <c r="AK87" s="220"/>
      <c r="AL87" s="220"/>
      <c r="AM87" s="220"/>
      <c r="AN87" s="220"/>
    </row>
    <row r="88" spans="1:40" x14ac:dyDescent="0.2">
      <c r="A88" s="220"/>
      <c r="B88" s="250"/>
      <c r="C88"/>
      <c r="D88"/>
      <c r="E88"/>
      <c r="F88"/>
      <c r="G88"/>
      <c r="H88" s="252"/>
      <c r="I88" s="2"/>
      <c r="J88" s="252"/>
      <c r="K88" s="252"/>
      <c r="L88" s="252"/>
      <c r="M88" s="252"/>
      <c r="N88" s="252"/>
      <c r="O88" s="252"/>
      <c r="P88" s="252"/>
      <c r="Q88" s="252"/>
      <c r="R88" s="221"/>
      <c r="S88" s="221"/>
      <c r="T88" s="221"/>
      <c r="U88" s="221"/>
      <c r="V88" s="220"/>
      <c r="W88" s="220"/>
      <c r="X88" s="220"/>
      <c r="Y88" s="221"/>
      <c r="Z88" s="221"/>
      <c r="AA88" s="221"/>
      <c r="AE88" s="220"/>
      <c r="AF88" s="220"/>
      <c r="AG88" s="220"/>
      <c r="AH88" s="220"/>
      <c r="AI88" s="220"/>
      <c r="AJ88" s="220"/>
      <c r="AK88" s="220"/>
      <c r="AL88" s="220"/>
      <c r="AM88" s="220"/>
      <c r="AN88" s="220"/>
    </row>
    <row r="89" spans="1:40" x14ac:dyDescent="0.2">
      <c r="A89" s="220"/>
      <c r="B89" s="250"/>
      <c r="C89"/>
      <c r="D89"/>
      <c r="E89"/>
      <c r="F89"/>
      <c r="G89"/>
      <c r="H89" s="252"/>
      <c r="I89" s="2"/>
      <c r="J89" s="252"/>
      <c r="K89" s="252"/>
      <c r="L89" s="252"/>
      <c r="M89" s="252"/>
      <c r="N89" s="252"/>
      <c r="O89" s="252"/>
      <c r="P89" s="252"/>
      <c r="Q89" s="252"/>
      <c r="R89" s="221"/>
      <c r="S89" s="221"/>
      <c r="T89" s="221"/>
      <c r="U89" s="221"/>
      <c r="V89" s="220"/>
      <c r="W89" s="220"/>
      <c r="X89" s="220"/>
      <c r="Y89" s="221"/>
      <c r="Z89" s="221"/>
      <c r="AA89" s="221"/>
      <c r="AE89" s="220"/>
      <c r="AF89" s="220"/>
      <c r="AG89" s="220"/>
      <c r="AH89" s="220"/>
      <c r="AI89" s="220"/>
      <c r="AJ89" s="220"/>
      <c r="AK89" s="220"/>
      <c r="AL89" s="220"/>
      <c r="AM89" s="220"/>
      <c r="AN89" s="220"/>
    </row>
    <row r="90" spans="1:40" x14ac:dyDescent="0.2">
      <c r="A90" s="220"/>
      <c r="B90" s="250"/>
      <c r="C90"/>
      <c r="D90"/>
      <c r="E90"/>
      <c r="F90"/>
      <c r="G90"/>
      <c r="H90" s="252"/>
      <c r="I90" s="2"/>
      <c r="J90" s="252"/>
      <c r="K90" s="252"/>
      <c r="L90" s="252"/>
      <c r="M90" s="252"/>
      <c r="N90" s="252"/>
      <c r="O90" s="252"/>
      <c r="P90" s="252"/>
      <c r="Q90" s="252"/>
      <c r="R90" s="221"/>
      <c r="S90" s="221"/>
      <c r="T90" s="221"/>
      <c r="U90" s="221"/>
      <c r="V90" s="220"/>
      <c r="W90" s="220"/>
      <c r="X90" s="220"/>
      <c r="Y90" s="221"/>
      <c r="Z90" s="221"/>
      <c r="AA90" s="221"/>
      <c r="AE90" s="220"/>
      <c r="AF90" s="220"/>
      <c r="AG90" s="220"/>
      <c r="AH90" s="220"/>
      <c r="AI90" s="220"/>
      <c r="AJ90" s="220"/>
      <c r="AK90" s="220"/>
      <c r="AL90" s="220"/>
      <c r="AM90" s="220"/>
      <c r="AN90" s="220"/>
    </row>
    <row r="91" spans="1:40" x14ac:dyDescent="0.2">
      <c r="A91" s="220"/>
      <c r="B91" s="250"/>
      <c r="C91"/>
      <c r="D91"/>
      <c r="E91"/>
      <c r="F91"/>
      <c r="G91"/>
      <c r="H91" s="252"/>
      <c r="I91" s="2"/>
      <c r="J91" s="252"/>
      <c r="K91" s="252"/>
      <c r="L91" s="252"/>
      <c r="M91" s="252"/>
      <c r="N91" s="252"/>
      <c r="O91" s="252"/>
      <c r="P91" s="252"/>
      <c r="Q91" s="252"/>
      <c r="R91" s="221"/>
      <c r="S91" s="221"/>
      <c r="T91" s="221"/>
      <c r="U91" s="221"/>
      <c r="V91" s="220"/>
      <c r="W91" s="220"/>
      <c r="X91" s="220"/>
      <c r="Y91" s="221"/>
      <c r="Z91" s="221"/>
      <c r="AA91" s="221"/>
      <c r="AE91" s="220"/>
      <c r="AF91" s="220"/>
      <c r="AG91" s="220"/>
      <c r="AH91" s="220"/>
      <c r="AI91" s="220"/>
      <c r="AJ91" s="220"/>
      <c r="AK91" s="220"/>
      <c r="AL91" s="220"/>
      <c r="AM91" s="220"/>
      <c r="AN91" s="220"/>
    </row>
    <row r="92" spans="1:40" x14ac:dyDescent="0.2">
      <c r="A92" s="220"/>
      <c r="B92" s="250"/>
      <c r="C92"/>
      <c r="D92"/>
      <c r="E92"/>
      <c r="F92"/>
      <c r="G92"/>
      <c r="H92" s="252"/>
      <c r="I92" s="2"/>
      <c r="J92" s="252"/>
      <c r="K92" s="252"/>
      <c r="L92" s="252"/>
      <c r="M92" s="252"/>
      <c r="N92" s="252"/>
      <c r="O92" s="252"/>
      <c r="P92" s="252"/>
      <c r="Q92" s="252"/>
      <c r="R92" s="221"/>
      <c r="S92" s="221"/>
      <c r="T92" s="221"/>
      <c r="U92" s="221"/>
      <c r="V92" s="220"/>
      <c r="W92" s="220"/>
      <c r="X92" s="220"/>
      <c r="Y92" s="221"/>
      <c r="Z92" s="221"/>
      <c r="AA92" s="221"/>
      <c r="AE92" s="220"/>
      <c r="AF92" s="220"/>
      <c r="AG92" s="220"/>
      <c r="AH92" s="220"/>
      <c r="AI92" s="220"/>
      <c r="AJ92" s="220"/>
      <c r="AK92" s="220"/>
      <c r="AL92" s="220"/>
      <c r="AM92" s="220"/>
      <c r="AN92" s="220"/>
    </row>
    <row r="93" spans="1:40" x14ac:dyDescent="0.2">
      <c r="A93" s="220"/>
      <c r="B93" s="250"/>
      <c r="C93"/>
      <c r="D93"/>
      <c r="E93"/>
      <c r="F93"/>
      <c r="G93"/>
      <c r="H93" s="252"/>
      <c r="I93" s="2"/>
      <c r="J93" s="252"/>
      <c r="K93" s="252"/>
      <c r="L93" s="252"/>
      <c r="M93" s="252"/>
      <c r="N93" s="252"/>
      <c r="O93" s="252"/>
      <c r="P93" s="252"/>
      <c r="Q93" s="252"/>
      <c r="R93" s="221"/>
      <c r="S93" s="221"/>
      <c r="T93" s="221"/>
      <c r="U93" s="221"/>
      <c r="V93" s="220"/>
      <c r="W93" s="220"/>
      <c r="X93" s="220"/>
      <c r="Y93" s="221"/>
      <c r="Z93" s="221"/>
      <c r="AA93" s="221"/>
      <c r="AE93" s="220"/>
      <c r="AF93" s="220"/>
      <c r="AG93" s="220"/>
      <c r="AH93" s="220"/>
      <c r="AI93" s="220"/>
      <c r="AJ93" s="220"/>
      <c r="AK93" s="220"/>
      <c r="AL93" s="220"/>
      <c r="AM93" s="220"/>
      <c r="AN93" s="220"/>
    </row>
    <row r="94" spans="1:40" x14ac:dyDescent="0.2">
      <c r="A94" s="220"/>
      <c r="B94" s="250"/>
      <c r="C94"/>
      <c r="D94"/>
      <c r="E94"/>
      <c r="F94"/>
      <c r="G94"/>
      <c r="H94" s="252"/>
      <c r="I94" s="2"/>
      <c r="J94" s="252"/>
      <c r="K94" s="252"/>
      <c r="L94" s="252"/>
      <c r="M94" s="252"/>
      <c r="N94" s="252"/>
      <c r="O94" s="252"/>
      <c r="P94" s="252"/>
      <c r="Q94" s="252"/>
      <c r="R94" s="221"/>
      <c r="S94" s="221"/>
      <c r="T94" s="221"/>
      <c r="U94" s="221"/>
      <c r="V94" s="220"/>
      <c r="W94" s="220"/>
      <c r="X94" s="220"/>
      <c r="Y94" s="221"/>
      <c r="Z94" s="221"/>
      <c r="AA94" s="221"/>
      <c r="AE94" s="220"/>
      <c r="AF94" s="220"/>
      <c r="AG94" s="220"/>
      <c r="AH94" s="220"/>
      <c r="AI94" s="220"/>
      <c r="AJ94" s="220"/>
      <c r="AK94" s="220"/>
      <c r="AL94" s="220"/>
      <c r="AM94" s="220"/>
      <c r="AN94" s="220"/>
    </row>
    <row r="95" spans="1:40" x14ac:dyDescent="0.2">
      <c r="A95" s="220"/>
      <c r="B95" s="250"/>
      <c r="C95"/>
      <c r="D95"/>
      <c r="E95"/>
      <c r="F95"/>
      <c r="G95"/>
      <c r="H95" s="252"/>
      <c r="I95" s="2"/>
      <c r="J95" s="252"/>
      <c r="K95" s="252"/>
      <c r="L95" s="252"/>
      <c r="M95" s="252"/>
      <c r="N95" s="252"/>
      <c r="O95" s="252"/>
      <c r="P95" s="252"/>
      <c r="Q95" s="252"/>
      <c r="R95" s="221"/>
      <c r="S95" s="221"/>
      <c r="T95" s="221"/>
      <c r="U95" s="221"/>
      <c r="V95" s="220"/>
      <c r="W95" s="220"/>
      <c r="X95" s="220"/>
      <c r="Y95" s="221"/>
      <c r="Z95" s="221"/>
      <c r="AA95" s="221"/>
      <c r="AE95" s="220"/>
      <c r="AF95" s="220"/>
      <c r="AG95" s="220"/>
      <c r="AH95" s="220"/>
      <c r="AI95" s="220"/>
      <c r="AJ95" s="220"/>
      <c r="AK95" s="220"/>
      <c r="AL95" s="220"/>
      <c r="AM95" s="220"/>
      <c r="AN95" s="220"/>
    </row>
    <row r="96" spans="1:40" x14ac:dyDescent="0.2">
      <c r="A96" s="220"/>
      <c r="B96" s="250"/>
      <c r="C96"/>
      <c r="D96"/>
      <c r="E96"/>
      <c r="F96"/>
      <c r="G96"/>
      <c r="H96" s="252"/>
      <c r="I96" s="2"/>
      <c r="J96" s="252"/>
      <c r="K96" s="252"/>
      <c r="L96" s="252"/>
      <c r="M96" s="252"/>
      <c r="N96" s="252"/>
      <c r="O96" s="252"/>
      <c r="P96" s="252"/>
      <c r="Q96" s="252"/>
      <c r="R96" s="221"/>
      <c r="S96" s="221"/>
      <c r="T96" s="221"/>
      <c r="U96" s="221"/>
      <c r="V96" s="220"/>
      <c r="W96" s="220"/>
      <c r="X96" s="220"/>
      <c r="Y96" s="221"/>
      <c r="Z96" s="221"/>
      <c r="AA96" s="221"/>
      <c r="AE96" s="220"/>
      <c r="AF96" s="220"/>
      <c r="AG96" s="220"/>
      <c r="AH96" s="220"/>
      <c r="AI96" s="220"/>
      <c r="AJ96" s="220"/>
      <c r="AK96" s="220"/>
      <c r="AL96" s="220"/>
      <c r="AM96" s="220"/>
      <c r="AN96" s="220"/>
    </row>
    <row r="97" spans="1:40" x14ac:dyDescent="0.2">
      <c r="A97" s="220"/>
      <c r="B97" s="234"/>
      <c r="C97" s="234"/>
      <c r="D97" s="236"/>
      <c r="E97" s="236"/>
      <c r="F97" s="236"/>
      <c r="G97" s="236"/>
      <c r="H97" s="236"/>
      <c r="I97" s="404"/>
      <c r="J97" s="374"/>
      <c r="K97" s="236"/>
      <c r="L97" s="236"/>
      <c r="M97" s="236"/>
      <c r="N97" s="374"/>
      <c r="O97" s="236"/>
      <c r="P97" s="236"/>
      <c r="Q97" s="236"/>
      <c r="R97" s="221"/>
      <c r="S97" s="221"/>
      <c r="T97" s="221"/>
      <c r="U97" s="221"/>
      <c r="V97" s="220"/>
      <c r="W97" s="220"/>
      <c r="X97" s="220"/>
      <c r="Y97" s="221"/>
      <c r="Z97" s="221"/>
      <c r="AA97" s="221"/>
      <c r="AE97" s="220"/>
      <c r="AF97" s="220"/>
      <c r="AG97" s="220"/>
      <c r="AH97" s="220"/>
      <c r="AI97" s="220"/>
      <c r="AJ97" s="220"/>
      <c r="AK97" s="220"/>
      <c r="AL97" s="220"/>
      <c r="AM97" s="220"/>
      <c r="AN97" s="220"/>
    </row>
    <row r="98" spans="1:40" x14ac:dyDescent="0.2">
      <c r="A98" s="220"/>
      <c r="B98" s="234"/>
      <c r="C98" s="234"/>
      <c r="D98" s="236"/>
      <c r="E98" s="236"/>
      <c r="F98" s="236"/>
      <c r="G98" s="236"/>
      <c r="H98" s="236"/>
      <c r="I98" s="404"/>
      <c r="J98" s="374"/>
      <c r="K98" s="236"/>
      <c r="L98" s="236"/>
      <c r="M98" s="236"/>
      <c r="N98" s="374"/>
      <c r="O98" s="236"/>
      <c r="P98" s="236"/>
      <c r="Q98" s="236"/>
      <c r="R98" s="221"/>
      <c r="S98" s="221"/>
      <c r="T98" s="221"/>
      <c r="U98" s="221"/>
      <c r="V98" s="220"/>
      <c r="W98" s="220"/>
      <c r="X98" s="220"/>
      <c r="Y98" s="221"/>
      <c r="Z98" s="221"/>
      <c r="AA98" s="221"/>
      <c r="AE98" s="220"/>
      <c r="AF98" s="220"/>
      <c r="AG98" s="220"/>
      <c r="AH98" s="220"/>
      <c r="AI98" s="220"/>
      <c r="AJ98" s="220"/>
      <c r="AK98" s="220"/>
      <c r="AL98" s="220"/>
      <c r="AM98" s="220"/>
      <c r="AN98" s="220"/>
    </row>
    <row r="99" spans="1:40" x14ac:dyDescent="0.2">
      <c r="A99" s="220"/>
      <c r="B99" s="234"/>
      <c r="C99" s="234"/>
      <c r="D99" s="236"/>
      <c r="E99" s="236"/>
      <c r="F99" s="236"/>
      <c r="G99" s="236"/>
      <c r="H99" s="236"/>
      <c r="I99" s="404"/>
      <c r="J99" s="236"/>
      <c r="K99" s="236"/>
      <c r="L99" s="236"/>
      <c r="M99" s="236"/>
      <c r="N99" s="236"/>
      <c r="O99" s="236"/>
      <c r="P99" s="236"/>
      <c r="Q99" s="236"/>
      <c r="R99" s="221"/>
      <c r="S99" s="221"/>
      <c r="T99" s="221"/>
      <c r="U99" s="221"/>
      <c r="V99" s="220"/>
      <c r="W99" s="220"/>
      <c r="X99" s="220"/>
      <c r="Y99" s="221"/>
      <c r="Z99" s="221"/>
      <c r="AA99" s="221"/>
      <c r="AE99" s="220"/>
      <c r="AF99" s="220"/>
      <c r="AG99" s="220"/>
      <c r="AH99" s="220"/>
      <c r="AI99" s="220"/>
      <c r="AJ99" s="220"/>
      <c r="AK99" s="220"/>
      <c r="AL99" s="220"/>
      <c r="AM99" s="220"/>
      <c r="AN99" s="220"/>
    </row>
    <row r="100" spans="1:40" x14ac:dyDescent="0.2">
      <c r="A100" s="220"/>
      <c r="B100" s="234"/>
      <c r="C100" s="234"/>
      <c r="D100" s="236"/>
      <c r="E100" s="236"/>
      <c r="F100" s="236"/>
      <c r="G100" s="236"/>
      <c r="H100" s="236"/>
      <c r="I100" s="404"/>
      <c r="J100" s="236"/>
      <c r="K100" s="236"/>
      <c r="L100" s="236"/>
      <c r="M100" s="236"/>
      <c r="N100" s="236"/>
      <c r="O100" s="236"/>
      <c r="P100" s="236"/>
      <c r="Q100" s="236"/>
      <c r="R100" s="221"/>
      <c r="S100" s="221"/>
      <c r="T100" s="221"/>
      <c r="U100" s="221"/>
      <c r="V100" s="220"/>
      <c r="W100" s="220"/>
      <c r="X100" s="220"/>
      <c r="Y100" s="221"/>
      <c r="Z100" s="221"/>
      <c r="AA100" s="221"/>
      <c r="AE100" s="220"/>
      <c r="AF100" s="220"/>
      <c r="AG100" s="220"/>
      <c r="AH100" s="220"/>
      <c r="AI100" s="220"/>
      <c r="AJ100" s="220"/>
      <c r="AK100" s="220"/>
      <c r="AL100" s="220"/>
      <c r="AM100" s="220"/>
      <c r="AN100" s="220"/>
    </row>
    <row r="101" spans="1:40" x14ac:dyDescent="0.2">
      <c r="A101" s="220"/>
      <c r="B101" s="234"/>
      <c r="C101" s="234"/>
      <c r="D101" s="236"/>
      <c r="E101" s="236"/>
      <c r="F101" s="236"/>
      <c r="G101" s="236"/>
      <c r="H101" s="236"/>
      <c r="I101" s="404"/>
      <c r="J101" s="236"/>
      <c r="K101" s="236"/>
      <c r="L101" s="236"/>
      <c r="M101" s="236"/>
      <c r="N101" s="236"/>
      <c r="O101" s="236"/>
      <c r="P101" s="236"/>
      <c r="Q101" s="236"/>
      <c r="R101" s="221"/>
      <c r="S101" s="221"/>
      <c r="T101" s="221"/>
      <c r="U101" s="221"/>
      <c r="V101" s="220"/>
      <c r="W101" s="220"/>
      <c r="X101" s="220"/>
      <c r="Y101" s="221"/>
      <c r="Z101" s="221"/>
      <c r="AA101" s="221"/>
      <c r="AE101" s="220"/>
      <c r="AF101" s="220"/>
      <c r="AG101" s="220"/>
      <c r="AH101" s="220"/>
      <c r="AI101" s="220"/>
      <c r="AJ101" s="220"/>
      <c r="AK101" s="220"/>
      <c r="AL101" s="220"/>
      <c r="AM101" s="220"/>
      <c r="AN101" s="220"/>
    </row>
    <row r="102" spans="1:40" x14ac:dyDescent="0.2">
      <c r="A102" s="220"/>
      <c r="B102" s="234"/>
      <c r="C102" s="234"/>
      <c r="D102" s="236"/>
      <c r="E102" s="236"/>
      <c r="F102" s="236"/>
      <c r="G102" s="236"/>
      <c r="H102" s="236"/>
      <c r="I102" s="404"/>
      <c r="J102" s="236"/>
      <c r="K102" s="236"/>
      <c r="L102" s="236"/>
      <c r="M102" s="236"/>
      <c r="N102" s="236"/>
      <c r="O102" s="236"/>
      <c r="P102" s="236"/>
      <c r="Q102" s="236"/>
      <c r="R102" s="221"/>
      <c r="S102" s="221"/>
      <c r="T102" s="221"/>
      <c r="U102" s="221"/>
      <c r="V102" s="220"/>
      <c r="W102" s="220"/>
      <c r="X102" s="220"/>
      <c r="Y102" s="221"/>
      <c r="Z102" s="221"/>
      <c r="AA102" s="221"/>
      <c r="AE102" s="220"/>
      <c r="AF102" s="220"/>
      <c r="AG102" s="220"/>
      <c r="AH102" s="220"/>
      <c r="AI102" s="220"/>
      <c r="AJ102" s="220"/>
      <c r="AK102" s="220"/>
      <c r="AL102" s="220"/>
      <c r="AM102" s="220"/>
      <c r="AN102" s="220"/>
    </row>
    <row r="103" spans="1:40" x14ac:dyDescent="0.2">
      <c r="A103" s="220"/>
      <c r="B103" s="234"/>
      <c r="C103" s="234"/>
      <c r="D103" s="236"/>
      <c r="E103" s="236"/>
      <c r="F103" s="236"/>
      <c r="G103" s="236"/>
      <c r="H103" s="236"/>
      <c r="I103" s="404"/>
      <c r="J103" s="236"/>
      <c r="K103" s="236"/>
      <c r="L103" s="236"/>
      <c r="M103" s="236"/>
      <c r="N103" s="236"/>
      <c r="O103" s="236"/>
      <c r="P103" s="236"/>
      <c r="Q103" s="236"/>
      <c r="R103" s="221"/>
      <c r="S103" s="221"/>
      <c r="T103" s="221"/>
      <c r="U103" s="221"/>
      <c r="V103" s="220"/>
      <c r="W103" s="220"/>
      <c r="X103" s="220"/>
      <c r="Y103" s="221"/>
      <c r="Z103" s="221"/>
      <c r="AA103" s="221"/>
      <c r="AF103" s="220"/>
      <c r="AG103" s="220"/>
      <c r="AH103" s="220"/>
      <c r="AI103" s="220"/>
      <c r="AJ103" s="220"/>
      <c r="AK103" s="220"/>
      <c r="AL103" s="220"/>
      <c r="AM103" s="220"/>
      <c r="AN103" s="220"/>
    </row>
    <row r="104" spans="1:40" x14ac:dyDescent="0.2">
      <c r="A104" s="220"/>
      <c r="B104" s="234"/>
      <c r="C104" s="234"/>
      <c r="D104" s="236"/>
      <c r="E104" s="236"/>
      <c r="F104" s="236"/>
      <c r="G104" s="236"/>
      <c r="H104" s="236"/>
      <c r="I104" s="404"/>
      <c r="J104" s="236"/>
      <c r="K104" s="236"/>
      <c r="L104" s="236"/>
      <c r="M104" s="236"/>
      <c r="N104" s="236"/>
      <c r="O104" s="236"/>
      <c r="P104" s="236"/>
      <c r="Q104" s="236"/>
      <c r="R104" s="221"/>
      <c r="S104" s="221"/>
      <c r="T104" s="221"/>
      <c r="U104" s="221"/>
      <c r="V104" s="220"/>
      <c r="W104" s="220"/>
      <c r="X104" s="220"/>
      <c r="Y104" s="221"/>
      <c r="Z104" s="221"/>
      <c r="AA104" s="221"/>
      <c r="AF104" s="220"/>
      <c r="AG104" s="220"/>
      <c r="AH104" s="220"/>
      <c r="AI104" s="220"/>
      <c r="AJ104" s="220"/>
      <c r="AK104" s="220"/>
      <c r="AL104" s="220"/>
      <c r="AM104" s="220"/>
      <c r="AN104" s="220"/>
    </row>
    <row r="105" spans="1:40" x14ac:dyDescent="0.2">
      <c r="A105" s="220"/>
      <c r="B105" s="234"/>
      <c r="C105" s="234"/>
      <c r="D105" s="236"/>
      <c r="E105" s="236"/>
      <c r="F105" s="236"/>
      <c r="G105" s="236"/>
      <c r="H105" s="236"/>
      <c r="I105" s="404"/>
      <c r="J105" s="236"/>
      <c r="K105" s="236"/>
      <c r="L105" s="236"/>
      <c r="M105" s="236"/>
      <c r="N105" s="236"/>
      <c r="O105" s="236"/>
      <c r="P105" s="236"/>
      <c r="Q105" s="236"/>
      <c r="R105" s="221"/>
      <c r="S105" s="221"/>
      <c r="T105" s="221"/>
      <c r="U105" s="221"/>
      <c r="V105" s="220"/>
      <c r="W105" s="220"/>
      <c r="X105" s="220"/>
      <c r="Y105" s="221"/>
      <c r="Z105" s="221"/>
      <c r="AA105" s="221"/>
      <c r="AF105" s="220"/>
      <c r="AG105" s="220"/>
      <c r="AH105" s="220"/>
      <c r="AI105" s="220"/>
      <c r="AJ105" s="220"/>
      <c r="AK105" s="220"/>
      <c r="AL105" s="220"/>
      <c r="AM105" s="220"/>
      <c r="AN105" s="220"/>
    </row>
    <row r="106" spans="1:40" x14ac:dyDescent="0.2">
      <c r="A106" s="220"/>
      <c r="B106" s="234"/>
      <c r="C106" s="234"/>
      <c r="D106" s="236"/>
      <c r="E106" s="236"/>
      <c r="F106" s="236"/>
      <c r="G106" s="236"/>
      <c r="H106" s="236"/>
      <c r="I106" s="404"/>
      <c r="J106" s="236"/>
      <c r="K106" s="236"/>
      <c r="L106" s="236"/>
      <c r="M106" s="236"/>
      <c r="N106" s="236"/>
      <c r="O106" s="236"/>
      <c r="P106" s="236"/>
      <c r="Q106" s="236"/>
      <c r="R106" s="221"/>
      <c r="S106" s="221"/>
      <c r="T106" s="221"/>
      <c r="U106" s="221"/>
      <c r="V106" s="220"/>
      <c r="W106" s="220"/>
      <c r="X106" s="220"/>
      <c r="Y106" s="221"/>
      <c r="Z106" s="221"/>
      <c r="AA106" s="221"/>
      <c r="AF106" s="220"/>
      <c r="AG106" s="220"/>
      <c r="AH106" s="220"/>
      <c r="AI106" s="220"/>
      <c r="AJ106" s="220"/>
      <c r="AK106" s="220"/>
      <c r="AL106" s="220"/>
      <c r="AM106" s="220"/>
      <c r="AN106" s="220"/>
    </row>
    <row r="107" spans="1:40" x14ac:dyDescent="0.2">
      <c r="A107" s="220"/>
      <c r="B107" s="234"/>
      <c r="C107" s="234"/>
      <c r="D107" s="236"/>
      <c r="E107" s="236"/>
      <c r="F107" s="236"/>
      <c r="G107" s="236"/>
      <c r="H107" s="236"/>
      <c r="I107" s="404"/>
      <c r="J107" s="236"/>
      <c r="K107" s="236"/>
      <c r="L107" s="236"/>
      <c r="M107" s="236"/>
      <c r="N107" s="236"/>
      <c r="O107" s="236"/>
      <c r="P107" s="236"/>
      <c r="Q107" s="236"/>
      <c r="R107" s="221"/>
      <c r="S107" s="221"/>
      <c r="T107" s="221"/>
      <c r="U107" s="221"/>
      <c r="V107" s="220"/>
      <c r="W107" s="220"/>
      <c r="X107" s="220"/>
      <c r="Y107" s="221"/>
      <c r="Z107" s="221"/>
      <c r="AA107" s="221"/>
      <c r="AF107" s="220"/>
      <c r="AG107" s="220"/>
      <c r="AH107" s="220"/>
      <c r="AI107" s="220"/>
      <c r="AJ107" s="220"/>
      <c r="AK107" s="220"/>
      <c r="AL107" s="220"/>
      <c r="AM107" s="220"/>
      <c r="AN107" s="220"/>
    </row>
    <row r="108" spans="1:40" x14ac:dyDescent="0.2">
      <c r="A108" s="220"/>
      <c r="B108" s="234"/>
      <c r="C108" s="234"/>
      <c r="D108" s="236"/>
      <c r="E108" s="236"/>
      <c r="F108" s="236"/>
      <c r="G108" s="236"/>
      <c r="H108" s="236"/>
      <c r="I108" s="404"/>
      <c r="J108" s="236"/>
      <c r="K108" s="236"/>
      <c r="L108" s="236"/>
      <c r="M108" s="236"/>
      <c r="N108" s="236"/>
      <c r="O108" s="236"/>
      <c r="P108" s="236"/>
      <c r="Q108" s="236"/>
      <c r="R108" s="221"/>
      <c r="S108" s="221"/>
      <c r="T108" s="221"/>
      <c r="U108" s="221"/>
      <c r="V108" s="220"/>
      <c r="W108" s="220"/>
      <c r="X108" s="220"/>
      <c r="Y108" s="221"/>
      <c r="Z108" s="221"/>
      <c r="AA108" s="221"/>
      <c r="AF108" s="220"/>
      <c r="AG108" s="220"/>
      <c r="AH108" s="220"/>
      <c r="AI108" s="220"/>
      <c r="AJ108" s="220"/>
      <c r="AK108" s="220"/>
      <c r="AL108" s="220"/>
      <c r="AM108" s="220"/>
      <c r="AN108" s="220"/>
    </row>
    <row r="109" spans="1:40" x14ac:dyDescent="0.2">
      <c r="A109" s="220"/>
      <c r="B109" s="234"/>
      <c r="C109" s="234"/>
      <c r="D109" s="236"/>
      <c r="E109" s="236"/>
      <c r="F109" s="236"/>
      <c r="G109" s="236"/>
      <c r="H109" s="236"/>
      <c r="I109" s="404"/>
      <c r="J109" s="236"/>
      <c r="K109" s="236"/>
      <c r="L109" s="236"/>
      <c r="M109" s="236"/>
      <c r="N109" s="236"/>
      <c r="O109" s="236"/>
      <c r="P109" s="236"/>
      <c r="Q109" s="236"/>
      <c r="R109" s="221"/>
      <c r="S109" s="221"/>
      <c r="T109" s="221"/>
      <c r="U109" s="221"/>
      <c r="V109" s="220"/>
      <c r="W109" s="220"/>
      <c r="X109" s="220"/>
      <c r="Y109" s="221"/>
      <c r="Z109" s="221"/>
      <c r="AA109" s="221"/>
      <c r="AF109" s="220"/>
      <c r="AG109" s="220"/>
      <c r="AH109" s="220"/>
      <c r="AI109" s="220"/>
      <c r="AJ109" s="220"/>
      <c r="AK109" s="220"/>
      <c r="AL109" s="220"/>
      <c r="AM109" s="220"/>
      <c r="AN109" s="220"/>
    </row>
    <row r="110" spans="1:40" x14ac:dyDescent="0.2">
      <c r="A110" s="220"/>
      <c r="B110" s="234"/>
      <c r="C110" s="234"/>
      <c r="D110" s="236"/>
      <c r="E110" s="236"/>
      <c r="F110" s="236"/>
      <c r="G110" s="236"/>
      <c r="H110" s="236"/>
      <c r="I110" s="404"/>
      <c r="J110" s="236"/>
      <c r="K110" s="236"/>
      <c r="L110" s="236"/>
      <c r="M110" s="236"/>
      <c r="N110" s="236"/>
      <c r="O110" s="236"/>
      <c r="P110" s="236"/>
      <c r="Q110" s="236"/>
      <c r="R110" s="221"/>
      <c r="S110" s="221"/>
      <c r="T110" s="221"/>
      <c r="U110" s="221"/>
      <c r="V110" s="220"/>
      <c r="W110" s="220"/>
      <c r="X110" s="220"/>
      <c r="Y110" s="221"/>
      <c r="Z110" s="221"/>
      <c r="AA110" s="221"/>
      <c r="AF110" s="220"/>
      <c r="AG110" s="220"/>
      <c r="AH110" s="220"/>
      <c r="AI110" s="220"/>
      <c r="AJ110" s="220"/>
      <c r="AK110" s="220"/>
      <c r="AL110" s="220"/>
      <c r="AM110" s="220"/>
      <c r="AN110" s="220"/>
    </row>
    <row r="111" spans="1:40" x14ac:dyDescent="0.2">
      <c r="A111" s="220"/>
      <c r="B111" s="234"/>
      <c r="C111" s="234"/>
      <c r="D111" s="236"/>
      <c r="E111" s="236"/>
      <c r="F111" s="236"/>
      <c r="G111" s="236"/>
      <c r="H111" s="236"/>
      <c r="I111" s="404"/>
      <c r="J111" s="236"/>
      <c r="K111" s="236"/>
      <c r="L111" s="236"/>
      <c r="M111" s="236"/>
      <c r="N111" s="236"/>
      <c r="O111" s="236"/>
      <c r="P111" s="236"/>
      <c r="Q111" s="236"/>
      <c r="R111" s="221"/>
      <c r="S111" s="221"/>
      <c r="T111" s="221"/>
      <c r="U111" s="221"/>
      <c r="V111" s="220"/>
      <c r="W111" s="220"/>
      <c r="X111" s="220"/>
      <c r="Y111" s="221"/>
      <c r="Z111" s="221"/>
      <c r="AA111" s="221"/>
      <c r="AF111" s="220"/>
      <c r="AG111" s="220"/>
      <c r="AH111" s="220"/>
      <c r="AI111" s="220"/>
      <c r="AJ111" s="220"/>
      <c r="AK111" s="220"/>
      <c r="AL111" s="220"/>
      <c r="AM111" s="220"/>
      <c r="AN111" s="220"/>
    </row>
    <row r="112" spans="1:40" x14ac:dyDescent="0.2">
      <c r="A112" s="220"/>
      <c r="B112" s="234"/>
      <c r="C112" s="234"/>
      <c r="D112" s="236"/>
      <c r="E112" s="236"/>
      <c r="F112" s="236"/>
      <c r="G112" s="236"/>
      <c r="H112" s="236"/>
      <c r="I112" s="404"/>
      <c r="J112" s="236"/>
      <c r="K112" s="236"/>
      <c r="L112" s="236"/>
      <c r="M112" s="236"/>
      <c r="N112" s="236"/>
      <c r="O112" s="236"/>
      <c r="P112" s="236"/>
      <c r="Q112" s="236"/>
      <c r="R112" s="221"/>
      <c r="S112" s="221"/>
      <c r="T112" s="221"/>
      <c r="U112" s="221"/>
      <c r="V112" s="220"/>
      <c r="W112" s="220"/>
      <c r="X112" s="220"/>
      <c r="Y112" s="221"/>
      <c r="Z112" s="221"/>
      <c r="AA112" s="221"/>
      <c r="AF112" s="220"/>
      <c r="AG112" s="220"/>
      <c r="AH112" s="220"/>
      <c r="AI112" s="220"/>
      <c r="AJ112" s="220"/>
      <c r="AK112" s="220"/>
      <c r="AL112" s="220"/>
      <c r="AM112" s="220"/>
      <c r="AN112" s="220"/>
    </row>
    <row r="113" spans="1:40" x14ac:dyDescent="0.2">
      <c r="A113" s="220"/>
      <c r="B113" s="250"/>
      <c r="C113" s="250"/>
      <c r="D113" s="252"/>
      <c r="E113" s="252"/>
      <c r="F113" s="252"/>
      <c r="G113" s="252"/>
      <c r="H113" s="252"/>
      <c r="I113" s="404"/>
      <c r="J113" s="252"/>
      <c r="K113" s="252"/>
      <c r="L113" s="252"/>
      <c r="M113" s="252"/>
      <c r="N113" s="252"/>
      <c r="O113" s="252"/>
      <c r="P113" s="252"/>
      <c r="Q113" s="252"/>
      <c r="R113" s="221"/>
      <c r="S113" s="221"/>
      <c r="T113" s="221"/>
      <c r="U113" s="221"/>
      <c r="V113" s="220"/>
      <c r="W113" s="220"/>
      <c r="X113" s="220"/>
      <c r="Y113" s="221"/>
      <c r="Z113" s="221"/>
      <c r="AA113" s="221"/>
      <c r="AF113" s="220"/>
      <c r="AG113" s="220"/>
      <c r="AH113" s="220"/>
      <c r="AI113" s="220"/>
      <c r="AJ113" s="220"/>
      <c r="AK113" s="220"/>
      <c r="AL113" s="220"/>
      <c r="AM113" s="220"/>
      <c r="AN113" s="220"/>
    </row>
    <row r="114" spans="1:40" x14ac:dyDescent="0.2">
      <c r="A114" s="220"/>
      <c r="B114" s="250"/>
      <c r="C114" s="250"/>
      <c r="D114" s="252"/>
      <c r="E114" s="252"/>
      <c r="F114" s="252"/>
      <c r="G114" s="252"/>
      <c r="H114" s="252"/>
      <c r="I114" s="404"/>
      <c r="J114" s="252"/>
      <c r="K114" s="252"/>
      <c r="L114" s="252"/>
      <c r="M114" s="252"/>
      <c r="N114" s="252"/>
      <c r="O114" s="252"/>
      <c r="P114" s="252"/>
      <c r="Q114" s="252"/>
      <c r="R114" s="221"/>
      <c r="S114" s="221"/>
      <c r="T114" s="221"/>
      <c r="U114" s="221"/>
      <c r="V114" s="220"/>
      <c r="W114" s="220"/>
      <c r="X114" s="220"/>
      <c r="Y114" s="221"/>
      <c r="Z114" s="221"/>
      <c r="AA114" s="221"/>
      <c r="AF114" s="220"/>
      <c r="AG114" s="220"/>
      <c r="AH114" s="220"/>
      <c r="AI114" s="220"/>
      <c r="AJ114" s="220"/>
      <c r="AK114" s="220"/>
      <c r="AL114" s="220"/>
      <c r="AM114" s="220"/>
      <c r="AN114" s="220"/>
    </row>
    <row r="115" spans="1:40" x14ac:dyDescent="0.2">
      <c r="A115" s="220"/>
      <c r="B115" s="250"/>
      <c r="C115" s="250"/>
      <c r="D115" s="252"/>
      <c r="E115" s="252"/>
      <c r="F115" s="252"/>
      <c r="G115" s="252"/>
      <c r="H115" s="252"/>
      <c r="I115" s="404"/>
      <c r="J115" s="252"/>
      <c r="K115" s="252"/>
      <c r="L115" s="252"/>
      <c r="M115" s="252"/>
      <c r="N115" s="252"/>
      <c r="O115" s="252"/>
      <c r="P115" s="252"/>
      <c r="Q115" s="252"/>
      <c r="R115" s="221"/>
      <c r="S115" s="221"/>
      <c r="T115" s="221"/>
      <c r="U115" s="221"/>
      <c r="V115" s="220"/>
      <c r="W115" s="220"/>
      <c r="X115" s="220"/>
      <c r="Y115" s="221"/>
      <c r="Z115" s="221"/>
      <c r="AA115" s="221"/>
      <c r="AF115" s="220"/>
      <c r="AG115" s="220"/>
      <c r="AH115" s="220"/>
      <c r="AI115" s="220"/>
      <c r="AJ115" s="220"/>
      <c r="AK115" s="220"/>
      <c r="AL115" s="220"/>
      <c r="AM115" s="220"/>
      <c r="AN115" s="220"/>
    </row>
    <row r="116" spans="1:40" x14ac:dyDescent="0.2">
      <c r="A116" s="220"/>
      <c r="B116" s="250"/>
      <c r="C116" s="250"/>
      <c r="D116" s="252"/>
      <c r="E116" s="252"/>
      <c r="F116" s="252"/>
      <c r="G116" s="252"/>
      <c r="H116" s="252"/>
      <c r="I116" s="406"/>
      <c r="J116" s="252"/>
      <c r="K116" s="252"/>
      <c r="L116" s="252"/>
      <c r="M116" s="252"/>
      <c r="N116" s="252"/>
      <c r="O116" s="252"/>
      <c r="P116" s="252"/>
      <c r="Q116" s="252"/>
      <c r="R116" s="221"/>
      <c r="S116" s="221"/>
      <c r="T116" s="221"/>
      <c r="U116" s="221"/>
      <c r="V116" s="220"/>
      <c r="W116" s="220"/>
      <c r="X116" s="220"/>
      <c r="Y116" s="221"/>
      <c r="Z116" s="221"/>
      <c r="AA116" s="221"/>
      <c r="AF116" s="220"/>
      <c r="AG116" s="220"/>
      <c r="AH116" s="220"/>
      <c r="AI116" s="220"/>
      <c r="AJ116" s="220"/>
      <c r="AK116" s="220"/>
      <c r="AL116" s="220"/>
      <c r="AM116" s="220"/>
      <c r="AN116" s="220"/>
    </row>
    <row r="117" spans="1:40" x14ac:dyDescent="0.2">
      <c r="A117" s="220"/>
      <c r="B117" s="250"/>
      <c r="C117" s="250"/>
      <c r="D117" s="252"/>
      <c r="E117" s="252"/>
      <c r="F117" s="252"/>
      <c r="G117" s="252"/>
      <c r="H117" s="252"/>
      <c r="I117" s="2"/>
      <c r="J117" s="252"/>
      <c r="K117" s="252"/>
      <c r="L117" s="252"/>
      <c r="M117" s="252"/>
      <c r="N117" s="252"/>
      <c r="O117" s="252"/>
      <c r="P117" s="252"/>
      <c r="Q117" s="252"/>
      <c r="R117" s="221"/>
      <c r="S117" s="221"/>
      <c r="T117" s="221"/>
      <c r="U117" s="221"/>
      <c r="V117" s="220"/>
      <c r="W117" s="220"/>
      <c r="X117" s="220"/>
      <c r="Y117" s="221"/>
      <c r="Z117" s="221"/>
      <c r="AA117" s="221"/>
      <c r="AF117" s="220"/>
      <c r="AG117" s="220"/>
      <c r="AH117" s="220"/>
      <c r="AI117" s="220"/>
      <c r="AJ117" s="220"/>
      <c r="AK117" s="220"/>
      <c r="AL117" s="220"/>
      <c r="AM117" s="220"/>
      <c r="AN117" s="220"/>
    </row>
    <row r="118" spans="1:40" x14ac:dyDescent="0.2">
      <c r="A118" s="220"/>
      <c r="B118" s="250"/>
      <c r="C118" s="250"/>
      <c r="D118" s="252"/>
      <c r="E118" s="252"/>
      <c r="F118" s="252"/>
      <c r="G118" s="252"/>
      <c r="H118" s="252"/>
      <c r="I118" s="2"/>
      <c r="J118" s="252"/>
      <c r="K118" s="252"/>
      <c r="L118" s="252"/>
      <c r="M118" s="252"/>
      <c r="N118" s="252"/>
      <c r="O118" s="252"/>
      <c r="P118" s="252"/>
      <c r="Q118" s="252"/>
      <c r="R118" s="221"/>
      <c r="S118" s="221"/>
      <c r="T118" s="221"/>
      <c r="U118" s="221"/>
      <c r="V118" s="220"/>
      <c r="W118" s="220"/>
      <c r="X118" s="220"/>
      <c r="Y118" s="221"/>
      <c r="Z118" s="221"/>
      <c r="AA118" s="221"/>
      <c r="AF118" s="220"/>
      <c r="AG118" s="220"/>
      <c r="AH118" s="220"/>
      <c r="AI118" s="220"/>
      <c r="AJ118" s="220"/>
      <c r="AK118" s="220"/>
      <c r="AL118" s="220"/>
      <c r="AM118" s="220"/>
      <c r="AN118" s="220"/>
    </row>
    <row r="119" spans="1:40" x14ac:dyDescent="0.2">
      <c r="A119" s="220"/>
      <c r="B119" s="250"/>
      <c r="C119" s="250"/>
      <c r="D119" s="252"/>
      <c r="E119" s="252"/>
      <c r="F119" s="252"/>
      <c r="G119" s="252"/>
      <c r="H119" s="252"/>
      <c r="I119" s="2"/>
      <c r="J119" s="252"/>
      <c r="K119" s="252"/>
      <c r="L119" s="252"/>
      <c r="M119" s="252"/>
      <c r="N119" s="252"/>
      <c r="O119" s="252"/>
      <c r="P119" s="252"/>
      <c r="Q119" s="252"/>
      <c r="R119" s="221"/>
      <c r="S119" s="221"/>
      <c r="T119" s="221"/>
      <c r="U119" s="221"/>
      <c r="V119" s="220"/>
      <c r="W119" s="220"/>
      <c r="X119" s="220"/>
      <c r="Y119" s="221"/>
      <c r="Z119" s="221"/>
      <c r="AA119" s="221"/>
      <c r="AF119" s="220"/>
      <c r="AG119" s="220"/>
      <c r="AH119" s="220"/>
      <c r="AI119" s="220"/>
      <c r="AJ119" s="220"/>
      <c r="AK119" s="220"/>
      <c r="AL119" s="220"/>
      <c r="AM119" s="220"/>
      <c r="AN119" s="220"/>
    </row>
    <row r="120" spans="1:40" x14ac:dyDescent="0.2">
      <c r="A120" s="220"/>
      <c r="B120" s="250"/>
      <c r="C120" s="250"/>
      <c r="D120" s="252"/>
      <c r="E120" s="252"/>
      <c r="F120" s="252"/>
      <c r="G120" s="252"/>
      <c r="H120" s="252"/>
      <c r="I120" s="2"/>
      <c r="J120" s="252"/>
      <c r="K120" s="252"/>
      <c r="L120" s="252"/>
      <c r="M120" s="252"/>
      <c r="N120" s="252"/>
      <c r="O120" s="252"/>
      <c r="P120" s="252"/>
      <c r="Q120" s="252"/>
      <c r="R120" s="221"/>
      <c r="S120" s="221"/>
      <c r="T120" s="221"/>
      <c r="U120" s="221"/>
      <c r="V120" s="220"/>
      <c r="W120" s="220"/>
      <c r="X120" s="220"/>
      <c r="Y120" s="221"/>
      <c r="Z120" s="221"/>
      <c r="AA120" s="221"/>
      <c r="AF120" s="220"/>
      <c r="AG120" s="220"/>
      <c r="AH120" s="220"/>
      <c r="AI120" s="220"/>
      <c r="AJ120" s="220"/>
      <c r="AK120" s="220"/>
      <c r="AL120" s="220"/>
      <c r="AM120" s="220"/>
      <c r="AN120" s="220"/>
    </row>
    <row r="121" spans="1:40" x14ac:dyDescent="0.2">
      <c r="A121" s="220"/>
      <c r="B121" s="250"/>
      <c r="C121" s="250"/>
      <c r="D121" s="252"/>
      <c r="E121" s="252"/>
      <c r="F121" s="252"/>
      <c r="G121" s="252"/>
      <c r="H121" s="252"/>
      <c r="I121" s="2"/>
      <c r="J121" s="252"/>
      <c r="K121" s="252"/>
      <c r="L121" s="252"/>
      <c r="M121" s="252"/>
      <c r="N121" s="252"/>
      <c r="O121" s="252"/>
      <c r="P121" s="252"/>
      <c r="Q121" s="252"/>
      <c r="R121" s="221"/>
      <c r="S121" s="221"/>
      <c r="T121" s="221"/>
      <c r="U121" s="221"/>
      <c r="V121" s="220"/>
      <c r="W121" s="220"/>
      <c r="X121" s="220"/>
      <c r="Y121" s="221"/>
      <c r="Z121" s="221"/>
      <c r="AA121" s="221"/>
      <c r="AF121" s="220"/>
      <c r="AG121" s="220"/>
      <c r="AH121" s="220"/>
      <c r="AI121" s="220"/>
      <c r="AJ121" s="220"/>
      <c r="AK121" s="220"/>
      <c r="AL121" s="220"/>
      <c r="AM121" s="220"/>
      <c r="AN121" s="220"/>
    </row>
    <row r="122" spans="1:40" x14ac:dyDescent="0.2">
      <c r="A122" s="220"/>
      <c r="B122" s="250"/>
      <c r="C122" s="250"/>
      <c r="D122" s="252"/>
      <c r="E122" s="252"/>
      <c r="F122" s="252"/>
      <c r="G122" s="252"/>
      <c r="H122" s="252"/>
      <c r="I122" s="2"/>
      <c r="J122" s="252"/>
      <c r="K122" s="252"/>
      <c r="L122" s="252"/>
      <c r="M122" s="252"/>
      <c r="N122" s="252"/>
      <c r="O122" s="252"/>
      <c r="P122" s="252"/>
      <c r="Q122" s="252"/>
      <c r="R122" s="221"/>
      <c r="S122" s="221"/>
      <c r="T122" s="221"/>
      <c r="U122" s="221"/>
      <c r="V122" s="220"/>
      <c r="W122" s="220"/>
      <c r="X122" s="220"/>
      <c r="Y122" s="221"/>
      <c r="Z122" s="221"/>
      <c r="AA122" s="221"/>
      <c r="AF122" s="220"/>
      <c r="AG122" s="220"/>
      <c r="AH122" s="220"/>
      <c r="AI122" s="220"/>
      <c r="AJ122" s="220"/>
      <c r="AK122" s="220"/>
      <c r="AL122" s="220"/>
      <c r="AM122" s="220"/>
      <c r="AN122" s="220"/>
    </row>
    <row r="123" spans="1:40" x14ac:dyDescent="0.2">
      <c r="A123" s="220"/>
      <c r="B123" s="250"/>
      <c r="C123" s="250"/>
      <c r="D123" s="252"/>
      <c r="E123" s="252"/>
      <c r="F123" s="252"/>
      <c r="G123" s="252"/>
      <c r="H123" s="252"/>
      <c r="I123" s="2"/>
      <c r="J123" s="252"/>
      <c r="K123" s="252"/>
      <c r="L123" s="252"/>
      <c r="M123" s="252"/>
      <c r="N123" s="252"/>
      <c r="O123" s="252"/>
      <c r="P123" s="252"/>
      <c r="Q123" s="252"/>
      <c r="R123" s="221"/>
      <c r="S123" s="221"/>
      <c r="T123" s="221"/>
      <c r="U123" s="221"/>
      <c r="V123" s="220"/>
      <c r="W123" s="220"/>
      <c r="X123" s="220"/>
      <c r="Y123" s="221"/>
      <c r="Z123" s="221"/>
      <c r="AA123" s="221"/>
      <c r="AF123" s="220"/>
      <c r="AG123" s="220"/>
      <c r="AH123" s="220"/>
      <c r="AI123" s="220"/>
      <c r="AJ123" s="220"/>
      <c r="AK123" s="220"/>
      <c r="AL123" s="220"/>
      <c r="AM123" s="220"/>
      <c r="AN123" s="220"/>
    </row>
    <row r="124" spans="1:40" x14ac:dyDescent="0.2">
      <c r="A124" s="220"/>
      <c r="B124" s="250"/>
      <c r="C124" s="250"/>
      <c r="D124" s="252"/>
      <c r="E124" s="252"/>
      <c r="F124" s="252"/>
      <c r="G124" s="252"/>
      <c r="H124" s="252"/>
      <c r="I124" s="2"/>
      <c r="J124" s="252"/>
      <c r="K124" s="252"/>
      <c r="L124" s="252"/>
      <c r="M124" s="252"/>
      <c r="N124" s="252"/>
      <c r="O124" s="252"/>
      <c r="P124" s="252"/>
      <c r="Q124" s="252"/>
      <c r="R124" s="221"/>
      <c r="S124" s="221"/>
      <c r="T124" s="221"/>
      <c r="U124" s="221"/>
      <c r="V124" s="220"/>
      <c r="W124" s="220"/>
      <c r="X124" s="220"/>
      <c r="Y124" s="221"/>
      <c r="Z124" s="221"/>
      <c r="AA124" s="221"/>
      <c r="AF124" s="220"/>
      <c r="AG124" s="220"/>
      <c r="AH124" s="220"/>
      <c r="AI124" s="220"/>
      <c r="AJ124" s="220"/>
      <c r="AK124" s="220"/>
      <c r="AL124" s="220"/>
      <c r="AM124" s="220"/>
      <c r="AN124" s="220"/>
    </row>
    <row r="125" spans="1:40" x14ac:dyDescent="0.2">
      <c r="A125" s="220"/>
      <c r="B125" s="250"/>
      <c r="C125" s="250"/>
      <c r="D125" s="252"/>
      <c r="E125" s="252"/>
      <c r="F125" s="252"/>
      <c r="G125" s="252"/>
      <c r="H125" s="252"/>
      <c r="I125" s="2"/>
      <c r="J125" s="252"/>
      <c r="K125" s="252"/>
      <c r="L125" s="252"/>
      <c r="M125" s="252"/>
      <c r="N125" s="252"/>
      <c r="O125" s="252"/>
      <c r="P125" s="252"/>
      <c r="Q125" s="252"/>
      <c r="R125" s="221"/>
      <c r="S125" s="221"/>
      <c r="T125" s="221"/>
      <c r="U125" s="221"/>
      <c r="V125" s="220"/>
      <c r="W125" s="220"/>
      <c r="X125" s="220"/>
      <c r="Y125" s="221"/>
      <c r="Z125" s="221"/>
      <c r="AA125" s="221"/>
      <c r="AF125" s="220"/>
      <c r="AG125" s="220"/>
      <c r="AH125" s="220"/>
      <c r="AI125" s="220"/>
      <c r="AJ125" s="220"/>
      <c r="AK125" s="220"/>
      <c r="AL125" s="220"/>
      <c r="AM125" s="220"/>
      <c r="AN125" s="220"/>
    </row>
    <row r="126" spans="1:40" x14ac:dyDescent="0.2">
      <c r="A126" s="220"/>
      <c r="B126" s="250"/>
      <c r="C126" s="250"/>
      <c r="D126" s="252"/>
      <c r="E126" s="252"/>
      <c r="F126" s="252"/>
      <c r="G126" s="252"/>
      <c r="H126" s="252"/>
      <c r="I126" s="2"/>
      <c r="J126" s="252"/>
      <c r="K126" s="252"/>
      <c r="L126" s="252"/>
      <c r="M126" s="252"/>
      <c r="N126" s="252"/>
      <c r="O126" s="252"/>
      <c r="P126" s="252"/>
      <c r="Q126" s="252"/>
      <c r="R126" s="221"/>
      <c r="S126" s="221"/>
      <c r="T126" s="221"/>
      <c r="U126" s="221"/>
      <c r="V126" s="220"/>
      <c r="W126" s="220"/>
      <c r="X126" s="220"/>
      <c r="Y126" s="221"/>
      <c r="Z126" s="221"/>
      <c r="AA126" s="221"/>
      <c r="AF126" s="220"/>
      <c r="AG126" s="220"/>
      <c r="AH126" s="220"/>
      <c r="AI126" s="220"/>
      <c r="AJ126" s="220"/>
      <c r="AK126" s="220"/>
      <c r="AL126" s="220"/>
      <c r="AM126" s="220"/>
      <c r="AN126" s="220"/>
    </row>
    <row r="127" spans="1:40" x14ac:dyDescent="0.2">
      <c r="A127" s="220"/>
      <c r="B127" s="250"/>
      <c r="C127" s="250"/>
      <c r="D127" s="252"/>
      <c r="E127" s="252"/>
      <c r="F127" s="252"/>
      <c r="G127" s="252"/>
      <c r="H127" s="252"/>
      <c r="I127" s="2"/>
      <c r="J127" s="252"/>
      <c r="K127" s="252"/>
      <c r="L127" s="252"/>
      <c r="M127" s="252"/>
      <c r="N127" s="252"/>
      <c r="O127" s="252"/>
      <c r="P127" s="252"/>
      <c r="Q127" s="252"/>
      <c r="R127" s="221"/>
      <c r="S127" s="221"/>
      <c r="T127" s="221"/>
      <c r="U127" s="221"/>
      <c r="V127" s="220"/>
      <c r="W127" s="220"/>
      <c r="X127" s="220"/>
      <c r="Y127" s="221"/>
      <c r="Z127" s="221"/>
      <c r="AA127" s="221"/>
      <c r="AF127" s="220"/>
      <c r="AG127" s="220"/>
      <c r="AH127" s="220"/>
      <c r="AI127" s="220"/>
      <c r="AJ127" s="220"/>
      <c r="AK127" s="220"/>
      <c r="AL127" s="220"/>
      <c r="AM127" s="220"/>
      <c r="AN127" s="220"/>
    </row>
    <row r="128" spans="1:40" x14ac:dyDescent="0.2">
      <c r="A128" s="220"/>
      <c r="B128" s="250"/>
      <c r="C128" s="250"/>
      <c r="D128" s="252"/>
      <c r="E128" s="252"/>
      <c r="F128" s="252"/>
      <c r="G128" s="252"/>
      <c r="H128" s="252"/>
      <c r="I128" s="2"/>
      <c r="J128" s="252"/>
      <c r="K128" s="252"/>
      <c r="L128" s="252"/>
      <c r="M128" s="252"/>
      <c r="N128" s="252"/>
      <c r="O128" s="252"/>
      <c r="P128" s="252"/>
      <c r="Q128" s="252"/>
      <c r="R128" s="221"/>
      <c r="S128" s="221"/>
      <c r="T128" s="221"/>
      <c r="U128" s="221"/>
      <c r="V128" s="220"/>
      <c r="W128" s="220"/>
      <c r="X128" s="220"/>
      <c r="Y128" s="221"/>
      <c r="Z128" s="221"/>
      <c r="AA128" s="221"/>
      <c r="AF128" s="220"/>
      <c r="AG128" s="220"/>
      <c r="AH128" s="220"/>
      <c r="AI128" s="220"/>
      <c r="AJ128" s="220"/>
      <c r="AK128" s="220"/>
      <c r="AL128" s="220"/>
      <c r="AM128" s="220"/>
      <c r="AN128" s="220"/>
    </row>
    <row r="129" spans="1:40" x14ac:dyDescent="0.2">
      <c r="A129" s="220"/>
      <c r="B129" s="250"/>
      <c r="C129" s="250"/>
      <c r="D129" s="252"/>
      <c r="E129" s="252"/>
      <c r="F129" s="252"/>
      <c r="G129" s="252"/>
      <c r="H129" s="252"/>
      <c r="I129" s="2"/>
      <c r="J129" s="252"/>
      <c r="K129" s="252"/>
      <c r="L129" s="252"/>
      <c r="M129" s="252"/>
      <c r="N129" s="252"/>
      <c r="O129" s="252"/>
      <c r="P129" s="252"/>
      <c r="Q129" s="252"/>
      <c r="R129" s="221"/>
      <c r="S129" s="221"/>
      <c r="T129" s="221"/>
      <c r="U129" s="221"/>
      <c r="V129" s="220"/>
      <c r="W129" s="220"/>
      <c r="X129" s="220"/>
      <c r="Y129" s="221"/>
      <c r="Z129" s="221"/>
      <c r="AA129" s="221"/>
      <c r="AF129" s="220"/>
      <c r="AG129" s="220"/>
      <c r="AH129" s="220"/>
      <c r="AI129" s="220"/>
      <c r="AJ129" s="220"/>
      <c r="AK129" s="220"/>
      <c r="AL129" s="220"/>
      <c r="AM129" s="220"/>
      <c r="AN129" s="220"/>
    </row>
    <row r="130" spans="1:40" x14ac:dyDescent="0.2">
      <c r="A130" s="220"/>
      <c r="B130" s="250"/>
      <c r="C130" s="250"/>
      <c r="D130" s="252"/>
      <c r="E130" s="252"/>
      <c r="F130" s="252"/>
      <c r="G130" s="252"/>
      <c r="H130" s="252"/>
      <c r="I130" s="2"/>
      <c r="J130" s="252"/>
      <c r="K130" s="252"/>
      <c r="L130" s="252"/>
      <c r="M130" s="252"/>
      <c r="N130" s="252"/>
      <c r="O130" s="252"/>
      <c r="P130" s="252"/>
      <c r="Q130" s="252"/>
      <c r="R130" s="221"/>
      <c r="S130" s="221"/>
      <c r="T130" s="221"/>
      <c r="U130" s="221"/>
      <c r="V130" s="220"/>
      <c r="W130" s="220"/>
      <c r="X130" s="220"/>
      <c r="Y130" s="221"/>
      <c r="Z130" s="221"/>
      <c r="AA130" s="221"/>
      <c r="AF130" s="220"/>
      <c r="AG130" s="220"/>
      <c r="AH130" s="220"/>
      <c r="AI130" s="220"/>
      <c r="AJ130" s="220"/>
      <c r="AK130" s="220"/>
      <c r="AL130" s="220"/>
      <c r="AM130" s="220"/>
      <c r="AN130" s="220"/>
    </row>
    <row r="131" spans="1:40" x14ac:dyDescent="0.2">
      <c r="A131" s="220"/>
      <c r="B131" s="250"/>
      <c r="C131" s="250"/>
      <c r="D131" s="252"/>
      <c r="E131" s="252"/>
      <c r="F131" s="252"/>
      <c r="G131" s="252"/>
      <c r="H131" s="252"/>
      <c r="I131" s="2"/>
      <c r="J131" s="252"/>
      <c r="K131" s="252"/>
      <c r="L131" s="252"/>
      <c r="M131" s="252"/>
      <c r="N131" s="252"/>
      <c r="O131" s="252"/>
      <c r="P131" s="252"/>
      <c r="Q131" s="252"/>
      <c r="R131" s="221"/>
      <c r="S131" s="221"/>
      <c r="T131" s="221"/>
      <c r="U131" s="221"/>
      <c r="V131" s="220"/>
      <c r="W131" s="220"/>
      <c r="X131" s="220"/>
      <c r="Y131" s="221"/>
      <c r="Z131" s="221"/>
      <c r="AA131" s="221"/>
      <c r="AF131" s="220"/>
      <c r="AG131" s="220"/>
      <c r="AH131" s="220"/>
      <c r="AI131" s="220"/>
      <c r="AJ131" s="220"/>
      <c r="AK131" s="220"/>
      <c r="AL131" s="220"/>
      <c r="AM131" s="220"/>
      <c r="AN131" s="220"/>
    </row>
    <row r="132" spans="1:40" x14ac:dyDescent="0.2">
      <c r="A132" s="220"/>
      <c r="B132" s="250"/>
      <c r="C132" s="250"/>
      <c r="D132" s="252"/>
      <c r="E132" s="252"/>
      <c r="F132" s="252"/>
      <c r="G132" s="252"/>
      <c r="H132" s="252"/>
      <c r="I132" s="2"/>
      <c r="J132" s="252"/>
      <c r="K132" s="252"/>
      <c r="L132" s="252"/>
      <c r="M132" s="252"/>
      <c r="N132" s="252"/>
      <c r="O132" s="252"/>
      <c r="P132" s="252"/>
      <c r="Q132" s="252"/>
      <c r="R132" s="221"/>
      <c r="S132" s="221"/>
      <c r="T132" s="221"/>
      <c r="U132" s="221"/>
      <c r="V132" s="220"/>
      <c r="W132" s="220"/>
      <c r="X132" s="220"/>
      <c r="Y132" s="221"/>
      <c r="Z132" s="221"/>
      <c r="AA132" s="221"/>
      <c r="AF132" s="220"/>
      <c r="AG132" s="220"/>
      <c r="AH132" s="220"/>
      <c r="AI132" s="220"/>
      <c r="AJ132" s="220"/>
      <c r="AK132" s="220"/>
      <c r="AL132" s="220"/>
      <c r="AM132" s="220"/>
      <c r="AN132" s="220"/>
    </row>
    <row r="133" spans="1:40" x14ac:dyDescent="0.2">
      <c r="A133" s="220"/>
      <c r="B133" s="250"/>
      <c r="C133" s="250"/>
      <c r="D133" s="252"/>
      <c r="E133" s="252"/>
      <c r="F133" s="252"/>
      <c r="G133" s="252"/>
      <c r="H133" s="252"/>
      <c r="I133" s="2"/>
      <c r="J133" s="252"/>
      <c r="K133" s="252"/>
      <c r="L133" s="252"/>
      <c r="M133" s="252"/>
      <c r="N133" s="252"/>
      <c r="O133" s="252"/>
      <c r="P133" s="252"/>
      <c r="Q133" s="252"/>
      <c r="R133" s="221"/>
      <c r="S133" s="221"/>
      <c r="T133" s="221"/>
      <c r="U133" s="221"/>
      <c r="V133" s="220"/>
      <c r="W133" s="220"/>
      <c r="X133" s="220"/>
      <c r="Y133" s="221"/>
      <c r="Z133" s="221"/>
      <c r="AA133" s="221"/>
      <c r="AF133" s="220"/>
      <c r="AG133" s="220"/>
      <c r="AH133" s="220"/>
      <c r="AI133" s="220"/>
      <c r="AJ133" s="220"/>
      <c r="AK133" s="220"/>
      <c r="AL133" s="220"/>
      <c r="AM133" s="220"/>
      <c r="AN133" s="220"/>
    </row>
    <row r="134" spans="1:40" ht="15.75" x14ac:dyDescent="0.25">
      <c r="A134" s="220"/>
      <c r="B134" s="160"/>
      <c r="C134" s="160" t="s">
        <v>59</v>
      </c>
      <c r="D134" s="401">
        <f>SUM(D81:D113)</f>
        <v>0</v>
      </c>
      <c r="E134" s="401">
        <f>SUM(E81:E113)</f>
        <v>0</v>
      </c>
      <c r="F134" s="401"/>
      <c r="G134" s="401">
        <f>SUM(G81:G114)</f>
        <v>0</v>
      </c>
      <c r="H134" s="401">
        <f>SUM(H81:H116)</f>
        <v>0</v>
      </c>
      <c r="I134" s="401">
        <f>SUM(I81:I117)</f>
        <v>0</v>
      </c>
      <c r="J134" s="401">
        <f>SUM(J81:J117)</f>
        <v>0</v>
      </c>
      <c r="K134" s="401">
        <f t="shared" ref="K134" si="51">SUM(K81:K113)</f>
        <v>0</v>
      </c>
      <c r="L134" s="401">
        <f>SUM(L81:L117)</f>
        <v>0</v>
      </c>
      <c r="M134" s="401">
        <f>SUM(M81:M117)</f>
        <v>0</v>
      </c>
      <c r="N134" s="401">
        <f>SUM(N81:N125)</f>
        <v>0</v>
      </c>
      <c r="O134" s="401">
        <f>SUM(O81:O133)</f>
        <v>0</v>
      </c>
      <c r="P134" s="401">
        <f>SUM(P81:P133)</f>
        <v>0</v>
      </c>
      <c r="Q134" s="401">
        <f>SUM(Q81:Q133)</f>
        <v>0</v>
      </c>
      <c r="R134" s="221"/>
      <c r="S134" s="221"/>
      <c r="T134" s="221"/>
      <c r="U134" s="221"/>
      <c r="V134" s="220"/>
      <c r="W134" s="220"/>
      <c r="X134" s="220"/>
      <c r="Y134" s="221"/>
      <c r="Z134" s="221"/>
      <c r="AA134" s="221"/>
      <c r="AF134" s="220"/>
      <c r="AG134" s="220"/>
      <c r="AH134" s="220"/>
      <c r="AI134" s="220"/>
      <c r="AJ134" s="220"/>
      <c r="AK134" s="220"/>
      <c r="AL134" s="220"/>
      <c r="AM134" s="220"/>
      <c r="AN134" s="220"/>
    </row>
    <row r="135" spans="1:40" ht="15.75" x14ac:dyDescent="0.25">
      <c r="A135" s="220"/>
      <c r="B135" s="278"/>
      <c r="C135" s="278"/>
      <c r="D135" s="1"/>
      <c r="E135" s="1"/>
      <c r="F135" s="1"/>
      <c r="G135" s="1"/>
      <c r="H135" s="1"/>
      <c r="I135" s="1"/>
      <c r="J135" s="1"/>
      <c r="K135" s="1"/>
      <c r="L135" s="1"/>
      <c r="M135" s="1"/>
      <c r="N135" s="1"/>
      <c r="O135" s="1"/>
      <c r="P135" s="1"/>
      <c r="Q135" s="1"/>
      <c r="R135" s="221"/>
      <c r="S135" s="221"/>
      <c r="T135" s="221"/>
      <c r="U135" s="221"/>
      <c r="V135" s="220"/>
      <c r="W135" s="220"/>
      <c r="X135" s="220"/>
      <c r="Y135" s="221"/>
      <c r="Z135" s="221"/>
      <c r="AA135" s="221"/>
      <c r="AF135" s="220"/>
      <c r="AG135" s="220"/>
      <c r="AH135" s="220"/>
      <c r="AI135" s="220"/>
      <c r="AJ135" s="220"/>
      <c r="AK135" s="220"/>
      <c r="AL135" s="220"/>
      <c r="AM135" s="220"/>
      <c r="AN135" s="220"/>
    </row>
    <row r="136" spans="1:40" x14ac:dyDescent="0.2">
      <c r="A136" s="220"/>
      <c r="B136" s="220"/>
      <c r="C136" s="220"/>
      <c r="D136" s="221"/>
      <c r="E136" s="221"/>
      <c r="F136" s="221"/>
      <c r="G136" s="221"/>
      <c r="H136" s="221"/>
      <c r="I136" s="221"/>
      <c r="J136" s="221"/>
      <c r="K136" s="221"/>
      <c r="L136" s="221"/>
      <c r="M136" s="221"/>
      <c r="N136" s="221"/>
      <c r="O136" s="221"/>
      <c r="P136" s="221"/>
      <c r="Q136" s="221"/>
      <c r="R136" s="221"/>
      <c r="S136" s="221"/>
      <c r="T136" s="221"/>
      <c r="U136" s="221"/>
      <c r="V136" s="220"/>
      <c r="W136" s="220"/>
      <c r="X136" s="220"/>
      <c r="Y136" s="221"/>
      <c r="Z136" s="221"/>
      <c r="AA136" s="221"/>
      <c r="AF136" s="220"/>
      <c r="AG136" s="220"/>
      <c r="AH136" s="220"/>
      <c r="AI136" s="220"/>
      <c r="AJ136" s="220"/>
      <c r="AK136" s="220"/>
      <c r="AL136" s="220"/>
      <c r="AM136" s="220"/>
      <c r="AN136" s="220"/>
    </row>
    <row r="137" spans="1:40" ht="18" x14ac:dyDescent="0.25">
      <c r="A137" s="220"/>
      <c r="B137" s="220"/>
      <c r="C137" s="409" t="s">
        <v>435</v>
      </c>
      <c r="D137" s="410" t="s">
        <v>430</v>
      </c>
      <c r="E137" s="410" t="s">
        <v>114</v>
      </c>
      <c r="F137" s="410"/>
      <c r="G137" s="410" t="s">
        <v>119</v>
      </c>
      <c r="H137" s="410" t="s">
        <v>117</v>
      </c>
      <c r="I137" s="410" t="s">
        <v>121</v>
      </c>
      <c r="J137" s="410" t="s">
        <v>116</v>
      </c>
      <c r="K137" s="410" t="s">
        <v>428</v>
      </c>
      <c r="L137" s="410" t="s">
        <v>429</v>
      </c>
      <c r="M137" s="410"/>
      <c r="N137" s="410" t="s">
        <v>389</v>
      </c>
      <c r="O137" s="221" t="s">
        <v>432</v>
      </c>
      <c r="P137" s="221" t="s">
        <v>433</v>
      </c>
      <c r="Q137" s="221" t="s">
        <v>434</v>
      </c>
      <c r="R137" s="221"/>
      <c r="S137" s="221"/>
      <c r="T137" s="221"/>
      <c r="U137" s="221"/>
      <c r="V137" s="220"/>
      <c r="W137" s="220"/>
      <c r="X137" s="220"/>
      <c r="Y137" s="221"/>
      <c r="Z137" s="221"/>
      <c r="AA137" s="221"/>
      <c r="AF137" s="220"/>
      <c r="AG137" s="220"/>
      <c r="AH137" s="220"/>
      <c r="AI137" s="220"/>
      <c r="AJ137" s="220"/>
      <c r="AK137" s="220"/>
      <c r="AL137" s="220"/>
      <c r="AM137" s="220"/>
      <c r="AN137" s="220"/>
    </row>
    <row r="138" spans="1:40" ht="18" x14ac:dyDescent="0.25">
      <c r="A138" s="220"/>
      <c r="B138" s="220"/>
      <c r="C138" s="289" t="s">
        <v>431</v>
      </c>
      <c r="D138" s="221">
        <v>7.5</v>
      </c>
      <c r="E138" s="221" t="s">
        <v>35</v>
      </c>
      <c r="F138" s="221"/>
      <c r="G138" s="221" t="s">
        <v>35</v>
      </c>
      <c r="H138" s="221" t="s">
        <v>35</v>
      </c>
      <c r="I138" s="221" t="s">
        <v>35</v>
      </c>
      <c r="J138" s="221" t="s">
        <v>35</v>
      </c>
      <c r="K138" s="221" t="s">
        <v>35</v>
      </c>
      <c r="L138" s="221">
        <v>7.5</v>
      </c>
      <c r="M138" s="221">
        <f>SUM(E138:L138)</f>
        <v>7.5</v>
      </c>
      <c r="N138" s="408">
        <f>M138*30</f>
        <v>225</v>
      </c>
      <c r="O138" s="221">
        <v>225</v>
      </c>
      <c r="P138" s="221" t="s">
        <v>35</v>
      </c>
      <c r="Q138" s="221"/>
      <c r="R138" s="221"/>
      <c r="S138" s="221"/>
      <c r="T138" s="221"/>
      <c r="U138" s="221"/>
      <c r="V138" s="220"/>
      <c r="W138" s="220"/>
      <c r="X138" s="220"/>
      <c r="Y138" s="221"/>
      <c r="Z138" s="221"/>
      <c r="AA138" s="221"/>
      <c r="AF138" s="220"/>
      <c r="AG138" s="220"/>
      <c r="AH138" s="220"/>
      <c r="AI138" s="220"/>
      <c r="AJ138" s="220"/>
      <c r="AK138" s="220"/>
      <c r="AL138" s="220"/>
      <c r="AM138" s="220"/>
      <c r="AN138" s="220"/>
    </row>
    <row r="139" spans="1:40" ht="18" x14ac:dyDescent="0.25">
      <c r="A139" s="220"/>
      <c r="B139" s="220"/>
      <c r="C139" s="234" t="s">
        <v>56</v>
      </c>
      <c r="D139" s="221">
        <v>13</v>
      </c>
      <c r="E139" s="221"/>
      <c r="F139" s="221"/>
      <c r="G139" s="221"/>
      <c r="H139" s="221"/>
      <c r="I139" s="221"/>
      <c r="J139" s="221">
        <v>13</v>
      </c>
      <c r="K139" s="221"/>
      <c r="L139" s="221"/>
      <c r="M139" s="221">
        <f t="shared" ref="M139:M143" si="52">SUM(E139:L139)</f>
        <v>13</v>
      </c>
      <c r="N139" s="408">
        <f t="shared" ref="N139:N145" si="53">M139*30</f>
        <v>390</v>
      </c>
      <c r="O139" s="221" t="s">
        <v>35</v>
      </c>
      <c r="P139" s="221">
        <f>N139</f>
        <v>390</v>
      </c>
      <c r="Q139" s="221"/>
      <c r="R139" s="221"/>
      <c r="S139" s="221"/>
      <c r="T139" s="221"/>
      <c r="U139" s="221"/>
      <c r="V139" s="220"/>
      <c r="W139" s="220"/>
      <c r="Y139" s="221"/>
      <c r="Z139" s="221"/>
      <c r="AA139" s="221"/>
      <c r="AF139" s="220"/>
      <c r="AG139" s="220"/>
      <c r="AH139" s="220"/>
      <c r="AI139" s="220"/>
      <c r="AJ139" s="220"/>
      <c r="AK139" s="220"/>
      <c r="AL139" s="220"/>
      <c r="AM139" s="220"/>
      <c r="AN139" s="220"/>
    </row>
    <row r="140" spans="1:40" ht="18" x14ac:dyDescent="0.25">
      <c r="A140" s="220"/>
      <c r="B140" s="220"/>
      <c r="C140" s="234" t="s">
        <v>24</v>
      </c>
      <c r="D140" s="221">
        <v>8.5</v>
      </c>
      <c r="E140" s="221"/>
      <c r="F140" s="221"/>
      <c r="G140" s="221"/>
      <c r="H140" s="221">
        <v>8.5</v>
      </c>
      <c r="I140" s="221"/>
      <c r="J140" s="221"/>
      <c r="K140" s="221"/>
      <c r="L140" s="221"/>
      <c r="M140" s="221">
        <f t="shared" si="52"/>
        <v>8.5</v>
      </c>
      <c r="N140" s="411">
        <f t="shared" si="53"/>
        <v>255</v>
      </c>
      <c r="O140" s="221" t="s">
        <v>35</v>
      </c>
      <c r="P140" s="221">
        <f>N140</f>
        <v>255</v>
      </c>
      <c r="Q140" s="221"/>
      <c r="R140" s="221" t="s">
        <v>35</v>
      </c>
      <c r="S140" s="221"/>
      <c r="T140" s="221"/>
      <c r="U140" s="221"/>
      <c r="V140" s="220"/>
      <c r="W140" s="220"/>
      <c r="Y140" s="221"/>
      <c r="Z140" s="221"/>
      <c r="AA140" s="221"/>
      <c r="AF140" s="220"/>
      <c r="AG140" s="220"/>
      <c r="AH140" s="220"/>
      <c r="AI140" s="220"/>
      <c r="AJ140" s="220"/>
      <c r="AK140" s="220"/>
      <c r="AL140" s="220"/>
      <c r="AM140" s="220"/>
      <c r="AN140" s="220"/>
    </row>
    <row r="141" spans="1:40" ht="18" x14ac:dyDescent="0.25">
      <c r="A141" s="220"/>
      <c r="B141" s="220"/>
      <c r="C141" s="234" t="s">
        <v>23</v>
      </c>
      <c r="D141" s="221">
        <v>32</v>
      </c>
      <c r="E141" s="221">
        <v>22</v>
      </c>
      <c r="F141" s="221"/>
      <c r="G141" s="221">
        <v>10</v>
      </c>
      <c r="H141" s="221"/>
      <c r="I141" s="221"/>
      <c r="J141" s="221"/>
      <c r="K141" s="221"/>
      <c r="L141" s="221"/>
      <c r="M141" s="221">
        <f t="shared" si="52"/>
        <v>32</v>
      </c>
      <c r="N141" s="408">
        <f t="shared" si="53"/>
        <v>960</v>
      </c>
      <c r="P141" s="221">
        <f>N141</f>
        <v>960</v>
      </c>
      <c r="Q141" s="221"/>
      <c r="R141" s="221"/>
      <c r="S141" s="221"/>
      <c r="T141" s="221"/>
      <c r="U141" s="221"/>
      <c r="V141" s="220"/>
      <c r="W141" s="220"/>
      <c r="Y141" s="221"/>
      <c r="Z141" s="221"/>
      <c r="AA141" s="221"/>
      <c r="AF141" s="220"/>
      <c r="AG141" s="220"/>
      <c r="AH141" s="220"/>
      <c r="AI141" s="220"/>
      <c r="AJ141" s="220"/>
      <c r="AK141" s="220"/>
      <c r="AL141" s="220"/>
      <c r="AM141" s="220"/>
      <c r="AN141" s="220"/>
    </row>
    <row r="142" spans="1:40" ht="18" x14ac:dyDescent="0.25">
      <c r="A142" s="220"/>
      <c r="B142" s="220"/>
      <c r="C142" s="234" t="s">
        <v>22</v>
      </c>
      <c r="D142" s="221">
        <v>19</v>
      </c>
      <c r="E142" s="221"/>
      <c r="F142" s="221"/>
      <c r="G142" s="221"/>
      <c r="H142" s="221"/>
      <c r="I142" s="221">
        <v>19</v>
      </c>
      <c r="J142" s="221"/>
      <c r="K142" s="221"/>
      <c r="L142" s="221"/>
      <c r="M142" s="221">
        <f t="shared" si="52"/>
        <v>19</v>
      </c>
      <c r="N142" s="408">
        <f t="shared" si="53"/>
        <v>570</v>
      </c>
      <c r="O142" s="221">
        <f>N142</f>
        <v>570</v>
      </c>
      <c r="Q142" s="221"/>
      <c r="R142" s="221"/>
      <c r="S142" s="221"/>
      <c r="T142" s="221"/>
      <c r="U142" s="221"/>
      <c r="V142" s="220"/>
      <c r="W142" s="220"/>
      <c r="X142" s="407"/>
      <c r="Y142" s="221"/>
      <c r="Z142" s="221"/>
      <c r="AA142" s="221"/>
      <c r="AF142" s="220"/>
      <c r="AG142" s="220"/>
      <c r="AH142" s="220"/>
      <c r="AI142" s="220"/>
      <c r="AJ142" s="220"/>
      <c r="AK142" s="220"/>
      <c r="AL142" s="220"/>
      <c r="AM142" s="220"/>
      <c r="AN142" s="220"/>
    </row>
    <row r="143" spans="1:40" ht="18" x14ac:dyDescent="0.25">
      <c r="A143" s="407"/>
      <c r="B143" s="220"/>
      <c r="C143" s="234" t="s">
        <v>94</v>
      </c>
      <c r="D143" s="221">
        <v>29</v>
      </c>
      <c r="E143" s="221" t="s">
        <v>35</v>
      </c>
      <c r="F143" s="221"/>
      <c r="G143" s="221"/>
      <c r="H143" s="221"/>
      <c r="I143" s="221"/>
      <c r="J143" s="221"/>
      <c r="K143" s="221">
        <v>29</v>
      </c>
      <c r="L143" s="221"/>
      <c r="M143" s="221">
        <f t="shared" si="52"/>
        <v>29</v>
      </c>
      <c r="N143" s="408">
        <f t="shared" si="53"/>
        <v>870</v>
      </c>
      <c r="O143" s="221" t="s">
        <v>35</v>
      </c>
      <c r="P143" s="221"/>
      <c r="Q143" s="221">
        <f>N143</f>
        <v>870</v>
      </c>
      <c r="R143" s="221"/>
      <c r="S143" s="221"/>
      <c r="T143" s="221"/>
      <c r="U143" s="221"/>
      <c r="V143" s="220"/>
      <c r="W143" s="220"/>
      <c r="Y143" s="221"/>
      <c r="Z143" s="221"/>
      <c r="AA143" s="221"/>
      <c r="AF143" s="220"/>
      <c r="AG143" s="220"/>
      <c r="AH143" s="220"/>
      <c r="AI143" s="220"/>
      <c r="AJ143" s="220"/>
      <c r="AK143" s="220"/>
      <c r="AL143" s="220"/>
      <c r="AM143" s="220"/>
      <c r="AN143" s="220"/>
    </row>
    <row r="144" spans="1:40" ht="18" x14ac:dyDescent="0.25">
      <c r="A144" s="220"/>
      <c r="B144" s="220"/>
      <c r="C144" s="250" t="s">
        <v>25</v>
      </c>
      <c r="D144" s="221">
        <v>25</v>
      </c>
      <c r="E144" s="221"/>
      <c r="F144" s="221"/>
      <c r="G144" s="221"/>
      <c r="H144" s="221"/>
      <c r="I144" s="221"/>
      <c r="J144" s="221"/>
      <c r="K144" s="221"/>
      <c r="L144" s="221" t="s">
        <v>35</v>
      </c>
      <c r="M144" s="221">
        <v>25</v>
      </c>
      <c r="N144" s="408">
        <f t="shared" si="53"/>
        <v>750</v>
      </c>
      <c r="O144" s="221">
        <f>N144</f>
        <v>750</v>
      </c>
      <c r="P144" s="221"/>
      <c r="R144" s="221"/>
      <c r="S144" s="221"/>
      <c r="T144" s="221"/>
      <c r="U144" s="221"/>
      <c r="V144" s="220"/>
      <c r="W144" s="220"/>
      <c r="Y144" s="221"/>
      <c r="Z144" s="221"/>
      <c r="AA144" s="221"/>
      <c r="AF144" s="220"/>
      <c r="AG144" s="220"/>
      <c r="AH144" s="220"/>
      <c r="AI144" s="220"/>
      <c r="AJ144" s="220"/>
      <c r="AK144" s="220"/>
      <c r="AL144" s="220"/>
      <c r="AM144" s="220"/>
      <c r="AN144" s="220"/>
    </row>
    <row r="145" spans="1:40" ht="18" x14ac:dyDescent="0.25">
      <c r="A145" s="220"/>
      <c r="B145" s="407"/>
      <c r="C145" s="409"/>
      <c r="D145" s="410">
        <f>SUM(D138:D144)</f>
        <v>134</v>
      </c>
      <c r="E145" s="410"/>
      <c r="F145" s="410"/>
      <c r="G145" s="410"/>
      <c r="H145" s="410"/>
      <c r="I145" s="410"/>
      <c r="J145" s="410"/>
      <c r="K145" s="410"/>
      <c r="L145" s="410"/>
      <c r="M145" s="410">
        <f>SUM(M138:M144)</f>
        <v>134</v>
      </c>
      <c r="N145" s="410">
        <f t="shared" si="53"/>
        <v>4020</v>
      </c>
      <c r="O145" s="221">
        <f>SUM(O138:O144)</f>
        <v>1545</v>
      </c>
      <c r="P145" s="221">
        <f>SUM(P138:P144)</f>
        <v>1605</v>
      </c>
      <c r="Q145" s="221">
        <f>SUM(Q138:Q143)</f>
        <v>870</v>
      </c>
      <c r="R145" s="408"/>
      <c r="S145" s="408"/>
      <c r="T145" s="408"/>
      <c r="U145" s="408"/>
      <c r="V145" s="407"/>
      <c r="W145" s="407"/>
      <c r="Y145" s="221"/>
      <c r="Z145" s="221"/>
      <c r="AA145" s="221"/>
      <c r="AF145" s="220"/>
      <c r="AG145" s="220"/>
      <c r="AH145" s="220"/>
      <c r="AI145" s="220"/>
      <c r="AJ145" s="220"/>
      <c r="AK145" s="220"/>
      <c r="AL145" s="220"/>
      <c r="AM145" s="220"/>
      <c r="AN145" s="220"/>
    </row>
    <row r="146" spans="1:40" x14ac:dyDescent="0.2">
      <c r="A146" s="220"/>
      <c r="B146" s="220"/>
      <c r="C146" s="220"/>
      <c r="D146" s="221"/>
      <c r="E146" s="221"/>
      <c r="F146" s="221"/>
      <c r="G146" s="221"/>
      <c r="H146" s="221"/>
      <c r="I146" s="221"/>
      <c r="J146" s="221"/>
      <c r="K146" s="221"/>
      <c r="L146" s="221"/>
      <c r="M146" s="221"/>
      <c r="N146" s="221"/>
      <c r="Q146" s="221"/>
      <c r="R146" s="221"/>
      <c r="S146" s="221"/>
      <c r="T146" s="221"/>
      <c r="U146" s="221"/>
      <c r="V146" s="220"/>
      <c r="W146" s="220"/>
      <c r="Y146" s="221"/>
      <c r="Z146" s="221"/>
      <c r="AA146" s="221"/>
      <c r="AF146" s="220"/>
      <c r="AG146" s="220"/>
      <c r="AH146" s="220"/>
      <c r="AI146" s="220"/>
      <c r="AJ146" s="220"/>
      <c r="AK146" s="220"/>
      <c r="AL146" s="220"/>
      <c r="AM146" s="220"/>
      <c r="AN146" s="220"/>
    </row>
    <row r="147" spans="1:40" x14ac:dyDescent="0.2">
      <c r="A147" s="220"/>
      <c r="B147" s="220"/>
      <c r="C147" s="220"/>
      <c r="D147" s="221"/>
      <c r="E147" s="221"/>
      <c r="F147" s="221"/>
      <c r="G147" s="221"/>
      <c r="H147" s="221"/>
      <c r="I147" s="221"/>
      <c r="J147" s="221"/>
      <c r="K147" s="221"/>
      <c r="L147" s="221"/>
      <c r="M147" s="221"/>
      <c r="N147" s="221"/>
      <c r="O147" s="221"/>
      <c r="P147" s="221"/>
      <c r="Q147" s="221"/>
      <c r="R147" s="221"/>
      <c r="S147" s="221"/>
      <c r="T147" s="221"/>
      <c r="U147" s="221"/>
      <c r="V147" s="220"/>
      <c r="W147" s="220"/>
      <c r="Y147" s="221"/>
      <c r="Z147" s="221"/>
      <c r="AA147" s="221"/>
      <c r="AG147" s="220"/>
      <c r="AH147" s="220"/>
      <c r="AI147" s="220"/>
      <c r="AJ147" s="220"/>
      <c r="AK147" s="220"/>
      <c r="AL147" s="220"/>
      <c r="AM147" s="220"/>
      <c r="AN147" s="220"/>
    </row>
    <row r="148" spans="1:40" x14ac:dyDescent="0.2">
      <c r="A148" s="220"/>
      <c r="B148" s="220"/>
      <c r="C148" s="220"/>
      <c r="D148" s="221"/>
      <c r="E148" s="221"/>
      <c r="F148" s="221"/>
      <c r="G148" s="221"/>
      <c r="H148" s="221"/>
      <c r="I148" s="221"/>
      <c r="J148" s="221"/>
      <c r="K148" s="221"/>
      <c r="L148" s="221"/>
      <c r="M148" s="221"/>
      <c r="N148" s="221"/>
      <c r="O148" s="221"/>
      <c r="P148" s="221"/>
      <c r="Q148" s="221"/>
      <c r="R148" s="221"/>
      <c r="S148" s="221"/>
      <c r="T148" s="221"/>
      <c r="U148" s="221"/>
      <c r="V148" s="220"/>
      <c r="W148" s="220"/>
      <c r="Y148" s="221"/>
      <c r="Z148" s="221"/>
      <c r="AA148" s="221"/>
      <c r="AG148" s="220"/>
      <c r="AH148" s="220"/>
      <c r="AI148" s="220"/>
      <c r="AJ148" s="220"/>
      <c r="AK148" s="220"/>
      <c r="AL148" s="220"/>
      <c r="AM148" s="220"/>
      <c r="AN148" s="220"/>
    </row>
    <row r="149" spans="1:40" x14ac:dyDescent="0.2">
      <c r="A149" s="220"/>
      <c r="B149" s="220"/>
      <c r="C149" s="220"/>
      <c r="D149" s="221"/>
      <c r="E149" s="221"/>
      <c r="F149" s="221"/>
      <c r="G149" s="221"/>
      <c r="H149" s="221"/>
      <c r="I149" s="221"/>
      <c r="J149" s="221"/>
      <c r="K149" s="221"/>
      <c r="L149" s="221"/>
      <c r="M149" s="221"/>
      <c r="N149" s="221"/>
      <c r="O149" s="221"/>
      <c r="P149" s="221"/>
      <c r="Q149" s="221"/>
      <c r="R149" s="221"/>
      <c r="S149" s="221"/>
      <c r="T149" s="221"/>
      <c r="U149" s="221"/>
      <c r="V149" s="220"/>
      <c r="W149" s="220"/>
      <c r="Y149" s="221"/>
      <c r="Z149" s="221"/>
      <c r="AA149" s="221"/>
      <c r="AG149" s="220"/>
      <c r="AH149" s="220"/>
      <c r="AI149" s="220"/>
      <c r="AJ149" s="220"/>
      <c r="AK149" s="220"/>
      <c r="AL149" s="220"/>
      <c r="AM149" s="220"/>
      <c r="AN149" s="220"/>
    </row>
    <row r="150" spans="1:40" ht="18" x14ac:dyDescent="0.25">
      <c r="A150" s="220"/>
      <c r="B150" s="220"/>
      <c r="C150" s="220"/>
      <c r="D150" s="221"/>
      <c r="E150" s="221"/>
      <c r="F150" s="221"/>
      <c r="G150" s="221"/>
      <c r="H150" s="221"/>
      <c r="I150" s="221"/>
      <c r="J150" s="221"/>
      <c r="K150" s="221"/>
      <c r="L150" s="221"/>
      <c r="M150" s="221"/>
      <c r="N150" s="221"/>
      <c r="O150" s="221"/>
      <c r="P150" s="221"/>
      <c r="Q150" s="221"/>
      <c r="R150" s="221"/>
      <c r="S150" s="221"/>
      <c r="T150" s="221"/>
      <c r="U150" s="221"/>
      <c r="V150" s="220"/>
      <c r="W150" s="220"/>
      <c r="AB150" s="408"/>
      <c r="AC150" s="407"/>
      <c r="AD150" s="407"/>
      <c r="AE150" s="407"/>
      <c r="AF150" s="407"/>
    </row>
    <row r="151" spans="1:40" x14ac:dyDescent="0.2">
      <c r="A151" s="220"/>
      <c r="B151" s="220"/>
      <c r="C151" s="220"/>
      <c r="D151" s="221"/>
      <c r="E151" s="221"/>
      <c r="F151" s="221"/>
      <c r="G151" s="221"/>
      <c r="H151" s="221"/>
      <c r="I151" s="221"/>
      <c r="J151" s="221"/>
      <c r="K151" s="221"/>
      <c r="L151" s="221"/>
      <c r="M151" s="221"/>
      <c r="N151" s="221"/>
      <c r="O151" s="221"/>
      <c r="P151" s="221"/>
      <c r="Q151" s="221"/>
      <c r="R151" s="221"/>
      <c r="S151" s="221"/>
      <c r="T151" s="221"/>
      <c r="U151" s="221"/>
      <c r="V151" s="220"/>
      <c r="W151" s="220"/>
    </row>
    <row r="152" spans="1:40" x14ac:dyDescent="0.2">
      <c r="A152" s="220"/>
      <c r="B152" s="220"/>
      <c r="C152" s="220"/>
      <c r="D152" s="221"/>
      <c r="E152" s="221"/>
      <c r="F152" s="221"/>
      <c r="G152" s="221"/>
      <c r="H152" s="221"/>
      <c r="I152" s="221"/>
      <c r="J152" s="221"/>
      <c r="K152" s="221"/>
      <c r="L152" s="221"/>
      <c r="M152" s="221"/>
      <c r="N152" s="221"/>
      <c r="O152" s="221"/>
      <c r="P152" s="221"/>
      <c r="Q152" s="221"/>
      <c r="R152" s="221"/>
      <c r="S152" s="221"/>
      <c r="T152" s="221"/>
      <c r="U152" s="221"/>
      <c r="V152" s="220"/>
      <c r="W152" s="220"/>
    </row>
    <row r="153" spans="1:40" s="407" customFormat="1" ht="18" x14ac:dyDescent="0.25">
      <c r="A153" s="220"/>
      <c r="B153" s="220"/>
      <c r="C153" s="220"/>
      <c r="D153" s="221"/>
      <c r="E153" s="221"/>
      <c r="F153" s="221"/>
      <c r="G153" s="221"/>
      <c r="H153" s="221"/>
      <c r="I153" s="221"/>
      <c r="J153" s="221"/>
      <c r="K153" s="221"/>
      <c r="L153" s="221"/>
      <c r="M153" s="221"/>
      <c r="N153" s="221"/>
      <c r="O153" s="221"/>
      <c r="P153" s="221"/>
      <c r="Q153" s="221"/>
      <c r="R153" s="221"/>
      <c r="S153" s="221"/>
      <c r="T153" s="221"/>
      <c r="U153" s="221"/>
      <c r="V153" s="220"/>
      <c r="W153" s="220"/>
      <c r="X153" s="297"/>
      <c r="Y153" s="408"/>
      <c r="Z153" s="408"/>
      <c r="AA153" s="408"/>
      <c r="AB153" s="298"/>
      <c r="AC153" s="297"/>
      <c r="AD153" s="297"/>
      <c r="AE153" s="297"/>
      <c r="AF153" s="297"/>
    </row>
    <row r="154" spans="1:40" x14ac:dyDescent="0.2">
      <c r="B154" s="220"/>
      <c r="C154" s="220"/>
      <c r="D154" s="221"/>
      <c r="E154" s="221"/>
      <c r="F154" s="221"/>
      <c r="G154" s="221"/>
      <c r="H154" s="221"/>
      <c r="I154" s="221"/>
      <c r="J154" s="221"/>
      <c r="K154" s="221"/>
      <c r="L154" s="221"/>
      <c r="M154" s="221"/>
      <c r="N154" s="221"/>
      <c r="O154" s="221"/>
      <c r="P154" s="221"/>
      <c r="Q154" s="221"/>
      <c r="R154" s="221"/>
      <c r="S154" s="221"/>
      <c r="T154" s="221"/>
      <c r="U154" s="221"/>
      <c r="V154" s="220"/>
      <c r="W154" s="220"/>
    </row>
    <row r="155" spans="1:40" x14ac:dyDescent="0.2">
      <c r="B155" s="220"/>
      <c r="C155" s="220"/>
      <c r="E155" s="221"/>
      <c r="F155" s="221"/>
      <c r="G155" s="221"/>
      <c r="H155" s="221"/>
      <c r="I155" s="221"/>
      <c r="J155" s="221"/>
      <c r="K155" s="221"/>
      <c r="L155" s="221"/>
      <c r="M155" s="221"/>
      <c r="N155" s="221"/>
      <c r="O155" s="221"/>
      <c r="P155" s="221"/>
      <c r="Q155" s="221"/>
      <c r="R155" s="221"/>
      <c r="S155" s="221"/>
      <c r="T155" s="221"/>
      <c r="U155" s="221"/>
      <c r="V155" s="220"/>
      <c r="W155" s="220"/>
    </row>
  </sheetData>
  <mergeCells count="3">
    <mergeCell ref="AB3:AF3"/>
    <mergeCell ref="AB26:AF26"/>
    <mergeCell ref="AB42:AF4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9"/>
  <sheetViews>
    <sheetView topLeftCell="A21" zoomScale="110" zoomScaleNormal="110" workbookViewId="0">
      <selection activeCell="D21" sqref="D21"/>
    </sheetView>
  </sheetViews>
  <sheetFormatPr defaultRowHeight="12.75" x14ac:dyDescent="0.2"/>
  <cols>
    <col min="1" max="1" width="8" customWidth="1"/>
    <col min="2" max="2" width="1.42578125" customWidth="1"/>
    <col min="3" max="3" width="16.7109375" customWidth="1"/>
    <col min="4" max="4" width="10" customWidth="1"/>
    <col min="5" max="5" width="12.42578125" customWidth="1"/>
    <col min="6" max="16" width="6.5703125" customWidth="1"/>
    <col min="17" max="17" width="7.7109375" customWidth="1"/>
    <col min="18" max="18" width="8.42578125" customWidth="1"/>
    <col min="19" max="20" width="10.42578125" customWidth="1"/>
    <col min="21" max="21" width="14" customWidth="1"/>
  </cols>
  <sheetData>
    <row r="1" spans="1:21" ht="20.25" x14ac:dyDescent="0.3">
      <c r="A1" s="60"/>
      <c r="B1" s="5"/>
      <c r="C1" s="443" t="s">
        <v>0</v>
      </c>
      <c r="D1" s="444"/>
      <c r="E1" s="444"/>
      <c r="F1" s="444"/>
      <c r="G1" s="444"/>
      <c r="H1" s="444"/>
      <c r="I1" s="444"/>
      <c r="J1" s="444"/>
      <c r="K1" s="444"/>
      <c r="L1" s="444"/>
      <c r="M1" s="444"/>
      <c r="N1" s="444"/>
      <c r="O1" s="444"/>
      <c r="P1" s="444"/>
      <c r="Q1" s="444"/>
      <c r="R1" s="445"/>
      <c r="S1" s="67"/>
      <c r="T1" s="5"/>
      <c r="U1" s="6"/>
    </row>
    <row r="2" spans="1:21" ht="48" thickBot="1" x14ac:dyDescent="0.3">
      <c r="A2" s="61" t="s">
        <v>3</v>
      </c>
      <c r="C2" s="62" t="s">
        <v>2</v>
      </c>
      <c r="D2" s="63" t="s">
        <v>38</v>
      </c>
      <c r="E2" s="64" t="s">
        <v>39</v>
      </c>
      <c r="F2" s="65" t="s">
        <v>4</v>
      </c>
      <c r="G2" s="65" t="s">
        <v>5</v>
      </c>
      <c r="H2" s="65" t="s">
        <v>6</v>
      </c>
      <c r="I2" s="65" t="s">
        <v>7</v>
      </c>
      <c r="J2" s="65" t="s">
        <v>8</v>
      </c>
      <c r="K2" s="65" t="s">
        <v>9</v>
      </c>
      <c r="L2" s="65" t="s">
        <v>10</v>
      </c>
      <c r="M2" s="65" t="s">
        <v>11</v>
      </c>
      <c r="N2" s="65" t="s">
        <v>12</v>
      </c>
      <c r="O2" s="65" t="s">
        <v>13</v>
      </c>
      <c r="P2" s="65" t="s">
        <v>14</v>
      </c>
      <c r="Q2" s="65" t="s">
        <v>15</v>
      </c>
      <c r="R2" s="66" t="s">
        <v>16</v>
      </c>
      <c r="S2" s="68" t="s">
        <v>40</v>
      </c>
      <c r="T2" s="64" t="s">
        <v>19</v>
      </c>
      <c r="U2" s="69" t="s">
        <v>41</v>
      </c>
    </row>
    <row r="3" spans="1:21" x14ac:dyDescent="0.2">
      <c r="A3" s="72">
        <v>2006</v>
      </c>
      <c r="C3" s="22" t="s">
        <v>22</v>
      </c>
      <c r="D3" s="24">
        <v>32.583333333333336</v>
      </c>
      <c r="E3" s="22">
        <v>27</v>
      </c>
      <c r="F3" s="58">
        <v>0</v>
      </c>
      <c r="G3" s="59"/>
      <c r="H3" s="59"/>
      <c r="I3" s="59"/>
      <c r="J3" s="59"/>
      <c r="K3" s="59"/>
      <c r="L3" s="59"/>
      <c r="M3" s="59"/>
      <c r="N3" s="59"/>
      <c r="O3" s="59"/>
      <c r="P3" s="59"/>
      <c r="Q3" s="59">
        <v>0</v>
      </c>
      <c r="R3" s="23">
        <f>SUM(F3:Q3)</f>
        <v>0</v>
      </c>
      <c r="S3" s="24">
        <f>AVERAGE(F3:Q3)</f>
        <v>0</v>
      </c>
      <c r="T3" s="25" t="e">
        <f>U3/S3</f>
        <v>#DIV/0!</v>
      </c>
      <c r="U3" s="73">
        <v>0</v>
      </c>
    </row>
    <row r="4" spans="1:21" x14ac:dyDescent="0.2">
      <c r="A4" s="74"/>
      <c r="B4" s="75"/>
      <c r="C4" s="43"/>
      <c r="D4" s="44"/>
      <c r="E4" s="43"/>
      <c r="F4" s="43"/>
      <c r="G4" s="43"/>
      <c r="H4" s="43"/>
      <c r="I4" s="43"/>
      <c r="J4" s="43"/>
      <c r="K4" s="43"/>
      <c r="L4" s="43"/>
      <c r="M4" s="43"/>
      <c r="N4" s="43"/>
      <c r="O4" s="43"/>
      <c r="P4" s="43"/>
      <c r="Q4" s="43"/>
      <c r="R4" s="43"/>
      <c r="S4" s="44"/>
      <c r="T4" s="45"/>
      <c r="U4" s="76"/>
    </row>
    <row r="5" spans="1:21" x14ac:dyDescent="0.2">
      <c r="A5" s="77">
        <v>2007</v>
      </c>
      <c r="C5" s="2" t="s">
        <v>22</v>
      </c>
      <c r="D5" s="11">
        <v>7.333333333333333</v>
      </c>
      <c r="E5" s="2">
        <v>514</v>
      </c>
      <c r="F5" s="4">
        <v>12</v>
      </c>
      <c r="G5" s="4">
        <v>10</v>
      </c>
      <c r="H5" s="4">
        <v>15</v>
      </c>
      <c r="I5" s="4">
        <v>4</v>
      </c>
      <c r="J5" s="4">
        <v>16</v>
      </c>
      <c r="K5" s="4">
        <v>16</v>
      </c>
      <c r="L5" s="4">
        <v>9</v>
      </c>
      <c r="M5" s="4">
        <v>2</v>
      </c>
      <c r="N5" s="4">
        <v>13</v>
      </c>
      <c r="O5" s="4">
        <v>0</v>
      </c>
      <c r="P5" s="4">
        <v>13</v>
      </c>
      <c r="Q5" s="4">
        <v>5</v>
      </c>
      <c r="R5" s="3">
        <f>SUM(F5:Q5)</f>
        <v>115</v>
      </c>
      <c r="S5" s="11">
        <f>AVERAGE(F5:Q5)</f>
        <v>9.5833333333333339</v>
      </c>
      <c r="T5" s="10">
        <f>U5/S5</f>
        <v>41.634782608695652</v>
      </c>
      <c r="U5" s="78">
        <f>SUM(E5-R5)</f>
        <v>399</v>
      </c>
    </row>
    <row r="6" spans="1:21" x14ac:dyDescent="0.2">
      <c r="A6" s="77">
        <v>2007</v>
      </c>
      <c r="C6" s="2" t="s">
        <v>21</v>
      </c>
      <c r="D6" s="11">
        <v>25.3</v>
      </c>
      <c r="E6" s="2">
        <v>0</v>
      </c>
      <c r="F6" s="4">
        <v>0</v>
      </c>
      <c r="G6" s="33"/>
      <c r="H6" s="33"/>
      <c r="I6" s="33"/>
      <c r="J6" s="33"/>
      <c r="K6" s="33"/>
      <c r="L6" s="33"/>
      <c r="M6" s="33"/>
      <c r="N6" s="33"/>
      <c r="O6" s="33"/>
      <c r="P6" s="33"/>
      <c r="Q6" s="33"/>
      <c r="R6" s="3">
        <f>SUM(F6:Q6)</f>
        <v>0</v>
      </c>
      <c r="S6" s="11">
        <f>AVERAGE(F6:Q6)</f>
        <v>0</v>
      </c>
      <c r="T6" s="10">
        <v>0</v>
      </c>
      <c r="U6" s="78">
        <f>SUM(E6-R6)</f>
        <v>0</v>
      </c>
    </row>
    <row r="7" spans="1:21" x14ac:dyDescent="0.2">
      <c r="A7" s="79">
        <v>2007</v>
      </c>
      <c r="C7" s="16" t="s">
        <v>24</v>
      </c>
      <c r="D7" s="18">
        <v>18.100000000000001</v>
      </c>
      <c r="E7" s="16">
        <v>303</v>
      </c>
      <c r="F7" s="19">
        <v>3</v>
      </c>
      <c r="G7" s="19">
        <v>13</v>
      </c>
      <c r="H7" s="19">
        <v>37</v>
      </c>
      <c r="I7" s="19">
        <v>13</v>
      </c>
      <c r="J7" s="19">
        <v>33</v>
      </c>
      <c r="K7" s="19">
        <v>22</v>
      </c>
      <c r="L7" s="19">
        <v>26</v>
      </c>
      <c r="M7" s="19">
        <v>30</v>
      </c>
      <c r="N7" s="19">
        <v>50</v>
      </c>
      <c r="O7" s="19">
        <v>37</v>
      </c>
      <c r="P7" s="37">
        <v>0</v>
      </c>
      <c r="Q7" s="37">
        <v>0</v>
      </c>
      <c r="R7" s="17">
        <f>SUM(F7:Q7)</f>
        <v>264</v>
      </c>
      <c r="S7" s="18">
        <f>AVERAGE(F7:Q7)</f>
        <v>22</v>
      </c>
      <c r="T7" s="20">
        <f>U7/S7</f>
        <v>0</v>
      </c>
      <c r="U7" s="94">
        <v>0</v>
      </c>
    </row>
    <row r="8" spans="1:21" x14ac:dyDescent="0.2">
      <c r="A8" s="2">
        <v>2007</v>
      </c>
      <c r="B8" s="2"/>
      <c r="C8" s="2" t="s">
        <v>27</v>
      </c>
      <c r="D8" s="11">
        <v>23.90909090909091</v>
      </c>
      <c r="E8" s="2">
        <v>56</v>
      </c>
      <c r="F8" s="4">
        <v>15</v>
      </c>
      <c r="G8" s="4">
        <v>20</v>
      </c>
      <c r="H8" s="4">
        <v>0</v>
      </c>
      <c r="I8" s="33"/>
      <c r="J8" s="33"/>
      <c r="K8" s="33"/>
      <c r="L8" s="33"/>
      <c r="M8" s="33"/>
      <c r="N8" s="33"/>
      <c r="O8" s="33"/>
      <c r="P8" s="33"/>
      <c r="Q8" s="33"/>
      <c r="R8" s="3">
        <f>SUM(F8:Q8)</f>
        <v>35</v>
      </c>
      <c r="S8" s="11">
        <f>AVERAGE(F8:Q8)</f>
        <v>11.666666666666666</v>
      </c>
      <c r="T8" s="10">
        <f>U8/S8</f>
        <v>0</v>
      </c>
      <c r="U8" s="101">
        <v>0</v>
      </c>
    </row>
    <row r="9" spans="1:21" x14ac:dyDescent="0.2">
      <c r="A9" s="2">
        <v>2007</v>
      </c>
      <c r="B9" s="2"/>
      <c r="C9" s="114" t="s">
        <v>42</v>
      </c>
      <c r="D9" s="102"/>
      <c r="E9" s="2">
        <v>259</v>
      </c>
      <c r="F9" s="50"/>
      <c r="G9" s="50"/>
      <c r="H9" s="50"/>
      <c r="I9" s="50"/>
      <c r="J9" s="50"/>
      <c r="K9" s="2">
        <v>27</v>
      </c>
      <c r="L9" s="2">
        <v>12</v>
      </c>
      <c r="M9" s="2">
        <v>16</v>
      </c>
      <c r="N9" s="2">
        <v>9</v>
      </c>
      <c r="O9" s="2">
        <v>24</v>
      </c>
      <c r="P9" s="2">
        <v>31</v>
      </c>
      <c r="Q9" s="2">
        <v>11</v>
      </c>
      <c r="R9" s="3">
        <f>SUM(F9:Q9)</f>
        <v>130</v>
      </c>
      <c r="S9" s="11">
        <f>AVERAGE(F9:Q9)</f>
        <v>18.571428571428573</v>
      </c>
      <c r="T9" s="10">
        <f>U9/S9</f>
        <v>6.9461538461538455</v>
      </c>
      <c r="U9" s="101">
        <f>SUM(E9-R9)</f>
        <v>129</v>
      </c>
    </row>
    <row r="10" spans="1:21" x14ac:dyDescent="0.2">
      <c r="A10" s="95"/>
      <c r="B10" s="75"/>
      <c r="C10" s="96"/>
      <c r="D10" s="97"/>
      <c r="E10" s="98"/>
      <c r="F10" s="98"/>
      <c r="G10" s="98"/>
      <c r="H10" s="98"/>
      <c r="I10" s="98"/>
      <c r="J10" s="98"/>
      <c r="K10" s="98"/>
      <c r="L10" s="98"/>
      <c r="M10" s="98"/>
      <c r="N10" s="98">
        <v>0</v>
      </c>
      <c r="O10" s="98"/>
      <c r="P10" s="98"/>
      <c r="Q10" s="98"/>
      <c r="R10" s="98"/>
      <c r="S10" s="97"/>
      <c r="T10" s="99"/>
      <c r="U10" s="100"/>
    </row>
    <row r="11" spans="1:21" x14ac:dyDescent="0.2">
      <c r="A11" s="79">
        <v>2008</v>
      </c>
      <c r="C11" s="2" t="s">
        <v>22</v>
      </c>
      <c r="D11" s="18">
        <v>0</v>
      </c>
      <c r="E11" s="16">
        <v>827</v>
      </c>
      <c r="F11" s="19">
        <v>3</v>
      </c>
      <c r="G11" s="19">
        <v>24</v>
      </c>
      <c r="H11" s="19">
        <v>80</v>
      </c>
      <c r="I11" s="19">
        <v>40</v>
      </c>
      <c r="J11" s="202">
        <v>29</v>
      </c>
      <c r="K11" s="19">
        <v>43</v>
      </c>
      <c r="L11" s="19">
        <v>65</v>
      </c>
      <c r="M11" s="19">
        <v>65</v>
      </c>
      <c r="N11" s="19">
        <v>41</v>
      </c>
      <c r="O11" s="19">
        <v>62</v>
      </c>
      <c r="P11" s="19">
        <v>66</v>
      </c>
      <c r="Q11" s="19">
        <v>41</v>
      </c>
      <c r="R11" s="3">
        <f t="shared" ref="R11:R24" si="0">SUM(F11:Q11)</f>
        <v>559</v>
      </c>
      <c r="S11" s="11">
        <f t="shared" ref="S11:S22" si="1">AVERAGE(F11:Q11)</f>
        <v>46.583333333333336</v>
      </c>
      <c r="T11" s="10">
        <f t="shared" ref="T11:T24" si="2">U11/S11</f>
        <v>5.7531305903398922</v>
      </c>
      <c r="U11" s="78">
        <f t="shared" ref="U11:U19" si="3">SUM(E11-R11)</f>
        <v>268</v>
      </c>
    </row>
    <row r="12" spans="1:21" x14ac:dyDescent="0.2">
      <c r="A12" s="79">
        <v>2008</v>
      </c>
      <c r="C12" s="2" t="s">
        <v>21</v>
      </c>
      <c r="D12" s="18">
        <v>0</v>
      </c>
      <c r="E12" s="16">
        <v>342</v>
      </c>
      <c r="F12" s="19">
        <v>47</v>
      </c>
      <c r="G12" s="19">
        <v>10</v>
      </c>
      <c r="H12" s="19">
        <v>31</v>
      </c>
      <c r="I12" s="19">
        <v>24</v>
      </c>
      <c r="J12" s="19">
        <v>29</v>
      </c>
      <c r="K12" s="19">
        <v>22</v>
      </c>
      <c r="L12" s="19">
        <v>33</v>
      </c>
      <c r="M12" s="19">
        <v>24</v>
      </c>
      <c r="N12" s="19">
        <v>55</v>
      </c>
      <c r="O12" s="19">
        <v>21</v>
      </c>
      <c r="P12" s="19">
        <v>32</v>
      </c>
      <c r="Q12" s="203">
        <v>14</v>
      </c>
      <c r="R12" s="3">
        <f t="shared" si="0"/>
        <v>342</v>
      </c>
      <c r="S12" s="11">
        <f t="shared" si="1"/>
        <v>28.5</v>
      </c>
      <c r="T12" s="10">
        <f t="shared" si="2"/>
        <v>0</v>
      </c>
      <c r="U12" s="78">
        <f t="shared" si="3"/>
        <v>0</v>
      </c>
    </row>
    <row r="13" spans="1:21" x14ac:dyDescent="0.2">
      <c r="A13" s="79">
        <v>2008</v>
      </c>
      <c r="C13" s="2" t="s">
        <v>23</v>
      </c>
      <c r="D13" s="18">
        <v>29.166666666666668</v>
      </c>
      <c r="E13" s="16">
        <v>349</v>
      </c>
      <c r="F13" s="19">
        <v>39</v>
      </c>
      <c r="G13" s="19">
        <v>43</v>
      </c>
      <c r="H13" s="19">
        <v>33</v>
      </c>
      <c r="I13" s="19">
        <v>17</v>
      </c>
      <c r="J13" s="19">
        <v>45</v>
      </c>
      <c r="K13" s="19">
        <v>8</v>
      </c>
      <c r="L13" s="19">
        <v>22</v>
      </c>
      <c r="M13" s="19">
        <v>37</v>
      </c>
      <c r="N13" s="19">
        <v>25</v>
      </c>
      <c r="O13" s="16">
        <v>34</v>
      </c>
      <c r="P13" s="16">
        <v>29</v>
      </c>
      <c r="Q13" s="16">
        <v>11</v>
      </c>
      <c r="R13" s="3">
        <f t="shared" si="0"/>
        <v>343</v>
      </c>
      <c r="S13" s="11">
        <f t="shared" si="1"/>
        <v>28.583333333333332</v>
      </c>
      <c r="T13" s="10">
        <f t="shared" si="2"/>
        <v>0.2099125364431487</v>
      </c>
      <c r="U13" s="78">
        <f t="shared" si="3"/>
        <v>6</v>
      </c>
    </row>
    <row r="14" spans="1:21" x14ac:dyDescent="0.2">
      <c r="A14" s="79">
        <v>2008</v>
      </c>
      <c r="C14" s="2" t="s">
        <v>24</v>
      </c>
      <c r="D14" s="18">
        <v>0</v>
      </c>
      <c r="E14" s="16">
        <v>206</v>
      </c>
      <c r="F14" s="56">
        <v>0</v>
      </c>
      <c r="G14" s="56">
        <v>0</v>
      </c>
      <c r="H14" s="56">
        <v>0</v>
      </c>
      <c r="I14" s="56">
        <v>3</v>
      </c>
      <c r="J14" s="204">
        <v>11</v>
      </c>
      <c r="K14" s="56">
        <v>0</v>
      </c>
      <c r="L14" s="56">
        <v>0</v>
      </c>
      <c r="M14" s="56">
        <v>0</v>
      </c>
      <c r="N14" s="56">
        <v>0</v>
      </c>
      <c r="O14" s="56">
        <v>0</v>
      </c>
      <c r="P14" s="16">
        <v>1</v>
      </c>
      <c r="Q14" s="16">
        <v>18</v>
      </c>
      <c r="R14" s="3">
        <f t="shared" si="0"/>
        <v>33</v>
      </c>
      <c r="S14" s="11">
        <f t="shared" si="1"/>
        <v>2.75</v>
      </c>
      <c r="T14" s="10">
        <f t="shared" si="2"/>
        <v>62.909090909090907</v>
      </c>
      <c r="U14" s="78">
        <f t="shared" si="3"/>
        <v>173</v>
      </c>
    </row>
    <row r="15" spans="1:21" x14ac:dyDescent="0.2">
      <c r="A15" s="79">
        <v>2008</v>
      </c>
      <c r="C15" s="2" t="s">
        <v>25</v>
      </c>
      <c r="D15" s="18">
        <v>48.666666666666664</v>
      </c>
      <c r="E15" s="16">
        <v>554</v>
      </c>
      <c r="F15" s="19">
        <v>75</v>
      </c>
      <c r="G15" s="19">
        <v>0</v>
      </c>
      <c r="H15" s="19">
        <v>54</v>
      </c>
      <c r="I15" s="19">
        <v>38</v>
      </c>
      <c r="J15" s="19">
        <v>55</v>
      </c>
      <c r="K15" s="19">
        <v>46</v>
      </c>
      <c r="L15" s="19">
        <v>122</v>
      </c>
      <c r="M15" s="19">
        <v>0</v>
      </c>
      <c r="N15" s="202">
        <v>54</v>
      </c>
      <c r="O15" s="202">
        <v>49</v>
      </c>
      <c r="P15" s="19">
        <v>38</v>
      </c>
      <c r="Q15" s="19">
        <v>23</v>
      </c>
      <c r="R15" s="3">
        <f t="shared" si="0"/>
        <v>554</v>
      </c>
      <c r="S15" s="11">
        <f t="shared" si="1"/>
        <v>46.166666666666664</v>
      </c>
      <c r="T15" s="10">
        <f t="shared" si="2"/>
        <v>0</v>
      </c>
      <c r="U15" s="78">
        <f t="shared" si="3"/>
        <v>0</v>
      </c>
    </row>
    <row r="16" spans="1:21" x14ac:dyDescent="0.2">
      <c r="A16" s="79">
        <v>2008</v>
      </c>
      <c r="C16" s="2" t="s">
        <v>28</v>
      </c>
      <c r="D16" s="18">
        <v>25.285714285714285</v>
      </c>
      <c r="E16" s="16">
        <v>173</v>
      </c>
      <c r="F16" s="19">
        <v>7</v>
      </c>
      <c r="G16" s="19">
        <v>9</v>
      </c>
      <c r="H16" s="19">
        <v>18</v>
      </c>
      <c r="I16" s="19">
        <v>12</v>
      </c>
      <c r="J16" s="19">
        <v>19</v>
      </c>
      <c r="K16" s="19">
        <v>19</v>
      </c>
      <c r="L16" s="19">
        <v>20</v>
      </c>
      <c r="M16" s="16">
        <v>17</v>
      </c>
      <c r="N16" s="16">
        <v>21</v>
      </c>
      <c r="O16" s="16">
        <v>20</v>
      </c>
      <c r="P16" s="37">
        <v>0</v>
      </c>
      <c r="Q16" s="37"/>
      <c r="R16" s="3">
        <f t="shared" si="0"/>
        <v>162</v>
      </c>
      <c r="S16" s="11">
        <f t="shared" si="1"/>
        <v>14.727272727272727</v>
      </c>
      <c r="T16" s="10">
        <f t="shared" si="2"/>
        <v>0</v>
      </c>
      <c r="U16" s="78">
        <v>0</v>
      </c>
    </row>
    <row r="17" spans="1:21" x14ac:dyDescent="0.2">
      <c r="A17" s="79">
        <v>2008</v>
      </c>
      <c r="C17" s="2" t="s">
        <v>29</v>
      </c>
      <c r="D17" s="18">
        <v>26</v>
      </c>
      <c r="E17" s="16">
        <v>76</v>
      </c>
      <c r="F17" s="19">
        <v>6</v>
      </c>
      <c r="G17" s="19">
        <v>8</v>
      </c>
      <c r="H17" s="37">
        <v>0</v>
      </c>
      <c r="I17" s="37">
        <v>0</v>
      </c>
      <c r="J17" s="37">
        <v>0</v>
      </c>
      <c r="K17" s="37">
        <v>0</v>
      </c>
      <c r="L17" s="37">
        <v>0</v>
      </c>
      <c r="M17" s="37">
        <v>0</v>
      </c>
      <c r="N17" s="37">
        <v>0</v>
      </c>
      <c r="O17" s="37"/>
      <c r="P17" s="37"/>
      <c r="Q17" s="37"/>
      <c r="R17" s="3">
        <f t="shared" si="0"/>
        <v>14</v>
      </c>
      <c r="S17" s="11">
        <f t="shared" si="1"/>
        <v>1.5555555555555556</v>
      </c>
      <c r="T17" s="10">
        <f t="shared" si="2"/>
        <v>0</v>
      </c>
      <c r="U17" s="78">
        <v>0</v>
      </c>
    </row>
    <row r="18" spans="1:21" x14ac:dyDescent="0.2">
      <c r="A18" s="79">
        <v>2008</v>
      </c>
      <c r="C18" s="2" t="s">
        <v>26</v>
      </c>
      <c r="D18" s="18">
        <v>22</v>
      </c>
      <c r="E18" s="16">
        <v>262</v>
      </c>
      <c r="F18" s="19">
        <v>10</v>
      </c>
      <c r="G18" s="19">
        <v>13</v>
      </c>
      <c r="H18" s="19">
        <v>83</v>
      </c>
      <c r="I18" s="19">
        <v>-38</v>
      </c>
      <c r="J18" s="19">
        <v>27</v>
      </c>
      <c r="K18" s="19">
        <v>17</v>
      </c>
      <c r="L18" s="19">
        <v>27</v>
      </c>
      <c r="M18" s="19">
        <v>22</v>
      </c>
      <c r="N18" s="19">
        <v>25</v>
      </c>
      <c r="O18" s="19">
        <v>30</v>
      </c>
      <c r="P18" s="19">
        <v>18</v>
      </c>
      <c r="Q18" s="19">
        <v>8</v>
      </c>
      <c r="R18" s="3">
        <f t="shared" si="0"/>
        <v>242</v>
      </c>
      <c r="S18" s="11">
        <f t="shared" si="1"/>
        <v>20.166666666666668</v>
      </c>
      <c r="T18" s="10">
        <f t="shared" si="2"/>
        <v>0.99173553719008256</v>
      </c>
      <c r="U18" s="78">
        <f t="shared" si="3"/>
        <v>20</v>
      </c>
    </row>
    <row r="19" spans="1:21" x14ac:dyDescent="0.2">
      <c r="A19" s="79">
        <v>2008</v>
      </c>
      <c r="C19" s="2" t="s">
        <v>27</v>
      </c>
      <c r="D19" s="18">
        <v>3.5</v>
      </c>
      <c r="E19" s="16">
        <v>233</v>
      </c>
      <c r="F19" s="19">
        <v>6</v>
      </c>
      <c r="G19" s="16">
        <v>0</v>
      </c>
      <c r="H19" s="16">
        <v>10</v>
      </c>
      <c r="I19" s="16">
        <v>15</v>
      </c>
      <c r="J19" s="16">
        <v>17</v>
      </c>
      <c r="K19" s="16">
        <v>21</v>
      </c>
      <c r="L19" s="16">
        <v>13</v>
      </c>
      <c r="M19" s="16">
        <v>20</v>
      </c>
      <c r="N19" s="16">
        <v>18</v>
      </c>
      <c r="O19" s="16">
        <v>34</v>
      </c>
      <c r="P19" s="16">
        <v>18</v>
      </c>
      <c r="Q19" s="16">
        <v>14</v>
      </c>
      <c r="R19" s="3">
        <f t="shared" si="0"/>
        <v>186</v>
      </c>
      <c r="S19" s="11">
        <f t="shared" si="1"/>
        <v>15.5</v>
      </c>
      <c r="T19" s="10">
        <f t="shared" si="2"/>
        <v>3.032258064516129</v>
      </c>
      <c r="U19" s="78">
        <f t="shared" si="3"/>
        <v>47</v>
      </c>
    </row>
    <row r="20" spans="1:21" x14ac:dyDescent="0.2">
      <c r="A20" s="79">
        <v>2008</v>
      </c>
      <c r="C20" s="2" t="s">
        <v>32</v>
      </c>
      <c r="D20" s="18">
        <v>8.4285714285714288</v>
      </c>
      <c r="E20" s="16">
        <v>121</v>
      </c>
      <c r="F20" s="19">
        <v>1</v>
      </c>
      <c r="G20" s="19">
        <v>1</v>
      </c>
      <c r="H20" s="19">
        <v>0</v>
      </c>
      <c r="I20" s="19">
        <v>1</v>
      </c>
      <c r="J20" s="37">
        <v>0</v>
      </c>
      <c r="K20" s="37">
        <v>0</v>
      </c>
      <c r="L20" s="37">
        <v>0</v>
      </c>
      <c r="M20" s="37">
        <v>0</v>
      </c>
      <c r="N20" s="37">
        <v>0</v>
      </c>
      <c r="O20" s="37"/>
      <c r="P20" s="37"/>
      <c r="Q20" s="37"/>
      <c r="R20" s="3">
        <f t="shared" si="0"/>
        <v>3</v>
      </c>
      <c r="S20" s="11">
        <f t="shared" si="1"/>
        <v>0.33333333333333331</v>
      </c>
      <c r="T20" s="10">
        <f t="shared" si="2"/>
        <v>0</v>
      </c>
      <c r="U20" s="78">
        <v>0</v>
      </c>
    </row>
    <row r="21" spans="1:21" x14ac:dyDescent="0.2">
      <c r="A21" s="79">
        <v>2008</v>
      </c>
      <c r="C21" s="2" t="s">
        <v>33</v>
      </c>
      <c r="D21" s="18">
        <v>44.4</v>
      </c>
      <c r="E21" s="16">
        <v>71</v>
      </c>
      <c r="F21" s="19">
        <v>12</v>
      </c>
      <c r="G21" s="19">
        <v>17</v>
      </c>
      <c r="H21" s="55">
        <v>32</v>
      </c>
      <c r="I21" s="55">
        <v>0</v>
      </c>
      <c r="J21" s="57"/>
      <c r="K21" s="57"/>
      <c r="L21" s="57"/>
      <c r="M21" s="57">
        <v>0</v>
      </c>
      <c r="N21" s="57">
        <v>0</v>
      </c>
      <c r="O21" s="57"/>
      <c r="P21" s="57"/>
      <c r="Q21" s="37"/>
      <c r="R21" s="3">
        <f t="shared" si="0"/>
        <v>61</v>
      </c>
      <c r="S21" s="11">
        <f t="shared" si="1"/>
        <v>10.166666666666666</v>
      </c>
      <c r="T21" s="10">
        <f t="shared" si="2"/>
        <v>0</v>
      </c>
      <c r="U21" s="78">
        <v>0</v>
      </c>
    </row>
    <row r="22" spans="1:21" x14ac:dyDescent="0.2">
      <c r="A22" s="79">
        <v>2008</v>
      </c>
      <c r="C22" s="2" t="s">
        <v>30</v>
      </c>
      <c r="D22" s="18">
        <v>41.555555555555557</v>
      </c>
      <c r="E22" s="16">
        <v>75</v>
      </c>
      <c r="F22" s="19">
        <v>10</v>
      </c>
      <c r="G22" s="19">
        <v>9</v>
      </c>
      <c r="H22" s="55">
        <v>18</v>
      </c>
      <c r="I22" s="55">
        <v>17</v>
      </c>
      <c r="J22" s="55">
        <v>0</v>
      </c>
      <c r="K22" s="55">
        <v>0</v>
      </c>
      <c r="L22" s="57"/>
      <c r="M22" s="57">
        <v>0</v>
      </c>
      <c r="N22" s="57">
        <v>0</v>
      </c>
      <c r="O22" s="57"/>
      <c r="P22" s="57"/>
      <c r="Q22" s="37"/>
      <c r="R22" s="3">
        <f t="shared" si="0"/>
        <v>54</v>
      </c>
      <c r="S22" s="11">
        <f t="shared" si="1"/>
        <v>6.75</v>
      </c>
      <c r="T22" s="10">
        <f t="shared" si="2"/>
        <v>0</v>
      </c>
      <c r="U22" s="78">
        <v>0</v>
      </c>
    </row>
    <row r="23" spans="1:21" x14ac:dyDescent="0.2">
      <c r="A23" s="79">
        <v>2008</v>
      </c>
      <c r="C23" s="2" t="s">
        <v>43</v>
      </c>
      <c r="D23" s="18">
        <v>30</v>
      </c>
      <c r="E23" s="16">
        <v>130</v>
      </c>
      <c r="F23" s="19">
        <v>9</v>
      </c>
      <c r="G23" s="19">
        <v>6</v>
      </c>
      <c r="H23" s="55">
        <v>21</v>
      </c>
      <c r="I23" s="55">
        <v>15</v>
      </c>
      <c r="J23" s="55">
        <v>36</v>
      </c>
      <c r="K23" s="55">
        <v>28</v>
      </c>
      <c r="L23" s="205" t="s">
        <v>35</v>
      </c>
      <c r="M23" s="205">
        <v>0</v>
      </c>
      <c r="N23" s="205">
        <v>0</v>
      </c>
      <c r="O23" s="205" t="s">
        <v>35</v>
      </c>
      <c r="P23" s="57"/>
      <c r="Q23" s="37"/>
      <c r="R23" s="3">
        <f t="shared" si="0"/>
        <v>115</v>
      </c>
      <c r="S23" s="11">
        <f>AVERAGE(F23:Q23)</f>
        <v>14.375</v>
      </c>
      <c r="T23" s="10">
        <f t="shared" si="2"/>
        <v>0</v>
      </c>
      <c r="U23" s="78">
        <v>0</v>
      </c>
    </row>
    <row r="24" spans="1:21" x14ac:dyDescent="0.2">
      <c r="A24" s="79">
        <v>2008</v>
      </c>
      <c r="C24" s="2" t="s">
        <v>31</v>
      </c>
      <c r="D24" s="18">
        <v>47.625</v>
      </c>
      <c r="E24" s="16">
        <v>272</v>
      </c>
      <c r="F24" s="19">
        <v>21</v>
      </c>
      <c r="G24" s="19">
        <v>20</v>
      </c>
      <c r="H24" s="55">
        <v>39</v>
      </c>
      <c r="I24" s="55">
        <v>33</v>
      </c>
      <c r="J24" s="55">
        <v>45</v>
      </c>
      <c r="K24" s="206">
        <v>24</v>
      </c>
      <c r="L24" s="207">
        <v>43</v>
      </c>
      <c r="M24" s="205">
        <v>0</v>
      </c>
      <c r="N24" s="205">
        <v>0</v>
      </c>
      <c r="O24" s="205"/>
      <c r="P24" s="205"/>
      <c r="Q24" s="37"/>
      <c r="R24" s="3">
        <f t="shared" si="0"/>
        <v>225</v>
      </c>
      <c r="S24" s="11">
        <f>AVERAGE(F24:Q24)</f>
        <v>25</v>
      </c>
      <c r="T24" s="10">
        <f t="shared" si="2"/>
        <v>0</v>
      </c>
      <c r="U24" s="78">
        <v>0</v>
      </c>
    </row>
    <row r="25" spans="1:21" x14ac:dyDescent="0.2">
      <c r="A25" s="80"/>
      <c r="B25" s="75"/>
      <c r="C25" s="46"/>
      <c r="D25" s="49"/>
      <c r="E25" s="46"/>
      <c r="F25" s="46"/>
      <c r="G25" s="46"/>
      <c r="H25" s="46"/>
      <c r="I25" s="46"/>
      <c r="J25" s="46"/>
      <c r="K25" s="46"/>
      <c r="L25" s="46"/>
      <c r="M25" s="46">
        <v>0</v>
      </c>
      <c r="N25" s="46"/>
      <c r="O25" s="46"/>
      <c r="P25" s="46"/>
      <c r="Q25" s="46"/>
      <c r="R25" s="46"/>
      <c r="S25" s="49"/>
      <c r="T25" s="115" t="s">
        <v>35</v>
      </c>
      <c r="U25" s="81"/>
    </row>
    <row r="26" spans="1:21" x14ac:dyDescent="0.2">
      <c r="A26" s="82">
        <v>2009</v>
      </c>
      <c r="C26" s="2" t="s">
        <v>22</v>
      </c>
      <c r="D26" s="70">
        <v>347</v>
      </c>
      <c r="E26" s="4">
        <v>0</v>
      </c>
      <c r="F26" s="50">
        <v>0</v>
      </c>
      <c r="G26" s="50"/>
      <c r="H26" s="50"/>
      <c r="I26" s="50"/>
      <c r="J26" s="50"/>
      <c r="K26" s="50"/>
      <c r="L26" s="50"/>
      <c r="M26" s="50">
        <v>0</v>
      </c>
      <c r="N26" s="50">
        <v>0</v>
      </c>
      <c r="O26" s="50"/>
      <c r="P26" s="50"/>
      <c r="Q26" s="50"/>
      <c r="R26" s="3">
        <f t="shared" ref="R26:R41" si="4">SUM(F26:Q26)</f>
        <v>0</v>
      </c>
      <c r="S26" s="11">
        <f t="shared" ref="S26:S41" si="5">AVERAGE(F26:Q26)</f>
        <v>0</v>
      </c>
      <c r="T26" s="10" t="e">
        <f t="shared" ref="T26:T41" si="6">U26/S26</f>
        <v>#DIV/0!</v>
      </c>
      <c r="U26" s="78">
        <f t="shared" ref="U26:U38" si="7">SUM(E26-R26)</f>
        <v>0</v>
      </c>
    </row>
    <row r="27" spans="1:21" x14ac:dyDescent="0.2">
      <c r="A27" s="82">
        <v>2009</v>
      </c>
      <c r="C27" s="2" t="s">
        <v>21</v>
      </c>
      <c r="D27" s="70">
        <v>455</v>
      </c>
      <c r="E27" s="4">
        <v>0</v>
      </c>
      <c r="F27" s="50">
        <v>0</v>
      </c>
      <c r="G27" s="50"/>
      <c r="H27" s="50"/>
      <c r="I27" s="50"/>
      <c r="J27" s="50"/>
      <c r="K27" s="50"/>
      <c r="L27" s="50"/>
      <c r="M27" s="50">
        <v>0</v>
      </c>
      <c r="N27" s="50">
        <v>0</v>
      </c>
      <c r="O27" s="50"/>
      <c r="P27" s="50"/>
      <c r="Q27" s="50"/>
      <c r="R27" s="3">
        <f t="shared" si="4"/>
        <v>0</v>
      </c>
      <c r="S27" s="11">
        <f t="shared" si="5"/>
        <v>0</v>
      </c>
      <c r="T27" s="10" t="e">
        <f t="shared" si="6"/>
        <v>#DIV/0!</v>
      </c>
      <c r="U27" s="78">
        <f t="shared" si="7"/>
        <v>0</v>
      </c>
    </row>
    <row r="28" spans="1:21" x14ac:dyDescent="0.2">
      <c r="A28" s="82">
        <v>2009</v>
      </c>
      <c r="C28" s="2" t="s">
        <v>23</v>
      </c>
      <c r="D28" s="70"/>
      <c r="E28" s="4">
        <v>714</v>
      </c>
      <c r="F28" s="50">
        <v>0</v>
      </c>
      <c r="G28" s="50"/>
      <c r="H28" s="50"/>
      <c r="I28" s="50"/>
      <c r="J28" s="50"/>
      <c r="K28" s="50"/>
      <c r="L28" s="50"/>
      <c r="M28" s="2">
        <v>20</v>
      </c>
      <c r="N28" s="2">
        <v>0</v>
      </c>
      <c r="O28" s="2">
        <v>13</v>
      </c>
      <c r="P28" s="2">
        <v>10</v>
      </c>
      <c r="Q28" s="2">
        <v>0</v>
      </c>
      <c r="R28" s="3">
        <f t="shared" si="4"/>
        <v>43</v>
      </c>
      <c r="S28" s="11">
        <f t="shared" si="5"/>
        <v>7.166666666666667</v>
      </c>
      <c r="T28" s="10">
        <f t="shared" si="6"/>
        <v>93.627906976744185</v>
      </c>
      <c r="U28" s="78">
        <f t="shared" si="7"/>
        <v>671</v>
      </c>
    </row>
    <row r="29" spans="1:21" x14ac:dyDescent="0.2">
      <c r="A29" s="82">
        <v>2009</v>
      </c>
      <c r="C29" s="2" t="s">
        <v>24</v>
      </c>
      <c r="D29" s="70">
        <v>242</v>
      </c>
      <c r="E29" s="4">
        <v>0</v>
      </c>
      <c r="F29" s="50">
        <v>0</v>
      </c>
      <c r="G29" s="50"/>
      <c r="H29" s="50"/>
      <c r="I29" s="50"/>
      <c r="J29" s="50"/>
      <c r="K29" s="50"/>
      <c r="L29" s="50"/>
      <c r="M29" s="50">
        <v>0</v>
      </c>
      <c r="N29" s="50">
        <v>0</v>
      </c>
      <c r="O29" s="50"/>
      <c r="P29" s="50"/>
      <c r="Q29" s="50"/>
      <c r="R29" s="3">
        <f t="shared" si="4"/>
        <v>0</v>
      </c>
      <c r="S29" s="11">
        <f t="shared" si="5"/>
        <v>0</v>
      </c>
      <c r="T29" s="10" t="e">
        <f t="shared" si="6"/>
        <v>#DIV/0!</v>
      </c>
      <c r="U29" s="78">
        <f t="shared" si="7"/>
        <v>0</v>
      </c>
    </row>
    <row r="30" spans="1:21" x14ac:dyDescent="0.2">
      <c r="A30" s="82">
        <v>2009</v>
      </c>
      <c r="C30" s="2" t="s">
        <v>25</v>
      </c>
      <c r="D30" s="70" t="s">
        <v>35</v>
      </c>
      <c r="E30" s="4">
        <v>556</v>
      </c>
      <c r="F30" s="50">
        <v>0</v>
      </c>
      <c r="G30" s="50"/>
      <c r="H30" s="50"/>
      <c r="I30" s="50"/>
      <c r="J30" s="50"/>
      <c r="K30" s="50"/>
      <c r="L30" s="50"/>
      <c r="M30" s="50">
        <v>0</v>
      </c>
      <c r="N30" s="4">
        <v>18</v>
      </c>
      <c r="O30" s="4">
        <v>0</v>
      </c>
      <c r="P30" s="4">
        <v>52</v>
      </c>
      <c r="Q30" s="4" t="s">
        <v>35</v>
      </c>
      <c r="R30" s="3">
        <f t="shared" si="4"/>
        <v>70</v>
      </c>
      <c r="S30" s="11">
        <f t="shared" si="5"/>
        <v>14</v>
      </c>
      <c r="T30" s="10">
        <f t="shared" si="6"/>
        <v>34.714285714285715</v>
      </c>
      <c r="U30" s="78">
        <f t="shared" si="7"/>
        <v>486</v>
      </c>
    </row>
    <row r="31" spans="1:21" x14ac:dyDescent="0.2">
      <c r="A31" s="82">
        <v>2009</v>
      </c>
      <c r="C31" s="2" t="s">
        <v>28</v>
      </c>
      <c r="D31" s="70"/>
      <c r="E31" s="4">
        <v>0</v>
      </c>
      <c r="F31" s="147">
        <v>0</v>
      </c>
      <c r="G31" s="33"/>
      <c r="H31" s="33"/>
      <c r="I31" s="33"/>
      <c r="J31" s="33"/>
      <c r="K31" s="33"/>
      <c r="L31" s="33"/>
      <c r="M31" s="33">
        <v>0</v>
      </c>
      <c r="N31" s="33">
        <v>0</v>
      </c>
      <c r="O31" s="33"/>
      <c r="P31" s="33"/>
      <c r="Q31" s="33"/>
      <c r="R31" s="3">
        <f t="shared" si="4"/>
        <v>0</v>
      </c>
      <c r="S31" s="11">
        <f t="shared" si="5"/>
        <v>0</v>
      </c>
      <c r="T31" s="10" t="e">
        <f t="shared" si="6"/>
        <v>#DIV/0!</v>
      </c>
      <c r="U31" s="78">
        <f t="shared" si="7"/>
        <v>0</v>
      </c>
    </row>
    <row r="32" spans="1:21" x14ac:dyDescent="0.2">
      <c r="A32" s="82">
        <v>2009</v>
      </c>
      <c r="C32" s="2" t="s">
        <v>29</v>
      </c>
      <c r="D32" s="70" t="s">
        <v>35</v>
      </c>
      <c r="E32" s="4">
        <v>250</v>
      </c>
      <c r="F32" s="50">
        <v>0</v>
      </c>
      <c r="G32" s="50"/>
      <c r="H32" s="50"/>
      <c r="I32" s="50"/>
      <c r="J32" s="50"/>
      <c r="K32" s="50"/>
      <c r="L32" s="50"/>
      <c r="M32" s="2">
        <v>3</v>
      </c>
      <c r="N32" s="4">
        <v>19</v>
      </c>
      <c r="O32" s="4">
        <v>73</v>
      </c>
      <c r="P32" s="4">
        <v>21</v>
      </c>
      <c r="Q32" s="4">
        <v>12</v>
      </c>
      <c r="R32" s="3">
        <f t="shared" si="4"/>
        <v>128</v>
      </c>
      <c r="S32" s="11">
        <f t="shared" si="5"/>
        <v>21.333333333333332</v>
      </c>
      <c r="T32" s="10">
        <f t="shared" si="6"/>
        <v>5.71875</v>
      </c>
      <c r="U32" s="78">
        <f t="shared" si="7"/>
        <v>122</v>
      </c>
    </row>
    <row r="33" spans="1:23" x14ac:dyDescent="0.2">
      <c r="A33" s="82">
        <v>2009</v>
      </c>
      <c r="C33" s="2" t="s">
        <v>26</v>
      </c>
      <c r="D33" s="70" t="s">
        <v>35</v>
      </c>
      <c r="E33" s="4">
        <v>457</v>
      </c>
      <c r="F33" s="50">
        <v>0</v>
      </c>
      <c r="G33" s="50"/>
      <c r="H33" s="50"/>
      <c r="I33" s="50"/>
      <c r="J33" s="50"/>
      <c r="K33" s="50"/>
      <c r="L33" s="50"/>
      <c r="M33" s="50">
        <v>0</v>
      </c>
      <c r="N33" s="50">
        <v>0</v>
      </c>
      <c r="O33" s="50">
        <v>0</v>
      </c>
      <c r="P33" s="50"/>
      <c r="Q33" s="50">
        <v>2</v>
      </c>
      <c r="R33" s="3">
        <f t="shared" si="4"/>
        <v>2</v>
      </c>
      <c r="S33" s="11">
        <f t="shared" si="5"/>
        <v>0.4</v>
      </c>
      <c r="T33" s="10">
        <f t="shared" si="6"/>
        <v>1137.5</v>
      </c>
      <c r="U33" s="78">
        <f t="shared" si="7"/>
        <v>455</v>
      </c>
    </row>
    <row r="34" spans="1:23" x14ac:dyDescent="0.2">
      <c r="A34" s="82">
        <v>2009</v>
      </c>
      <c r="C34" s="2" t="s">
        <v>27</v>
      </c>
      <c r="D34" s="70"/>
      <c r="E34" s="4">
        <v>222</v>
      </c>
      <c r="F34" s="50">
        <v>0</v>
      </c>
      <c r="G34" s="50"/>
      <c r="H34" s="50"/>
      <c r="I34" s="50"/>
      <c r="J34" s="50"/>
      <c r="K34" s="50"/>
      <c r="L34" s="50"/>
      <c r="M34" s="50">
        <v>0</v>
      </c>
      <c r="N34" s="50">
        <v>0</v>
      </c>
      <c r="O34" s="2">
        <v>5</v>
      </c>
      <c r="P34" s="2">
        <v>5</v>
      </c>
      <c r="Q34" s="2">
        <v>3</v>
      </c>
      <c r="R34" s="3">
        <f t="shared" si="4"/>
        <v>13</v>
      </c>
      <c r="S34" s="11">
        <f t="shared" si="5"/>
        <v>2.1666666666666665</v>
      </c>
      <c r="T34" s="10">
        <f t="shared" si="6"/>
        <v>96.461538461538467</v>
      </c>
      <c r="U34" s="78">
        <f t="shared" si="7"/>
        <v>209</v>
      </c>
    </row>
    <row r="35" spans="1:23" x14ac:dyDescent="0.2">
      <c r="A35" s="82">
        <v>2009</v>
      </c>
      <c r="C35" s="2" t="s">
        <v>32</v>
      </c>
      <c r="D35" s="70"/>
      <c r="E35" s="4">
        <v>251</v>
      </c>
      <c r="F35" s="50">
        <v>0</v>
      </c>
      <c r="G35" s="50"/>
      <c r="H35" s="50"/>
      <c r="I35" s="50"/>
      <c r="J35" s="50"/>
      <c r="K35" s="2">
        <v>10</v>
      </c>
      <c r="L35" s="2">
        <v>6</v>
      </c>
      <c r="M35" s="2">
        <v>20</v>
      </c>
      <c r="N35" s="2">
        <v>10</v>
      </c>
      <c r="O35" s="2">
        <v>8</v>
      </c>
      <c r="P35" s="2">
        <v>31</v>
      </c>
      <c r="Q35" s="2">
        <v>0</v>
      </c>
      <c r="R35" s="3">
        <f t="shared" si="4"/>
        <v>85</v>
      </c>
      <c r="S35" s="11">
        <f t="shared" si="5"/>
        <v>10.625</v>
      </c>
      <c r="T35" s="10">
        <f t="shared" si="6"/>
        <v>15.623529411764705</v>
      </c>
      <c r="U35" s="78">
        <f t="shared" si="7"/>
        <v>166</v>
      </c>
    </row>
    <row r="36" spans="1:23" x14ac:dyDescent="0.2">
      <c r="A36" s="82">
        <v>2009</v>
      </c>
      <c r="C36" s="2" t="s">
        <v>33</v>
      </c>
      <c r="D36" s="18">
        <v>44.4</v>
      </c>
      <c r="E36" s="16">
        <v>415</v>
      </c>
      <c r="F36" s="56">
        <v>0</v>
      </c>
      <c r="G36" s="56">
        <v>0</v>
      </c>
      <c r="H36" s="56">
        <v>0</v>
      </c>
      <c r="I36" s="19">
        <v>40</v>
      </c>
      <c r="J36" s="19">
        <v>55</v>
      </c>
      <c r="K36" s="19">
        <v>61</v>
      </c>
      <c r="L36" s="19">
        <v>48</v>
      </c>
      <c r="M36" s="19">
        <v>105</v>
      </c>
      <c r="N36" s="19">
        <v>56</v>
      </c>
      <c r="O36" s="19">
        <v>0</v>
      </c>
      <c r="P36" s="103"/>
      <c r="Q36" s="103"/>
      <c r="R36" s="3">
        <f>SUM(F36:Q36)</f>
        <v>365</v>
      </c>
      <c r="S36" s="11">
        <f>AVERAGE(F36:Q36)</f>
        <v>36.5</v>
      </c>
      <c r="T36" s="10">
        <f>U36/S36</f>
        <v>0</v>
      </c>
      <c r="U36" s="78">
        <v>0</v>
      </c>
    </row>
    <row r="37" spans="1:23" x14ac:dyDescent="0.2">
      <c r="A37" s="82">
        <v>2009</v>
      </c>
      <c r="C37" s="114" t="s">
        <v>44</v>
      </c>
      <c r="D37" s="70"/>
      <c r="E37" s="199" t="s">
        <v>35</v>
      </c>
      <c r="F37" s="33">
        <v>0</v>
      </c>
      <c r="G37" s="33"/>
      <c r="H37" s="33"/>
      <c r="I37" s="33"/>
      <c r="J37" s="33"/>
      <c r="K37" s="33"/>
      <c r="L37" s="33"/>
      <c r="M37" s="33">
        <v>0</v>
      </c>
      <c r="N37" s="33">
        <v>0</v>
      </c>
      <c r="O37" s="33"/>
      <c r="P37" s="33"/>
      <c r="Q37" s="33"/>
      <c r="R37" s="3">
        <v>60</v>
      </c>
      <c r="S37" s="11">
        <f t="shared" si="5"/>
        <v>0</v>
      </c>
      <c r="T37" s="10">
        <v>0</v>
      </c>
      <c r="U37" s="78">
        <v>0</v>
      </c>
    </row>
    <row r="38" spans="1:23" x14ac:dyDescent="0.2">
      <c r="A38" s="82">
        <v>2009</v>
      </c>
      <c r="C38" s="2" t="s">
        <v>43</v>
      </c>
      <c r="D38" s="70"/>
      <c r="E38" s="4">
        <v>0</v>
      </c>
      <c r="F38" s="33">
        <v>0</v>
      </c>
      <c r="G38" s="33"/>
      <c r="H38" s="33"/>
      <c r="I38" s="33"/>
      <c r="J38" s="33"/>
      <c r="K38" s="33"/>
      <c r="L38" s="33"/>
      <c r="M38" s="33">
        <v>0</v>
      </c>
      <c r="N38" s="33">
        <v>0</v>
      </c>
      <c r="O38" s="33"/>
      <c r="P38" s="33"/>
      <c r="Q38" s="33"/>
      <c r="R38" s="3">
        <f t="shared" si="4"/>
        <v>0</v>
      </c>
      <c r="S38" s="11">
        <f t="shared" si="5"/>
        <v>0</v>
      </c>
      <c r="T38" s="10" t="e">
        <f t="shared" si="6"/>
        <v>#DIV/0!</v>
      </c>
      <c r="U38" s="78">
        <f t="shared" si="7"/>
        <v>0</v>
      </c>
    </row>
    <row r="39" spans="1:23" x14ac:dyDescent="0.2">
      <c r="A39" s="82">
        <v>2009</v>
      </c>
      <c r="C39" s="2" t="s">
        <v>31</v>
      </c>
      <c r="D39" s="70"/>
      <c r="E39" s="4">
        <v>596</v>
      </c>
      <c r="F39" s="50">
        <v>0</v>
      </c>
      <c r="G39" s="50"/>
      <c r="H39" s="50"/>
      <c r="I39" s="50"/>
      <c r="J39" s="50"/>
      <c r="K39" s="50"/>
      <c r="L39" s="2">
        <v>3</v>
      </c>
      <c r="M39" s="2">
        <v>0</v>
      </c>
      <c r="N39" s="2">
        <v>58</v>
      </c>
      <c r="O39" s="2">
        <v>60</v>
      </c>
      <c r="P39" s="2">
        <v>50</v>
      </c>
      <c r="Q39" s="2">
        <v>28</v>
      </c>
      <c r="R39" s="3">
        <f>SUM(F39:Q39)</f>
        <v>199</v>
      </c>
      <c r="S39" s="11">
        <f>AVERAGE(F39:Q39)</f>
        <v>28.428571428571427</v>
      </c>
      <c r="T39" s="10">
        <f>U39/S39</f>
        <v>13.964824120603016</v>
      </c>
      <c r="U39" s="78">
        <f>SUM(E39-R39)</f>
        <v>397</v>
      </c>
    </row>
    <row r="40" spans="1:23" x14ac:dyDescent="0.2">
      <c r="A40" s="82">
        <v>2009</v>
      </c>
      <c r="C40" s="2" t="s">
        <v>45</v>
      </c>
      <c r="D40" s="208" t="s">
        <v>35</v>
      </c>
      <c r="E40" s="19">
        <v>287</v>
      </c>
      <c r="F40" s="56"/>
      <c r="G40" s="56"/>
      <c r="H40" s="56"/>
      <c r="I40" s="56"/>
      <c r="J40" s="56"/>
      <c r="K40" s="56"/>
      <c r="L40" s="16">
        <v>0</v>
      </c>
      <c r="M40" s="16">
        <v>25</v>
      </c>
      <c r="N40" s="16">
        <v>9</v>
      </c>
      <c r="O40" s="16">
        <v>11</v>
      </c>
      <c r="P40" s="16">
        <v>14</v>
      </c>
      <c r="Q40" s="16">
        <v>12</v>
      </c>
      <c r="R40" s="3">
        <f>SUM(F40:Q40)</f>
        <v>71</v>
      </c>
      <c r="S40" s="11">
        <f>AVERAGE(F40:Q40)</f>
        <v>11.833333333333334</v>
      </c>
      <c r="T40" s="10">
        <f>U40/S40</f>
        <v>18.253521126760564</v>
      </c>
      <c r="U40" s="78">
        <f>SUM(E40-R40)</f>
        <v>216</v>
      </c>
    </row>
    <row r="41" spans="1:23" x14ac:dyDescent="0.2">
      <c r="A41" s="82">
        <v>2009</v>
      </c>
      <c r="C41" s="199" t="s">
        <v>46</v>
      </c>
      <c r="D41" s="93" t="s">
        <v>47</v>
      </c>
      <c r="E41" s="16">
        <v>323</v>
      </c>
      <c r="F41" s="56">
        <v>0</v>
      </c>
      <c r="G41" s="56">
        <v>0</v>
      </c>
      <c r="H41" s="56">
        <v>0</v>
      </c>
      <c r="I41" s="19">
        <v>25</v>
      </c>
      <c r="J41" s="19">
        <v>40</v>
      </c>
      <c r="K41" s="19">
        <v>76</v>
      </c>
      <c r="L41" s="19">
        <v>52</v>
      </c>
      <c r="M41" s="19">
        <v>0</v>
      </c>
      <c r="N41" s="19">
        <v>40</v>
      </c>
      <c r="O41" s="19">
        <v>26</v>
      </c>
      <c r="P41" s="103"/>
      <c r="Q41" s="103">
        <v>0</v>
      </c>
      <c r="R41" s="3">
        <f t="shared" si="4"/>
        <v>259</v>
      </c>
      <c r="S41" s="11">
        <f t="shared" si="5"/>
        <v>23.545454545454547</v>
      </c>
      <c r="T41" s="10">
        <f t="shared" si="6"/>
        <v>0</v>
      </c>
      <c r="U41" s="78">
        <v>0</v>
      </c>
    </row>
    <row r="42" spans="1:23" x14ac:dyDescent="0.2">
      <c r="A42" s="80"/>
      <c r="B42" s="75"/>
      <c r="C42" s="46"/>
      <c r="D42" s="49"/>
      <c r="E42" s="46"/>
      <c r="F42" s="46"/>
      <c r="G42" s="46"/>
      <c r="H42" s="46"/>
      <c r="I42" s="46"/>
      <c r="J42" s="46"/>
      <c r="K42" s="46"/>
      <c r="L42" s="46"/>
      <c r="M42" s="46"/>
      <c r="N42" s="46"/>
      <c r="O42" s="46"/>
      <c r="P42" s="46"/>
      <c r="Q42" s="46"/>
      <c r="R42" s="46"/>
      <c r="S42" s="49"/>
      <c r="T42" s="115"/>
      <c r="U42" s="81"/>
    </row>
    <row r="43" spans="1:23" x14ac:dyDescent="0.2">
      <c r="A43" s="77">
        <v>2006</v>
      </c>
      <c r="C43" s="51" t="s">
        <v>16</v>
      </c>
      <c r="D43" s="11">
        <v>377</v>
      </c>
      <c r="E43" s="2">
        <f t="shared" ref="E43:Q43" si="8">SUM(E3)</f>
        <v>27</v>
      </c>
      <c r="F43" s="2">
        <f t="shared" si="8"/>
        <v>0</v>
      </c>
      <c r="G43" s="2">
        <f t="shared" si="8"/>
        <v>0</v>
      </c>
      <c r="H43" s="2">
        <f t="shared" si="8"/>
        <v>0</v>
      </c>
      <c r="I43" s="2">
        <f t="shared" si="8"/>
        <v>0</v>
      </c>
      <c r="J43" s="2">
        <f t="shared" si="8"/>
        <v>0</v>
      </c>
      <c r="K43" s="2">
        <f t="shared" si="8"/>
        <v>0</v>
      </c>
      <c r="L43" s="2">
        <f t="shared" si="8"/>
        <v>0</v>
      </c>
      <c r="M43" s="2">
        <f t="shared" si="8"/>
        <v>0</v>
      </c>
      <c r="N43" s="2">
        <f t="shared" si="8"/>
        <v>0</v>
      </c>
      <c r="O43" s="2">
        <f t="shared" si="8"/>
        <v>0</v>
      </c>
      <c r="P43" s="2">
        <f t="shared" si="8"/>
        <v>0</v>
      </c>
      <c r="Q43" s="2">
        <f t="shared" si="8"/>
        <v>0</v>
      </c>
      <c r="R43" s="3">
        <f>SUM(F43:Q43)</f>
        <v>0</v>
      </c>
      <c r="S43" s="11">
        <f>AVERAGE(F43:Q43)</f>
        <v>0</v>
      </c>
      <c r="T43" s="10" t="e">
        <f>U43/S43</f>
        <v>#DIV/0!</v>
      </c>
      <c r="U43" s="78">
        <f>SUM(E43-R43)</f>
        <v>27</v>
      </c>
    </row>
    <row r="44" spans="1:23" x14ac:dyDescent="0.2">
      <c r="A44" s="77">
        <v>2007</v>
      </c>
      <c r="C44" s="2"/>
      <c r="D44" s="54">
        <v>431.5</v>
      </c>
      <c r="E44" s="2">
        <f t="shared" ref="E44:Q44" si="9">SUM(E5:E8)</f>
        <v>873</v>
      </c>
      <c r="F44" s="2">
        <f t="shared" si="9"/>
        <v>30</v>
      </c>
      <c r="G44" s="2">
        <f t="shared" si="9"/>
        <v>43</v>
      </c>
      <c r="H44" s="2">
        <f t="shared" si="9"/>
        <v>52</v>
      </c>
      <c r="I44" s="2">
        <f t="shared" si="9"/>
        <v>17</v>
      </c>
      <c r="J44" s="2">
        <f t="shared" si="9"/>
        <v>49</v>
      </c>
      <c r="K44" s="2">
        <f t="shared" si="9"/>
        <v>38</v>
      </c>
      <c r="L44" s="2">
        <f t="shared" si="9"/>
        <v>35</v>
      </c>
      <c r="M44" s="2">
        <f t="shared" si="9"/>
        <v>32</v>
      </c>
      <c r="N44" s="2">
        <f t="shared" si="9"/>
        <v>63</v>
      </c>
      <c r="O44" s="2">
        <f t="shared" si="9"/>
        <v>37</v>
      </c>
      <c r="P44" s="2">
        <f t="shared" si="9"/>
        <v>13</v>
      </c>
      <c r="Q44" s="2">
        <f t="shared" si="9"/>
        <v>5</v>
      </c>
      <c r="R44" s="3">
        <f>SUM(F44:Q44)</f>
        <v>414</v>
      </c>
      <c r="S44" s="11">
        <f>AVERAGE(F44:Q44)</f>
        <v>34.5</v>
      </c>
      <c r="T44" s="10">
        <f>U44/S44</f>
        <v>13.304347826086957</v>
      </c>
      <c r="U44" s="78">
        <f>SUM(E44-R44)</f>
        <v>459</v>
      </c>
    </row>
    <row r="45" spans="1:23" x14ac:dyDescent="0.2">
      <c r="A45" s="77">
        <v>2008</v>
      </c>
      <c r="C45" s="2"/>
      <c r="D45" s="42">
        <v>352.25</v>
      </c>
      <c r="E45" s="2">
        <f t="shared" ref="E45:Q45" si="10">SUM(E11:E24)</f>
        <v>3691</v>
      </c>
      <c r="F45" s="2">
        <f t="shared" si="10"/>
        <v>246</v>
      </c>
      <c r="G45" s="2">
        <f t="shared" si="10"/>
        <v>160</v>
      </c>
      <c r="H45" s="2">
        <f t="shared" si="10"/>
        <v>419</v>
      </c>
      <c r="I45" s="2">
        <f t="shared" si="10"/>
        <v>177</v>
      </c>
      <c r="J45" s="2">
        <f t="shared" si="10"/>
        <v>313</v>
      </c>
      <c r="K45" s="2">
        <f t="shared" si="10"/>
        <v>228</v>
      </c>
      <c r="L45" s="2">
        <f t="shared" si="10"/>
        <v>345</v>
      </c>
      <c r="M45" s="2">
        <f t="shared" si="10"/>
        <v>185</v>
      </c>
      <c r="N45" s="2">
        <f t="shared" si="10"/>
        <v>239</v>
      </c>
      <c r="O45" s="2">
        <f t="shared" si="10"/>
        <v>250</v>
      </c>
      <c r="P45" s="2">
        <f t="shared" si="10"/>
        <v>202</v>
      </c>
      <c r="Q45" s="2">
        <f t="shared" si="10"/>
        <v>129</v>
      </c>
      <c r="R45" s="3">
        <f>SUM(F45:Q45)</f>
        <v>2893</v>
      </c>
      <c r="S45" s="11">
        <f>AVERAGE(F45:Q45)</f>
        <v>241.08333333333334</v>
      </c>
      <c r="T45" s="10">
        <f>U45/S45</f>
        <v>3.3100587625302453</v>
      </c>
      <c r="U45" s="78">
        <f>SUM(E45-R45)</f>
        <v>798</v>
      </c>
    </row>
    <row r="46" spans="1:23" x14ac:dyDescent="0.2">
      <c r="A46" s="77">
        <v>2009</v>
      </c>
      <c r="C46" s="2"/>
      <c r="D46" s="71"/>
      <c r="E46" s="2">
        <f t="shared" ref="E46:Q46" si="11">SUM(E26:E41)</f>
        <v>4071</v>
      </c>
      <c r="F46" s="2">
        <f t="shared" si="11"/>
        <v>0</v>
      </c>
      <c r="G46" s="2">
        <f t="shared" si="11"/>
        <v>0</v>
      </c>
      <c r="H46" s="2">
        <f t="shared" si="11"/>
        <v>0</v>
      </c>
      <c r="I46" s="2">
        <f t="shared" si="11"/>
        <v>65</v>
      </c>
      <c r="J46" s="2">
        <f t="shared" si="11"/>
        <v>95</v>
      </c>
      <c r="K46" s="2">
        <f t="shared" si="11"/>
        <v>147</v>
      </c>
      <c r="L46" s="2">
        <f t="shared" si="11"/>
        <v>109</v>
      </c>
      <c r="M46" s="2">
        <f t="shared" si="11"/>
        <v>173</v>
      </c>
      <c r="N46" s="2">
        <f t="shared" si="11"/>
        <v>210</v>
      </c>
      <c r="O46" s="2">
        <f t="shared" si="11"/>
        <v>196</v>
      </c>
      <c r="P46" s="2">
        <f t="shared" si="11"/>
        <v>183</v>
      </c>
      <c r="Q46" s="2">
        <f t="shared" si="11"/>
        <v>57</v>
      </c>
      <c r="R46" s="3">
        <f>SUM(F46:Q46)</f>
        <v>1235</v>
      </c>
      <c r="S46" s="11">
        <f>AVERAGE(F46:Q46)</f>
        <v>102.91666666666667</v>
      </c>
      <c r="T46" s="10">
        <f>U46/S46</f>
        <v>27.556275303643723</v>
      </c>
      <c r="U46" s="78">
        <f>SUM(E46-R46)</f>
        <v>2836</v>
      </c>
    </row>
    <row r="47" spans="1:23" x14ac:dyDescent="0.2">
      <c r="A47" s="83"/>
      <c r="B47" s="75"/>
      <c r="C47" s="47"/>
      <c r="D47" s="48"/>
      <c r="E47" s="47"/>
      <c r="F47" s="47"/>
      <c r="G47" s="47"/>
      <c r="H47" s="47"/>
      <c r="I47" s="47"/>
      <c r="J47" s="47"/>
      <c r="K47" s="47"/>
      <c r="L47" s="47"/>
      <c r="M47" s="47"/>
      <c r="N47" s="47"/>
      <c r="O47" s="47"/>
      <c r="P47" s="47"/>
      <c r="Q47" s="47"/>
      <c r="R47" s="47"/>
      <c r="S47" s="48"/>
      <c r="T47" s="209"/>
      <c r="U47" s="84"/>
      <c r="V47" s="52"/>
      <c r="W47" s="52"/>
    </row>
    <row r="48" spans="1:23" x14ac:dyDescent="0.2">
      <c r="A48" s="72"/>
      <c r="C48" s="53" t="s">
        <v>36</v>
      </c>
      <c r="D48" s="24">
        <v>486.25</v>
      </c>
      <c r="E48" s="22">
        <f t="shared" ref="E48:Q48" si="12">SUM(E3+E5+E6+E7+E8+E11+E12+E13+E14+E17+E18+E19+E20+Y23,E26+E27+E28+E29+E32+E33+E34+E35+E38)</f>
        <v>5210</v>
      </c>
      <c r="F48" s="22">
        <f t="shared" si="12"/>
        <v>142</v>
      </c>
      <c r="G48" s="22">
        <f t="shared" si="12"/>
        <v>142</v>
      </c>
      <c r="H48" s="22">
        <f t="shared" si="12"/>
        <v>289</v>
      </c>
      <c r="I48" s="22">
        <f t="shared" si="12"/>
        <v>79</v>
      </c>
      <c r="J48" s="22">
        <f t="shared" si="12"/>
        <v>207</v>
      </c>
      <c r="K48" s="22">
        <f t="shared" si="12"/>
        <v>159</v>
      </c>
      <c r="L48" s="22">
        <f t="shared" si="12"/>
        <v>201</v>
      </c>
      <c r="M48" s="22">
        <f t="shared" si="12"/>
        <v>243</v>
      </c>
      <c r="N48" s="22">
        <f t="shared" si="12"/>
        <v>256</v>
      </c>
      <c r="O48" s="22">
        <f t="shared" si="12"/>
        <v>317</v>
      </c>
      <c r="P48" s="22">
        <f t="shared" si="12"/>
        <v>244</v>
      </c>
      <c r="Q48" s="22">
        <f t="shared" si="12"/>
        <v>128</v>
      </c>
      <c r="R48" s="3">
        <f>SUM(F48:Q48)</f>
        <v>2407</v>
      </c>
      <c r="S48" s="11">
        <f>AVERAGE(F48:N48)</f>
        <v>190.88888888888889</v>
      </c>
      <c r="T48" s="10">
        <f>U48/S48</f>
        <v>14.683934807916183</v>
      </c>
      <c r="U48" s="78">
        <f>SUM(E48-R48)</f>
        <v>2803</v>
      </c>
    </row>
    <row r="49" spans="1:21" ht="13.5" thickBot="1" x14ac:dyDescent="0.25">
      <c r="A49" s="85"/>
      <c r="B49" s="86"/>
      <c r="C49" s="87" t="s">
        <v>37</v>
      </c>
      <c r="D49" s="88">
        <v>754.75</v>
      </c>
      <c r="E49" s="89" t="e">
        <f t="shared" ref="E49:Q49" si="13">SUM(E15+E16+E21+E22+E24+E30+E31+E36+E37+E39+E41)</f>
        <v>#VALUE!</v>
      </c>
      <c r="F49" s="89">
        <f t="shared" si="13"/>
        <v>125</v>
      </c>
      <c r="G49" s="89">
        <f t="shared" si="13"/>
        <v>55</v>
      </c>
      <c r="H49" s="89">
        <f t="shared" si="13"/>
        <v>161</v>
      </c>
      <c r="I49" s="89">
        <f t="shared" si="13"/>
        <v>165</v>
      </c>
      <c r="J49" s="89">
        <f t="shared" si="13"/>
        <v>214</v>
      </c>
      <c r="K49" s="89">
        <f t="shared" si="13"/>
        <v>226</v>
      </c>
      <c r="L49" s="89">
        <f t="shared" si="13"/>
        <v>288</v>
      </c>
      <c r="M49" s="89">
        <f t="shared" si="13"/>
        <v>122</v>
      </c>
      <c r="N49" s="89">
        <f t="shared" si="13"/>
        <v>247</v>
      </c>
      <c r="O49" s="89">
        <f t="shared" si="13"/>
        <v>155</v>
      </c>
      <c r="P49" s="89">
        <f t="shared" si="13"/>
        <v>140</v>
      </c>
      <c r="Q49" s="89" t="e">
        <f t="shared" si="13"/>
        <v>#VALUE!</v>
      </c>
      <c r="R49" s="90" t="e">
        <f>SUM(F49:Q49)</f>
        <v>#VALUE!</v>
      </c>
      <c r="S49" s="88">
        <f>AVERAGE(F49:N49)</f>
        <v>178.11111111111111</v>
      </c>
      <c r="T49" s="91" t="e">
        <f>U49/S49</f>
        <v>#VALUE!</v>
      </c>
      <c r="U49" s="92" t="e">
        <f>SUM(E49-R49)</f>
        <v>#VALUE!</v>
      </c>
    </row>
  </sheetData>
  <mergeCells count="1">
    <mergeCell ref="C1:R1"/>
  </mergeCells>
  <phoneticPr fontId="0" type="noConversion"/>
  <pageMargins left="0.25" right="0.25" top="0.75" bottom="0.75" header="0.3" footer="0.3"/>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V63"/>
  <sheetViews>
    <sheetView zoomScale="115" zoomScaleNormal="106" workbookViewId="0">
      <selection activeCell="A18" sqref="A18"/>
    </sheetView>
  </sheetViews>
  <sheetFormatPr defaultRowHeight="12.75" x14ac:dyDescent="0.2"/>
  <cols>
    <col min="1" max="1" width="6.42578125" customWidth="1"/>
    <col min="2" max="2" width="1.5703125" customWidth="1"/>
    <col min="3" max="3" width="17.28515625" customWidth="1"/>
    <col min="4" max="4" width="9.5703125" customWidth="1"/>
    <col min="5" max="5" width="12.5703125" customWidth="1"/>
    <col min="6" max="9" width="6.5703125" customWidth="1"/>
    <col min="10" max="10" width="7" customWidth="1"/>
    <col min="11" max="11" width="6.7109375" customWidth="1"/>
    <col min="12" max="12" width="6.42578125" customWidth="1"/>
    <col min="13" max="13" width="7" customWidth="1"/>
    <col min="14" max="14" width="7.28515625" customWidth="1"/>
    <col min="15" max="15" width="6.7109375" customWidth="1"/>
    <col min="16" max="16" width="7" customWidth="1"/>
    <col min="17" max="17" width="6.7109375" customWidth="1"/>
    <col min="18" max="18" width="8.5703125" customWidth="1"/>
    <col min="19" max="19" width="10.7109375" customWidth="1"/>
    <col min="20" max="20" width="10.42578125" customWidth="1"/>
    <col min="21" max="21" width="13.42578125" customWidth="1"/>
  </cols>
  <sheetData>
    <row r="2" spans="1:22" ht="77.25" customHeight="1" x14ac:dyDescent="0.2"/>
    <row r="4" spans="1:22" ht="13.5" thickBot="1" x14ac:dyDescent="0.25"/>
    <row r="5" spans="1:22" ht="29.25" customHeight="1" thickBot="1" x14ac:dyDescent="0.35">
      <c r="A5" s="104" t="s">
        <v>0</v>
      </c>
      <c r="B5" s="105"/>
      <c r="C5" s="105"/>
      <c r="D5" s="105"/>
      <c r="E5" s="105"/>
      <c r="F5" s="105"/>
      <c r="G5" s="105"/>
      <c r="H5" s="105"/>
      <c r="I5" s="105"/>
      <c r="J5" s="105"/>
      <c r="K5" s="105"/>
      <c r="L5" s="105"/>
      <c r="M5" s="105"/>
      <c r="N5" s="105"/>
      <c r="O5" s="105"/>
      <c r="P5" s="105"/>
      <c r="Q5" s="105"/>
      <c r="R5" s="105"/>
      <c r="S5" s="105"/>
      <c r="T5" s="105"/>
      <c r="U5" s="106"/>
    </row>
    <row r="6" spans="1:22" ht="48" thickBot="1" x14ac:dyDescent="0.3">
      <c r="A6" s="61" t="s">
        <v>3</v>
      </c>
      <c r="C6" s="107" t="s">
        <v>2</v>
      </c>
      <c r="D6" s="108" t="s">
        <v>48</v>
      </c>
      <c r="E6" s="109" t="s">
        <v>49</v>
      </c>
      <c r="F6" s="110" t="s">
        <v>4</v>
      </c>
      <c r="G6" s="110" t="s">
        <v>5</v>
      </c>
      <c r="H6" s="110" t="s">
        <v>6</v>
      </c>
      <c r="I6" s="110" t="s">
        <v>7</v>
      </c>
      <c r="J6" s="110" t="s">
        <v>8</v>
      </c>
      <c r="K6" s="110" t="s">
        <v>9</v>
      </c>
      <c r="L6" s="110" t="s">
        <v>10</v>
      </c>
      <c r="M6" s="110" t="s">
        <v>11</v>
      </c>
      <c r="N6" s="110" t="s">
        <v>12</v>
      </c>
      <c r="O6" s="110" t="s">
        <v>13</v>
      </c>
      <c r="P6" s="110" t="s">
        <v>14</v>
      </c>
      <c r="Q6" s="110" t="s">
        <v>15</v>
      </c>
      <c r="R6" s="111" t="s">
        <v>16</v>
      </c>
      <c r="S6" s="112" t="s">
        <v>50</v>
      </c>
      <c r="T6" s="109" t="s">
        <v>19</v>
      </c>
      <c r="U6" s="113" t="s">
        <v>41</v>
      </c>
    </row>
    <row r="7" spans="1:22" x14ac:dyDescent="0.2">
      <c r="A7" s="82">
        <v>2009</v>
      </c>
      <c r="C7" s="2" t="s">
        <v>21</v>
      </c>
      <c r="D7" s="11">
        <v>22</v>
      </c>
      <c r="E7" s="4">
        <v>21</v>
      </c>
      <c r="F7" s="2">
        <v>21</v>
      </c>
      <c r="G7" s="2">
        <v>0</v>
      </c>
      <c r="H7" s="33"/>
      <c r="I7" s="33"/>
      <c r="J7" s="33"/>
      <c r="K7" s="33"/>
      <c r="L7" s="147"/>
      <c r="M7" s="33"/>
      <c r="N7" s="33"/>
      <c r="O7" s="33"/>
      <c r="P7" s="33"/>
      <c r="Q7" s="33"/>
      <c r="R7" s="3">
        <f>SUM(F7:Q7)</f>
        <v>21</v>
      </c>
      <c r="S7" s="11">
        <f>AVERAGE(F7:Q7)</f>
        <v>10.5</v>
      </c>
      <c r="T7" s="10">
        <f>U7/S7</f>
        <v>0</v>
      </c>
      <c r="U7" s="78">
        <f>SUM(E7-R7)</f>
        <v>0</v>
      </c>
    </row>
    <row r="8" spans="1:22" x14ac:dyDescent="0.2">
      <c r="A8" s="82">
        <v>2009</v>
      </c>
      <c r="C8" s="2" t="s">
        <v>23</v>
      </c>
      <c r="D8" s="11">
        <v>29</v>
      </c>
      <c r="E8" s="4">
        <v>118</v>
      </c>
      <c r="F8" s="2">
        <v>23</v>
      </c>
      <c r="G8" s="2">
        <v>17</v>
      </c>
      <c r="H8" s="2">
        <v>14</v>
      </c>
      <c r="I8" s="2">
        <v>34</v>
      </c>
      <c r="J8" s="2"/>
      <c r="K8" s="2"/>
      <c r="L8" s="33"/>
      <c r="M8" s="33"/>
      <c r="N8" s="33"/>
      <c r="O8" s="33"/>
      <c r="P8" s="33"/>
      <c r="Q8" s="33"/>
      <c r="R8" s="3">
        <f>SUM(F8:Q8)</f>
        <v>88</v>
      </c>
      <c r="S8" s="11">
        <f>AVERAGE(F8:Q8)</f>
        <v>22</v>
      </c>
      <c r="T8" s="10">
        <f>U8/S8</f>
        <v>1.3636363636363635</v>
      </c>
      <c r="U8" s="78">
        <f>SUM(E8-R8)</f>
        <v>30</v>
      </c>
    </row>
    <row r="9" spans="1:22" x14ac:dyDescent="0.2">
      <c r="A9" s="82">
        <v>2009</v>
      </c>
      <c r="C9" s="2" t="s">
        <v>26</v>
      </c>
      <c r="D9" s="11">
        <v>16</v>
      </c>
      <c r="E9" s="4">
        <v>13</v>
      </c>
      <c r="F9" s="2">
        <v>13</v>
      </c>
      <c r="G9" s="2">
        <v>0</v>
      </c>
      <c r="H9" s="33"/>
      <c r="I9" s="33"/>
      <c r="J9" s="33"/>
      <c r="K9" s="33"/>
      <c r="L9" s="33"/>
      <c r="M9" s="33"/>
      <c r="N9" s="33"/>
      <c r="O9" s="33"/>
      <c r="P9" s="33"/>
      <c r="Q9" s="33"/>
      <c r="R9" s="3">
        <f>SUM(F9:Q9)</f>
        <v>13</v>
      </c>
      <c r="S9" s="11">
        <f>AVERAGE(F9:Q9)</f>
        <v>6.5</v>
      </c>
      <c r="T9" s="10">
        <f>U9/S9</f>
        <v>0</v>
      </c>
      <c r="U9" s="78">
        <f>SUM(E9-R9)</f>
        <v>0</v>
      </c>
    </row>
    <row r="10" spans="1:22" x14ac:dyDescent="0.2">
      <c r="A10" s="80"/>
      <c r="B10" s="75"/>
      <c r="C10" s="46"/>
      <c r="D10" s="49"/>
      <c r="E10" s="46"/>
      <c r="F10" s="46"/>
      <c r="G10" s="46"/>
      <c r="H10" s="46"/>
      <c r="I10" s="46"/>
      <c r="J10" s="46"/>
      <c r="K10" s="46"/>
      <c r="L10" s="46"/>
      <c r="M10" s="46"/>
      <c r="N10" s="46"/>
      <c r="O10" s="46"/>
      <c r="P10" s="46"/>
      <c r="Q10" s="46"/>
      <c r="R10" s="46"/>
      <c r="S10" s="49"/>
      <c r="T10" s="115"/>
      <c r="U10" s="81"/>
    </row>
    <row r="11" spans="1:22" x14ac:dyDescent="0.2">
      <c r="A11" s="2">
        <v>2010</v>
      </c>
      <c r="C11" s="2" t="s">
        <v>25</v>
      </c>
      <c r="D11" s="102">
        <v>38</v>
      </c>
      <c r="E11" s="2">
        <v>255</v>
      </c>
      <c r="F11" s="114">
        <v>25</v>
      </c>
      <c r="G11" s="114">
        <v>29</v>
      </c>
      <c r="H11" s="114">
        <v>26</v>
      </c>
      <c r="I11" s="114">
        <v>38</v>
      </c>
      <c r="J11" s="114"/>
      <c r="K11" s="114"/>
      <c r="L11" s="114"/>
      <c r="M11" s="114"/>
      <c r="N11" s="114"/>
      <c r="O11" s="132"/>
      <c r="P11" s="114"/>
      <c r="Q11" s="114"/>
      <c r="R11" s="3">
        <f t="shared" ref="R11:R19" si="0">SUM(F11:Q11)</f>
        <v>118</v>
      </c>
      <c r="S11" s="11">
        <f t="shared" ref="S11:S19" si="1">AVERAGE(F11:Q11)</f>
        <v>29.5</v>
      </c>
      <c r="T11" s="10">
        <f t="shared" ref="T11:T19" si="2">U11/S11</f>
        <v>4.6440677966101696</v>
      </c>
      <c r="U11" s="78">
        <f t="shared" ref="U11:U19" si="3">SUM(E11-R11)</f>
        <v>137</v>
      </c>
    </row>
    <row r="12" spans="1:22" x14ac:dyDescent="0.2">
      <c r="A12" s="2">
        <v>2010</v>
      </c>
      <c r="C12" s="114" t="s">
        <v>51</v>
      </c>
      <c r="D12" s="102">
        <v>30</v>
      </c>
      <c r="E12" s="2">
        <v>84</v>
      </c>
      <c r="F12" s="114">
        <v>11</v>
      </c>
      <c r="G12" s="114">
        <v>10</v>
      </c>
      <c r="H12" s="114">
        <v>9</v>
      </c>
      <c r="I12" s="114">
        <v>17</v>
      </c>
      <c r="J12" s="147"/>
      <c r="K12" s="147"/>
      <c r="L12" s="147"/>
      <c r="M12" s="147"/>
      <c r="N12" s="147"/>
      <c r="O12" s="147"/>
      <c r="P12" s="147"/>
      <c r="Q12" s="147"/>
      <c r="R12" s="3">
        <f>SUM(F12:Q12)</f>
        <v>47</v>
      </c>
      <c r="S12" s="11">
        <f>AVERAGE(F12:Q12)</f>
        <v>11.75</v>
      </c>
      <c r="T12" s="10">
        <f>U12/S12</f>
        <v>3.1489361702127661</v>
      </c>
      <c r="U12" s="78">
        <f>SUM(E12-R12)</f>
        <v>37</v>
      </c>
      <c r="V12">
        <v>3</v>
      </c>
    </row>
    <row r="13" spans="1:22" x14ac:dyDescent="0.2">
      <c r="A13" s="2">
        <v>2010</v>
      </c>
      <c r="C13" s="2" t="s">
        <v>31</v>
      </c>
      <c r="D13" s="102">
        <v>31</v>
      </c>
      <c r="E13" s="2">
        <v>151</v>
      </c>
      <c r="F13" s="114">
        <v>19</v>
      </c>
      <c r="G13" s="114">
        <v>18</v>
      </c>
      <c r="H13" s="114">
        <v>16</v>
      </c>
      <c r="I13" s="114">
        <v>62</v>
      </c>
      <c r="J13" s="114"/>
      <c r="K13" s="114"/>
      <c r="L13" s="147"/>
      <c r="M13" s="147"/>
      <c r="N13" s="147"/>
      <c r="O13" s="147"/>
      <c r="P13" s="147"/>
      <c r="Q13" s="147"/>
      <c r="R13" s="3">
        <f t="shared" si="0"/>
        <v>115</v>
      </c>
      <c r="S13" s="11">
        <f>AVERAGE(F13:Q13)</f>
        <v>28.75</v>
      </c>
      <c r="T13" s="10">
        <f t="shared" si="2"/>
        <v>1.2521739130434784</v>
      </c>
      <c r="U13" s="78">
        <f>SUM(E13-R13)</f>
        <v>36</v>
      </c>
    </row>
    <row r="14" spans="1:22" x14ac:dyDescent="0.2">
      <c r="A14" s="2">
        <v>2010</v>
      </c>
      <c r="C14" s="114" t="s">
        <v>23</v>
      </c>
      <c r="D14" s="102">
        <v>29</v>
      </c>
      <c r="E14" s="2">
        <v>283</v>
      </c>
      <c r="F14" s="130">
        <v>13</v>
      </c>
      <c r="G14" s="130">
        <v>6</v>
      </c>
      <c r="H14" s="130">
        <v>4</v>
      </c>
      <c r="I14" s="130">
        <v>0</v>
      </c>
      <c r="J14" s="130"/>
      <c r="K14" s="130"/>
      <c r="L14" s="130"/>
      <c r="M14" s="130"/>
      <c r="N14" s="130"/>
      <c r="O14" s="130"/>
      <c r="P14" s="130"/>
      <c r="Q14" s="130"/>
      <c r="R14" s="3">
        <f t="shared" si="0"/>
        <v>23</v>
      </c>
      <c r="S14" s="11">
        <f t="shared" si="1"/>
        <v>5.75</v>
      </c>
      <c r="T14" s="10">
        <f t="shared" si="2"/>
        <v>45.217391304347828</v>
      </c>
      <c r="U14" s="78">
        <f t="shared" si="3"/>
        <v>260</v>
      </c>
    </row>
    <row r="15" spans="1:22" x14ac:dyDescent="0.2">
      <c r="A15" s="2">
        <v>2010</v>
      </c>
      <c r="C15" s="114" t="s">
        <v>26</v>
      </c>
      <c r="D15" s="102">
        <v>16</v>
      </c>
      <c r="E15" s="2">
        <v>308</v>
      </c>
      <c r="F15" s="131">
        <v>2</v>
      </c>
      <c r="G15" s="114">
        <v>12</v>
      </c>
      <c r="H15" s="114">
        <v>12</v>
      </c>
      <c r="I15" s="114">
        <v>6</v>
      </c>
      <c r="J15" s="114"/>
      <c r="K15" s="114"/>
      <c r="L15" s="114"/>
      <c r="M15" s="114"/>
      <c r="N15" s="114"/>
      <c r="O15" s="114"/>
      <c r="P15" s="114"/>
      <c r="Q15" s="114"/>
      <c r="R15" s="3">
        <f t="shared" si="0"/>
        <v>32</v>
      </c>
      <c r="S15" s="11">
        <f t="shared" si="1"/>
        <v>8</v>
      </c>
      <c r="T15" s="10">
        <f t="shared" si="2"/>
        <v>34.5</v>
      </c>
      <c r="U15" s="78">
        <f t="shared" si="3"/>
        <v>276</v>
      </c>
    </row>
    <row r="16" spans="1:22" x14ac:dyDescent="0.2">
      <c r="A16" s="2">
        <v>2010</v>
      </c>
      <c r="C16" s="114" t="s">
        <v>24</v>
      </c>
      <c r="D16" s="102">
        <v>25</v>
      </c>
      <c r="E16" s="2">
        <v>238</v>
      </c>
      <c r="F16" s="114">
        <v>16</v>
      </c>
      <c r="G16" s="114">
        <v>15</v>
      </c>
      <c r="H16" s="114">
        <v>18</v>
      </c>
      <c r="I16" s="114">
        <v>22</v>
      </c>
      <c r="J16" s="114"/>
      <c r="K16" s="114"/>
      <c r="L16" s="114"/>
      <c r="M16" s="114"/>
      <c r="N16" s="114"/>
      <c r="O16" s="114"/>
      <c r="P16" s="114"/>
      <c r="Q16" s="132"/>
      <c r="R16" s="3">
        <f t="shared" si="0"/>
        <v>71</v>
      </c>
      <c r="S16" s="11">
        <f t="shared" si="1"/>
        <v>17.75</v>
      </c>
      <c r="T16" s="10">
        <f t="shared" si="2"/>
        <v>9.408450704225352</v>
      </c>
      <c r="U16" s="78">
        <f t="shared" si="3"/>
        <v>167</v>
      </c>
    </row>
    <row r="17" spans="1:22" x14ac:dyDescent="0.2">
      <c r="A17" s="2">
        <v>2010</v>
      </c>
      <c r="C17" s="114" t="s">
        <v>27</v>
      </c>
      <c r="D17" s="102">
        <v>21</v>
      </c>
      <c r="E17" s="2">
        <v>301</v>
      </c>
      <c r="F17" s="114">
        <v>23</v>
      </c>
      <c r="G17" s="114">
        <v>22</v>
      </c>
      <c r="H17" s="114">
        <v>15</v>
      </c>
      <c r="I17" s="114">
        <v>15</v>
      </c>
      <c r="J17" s="114"/>
      <c r="K17" s="114"/>
      <c r="L17" s="114"/>
      <c r="M17" s="114"/>
      <c r="N17" s="114"/>
      <c r="O17" s="114"/>
      <c r="P17" s="114"/>
      <c r="Q17" s="114"/>
      <c r="R17" s="3">
        <f t="shared" si="0"/>
        <v>75</v>
      </c>
      <c r="S17" s="11">
        <f t="shared" si="1"/>
        <v>18.75</v>
      </c>
      <c r="T17" s="10">
        <f t="shared" si="2"/>
        <v>12.053333333333333</v>
      </c>
      <c r="U17" s="78">
        <f t="shared" si="3"/>
        <v>226</v>
      </c>
    </row>
    <row r="18" spans="1:22" x14ac:dyDescent="0.2">
      <c r="A18" s="2">
        <v>2010</v>
      </c>
      <c r="C18" s="2" t="s">
        <v>29</v>
      </c>
      <c r="D18" s="102">
        <v>12</v>
      </c>
      <c r="E18" s="2">
        <v>168</v>
      </c>
      <c r="F18" s="114">
        <v>16</v>
      </c>
      <c r="G18" s="114">
        <v>8</v>
      </c>
      <c r="H18" s="114">
        <v>7</v>
      </c>
      <c r="I18" s="114">
        <v>12</v>
      </c>
      <c r="J18" s="114"/>
      <c r="K18" s="114"/>
      <c r="L18" s="114"/>
      <c r="M18" s="114"/>
      <c r="N18" s="145"/>
      <c r="O18" s="114"/>
      <c r="P18" s="114"/>
      <c r="Q18" s="114"/>
      <c r="R18" s="3">
        <f t="shared" si="0"/>
        <v>43</v>
      </c>
      <c r="S18" s="11">
        <f t="shared" si="1"/>
        <v>10.75</v>
      </c>
      <c r="T18" s="10">
        <f t="shared" si="2"/>
        <v>11.627906976744185</v>
      </c>
      <c r="U18" s="78">
        <f t="shared" si="3"/>
        <v>125</v>
      </c>
      <c r="V18">
        <v>3</v>
      </c>
    </row>
    <row r="19" spans="1:22" x14ac:dyDescent="0.2">
      <c r="A19" s="2">
        <v>2010</v>
      </c>
      <c r="C19" s="114" t="s">
        <v>52</v>
      </c>
      <c r="D19" s="102">
        <v>22</v>
      </c>
      <c r="E19" s="2">
        <v>573</v>
      </c>
      <c r="F19" s="131">
        <v>8</v>
      </c>
      <c r="G19" s="130">
        <v>24</v>
      </c>
      <c r="H19" s="114">
        <v>27</v>
      </c>
      <c r="I19" s="114">
        <v>20</v>
      </c>
      <c r="J19" s="114"/>
      <c r="K19" s="114"/>
      <c r="L19" s="114"/>
      <c r="M19" s="114"/>
      <c r="N19" s="145"/>
      <c r="O19" s="114"/>
      <c r="P19" s="132"/>
      <c r="Q19" s="132"/>
      <c r="R19" s="3">
        <f t="shared" si="0"/>
        <v>79</v>
      </c>
      <c r="S19" s="11">
        <f t="shared" si="1"/>
        <v>19.75</v>
      </c>
      <c r="T19" s="10">
        <f t="shared" si="2"/>
        <v>25.0126582278481</v>
      </c>
      <c r="U19" s="78">
        <f t="shared" si="3"/>
        <v>494</v>
      </c>
      <c r="V19">
        <v>5</v>
      </c>
    </row>
    <row r="20" spans="1:22" x14ac:dyDescent="0.2">
      <c r="A20" s="2">
        <v>2010</v>
      </c>
      <c r="C20" s="114" t="s">
        <v>53</v>
      </c>
      <c r="D20" s="102">
        <v>37</v>
      </c>
      <c r="E20" s="2">
        <v>396</v>
      </c>
      <c r="F20" s="132">
        <v>43</v>
      </c>
      <c r="G20" s="114">
        <v>21</v>
      </c>
      <c r="H20" s="114">
        <v>9</v>
      </c>
      <c r="I20" s="114">
        <v>24</v>
      </c>
      <c r="J20" s="114"/>
      <c r="K20" s="114"/>
      <c r="L20" s="114"/>
      <c r="M20" s="114"/>
      <c r="N20" s="132"/>
      <c r="O20" s="114"/>
      <c r="P20" s="132"/>
      <c r="Q20" s="132"/>
      <c r="R20" s="3">
        <f>SUM(F20:Q20)</f>
        <v>97</v>
      </c>
      <c r="S20" s="11">
        <f>AVERAGE(F20:Q20)</f>
        <v>24.25</v>
      </c>
      <c r="T20" s="10">
        <f>U20/S20</f>
        <v>12.329896907216495</v>
      </c>
      <c r="U20" s="78">
        <f>SUM(E20-R20)</f>
        <v>299</v>
      </c>
    </row>
    <row r="21" spans="1:22" x14ac:dyDescent="0.2">
      <c r="A21" s="2">
        <v>2010</v>
      </c>
      <c r="C21" s="2" t="s">
        <v>45</v>
      </c>
      <c r="D21" s="102">
        <v>13</v>
      </c>
      <c r="E21" s="2">
        <v>210</v>
      </c>
      <c r="F21" s="132">
        <v>20</v>
      </c>
      <c r="G21" s="114">
        <v>6</v>
      </c>
      <c r="H21" s="114">
        <v>6</v>
      </c>
      <c r="I21" s="114">
        <v>14</v>
      </c>
      <c r="J21" s="114"/>
      <c r="K21" s="114"/>
      <c r="L21" s="114"/>
      <c r="M21" s="114"/>
      <c r="N21" s="114"/>
      <c r="O21" s="132"/>
      <c r="P21" s="132"/>
      <c r="Q21" s="132"/>
      <c r="R21" s="3">
        <f>SUM(F21:Q21)</f>
        <v>46</v>
      </c>
      <c r="S21" s="11">
        <f>AVERAGE(F21:Q21)</f>
        <v>11.5</v>
      </c>
      <c r="T21" s="10">
        <f>U21/S21</f>
        <v>14.260869565217391</v>
      </c>
      <c r="U21" s="78">
        <f>SUM(E21-R21)</f>
        <v>164</v>
      </c>
    </row>
    <row r="22" spans="1:22" x14ac:dyDescent="0.2">
      <c r="A22" s="135"/>
      <c r="B22" s="75"/>
      <c r="C22" s="46"/>
      <c r="D22" s="46"/>
      <c r="E22" s="46"/>
      <c r="F22" s="136">
        <v>1</v>
      </c>
      <c r="G22" s="137"/>
      <c r="H22" s="137"/>
      <c r="I22" s="137"/>
      <c r="J22" s="137"/>
      <c r="K22" s="137"/>
      <c r="L22" s="137"/>
      <c r="M22" s="137"/>
      <c r="N22" s="137"/>
      <c r="O22" s="136"/>
      <c r="P22" s="136"/>
      <c r="Q22" s="136"/>
      <c r="R22" s="46"/>
      <c r="S22" s="49"/>
      <c r="T22" s="133"/>
      <c r="U22" s="138"/>
    </row>
    <row r="23" spans="1:22" x14ac:dyDescent="0.2">
      <c r="A23" s="134">
        <v>2011</v>
      </c>
      <c r="C23" s="114" t="s">
        <v>46</v>
      </c>
      <c r="D23" s="102">
        <v>25</v>
      </c>
      <c r="E23" s="2">
        <v>281</v>
      </c>
      <c r="F23" s="132">
        <v>46</v>
      </c>
      <c r="G23" s="114">
        <v>25</v>
      </c>
      <c r="H23" s="114">
        <v>210</v>
      </c>
      <c r="I23" s="147"/>
      <c r="J23" s="147"/>
      <c r="K23" s="147"/>
      <c r="L23" s="147"/>
      <c r="M23" s="147"/>
      <c r="N23" s="147"/>
      <c r="O23" s="148"/>
      <c r="P23" s="148"/>
      <c r="Q23" s="148"/>
      <c r="R23" s="3">
        <f>SUM(F23:Q23)</f>
        <v>281</v>
      </c>
      <c r="S23" s="11">
        <f>AVERAGE(F23:Q23)</f>
        <v>93.666666666666671</v>
      </c>
      <c r="T23" s="10">
        <f>U23/S23</f>
        <v>0</v>
      </c>
      <c r="U23" s="78">
        <f>SUM(E23-R23)</f>
        <v>0</v>
      </c>
      <c r="V23" t="s">
        <v>54</v>
      </c>
    </row>
    <row r="24" spans="1:22" x14ac:dyDescent="0.2">
      <c r="A24" s="134">
        <v>2011</v>
      </c>
      <c r="C24" s="114" t="s">
        <v>25</v>
      </c>
      <c r="D24" s="102">
        <v>38</v>
      </c>
      <c r="E24" s="2">
        <v>535</v>
      </c>
      <c r="F24" s="132">
        <v>1</v>
      </c>
      <c r="G24" s="114">
        <v>0</v>
      </c>
      <c r="H24" s="114">
        <v>0</v>
      </c>
      <c r="I24" s="114">
        <v>4</v>
      </c>
      <c r="J24" s="114"/>
      <c r="K24" s="114"/>
      <c r="L24" s="114"/>
      <c r="M24" s="114"/>
      <c r="N24" s="114"/>
      <c r="O24" s="132"/>
      <c r="P24" s="132"/>
      <c r="Q24" s="132"/>
      <c r="R24" s="3">
        <f>SUM(F24:Q24)</f>
        <v>5</v>
      </c>
      <c r="S24" s="11">
        <f>AVERAGE(F24:Q24)</f>
        <v>1.25</v>
      </c>
      <c r="T24" s="10">
        <f>U24/S24</f>
        <v>424</v>
      </c>
      <c r="U24" s="78">
        <f>SUM(E24-R24)</f>
        <v>530</v>
      </c>
    </row>
    <row r="25" spans="1:22" x14ac:dyDescent="0.2">
      <c r="A25" s="134">
        <v>2011</v>
      </c>
      <c r="C25" s="2" t="s">
        <v>31</v>
      </c>
      <c r="D25" s="102">
        <v>31</v>
      </c>
      <c r="E25" s="2">
        <v>487</v>
      </c>
      <c r="F25" s="131">
        <v>1</v>
      </c>
      <c r="G25" s="130">
        <v>5</v>
      </c>
      <c r="H25" s="130">
        <v>3</v>
      </c>
      <c r="I25" s="130">
        <v>12</v>
      </c>
      <c r="J25" s="130"/>
      <c r="K25" s="130"/>
      <c r="L25" s="130"/>
      <c r="M25" s="130"/>
      <c r="N25" s="130"/>
      <c r="O25" s="131"/>
      <c r="P25" s="131"/>
      <c r="Q25" s="131"/>
      <c r="R25" s="3">
        <f t="shared" ref="R25:R41" si="4">SUM(F25:Q25)</f>
        <v>21</v>
      </c>
      <c r="S25" s="11">
        <f t="shared" ref="S25:S41" si="5">AVERAGE(F25:Q25)</f>
        <v>5.25</v>
      </c>
      <c r="T25" s="10">
        <f t="shared" ref="T25:T41" si="6">U25/S25</f>
        <v>88.761904761904759</v>
      </c>
      <c r="U25" s="78">
        <f t="shared" ref="U25:U41" si="7">SUM(E25-R25)</f>
        <v>466</v>
      </c>
    </row>
    <row r="26" spans="1:22" x14ac:dyDescent="0.2">
      <c r="A26" s="134">
        <v>2011</v>
      </c>
      <c r="C26" s="114" t="s">
        <v>33</v>
      </c>
      <c r="D26" s="102">
        <v>29</v>
      </c>
      <c r="E26" s="2">
        <v>147</v>
      </c>
      <c r="F26" s="131">
        <v>19</v>
      </c>
      <c r="G26" s="130">
        <v>0</v>
      </c>
      <c r="H26" s="130">
        <v>128</v>
      </c>
      <c r="I26" s="147"/>
      <c r="J26" s="147"/>
      <c r="K26" s="147"/>
      <c r="L26" s="147"/>
      <c r="M26" s="147"/>
      <c r="N26" s="147"/>
      <c r="O26" s="148"/>
      <c r="P26" s="148"/>
      <c r="Q26" s="148"/>
      <c r="R26" s="3">
        <f t="shared" si="4"/>
        <v>147</v>
      </c>
      <c r="S26" s="11">
        <f t="shared" si="5"/>
        <v>49</v>
      </c>
      <c r="T26" s="10">
        <f t="shared" si="6"/>
        <v>0</v>
      </c>
      <c r="U26" s="78">
        <f>SUM(E26-R26)</f>
        <v>0</v>
      </c>
      <c r="V26" t="s">
        <v>55</v>
      </c>
    </row>
    <row r="27" spans="1:22" x14ac:dyDescent="0.2">
      <c r="A27" s="134">
        <v>2011</v>
      </c>
      <c r="C27" s="114" t="s">
        <v>26</v>
      </c>
      <c r="D27" s="102">
        <v>16</v>
      </c>
      <c r="E27" s="2">
        <v>243</v>
      </c>
      <c r="F27" s="131">
        <v>2</v>
      </c>
      <c r="G27" s="130">
        <v>0</v>
      </c>
      <c r="H27" s="130">
        <v>0</v>
      </c>
      <c r="I27" s="130">
        <v>0</v>
      </c>
      <c r="J27" s="130"/>
      <c r="K27" s="130"/>
      <c r="L27" s="130"/>
      <c r="M27" s="130"/>
      <c r="N27" s="130"/>
      <c r="O27" s="131"/>
      <c r="P27" s="131"/>
      <c r="Q27" s="131"/>
      <c r="R27" s="3">
        <f t="shared" si="4"/>
        <v>2</v>
      </c>
      <c r="S27" s="11">
        <f t="shared" si="5"/>
        <v>0.5</v>
      </c>
      <c r="T27" s="10">
        <f t="shared" si="6"/>
        <v>482</v>
      </c>
      <c r="U27" s="78">
        <f t="shared" si="7"/>
        <v>241</v>
      </c>
    </row>
    <row r="28" spans="1:22" x14ac:dyDescent="0.2">
      <c r="A28" s="134">
        <v>2011</v>
      </c>
      <c r="C28" s="114" t="s">
        <v>23</v>
      </c>
      <c r="D28" s="102">
        <v>29</v>
      </c>
      <c r="E28" s="2">
        <v>179</v>
      </c>
      <c r="F28" s="131">
        <v>1</v>
      </c>
      <c r="G28" s="130">
        <v>0</v>
      </c>
      <c r="H28" s="130">
        <v>0</v>
      </c>
      <c r="I28" s="130">
        <v>0</v>
      </c>
      <c r="J28" s="130"/>
      <c r="K28" s="130"/>
      <c r="L28" s="130"/>
      <c r="M28" s="130"/>
      <c r="N28" s="130"/>
      <c r="O28" s="131"/>
      <c r="P28" s="131"/>
      <c r="Q28" s="131"/>
      <c r="R28" s="3">
        <f t="shared" si="4"/>
        <v>1</v>
      </c>
      <c r="S28" s="11">
        <f t="shared" si="5"/>
        <v>0.25</v>
      </c>
      <c r="T28" s="10">
        <f t="shared" si="6"/>
        <v>712</v>
      </c>
      <c r="U28" s="78">
        <f t="shared" si="7"/>
        <v>178</v>
      </c>
    </row>
    <row r="29" spans="1:22" x14ac:dyDescent="0.2">
      <c r="A29" s="134">
        <v>2011</v>
      </c>
      <c r="C29" s="2" t="s">
        <v>24</v>
      </c>
      <c r="D29" s="102">
        <v>25</v>
      </c>
      <c r="E29" s="2">
        <v>202</v>
      </c>
      <c r="F29" s="131">
        <v>5</v>
      </c>
      <c r="G29" s="130">
        <v>0</v>
      </c>
      <c r="H29" s="130">
        <v>3</v>
      </c>
      <c r="I29" s="130">
        <v>1</v>
      </c>
      <c r="J29" s="130"/>
      <c r="K29" s="130"/>
      <c r="L29" s="130"/>
      <c r="M29" s="130"/>
      <c r="N29" s="130"/>
      <c r="O29" s="131"/>
      <c r="P29" s="131"/>
      <c r="Q29" s="131"/>
      <c r="R29" s="3">
        <f t="shared" si="4"/>
        <v>9</v>
      </c>
      <c r="S29" s="11">
        <f t="shared" si="5"/>
        <v>2.25</v>
      </c>
      <c r="T29" s="10">
        <f t="shared" si="6"/>
        <v>85.777777777777771</v>
      </c>
      <c r="U29" s="78">
        <f t="shared" si="7"/>
        <v>193</v>
      </c>
    </row>
    <row r="30" spans="1:22" x14ac:dyDescent="0.2">
      <c r="A30" s="134">
        <v>2011</v>
      </c>
      <c r="C30" s="2" t="s">
        <v>56</v>
      </c>
      <c r="D30" s="102">
        <v>21</v>
      </c>
      <c r="E30" s="2">
        <v>171</v>
      </c>
      <c r="F30" s="131">
        <v>2</v>
      </c>
      <c r="G30" s="130">
        <v>6</v>
      </c>
      <c r="H30" s="130">
        <v>0</v>
      </c>
      <c r="I30" s="130">
        <v>0</v>
      </c>
      <c r="J30" s="130"/>
      <c r="K30" s="130"/>
      <c r="L30" s="130"/>
      <c r="M30" s="130"/>
      <c r="N30" s="130"/>
      <c r="O30" s="131"/>
      <c r="P30" s="131"/>
      <c r="Q30" s="131"/>
      <c r="R30" s="3">
        <f t="shared" si="4"/>
        <v>8</v>
      </c>
      <c r="S30" s="11">
        <f t="shared" si="5"/>
        <v>2</v>
      </c>
      <c r="T30" s="10">
        <f t="shared" si="6"/>
        <v>81.5</v>
      </c>
      <c r="U30" s="78">
        <f t="shared" si="7"/>
        <v>163</v>
      </c>
    </row>
    <row r="31" spans="1:22" x14ac:dyDescent="0.2">
      <c r="A31" s="134">
        <v>2011</v>
      </c>
      <c r="C31" s="2" t="s">
        <v>22</v>
      </c>
      <c r="D31" s="102">
        <v>37</v>
      </c>
      <c r="E31" s="2">
        <v>344</v>
      </c>
      <c r="F31" s="131">
        <v>1</v>
      </c>
      <c r="G31" s="130">
        <v>0</v>
      </c>
      <c r="H31" s="130">
        <v>11</v>
      </c>
      <c r="I31" s="130">
        <v>0</v>
      </c>
      <c r="J31" s="130"/>
      <c r="K31" s="130"/>
      <c r="L31" s="130"/>
      <c r="M31" s="130"/>
      <c r="N31" s="130"/>
      <c r="O31" s="131"/>
      <c r="P31" s="131"/>
      <c r="Q31" s="131"/>
      <c r="R31" s="3">
        <f t="shared" si="4"/>
        <v>12</v>
      </c>
      <c r="S31" s="11">
        <f t="shared" si="5"/>
        <v>3</v>
      </c>
      <c r="T31" s="10">
        <f t="shared" si="6"/>
        <v>110.66666666666667</v>
      </c>
      <c r="U31" s="78">
        <f t="shared" si="7"/>
        <v>332</v>
      </c>
    </row>
    <row r="32" spans="1:22" x14ac:dyDescent="0.2">
      <c r="A32" s="134">
        <v>2011</v>
      </c>
      <c r="C32" s="2" t="s">
        <v>57</v>
      </c>
      <c r="D32" s="102">
        <v>13</v>
      </c>
      <c r="E32" s="2">
        <v>359</v>
      </c>
      <c r="F32" s="131">
        <v>1</v>
      </c>
      <c r="G32" s="130">
        <v>4</v>
      </c>
      <c r="H32" s="130">
        <v>0</v>
      </c>
      <c r="I32" s="130">
        <v>0</v>
      </c>
      <c r="J32" s="130"/>
      <c r="K32" s="130"/>
      <c r="L32" s="130"/>
      <c r="M32" s="130"/>
      <c r="N32" s="130"/>
      <c r="O32" s="131"/>
      <c r="P32" s="131"/>
      <c r="Q32" s="131"/>
      <c r="R32" s="3">
        <f t="shared" si="4"/>
        <v>5</v>
      </c>
      <c r="S32" s="11">
        <f t="shared" si="5"/>
        <v>1.25</v>
      </c>
      <c r="T32" s="10">
        <f t="shared" si="6"/>
        <v>283.2</v>
      </c>
      <c r="U32" s="78">
        <f t="shared" si="7"/>
        <v>354</v>
      </c>
    </row>
    <row r="33" spans="1:21" x14ac:dyDescent="0.2">
      <c r="A33" s="80"/>
      <c r="B33" s="75"/>
      <c r="C33" s="46"/>
      <c r="D33" s="49"/>
      <c r="E33" s="46"/>
      <c r="F33" s="46"/>
      <c r="G33" s="46"/>
      <c r="H33" s="46"/>
      <c r="I33" s="46"/>
      <c r="J33" s="46"/>
      <c r="K33" s="46"/>
      <c r="L33" s="46"/>
      <c r="M33" s="46"/>
      <c r="N33" s="46"/>
      <c r="O33" s="46"/>
      <c r="P33" s="46"/>
      <c r="Q33" s="46"/>
      <c r="R33" s="46"/>
      <c r="S33" s="49"/>
      <c r="T33" s="133"/>
      <c r="U33" s="81"/>
    </row>
    <row r="34" spans="1:21" x14ac:dyDescent="0.2">
      <c r="A34" s="134">
        <v>2012</v>
      </c>
      <c r="C34" s="2" t="s">
        <v>33</v>
      </c>
      <c r="D34" s="102"/>
      <c r="E34" s="2">
        <v>547</v>
      </c>
      <c r="F34" s="131"/>
      <c r="G34" s="130">
        <v>1</v>
      </c>
      <c r="H34" s="130">
        <v>89</v>
      </c>
      <c r="I34" s="130">
        <v>54</v>
      </c>
      <c r="J34" s="130"/>
      <c r="K34" s="130"/>
      <c r="L34" s="130"/>
      <c r="M34" s="130"/>
      <c r="N34" s="130"/>
      <c r="O34" s="131"/>
      <c r="P34" s="131"/>
      <c r="Q34" s="131"/>
      <c r="R34" s="3">
        <f t="shared" si="4"/>
        <v>144</v>
      </c>
      <c r="S34" s="11">
        <f t="shared" si="5"/>
        <v>48</v>
      </c>
      <c r="T34" s="10">
        <f t="shared" si="6"/>
        <v>8.3958333333333339</v>
      </c>
      <c r="U34" s="78">
        <f t="shared" si="7"/>
        <v>403</v>
      </c>
    </row>
    <row r="35" spans="1:21" x14ac:dyDescent="0.2">
      <c r="A35" s="134">
        <v>2012</v>
      </c>
      <c r="C35" s="2" t="s">
        <v>58</v>
      </c>
      <c r="D35" s="102"/>
      <c r="E35" s="2">
        <v>332</v>
      </c>
      <c r="F35" s="131"/>
      <c r="G35" s="130"/>
      <c r="H35" s="130"/>
      <c r="I35" s="130">
        <v>37</v>
      </c>
      <c r="J35" s="130"/>
      <c r="K35" s="130"/>
      <c r="L35" s="130"/>
      <c r="M35" s="130"/>
      <c r="N35" s="130"/>
      <c r="O35" s="131"/>
      <c r="P35" s="131"/>
      <c r="Q35" s="131"/>
      <c r="R35" s="3">
        <f t="shared" si="4"/>
        <v>37</v>
      </c>
      <c r="S35" s="11">
        <f t="shared" si="5"/>
        <v>37</v>
      </c>
      <c r="T35" s="10">
        <f t="shared" si="6"/>
        <v>7.9729729729729728</v>
      </c>
      <c r="U35" s="78">
        <f t="shared" si="7"/>
        <v>295</v>
      </c>
    </row>
    <row r="36" spans="1:21" x14ac:dyDescent="0.2">
      <c r="A36" s="134"/>
      <c r="C36" s="2"/>
      <c r="D36" s="102"/>
      <c r="E36" s="2"/>
      <c r="F36" s="131"/>
      <c r="G36" s="130"/>
      <c r="H36" s="130"/>
      <c r="I36" s="130"/>
      <c r="J36" s="130"/>
      <c r="K36" s="130"/>
      <c r="L36" s="130"/>
      <c r="M36" s="130"/>
      <c r="N36" s="130"/>
      <c r="O36" s="131"/>
      <c r="P36" s="131"/>
      <c r="Q36" s="131"/>
      <c r="R36" s="3">
        <f t="shared" si="4"/>
        <v>0</v>
      </c>
      <c r="S36" s="11" t="e">
        <f t="shared" si="5"/>
        <v>#DIV/0!</v>
      </c>
      <c r="T36" s="10" t="e">
        <f t="shared" si="6"/>
        <v>#DIV/0!</v>
      </c>
      <c r="U36" s="78">
        <f t="shared" si="7"/>
        <v>0</v>
      </c>
    </row>
    <row r="37" spans="1:21" x14ac:dyDescent="0.2">
      <c r="A37" s="134"/>
      <c r="C37" s="2"/>
      <c r="D37" s="102"/>
      <c r="E37" s="2"/>
      <c r="F37" s="131"/>
      <c r="G37" s="130"/>
      <c r="H37" s="130"/>
      <c r="I37" s="130"/>
      <c r="J37" s="130"/>
      <c r="K37" s="130"/>
      <c r="L37" s="130"/>
      <c r="M37" s="130"/>
      <c r="N37" s="130"/>
      <c r="O37" s="131"/>
      <c r="P37" s="131"/>
      <c r="Q37" s="131"/>
      <c r="R37" s="3">
        <f t="shared" si="4"/>
        <v>0</v>
      </c>
      <c r="S37" s="11" t="e">
        <f t="shared" si="5"/>
        <v>#DIV/0!</v>
      </c>
      <c r="T37" s="10" t="e">
        <f t="shared" si="6"/>
        <v>#DIV/0!</v>
      </c>
      <c r="U37" s="78">
        <f t="shared" si="7"/>
        <v>0</v>
      </c>
    </row>
    <row r="38" spans="1:21" x14ac:dyDescent="0.2">
      <c r="A38" s="134"/>
      <c r="C38" s="2"/>
      <c r="D38" s="102"/>
      <c r="E38" s="2"/>
      <c r="F38" s="131"/>
      <c r="G38" s="130"/>
      <c r="H38" s="130"/>
      <c r="I38" s="130"/>
      <c r="J38" s="130"/>
      <c r="K38" s="130"/>
      <c r="L38" s="130"/>
      <c r="M38" s="130"/>
      <c r="N38" s="130"/>
      <c r="O38" s="131"/>
      <c r="P38" s="131"/>
      <c r="Q38" s="131"/>
      <c r="R38" s="3">
        <f t="shared" si="4"/>
        <v>0</v>
      </c>
      <c r="S38" s="11" t="e">
        <f t="shared" si="5"/>
        <v>#DIV/0!</v>
      </c>
      <c r="T38" s="10" t="e">
        <f t="shared" si="6"/>
        <v>#DIV/0!</v>
      </c>
      <c r="U38" s="78">
        <f t="shared" si="7"/>
        <v>0</v>
      </c>
    </row>
    <row r="39" spans="1:21" x14ac:dyDescent="0.2">
      <c r="A39" s="134"/>
      <c r="C39" s="2"/>
      <c r="D39" s="102"/>
      <c r="E39" s="2"/>
      <c r="F39" s="131"/>
      <c r="G39" s="130"/>
      <c r="H39" s="130"/>
      <c r="I39" s="130"/>
      <c r="J39" s="130"/>
      <c r="K39" s="130"/>
      <c r="L39" s="130"/>
      <c r="M39" s="130"/>
      <c r="N39" s="130"/>
      <c r="O39" s="131"/>
      <c r="P39" s="131"/>
      <c r="Q39" s="131"/>
      <c r="R39" s="3">
        <f t="shared" si="4"/>
        <v>0</v>
      </c>
      <c r="S39" s="11" t="e">
        <f t="shared" si="5"/>
        <v>#DIV/0!</v>
      </c>
      <c r="T39" s="10" t="e">
        <f t="shared" si="6"/>
        <v>#DIV/0!</v>
      </c>
      <c r="U39" s="78">
        <f t="shared" si="7"/>
        <v>0</v>
      </c>
    </row>
    <row r="40" spans="1:21" x14ac:dyDescent="0.2">
      <c r="A40" s="134"/>
      <c r="C40" s="2"/>
      <c r="D40" s="102"/>
      <c r="E40" s="2"/>
      <c r="F40" s="131"/>
      <c r="G40" s="130"/>
      <c r="H40" s="130"/>
      <c r="I40" s="130"/>
      <c r="J40" s="130"/>
      <c r="K40" s="130"/>
      <c r="L40" s="130"/>
      <c r="M40" s="130"/>
      <c r="N40" s="130"/>
      <c r="O40" s="131"/>
      <c r="P40" s="131"/>
      <c r="Q40" s="131"/>
      <c r="R40" s="3">
        <f t="shared" si="4"/>
        <v>0</v>
      </c>
      <c r="S40" s="11" t="e">
        <f t="shared" si="5"/>
        <v>#DIV/0!</v>
      </c>
      <c r="T40" s="10" t="e">
        <f t="shared" si="6"/>
        <v>#DIV/0!</v>
      </c>
      <c r="U40" s="78">
        <f t="shared" si="7"/>
        <v>0</v>
      </c>
    </row>
    <row r="41" spans="1:21" x14ac:dyDescent="0.2">
      <c r="A41" s="134"/>
      <c r="C41" s="2"/>
      <c r="D41" s="102"/>
      <c r="E41" s="2"/>
      <c r="F41" s="132" t="s">
        <v>35</v>
      </c>
      <c r="G41" s="114"/>
      <c r="H41" s="114"/>
      <c r="I41" s="114"/>
      <c r="J41" s="114"/>
      <c r="K41" s="114"/>
      <c r="L41" s="114"/>
      <c r="M41" s="114"/>
      <c r="N41" s="114"/>
      <c r="O41" s="132"/>
      <c r="P41" s="132"/>
      <c r="Q41" s="132"/>
      <c r="R41" s="3">
        <f t="shared" si="4"/>
        <v>0</v>
      </c>
      <c r="S41" s="11" t="e">
        <f t="shared" si="5"/>
        <v>#DIV/0!</v>
      </c>
      <c r="T41" s="10" t="e">
        <f t="shared" si="6"/>
        <v>#DIV/0!</v>
      </c>
      <c r="U41" s="78">
        <f t="shared" si="7"/>
        <v>0</v>
      </c>
    </row>
    <row r="42" spans="1:21" x14ac:dyDescent="0.2">
      <c r="A42" s="80"/>
      <c r="B42" s="75"/>
      <c r="C42" s="46"/>
      <c r="D42" s="49"/>
      <c r="E42" s="46"/>
      <c r="F42" s="46"/>
      <c r="G42" s="46"/>
      <c r="H42" s="46"/>
      <c r="I42" s="46"/>
      <c r="J42" s="46"/>
      <c r="K42" s="46"/>
      <c r="L42" s="46"/>
      <c r="M42" s="46"/>
      <c r="N42" s="46"/>
      <c r="O42" s="46"/>
      <c r="P42" s="46"/>
      <c r="Q42" s="46"/>
      <c r="R42" s="46"/>
      <c r="S42" s="49"/>
      <c r="T42" s="133"/>
      <c r="U42" s="81"/>
    </row>
    <row r="43" spans="1:21" x14ac:dyDescent="0.2">
      <c r="A43" s="77">
        <v>2009</v>
      </c>
      <c r="C43" s="2"/>
      <c r="D43" s="129"/>
      <c r="E43" s="11">
        <f t="shared" ref="E43:R43" si="8">SUM(E7:E9)</f>
        <v>152</v>
      </c>
      <c r="F43" s="11">
        <f t="shared" si="8"/>
        <v>57</v>
      </c>
      <c r="G43" s="11">
        <f t="shared" si="8"/>
        <v>17</v>
      </c>
      <c r="H43" s="11">
        <f t="shared" si="8"/>
        <v>14</v>
      </c>
      <c r="I43" s="11">
        <f t="shared" si="8"/>
        <v>34</v>
      </c>
      <c r="J43" s="11">
        <f t="shared" si="8"/>
        <v>0</v>
      </c>
      <c r="K43" s="11">
        <f t="shared" si="8"/>
        <v>0</v>
      </c>
      <c r="L43" s="11">
        <f t="shared" si="8"/>
        <v>0</v>
      </c>
      <c r="M43" s="11">
        <f t="shared" si="8"/>
        <v>0</v>
      </c>
      <c r="N43" s="11">
        <f t="shared" si="8"/>
        <v>0</v>
      </c>
      <c r="O43" s="11">
        <f t="shared" si="8"/>
        <v>0</v>
      </c>
      <c r="P43" s="11">
        <f t="shared" si="8"/>
        <v>0</v>
      </c>
      <c r="Q43" s="11">
        <f t="shared" si="8"/>
        <v>0</v>
      </c>
      <c r="R43" s="11">
        <f t="shared" si="8"/>
        <v>122</v>
      </c>
      <c r="S43" s="11">
        <f>AVERAGE(F43:Q43)</f>
        <v>10.166666666666666</v>
      </c>
      <c r="T43" s="10">
        <f>U43/S43</f>
        <v>2.9508196721311477</v>
      </c>
      <c r="U43" s="42">
        <f>SUM(U7:U9)</f>
        <v>30</v>
      </c>
    </row>
    <row r="44" spans="1:21" x14ac:dyDescent="0.2">
      <c r="A44" s="79">
        <v>2010</v>
      </c>
      <c r="C44" s="16"/>
      <c r="D44" s="139"/>
      <c r="E44" s="18">
        <f t="shared" ref="E44:R44" si="9">SUM(E11:E21)</f>
        <v>2967</v>
      </c>
      <c r="F44" s="18">
        <f t="shared" si="9"/>
        <v>196</v>
      </c>
      <c r="G44" s="18">
        <f t="shared" si="9"/>
        <v>171</v>
      </c>
      <c r="H44" s="18">
        <f t="shared" si="9"/>
        <v>149</v>
      </c>
      <c r="I44" s="18">
        <f t="shared" si="9"/>
        <v>230</v>
      </c>
      <c r="J44" s="18">
        <f t="shared" si="9"/>
        <v>0</v>
      </c>
      <c r="K44" s="18">
        <f t="shared" si="9"/>
        <v>0</v>
      </c>
      <c r="L44" s="18">
        <f t="shared" si="9"/>
        <v>0</v>
      </c>
      <c r="M44" s="18">
        <f t="shared" si="9"/>
        <v>0</v>
      </c>
      <c r="N44" s="18">
        <f t="shared" si="9"/>
        <v>0</v>
      </c>
      <c r="O44" s="18">
        <f t="shared" si="9"/>
        <v>0</v>
      </c>
      <c r="P44" s="18">
        <f t="shared" si="9"/>
        <v>0</v>
      </c>
      <c r="Q44" s="18">
        <f t="shared" si="9"/>
        <v>0</v>
      </c>
      <c r="R44" s="18">
        <f t="shared" si="9"/>
        <v>746</v>
      </c>
      <c r="S44" s="18">
        <f>AVERAGE(F44:Q44)</f>
        <v>62.166666666666664</v>
      </c>
      <c r="T44" s="20">
        <f>U44/S44</f>
        <v>35.726541554959788</v>
      </c>
      <c r="U44" s="54">
        <f>SUM(U11:U21)</f>
        <v>2221</v>
      </c>
    </row>
    <row r="45" spans="1:21" x14ac:dyDescent="0.2">
      <c r="A45" s="16">
        <v>2011</v>
      </c>
      <c r="B45" s="16"/>
      <c r="C45" s="16"/>
      <c r="D45" s="139"/>
      <c r="E45" s="18">
        <f>SUM(E23:E41)</f>
        <v>3827</v>
      </c>
      <c r="F45" s="18">
        <f>SUM(F23:F41)</f>
        <v>79</v>
      </c>
      <c r="G45" s="18">
        <f>SUM(G23:G41)</f>
        <v>41</v>
      </c>
      <c r="H45" s="18">
        <f>SUM(H23:H41)</f>
        <v>444</v>
      </c>
      <c r="I45" s="18">
        <f t="shared" ref="I45:Q45" si="10">SUM(I23:I41)</f>
        <v>108</v>
      </c>
      <c r="J45" s="18">
        <f t="shared" si="10"/>
        <v>0</v>
      </c>
      <c r="K45" s="18">
        <f t="shared" si="10"/>
        <v>0</v>
      </c>
      <c r="L45" s="18">
        <f t="shared" si="10"/>
        <v>0</v>
      </c>
      <c r="M45" s="18">
        <f t="shared" si="10"/>
        <v>0</v>
      </c>
      <c r="N45" s="18">
        <f t="shared" si="10"/>
        <v>0</v>
      </c>
      <c r="O45" s="18">
        <f t="shared" si="10"/>
        <v>0</v>
      </c>
      <c r="P45" s="18">
        <f t="shared" si="10"/>
        <v>0</v>
      </c>
      <c r="Q45" s="18">
        <f t="shared" si="10"/>
        <v>0</v>
      </c>
      <c r="R45" s="18">
        <f>SUM(R23:R41)</f>
        <v>672</v>
      </c>
      <c r="S45" s="18">
        <f>AVERAGE(F45:Q45)</f>
        <v>56</v>
      </c>
      <c r="T45" s="20">
        <f>U45/S45</f>
        <v>56.339285714285715</v>
      </c>
      <c r="U45" s="54">
        <f>SUM(U23:U41)</f>
        <v>3155</v>
      </c>
    </row>
    <row r="46" spans="1:21" x14ac:dyDescent="0.2">
      <c r="A46" s="2">
        <v>2012</v>
      </c>
      <c r="B46" s="2"/>
      <c r="C46" s="2"/>
      <c r="D46" s="129"/>
      <c r="E46" s="11"/>
      <c r="F46" s="11"/>
      <c r="G46" s="11"/>
      <c r="H46" s="11"/>
      <c r="I46" s="11"/>
      <c r="J46" s="11"/>
      <c r="K46" s="11"/>
      <c r="L46" s="11"/>
      <c r="M46" s="11"/>
      <c r="N46" s="11"/>
      <c r="O46" s="11"/>
      <c r="P46" s="11"/>
      <c r="Q46" s="11"/>
      <c r="R46" s="11"/>
      <c r="S46" s="11"/>
      <c r="T46" s="10"/>
      <c r="U46" s="11"/>
    </row>
    <row r="47" spans="1:21" x14ac:dyDescent="0.2">
      <c r="A47" s="146" t="s">
        <v>59</v>
      </c>
      <c r="B47" s="2"/>
      <c r="C47" s="2"/>
      <c r="D47" s="129"/>
      <c r="E47" s="11">
        <f t="shared" ref="E47:S47" si="11">SUM(E43:E46)</f>
        <v>6946</v>
      </c>
      <c r="F47" s="11">
        <f t="shared" si="11"/>
        <v>332</v>
      </c>
      <c r="G47" s="11">
        <f t="shared" si="11"/>
        <v>229</v>
      </c>
      <c r="H47" s="11">
        <f t="shared" si="11"/>
        <v>607</v>
      </c>
      <c r="I47" s="11">
        <f t="shared" si="11"/>
        <v>372</v>
      </c>
      <c r="J47" s="11">
        <f t="shared" si="11"/>
        <v>0</v>
      </c>
      <c r="K47" s="11">
        <f t="shared" si="11"/>
        <v>0</v>
      </c>
      <c r="L47" s="11">
        <f t="shared" si="11"/>
        <v>0</v>
      </c>
      <c r="M47" s="11">
        <f t="shared" si="11"/>
        <v>0</v>
      </c>
      <c r="N47" s="11">
        <f t="shared" si="11"/>
        <v>0</v>
      </c>
      <c r="O47" s="11">
        <f t="shared" si="11"/>
        <v>0</v>
      </c>
      <c r="P47" s="11">
        <f t="shared" si="11"/>
        <v>0</v>
      </c>
      <c r="Q47" s="11">
        <f t="shared" si="11"/>
        <v>0</v>
      </c>
      <c r="R47" s="11">
        <f t="shared" si="11"/>
        <v>1540</v>
      </c>
      <c r="S47" s="11">
        <f t="shared" si="11"/>
        <v>128.33333333333331</v>
      </c>
      <c r="T47" s="20">
        <f>U47/S47</f>
        <v>42.12467532467533</v>
      </c>
      <c r="U47" s="11">
        <f>SUM(U43:U46)</f>
        <v>5406</v>
      </c>
    </row>
    <row r="48" spans="1:21" x14ac:dyDescent="0.2">
      <c r="A48" s="140"/>
      <c r="B48" s="75"/>
      <c r="C48" s="141"/>
      <c r="D48" s="142"/>
      <c r="E48" s="141"/>
      <c r="F48" s="141"/>
      <c r="G48" s="141"/>
      <c r="H48" s="141"/>
      <c r="I48" s="141"/>
      <c r="J48" s="141"/>
      <c r="K48" s="141"/>
      <c r="L48" s="141"/>
      <c r="M48" s="141"/>
      <c r="N48" s="141"/>
      <c r="O48" s="141"/>
      <c r="P48" s="141"/>
      <c r="Q48" s="141"/>
      <c r="R48" s="141"/>
      <c r="S48" s="142"/>
      <c r="T48" s="143"/>
      <c r="U48" s="144"/>
    </row>
    <row r="49" spans="1:21" ht="13.5" thickBot="1" x14ac:dyDescent="0.25"/>
    <row r="50" spans="1:21" ht="39.75" customHeight="1" thickBot="1" x14ac:dyDescent="0.45">
      <c r="A50" s="116" t="s">
        <v>60</v>
      </c>
      <c r="B50" s="117"/>
      <c r="C50" s="117"/>
      <c r="D50" s="117"/>
      <c r="E50" s="118" t="s">
        <v>61</v>
      </c>
      <c r="F50" s="446" t="s">
        <v>62</v>
      </c>
      <c r="G50" s="447"/>
      <c r="H50" s="447"/>
      <c r="I50" s="447"/>
      <c r="J50" s="447"/>
      <c r="K50" s="447"/>
      <c r="L50" s="447"/>
      <c r="M50" s="447"/>
      <c r="N50" s="447"/>
      <c r="O50" s="447"/>
      <c r="P50" s="447"/>
      <c r="Q50" s="447"/>
      <c r="R50" s="119" t="s">
        <v>63</v>
      </c>
      <c r="S50" s="120"/>
      <c r="T50" s="120"/>
      <c r="U50" s="120"/>
    </row>
    <row r="51" spans="1:21" x14ac:dyDescent="0.2">
      <c r="A51" s="22"/>
      <c r="B51" s="22"/>
      <c r="C51" s="121"/>
      <c r="D51" s="22"/>
      <c r="E51" s="128"/>
      <c r="F51" s="22"/>
      <c r="G51" s="22"/>
      <c r="H51" s="22"/>
      <c r="I51" s="22"/>
      <c r="J51" s="22"/>
      <c r="K51" s="22"/>
      <c r="L51" s="22"/>
      <c r="M51" s="22"/>
      <c r="N51" s="22"/>
      <c r="O51" s="22"/>
      <c r="P51" s="22"/>
      <c r="Q51" s="123"/>
      <c r="R51" s="22"/>
    </row>
    <row r="52" spans="1:21" x14ac:dyDescent="0.2">
      <c r="A52" s="2"/>
      <c r="B52" s="2"/>
      <c r="C52" s="114"/>
      <c r="D52" s="2"/>
      <c r="E52" s="22"/>
      <c r="F52" s="2"/>
      <c r="G52" s="2"/>
      <c r="H52" s="2"/>
      <c r="I52" s="2"/>
      <c r="J52" s="2"/>
      <c r="K52" s="2"/>
      <c r="L52" s="2"/>
      <c r="M52" s="2"/>
      <c r="N52" s="2"/>
      <c r="O52" s="2"/>
      <c r="P52" s="2"/>
      <c r="Q52" s="15"/>
      <c r="R52" s="2"/>
    </row>
    <row r="53" spans="1:21" x14ac:dyDescent="0.2">
      <c r="A53" s="46"/>
      <c r="B53" s="46"/>
      <c r="C53" s="46"/>
      <c r="D53" s="46"/>
      <c r="E53" s="46"/>
      <c r="F53" s="46"/>
      <c r="G53" s="46"/>
      <c r="H53" s="46"/>
      <c r="I53" s="46"/>
      <c r="J53" s="46"/>
      <c r="K53" s="46"/>
      <c r="L53" s="46"/>
      <c r="M53" s="46"/>
      <c r="N53" s="46"/>
      <c r="O53" s="46"/>
      <c r="P53" s="46"/>
      <c r="Q53" s="124"/>
      <c r="R53" s="46"/>
    </row>
    <row r="54" spans="1:21" x14ac:dyDescent="0.2">
      <c r="A54" s="2"/>
      <c r="B54" s="2"/>
      <c r="C54" s="114"/>
      <c r="D54" s="2"/>
      <c r="E54" s="2"/>
      <c r="F54" s="2"/>
      <c r="G54" s="2"/>
      <c r="H54" s="2"/>
      <c r="I54" s="2"/>
      <c r="J54" s="2"/>
      <c r="K54" s="2"/>
      <c r="L54" s="2"/>
      <c r="M54" s="2"/>
      <c r="N54" s="2"/>
      <c r="O54" s="2"/>
      <c r="P54" s="2"/>
      <c r="Q54" s="15"/>
      <c r="R54" s="2"/>
    </row>
    <row r="55" spans="1:21" x14ac:dyDescent="0.2">
      <c r="A55" s="2"/>
      <c r="B55" s="2"/>
      <c r="C55" s="114"/>
      <c r="D55" s="2"/>
      <c r="E55" s="2"/>
      <c r="F55" s="2"/>
      <c r="G55" s="2"/>
      <c r="H55" s="2"/>
      <c r="I55" s="2"/>
      <c r="J55" s="2"/>
      <c r="K55" s="2"/>
      <c r="L55" s="2"/>
      <c r="M55" s="2"/>
      <c r="N55" s="2"/>
      <c r="O55" s="2"/>
      <c r="P55" s="2"/>
      <c r="Q55" s="15"/>
      <c r="R55" s="2"/>
    </row>
    <row r="56" spans="1:21" x14ac:dyDescent="0.2">
      <c r="A56" s="75"/>
      <c r="B56" s="75"/>
      <c r="C56" s="125"/>
      <c r="D56" s="75"/>
      <c r="E56" s="75"/>
      <c r="F56" s="75"/>
      <c r="G56" s="75"/>
      <c r="H56" s="75"/>
      <c r="I56" s="75"/>
      <c r="J56" s="75"/>
      <c r="K56" s="75"/>
      <c r="L56" s="75"/>
      <c r="M56" s="75"/>
      <c r="N56" s="75"/>
      <c r="O56" s="75"/>
      <c r="P56" s="75"/>
      <c r="Q56" s="75"/>
      <c r="R56" s="46"/>
    </row>
    <row r="57" spans="1:21" ht="12.75" customHeight="1" thickBot="1" x14ac:dyDescent="0.25">
      <c r="C57" s="126"/>
    </row>
    <row r="58" spans="1:21" ht="38.25" customHeight="1" thickBot="1" x14ac:dyDescent="0.45">
      <c r="A58" s="448" t="s">
        <v>60</v>
      </c>
      <c r="B58" s="449"/>
      <c r="C58" s="449"/>
      <c r="D58" s="450"/>
      <c r="E58" s="127" t="s">
        <v>64</v>
      </c>
      <c r="F58" s="446" t="s">
        <v>65</v>
      </c>
      <c r="G58" s="447"/>
      <c r="H58" s="447"/>
      <c r="I58" s="447"/>
      <c r="J58" s="447"/>
      <c r="K58" s="447"/>
      <c r="L58" s="447"/>
      <c r="M58" s="447"/>
      <c r="N58" s="447"/>
      <c r="O58" s="447"/>
      <c r="P58" s="447"/>
      <c r="Q58" s="451"/>
      <c r="R58" s="119" t="s">
        <v>66</v>
      </c>
    </row>
    <row r="59" spans="1:21" ht="15.75" x14ac:dyDescent="0.25">
      <c r="A59" s="22"/>
      <c r="B59" s="22"/>
      <c r="C59" s="121"/>
      <c r="D59" s="22"/>
      <c r="E59" s="122"/>
      <c r="F59" s="22"/>
      <c r="G59" s="22"/>
      <c r="H59" s="22"/>
      <c r="I59" s="22"/>
      <c r="J59" s="22"/>
      <c r="K59" s="22"/>
      <c r="L59" s="22"/>
      <c r="M59" s="22"/>
      <c r="N59" s="22"/>
      <c r="O59" s="22"/>
      <c r="P59" s="22"/>
      <c r="Q59" s="22"/>
      <c r="R59" s="22"/>
    </row>
    <row r="60" spans="1:21" x14ac:dyDescent="0.2">
      <c r="A60" s="2"/>
      <c r="B60" s="2"/>
      <c r="C60" s="114"/>
      <c r="D60" s="2"/>
      <c r="E60" s="22"/>
      <c r="F60" s="2"/>
      <c r="G60" s="2"/>
      <c r="H60" s="2"/>
      <c r="I60" s="2"/>
      <c r="J60" s="2"/>
      <c r="K60" s="2"/>
      <c r="L60" s="2"/>
      <c r="M60" s="2"/>
      <c r="N60" s="2"/>
      <c r="O60" s="2"/>
      <c r="P60" s="2"/>
      <c r="Q60" s="2"/>
      <c r="R60" s="2"/>
    </row>
    <row r="61" spans="1:21" x14ac:dyDescent="0.2">
      <c r="A61" s="46"/>
      <c r="B61" s="46"/>
      <c r="C61" s="46"/>
      <c r="D61" s="46"/>
      <c r="E61" s="46"/>
      <c r="F61" s="46"/>
      <c r="G61" s="46"/>
      <c r="H61" s="46"/>
      <c r="I61" s="46"/>
      <c r="J61" s="46"/>
      <c r="K61" s="46"/>
      <c r="L61" s="46"/>
      <c r="M61" s="46"/>
      <c r="N61" s="46"/>
      <c r="O61" s="46"/>
      <c r="P61" s="46"/>
      <c r="Q61" s="46"/>
      <c r="R61" s="46"/>
    </row>
    <row r="62" spans="1:21" x14ac:dyDescent="0.2">
      <c r="A62" s="2"/>
      <c r="B62" s="2"/>
      <c r="C62" s="114"/>
      <c r="D62" s="2"/>
      <c r="E62" s="2"/>
      <c r="F62" s="2"/>
      <c r="G62" s="2"/>
      <c r="H62" s="2"/>
      <c r="I62" s="2"/>
      <c r="J62" s="2"/>
      <c r="K62" s="2"/>
      <c r="L62" s="2"/>
      <c r="M62" s="2"/>
      <c r="N62" s="2"/>
      <c r="O62" s="2"/>
      <c r="P62" s="2"/>
      <c r="Q62" s="2"/>
      <c r="R62" s="2"/>
    </row>
    <row r="63" spans="1:21" x14ac:dyDescent="0.2">
      <c r="A63" s="2"/>
      <c r="B63" s="2"/>
      <c r="C63" s="114"/>
      <c r="D63" s="2"/>
      <c r="E63" s="2"/>
      <c r="F63" s="2"/>
      <c r="G63" s="2"/>
      <c r="H63" s="2"/>
      <c r="I63" s="2"/>
      <c r="J63" s="2"/>
      <c r="K63" s="2"/>
      <c r="L63" s="2"/>
      <c r="M63" s="2"/>
      <c r="N63" s="2"/>
      <c r="O63" s="2"/>
      <c r="P63" s="2"/>
      <c r="Q63" s="2"/>
      <c r="R63" s="2"/>
    </row>
  </sheetData>
  <mergeCells count="3">
    <mergeCell ref="F50:Q50"/>
    <mergeCell ref="A58:D58"/>
    <mergeCell ref="F58:Q58"/>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C36" sqref="C36"/>
    </sheetView>
  </sheetViews>
  <sheetFormatPr defaultRowHeight="12.75" x14ac:dyDescent="0.2"/>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72"/>
  <sheetViews>
    <sheetView topLeftCell="A7" zoomScale="85" zoomScaleNormal="85" workbookViewId="0">
      <selection activeCell="A23" sqref="A23"/>
    </sheetView>
  </sheetViews>
  <sheetFormatPr defaultRowHeight="12.75" x14ac:dyDescent="0.2"/>
  <cols>
    <col min="3" max="3" width="16.5703125" bestFit="1" customWidth="1"/>
    <col min="5" max="5" width="12" customWidth="1"/>
    <col min="10" max="10" width="10" bestFit="1" customWidth="1"/>
    <col min="21" max="21" width="12.5703125" customWidth="1"/>
    <col min="24" max="24" width="9.7109375" customWidth="1"/>
  </cols>
  <sheetData>
    <row r="1" spans="1:25" x14ac:dyDescent="0.2">
      <c r="J1" t="s">
        <v>67</v>
      </c>
      <c r="K1" t="s">
        <v>68</v>
      </c>
    </row>
    <row r="2" spans="1:25" ht="27" customHeight="1" x14ac:dyDescent="0.2">
      <c r="D2" s="126" t="s">
        <v>69</v>
      </c>
      <c r="E2" s="164" t="s">
        <v>70</v>
      </c>
      <c r="J2" t="s">
        <v>71</v>
      </c>
      <c r="K2">
        <v>9200</v>
      </c>
      <c r="L2" t="s">
        <v>72</v>
      </c>
      <c r="M2" t="s">
        <v>73</v>
      </c>
    </row>
    <row r="3" spans="1:25" ht="27" customHeight="1" x14ac:dyDescent="0.2">
      <c r="D3" s="126" t="s">
        <v>74</v>
      </c>
      <c r="E3" s="164" t="s">
        <v>75</v>
      </c>
      <c r="J3" t="s">
        <v>76</v>
      </c>
      <c r="K3">
        <v>11087</v>
      </c>
      <c r="L3" t="s">
        <v>72</v>
      </c>
      <c r="M3" t="s">
        <v>77</v>
      </c>
    </row>
    <row r="4" spans="1:25" ht="15.75" x14ac:dyDescent="0.2">
      <c r="E4" s="164" t="s">
        <v>78</v>
      </c>
    </row>
    <row r="6" spans="1:25" ht="13.5" thickBot="1" x14ac:dyDescent="0.25"/>
    <row r="7" spans="1:25" ht="21" thickBot="1" x14ac:dyDescent="0.35">
      <c r="A7" s="155"/>
      <c r="B7" s="104" t="s">
        <v>0</v>
      </c>
      <c r="C7" s="105"/>
      <c r="D7" s="105"/>
      <c r="E7" s="105"/>
      <c r="F7" s="105"/>
      <c r="G7" s="105"/>
      <c r="H7" s="105"/>
      <c r="I7" s="105"/>
      <c r="J7" s="105"/>
      <c r="K7" s="105"/>
      <c r="L7" s="105"/>
      <c r="M7" s="105"/>
      <c r="N7" s="105"/>
      <c r="O7" s="105"/>
      <c r="P7" s="105"/>
      <c r="Q7" s="105"/>
      <c r="R7" s="105"/>
      <c r="S7" s="105"/>
      <c r="T7" s="105"/>
      <c r="U7" s="106"/>
    </row>
    <row r="8" spans="1:25" ht="48" thickBot="1" x14ac:dyDescent="0.3">
      <c r="A8" s="160" t="s">
        <v>79</v>
      </c>
      <c r="B8" s="156" t="s">
        <v>3</v>
      </c>
      <c r="C8" s="107" t="s">
        <v>2</v>
      </c>
      <c r="D8" s="108" t="s">
        <v>48</v>
      </c>
      <c r="E8" s="109" t="s">
        <v>80</v>
      </c>
      <c r="F8" s="110" t="s">
        <v>4</v>
      </c>
      <c r="G8" s="110" t="s">
        <v>5</v>
      </c>
      <c r="H8" s="110" t="s">
        <v>6</v>
      </c>
      <c r="I8" s="110" t="s">
        <v>7</v>
      </c>
      <c r="J8" s="110" t="s">
        <v>8</v>
      </c>
      <c r="K8" s="110" t="s">
        <v>9</v>
      </c>
      <c r="L8" s="110" t="s">
        <v>10</v>
      </c>
      <c r="M8" s="110" t="s">
        <v>11</v>
      </c>
      <c r="N8" s="110" t="s">
        <v>12</v>
      </c>
      <c r="O8" s="110" t="s">
        <v>13</v>
      </c>
      <c r="P8" s="110" t="s">
        <v>14</v>
      </c>
      <c r="Q8" s="110" t="s">
        <v>15</v>
      </c>
      <c r="R8" s="111" t="s">
        <v>16</v>
      </c>
      <c r="S8" s="112" t="s">
        <v>50</v>
      </c>
      <c r="T8" s="109" t="s">
        <v>19</v>
      </c>
      <c r="U8" s="113" t="s">
        <v>41</v>
      </c>
      <c r="X8" s="165" t="s">
        <v>81</v>
      </c>
      <c r="Y8" s="166" t="s">
        <v>16</v>
      </c>
    </row>
    <row r="9" spans="1:25" x14ac:dyDescent="0.2">
      <c r="A9" s="2"/>
      <c r="B9" s="157">
        <v>2009</v>
      </c>
      <c r="C9" s="2" t="s">
        <v>21</v>
      </c>
      <c r="D9" s="11">
        <v>22</v>
      </c>
      <c r="E9" s="4">
        <v>21</v>
      </c>
      <c r="F9" s="2">
        <v>21</v>
      </c>
      <c r="G9" s="2">
        <v>0</v>
      </c>
      <c r="H9" s="33"/>
      <c r="I9" s="33"/>
      <c r="J9" s="33"/>
      <c r="K9" s="33"/>
      <c r="L9" s="147"/>
      <c r="M9" s="33"/>
      <c r="N9" s="33"/>
      <c r="O9" s="33"/>
      <c r="P9" s="33"/>
      <c r="Q9" s="33"/>
      <c r="R9" s="3">
        <f>SUM(F9:Q9)</f>
        <v>21</v>
      </c>
      <c r="S9" s="11">
        <f>AVERAGE(F9:Q9)</f>
        <v>10.5</v>
      </c>
      <c r="T9" s="10">
        <f>U9/S9</f>
        <v>0</v>
      </c>
      <c r="U9" s="78">
        <f>SUM(E9-R9)</f>
        <v>0</v>
      </c>
    </row>
    <row r="10" spans="1:25" x14ac:dyDescent="0.2">
      <c r="A10" s="2"/>
      <c r="B10" s="157">
        <v>2009</v>
      </c>
      <c r="C10" s="2" t="s">
        <v>23</v>
      </c>
      <c r="D10" s="11">
        <v>29</v>
      </c>
      <c r="E10" s="4">
        <v>118</v>
      </c>
      <c r="F10" s="2">
        <v>23</v>
      </c>
      <c r="G10" s="2">
        <v>17</v>
      </c>
      <c r="H10" s="2">
        <v>14</v>
      </c>
      <c r="I10" s="2">
        <v>34</v>
      </c>
      <c r="J10" s="2">
        <v>28</v>
      </c>
      <c r="K10" s="2">
        <v>2</v>
      </c>
      <c r="L10" s="33"/>
      <c r="M10" s="33"/>
      <c r="N10" s="33"/>
      <c r="O10" s="33"/>
      <c r="P10" s="33"/>
      <c r="Q10" s="33"/>
      <c r="R10" s="3">
        <f>SUM(F10:Q10)</f>
        <v>118</v>
      </c>
      <c r="S10" s="11">
        <f>AVERAGE(F10:Q10)</f>
        <v>19.666666666666668</v>
      </c>
      <c r="T10" s="10">
        <f>U10/S10</f>
        <v>0</v>
      </c>
      <c r="U10" s="78">
        <f>SUM(E10-R10)</f>
        <v>0</v>
      </c>
    </row>
    <row r="11" spans="1:25" x14ac:dyDescent="0.2">
      <c r="A11" s="2"/>
      <c r="B11" s="157">
        <v>2009</v>
      </c>
      <c r="C11" s="2" t="s">
        <v>26</v>
      </c>
      <c r="D11" s="11">
        <v>16</v>
      </c>
      <c r="E11" s="4">
        <v>13</v>
      </c>
      <c r="F11" s="2">
        <v>13</v>
      </c>
      <c r="G11" s="2">
        <v>0</v>
      </c>
      <c r="H11" s="33"/>
      <c r="I11" s="33"/>
      <c r="J11" s="33"/>
      <c r="K11" s="33"/>
      <c r="L11" s="33"/>
      <c r="M11" s="33"/>
      <c r="N11" s="33"/>
      <c r="O11" s="33"/>
      <c r="P11" s="33"/>
      <c r="Q11" s="33"/>
      <c r="R11" s="3">
        <f>SUM(F11:Q11)</f>
        <v>13</v>
      </c>
      <c r="S11" s="11">
        <f>AVERAGE(F11:Q11)</f>
        <v>6.5</v>
      </c>
      <c r="T11" s="10">
        <f>U11/S11</f>
        <v>0</v>
      </c>
      <c r="U11" s="78">
        <f>SUM(E11-R11)</f>
        <v>0</v>
      </c>
    </row>
    <row r="12" spans="1:25" x14ac:dyDescent="0.2">
      <c r="A12" s="162"/>
      <c r="B12" s="135"/>
      <c r="C12" s="46"/>
      <c r="D12" s="49"/>
      <c r="E12" s="46"/>
      <c r="F12" s="46"/>
      <c r="G12" s="46"/>
      <c r="H12" s="46"/>
      <c r="I12" s="46"/>
      <c r="J12" s="46"/>
      <c r="K12" s="46"/>
      <c r="L12" s="46"/>
      <c r="M12" s="46"/>
      <c r="N12" s="46"/>
      <c r="O12" s="46"/>
      <c r="P12" s="46"/>
      <c r="Q12" s="46"/>
      <c r="R12" s="46"/>
      <c r="S12" s="49"/>
      <c r="T12" s="115"/>
      <c r="U12" s="81"/>
    </row>
    <row r="13" spans="1:25" x14ac:dyDescent="0.2">
      <c r="A13" s="2">
        <v>57630</v>
      </c>
      <c r="B13" s="134">
        <v>2010</v>
      </c>
      <c r="C13" s="2" t="s">
        <v>25</v>
      </c>
      <c r="D13" s="102">
        <v>38</v>
      </c>
      <c r="E13" s="2">
        <v>255</v>
      </c>
      <c r="F13" s="114">
        <v>25</v>
      </c>
      <c r="G13" s="114">
        <v>29</v>
      </c>
      <c r="H13" s="114">
        <v>26</v>
      </c>
      <c r="I13" s="114">
        <v>38</v>
      </c>
      <c r="J13" s="114">
        <v>35</v>
      </c>
      <c r="K13" s="114">
        <v>35</v>
      </c>
      <c r="L13" s="114">
        <v>48</v>
      </c>
      <c r="M13" s="114">
        <v>19</v>
      </c>
      <c r="N13" s="153"/>
      <c r="O13" s="154"/>
      <c r="P13" s="153"/>
      <c r="Q13" s="153"/>
      <c r="R13" s="3">
        <f t="shared" ref="R13:R21" si="0">SUM(F13:Q13)</f>
        <v>255</v>
      </c>
      <c r="S13" s="11">
        <f t="shared" ref="S13:S21" si="1">AVERAGE(F13:Q13)</f>
        <v>31.875</v>
      </c>
      <c r="T13" s="10">
        <f t="shared" ref="T13:T21" si="2">U13/S13</f>
        <v>0</v>
      </c>
      <c r="U13" s="78">
        <f t="shared" ref="U13:U21" si="3">SUM(E13-R13)</f>
        <v>0</v>
      </c>
    </row>
    <row r="14" spans="1:25" x14ac:dyDescent="0.2">
      <c r="A14" s="2">
        <v>65560</v>
      </c>
      <c r="B14" s="134">
        <v>2010</v>
      </c>
      <c r="C14" s="114" t="s">
        <v>51</v>
      </c>
      <c r="D14" s="102">
        <v>30</v>
      </c>
      <c r="E14" s="2">
        <v>84</v>
      </c>
      <c r="F14" s="114">
        <v>11</v>
      </c>
      <c r="G14" s="114">
        <v>10</v>
      </c>
      <c r="H14" s="114">
        <v>9</v>
      </c>
      <c r="I14" s="114">
        <v>17</v>
      </c>
      <c r="J14" s="149">
        <v>21</v>
      </c>
      <c r="K14" s="150"/>
      <c r="L14" s="147"/>
      <c r="M14" s="147"/>
      <c r="N14" s="152"/>
      <c r="O14" s="152"/>
      <c r="P14" s="152"/>
      <c r="Q14" s="152"/>
      <c r="R14" s="3">
        <f>SUM(F14:Q14)</f>
        <v>68</v>
      </c>
      <c r="S14" s="11">
        <f>AVERAGE(F14:Q14)</f>
        <v>13.6</v>
      </c>
      <c r="T14" s="10">
        <f>U14/S14</f>
        <v>0</v>
      </c>
      <c r="U14" s="78">
        <v>0</v>
      </c>
      <c r="V14" s="126" t="s">
        <v>35</v>
      </c>
    </row>
    <row r="15" spans="1:25" x14ac:dyDescent="0.2">
      <c r="A15" s="2">
        <v>57632</v>
      </c>
      <c r="B15" s="134">
        <v>2010</v>
      </c>
      <c r="C15" s="2" t="s">
        <v>31</v>
      </c>
      <c r="D15" s="102">
        <v>31</v>
      </c>
      <c r="E15" s="2">
        <v>151</v>
      </c>
      <c r="F15" s="114">
        <v>19</v>
      </c>
      <c r="G15" s="114">
        <v>18</v>
      </c>
      <c r="H15" s="114">
        <v>16</v>
      </c>
      <c r="I15" s="114">
        <v>62</v>
      </c>
      <c r="J15" s="114">
        <v>36</v>
      </c>
      <c r="K15" s="150"/>
      <c r="L15" s="147"/>
      <c r="M15" s="147"/>
      <c r="N15" s="147"/>
      <c r="O15" s="147"/>
      <c r="P15" s="147"/>
      <c r="Q15" s="147"/>
      <c r="R15" s="3">
        <f t="shared" si="0"/>
        <v>151</v>
      </c>
      <c r="S15" s="11">
        <f>AVERAGE(F15:Q15)</f>
        <v>30.2</v>
      </c>
      <c r="T15" s="10">
        <f t="shared" si="2"/>
        <v>0</v>
      </c>
      <c r="U15" s="78">
        <f>SUM(E15-R15)</f>
        <v>0</v>
      </c>
    </row>
    <row r="16" spans="1:25" x14ac:dyDescent="0.2">
      <c r="A16" s="2">
        <v>22382</v>
      </c>
      <c r="B16" s="134">
        <v>2010</v>
      </c>
      <c r="C16" s="114" t="s">
        <v>23</v>
      </c>
      <c r="D16" s="102">
        <v>29</v>
      </c>
      <c r="E16" s="2">
        <v>283</v>
      </c>
      <c r="F16" s="130">
        <v>13</v>
      </c>
      <c r="G16" s="130">
        <v>6</v>
      </c>
      <c r="H16" s="130">
        <v>4</v>
      </c>
      <c r="I16" s="130">
        <v>0</v>
      </c>
      <c r="J16" s="130">
        <v>0</v>
      </c>
      <c r="K16" s="149">
        <v>30</v>
      </c>
      <c r="L16" s="149">
        <v>34</v>
      </c>
      <c r="M16" s="149">
        <v>28</v>
      </c>
      <c r="N16" s="149">
        <v>44</v>
      </c>
      <c r="O16" s="149">
        <v>42</v>
      </c>
      <c r="P16" s="149">
        <v>24</v>
      </c>
      <c r="Q16" s="149">
        <v>22</v>
      </c>
      <c r="R16" s="3">
        <f t="shared" si="0"/>
        <v>247</v>
      </c>
      <c r="S16" s="11">
        <f t="shared" si="1"/>
        <v>20.583333333333332</v>
      </c>
      <c r="T16" s="10">
        <f t="shared" si="2"/>
        <v>1.7489878542510122</v>
      </c>
      <c r="U16" s="78">
        <f t="shared" si="3"/>
        <v>36</v>
      </c>
      <c r="X16">
        <v>3</v>
      </c>
      <c r="Y16" s="167">
        <f>U16+X16</f>
        <v>39</v>
      </c>
    </row>
    <row r="17" spans="1:25" x14ac:dyDescent="0.2">
      <c r="A17" s="2">
        <v>22834</v>
      </c>
      <c r="B17" s="134">
        <v>2010</v>
      </c>
      <c r="C17" s="114" t="s">
        <v>26</v>
      </c>
      <c r="D17" s="102">
        <v>16</v>
      </c>
      <c r="E17" s="2">
        <v>308</v>
      </c>
      <c r="F17" s="131">
        <v>2</v>
      </c>
      <c r="G17" s="114">
        <v>12</v>
      </c>
      <c r="H17" s="114">
        <v>12</v>
      </c>
      <c r="I17" s="114">
        <v>6</v>
      </c>
      <c r="J17" s="114">
        <v>30</v>
      </c>
      <c r="K17" s="114">
        <v>14</v>
      </c>
      <c r="L17" s="114">
        <v>20</v>
      </c>
      <c r="M17" s="114">
        <v>3</v>
      </c>
      <c r="N17" s="114">
        <v>19</v>
      </c>
      <c r="O17" s="114">
        <v>33</v>
      </c>
      <c r="P17" s="114">
        <v>22</v>
      </c>
      <c r="Q17" s="114">
        <v>59</v>
      </c>
      <c r="R17" s="3">
        <f t="shared" si="0"/>
        <v>232</v>
      </c>
      <c r="S17" s="11">
        <f t="shared" si="1"/>
        <v>19.333333333333332</v>
      </c>
      <c r="T17" s="10">
        <f t="shared" si="2"/>
        <v>3.931034482758621</v>
      </c>
      <c r="U17" s="78">
        <f t="shared" si="3"/>
        <v>76</v>
      </c>
      <c r="X17">
        <v>4</v>
      </c>
      <c r="Y17" s="167">
        <f t="shared" ref="Y17:Y50" si="4">U17+X17</f>
        <v>80</v>
      </c>
    </row>
    <row r="18" spans="1:25" x14ac:dyDescent="0.2">
      <c r="A18" s="2">
        <v>28361</v>
      </c>
      <c r="B18" s="134">
        <v>2010</v>
      </c>
      <c r="C18" s="114" t="s">
        <v>24</v>
      </c>
      <c r="D18" s="102">
        <v>25</v>
      </c>
      <c r="E18" s="2">
        <v>238</v>
      </c>
      <c r="F18" s="114">
        <v>16</v>
      </c>
      <c r="G18" s="114">
        <v>15</v>
      </c>
      <c r="H18" s="114">
        <v>18</v>
      </c>
      <c r="I18" s="114">
        <v>22</v>
      </c>
      <c r="J18" s="114">
        <v>25</v>
      </c>
      <c r="K18" s="114">
        <v>18</v>
      </c>
      <c r="L18" s="114">
        <v>21</v>
      </c>
      <c r="M18" s="114">
        <v>19</v>
      </c>
      <c r="N18" s="114">
        <v>30</v>
      </c>
      <c r="O18" s="114">
        <v>35</v>
      </c>
      <c r="P18" s="114">
        <v>13</v>
      </c>
      <c r="Q18" s="132">
        <v>6</v>
      </c>
      <c r="R18" s="3">
        <f t="shared" si="0"/>
        <v>238</v>
      </c>
      <c r="S18" s="11">
        <f t="shared" si="1"/>
        <v>19.833333333333332</v>
      </c>
      <c r="T18" s="10">
        <f t="shared" si="2"/>
        <v>0</v>
      </c>
      <c r="U18" s="78">
        <f t="shared" si="3"/>
        <v>0</v>
      </c>
      <c r="Y18" s="167">
        <f t="shared" si="4"/>
        <v>0</v>
      </c>
    </row>
    <row r="19" spans="1:25" x14ac:dyDescent="0.2">
      <c r="A19" s="2">
        <v>27736</v>
      </c>
      <c r="B19" s="134">
        <v>2010</v>
      </c>
      <c r="C19" s="114" t="s">
        <v>27</v>
      </c>
      <c r="D19" s="102">
        <v>21</v>
      </c>
      <c r="E19" s="2">
        <v>301</v>
      </c>
      <c r="F19" s="114">
        <v>23</v>
      </c>
      <c r="G19" s="114">
        <v>22</v>
      </c>
      <c r="H19" s="114">
        <v>15</v>
      </c>
      <c r="I19" s="114">
        <v>15</v>
      </c>
      <c r="J19" s="114">
        <v>45</v>
      </c>
      <c r="K19" s="114">
        <v>25</v>
      </c>
      <c r="L19" s="114">
        <v>27</v>
      </c>
      <c r="M19" s="114">
        <v>23</v>
      </c>
      <c r="N19" s="114">
        <v>38</v>
      </c>
      <c r="O19" s="114">
        <v>39</v>
      </c>
      <c r="P19" s="114">
        <v>20</v>
      </c>
      <c r="Q19" s="114">
        <v>9</v>
      </c>
      <c r="R19" s="3">
        <f t="shared" si="0"/>
        <v>301</v>
      </c>
      <c r="S19" s="11">
        <f t="shared" si="1"/>
        <v>25.083333333333332</v>
      </c>
      <c r="T19" s="10">
        <f t="shared" si="2"/>
        <v>0</v>
      </c>
      <c r="U19" s="78">
        <f t="shared" si="3"/>
        <v>0</v>
      </c>
      <c r="Y19" s="167">
        <f t="shared" si="4"/>
        <v>0</v>
      </c>
    </row>
    <row r="20" spans="1:25" x14ac:dyDescent="0.2">
      <c r="A20">
        <v>18004</v>
      </c>
      <c r="B20" s="134">
        <v>2010</v>
      </c>
      <c r="C20" s="2" t="s">
        <v>29</v>
      </c>
      <c r="D20" s="102">
        <v>12</v>
      </c>
      <c r="E20" s="2">
        <v>168</v>
      </c>
      <c r="F20" s="114">
        <v>16</v>
      </c>
      <c r="G20" s="114">
        <v>8</v>
      </c>
      <c r="H20" s="114">
        <v>7</v>
      </c>
      <c r="I20" s="114">
        <v>12</v>
      </c>
      <c r="J20" s="114">
        <v>11</v>
      </c>
      <c r="K20" s="114">
        <v>6</v>
      </c>
      <c r="L20" s="114">
        <v>12</v>
      </c>
      <c r="M20" s="114">
        <v>16</v>
      </c>
      <c r="N20" s="132">
        <v>13</v>
      </c>
      <c r="O20" s="114">
        <v>19</v>
      </c>
      <c r="P20" s="114">
        <v>8</v>
      </c>
      <c r="Q20" s="114">
        <v>8</v>
      </c>
      <c r="R20" s="3">
        <f t="shared" si="0"/>
        <v>136</v>
      </c>
      <c r="S20" s="11">
        <f t="shared" si="1"/>
        <v>11.333333333333334</v>
      </c>
      <c r="T20" s="10">
        <f t="shared" si="2"/>
        <v>2.8235294117647056</v>
      </c>
      <c r="U20" s="78">
        <f t="shared" si="3"/>
        <v>32</v>
      </c>
      <c r="V20" s="126" t="s">
        <v>35</v>
      </c>
      <c r="X20">
        <v>3</v>
      </c>
      <c r="Y20" s="167">
        <f t="shared" si="4"/>
        <v>35</v>
      </c>
    </row>
    <row r="21" spans="1:25" x14ac:dyDescent="0.2">
      <c r="A21" s="2">
        <v>34641</v>
      </c>
      <c r="B21" s="134">
        <v>2010</v>
      </c>
      <c r="C21" s="114" t="s">
        <v>52</v>
      </c>
      <c r="D21" s="102">
        <v>22</v>
      </c>
      <c r="E21" s="2">
        <v>573</v>
      </c>
      <c r="F21" s="131">
        <v>8</v>
      </c>
      <c r="G21" s="130">
        <v>24</v>
      </c>
      <c r="H21" s="114">
        <v>27</v>
      </c>
      <c r="I21" s="114">
        <v>20</v>
      </c>
      <c r="J21" s="114">
        <v>21</v>
      </c>
      <c r="K21" s="114">
        <v>20</v>
      </c>
      <c r="L21" s="114">
        <v>27</v>
      </c>
      <c r="M21" s="114">
        <v>21</v>
      </c>
      <c r="N21" s="132">
        <v>34</v>
      </c>
      <c r="O21" s="114">
        <v>53</v>
      </c>
      <c r="P21" s="132">
        <v>16</v>
      </c>
      <c r="Q21" s="132">
        <v>24</v>
      </c>
      <c r="R21" s="3">
        <f t="shared" si="0"/>
        <v>295</v>
      </c>
      <c r="S21" s="11">
        <f t="shared" si="1"/>
        <v>24.583333333333332</v>
      </c>
      <c r="T21" s="10">
        <f t="shared" si="2"/>
        <v>11.308474576271188</v>
      </c>
      <c r="U21" s="78">
        <f t="shared" si="3"/>
        <v>278</v>
      </c>
      <c r="V21" s="126" t="s">
        <v>35</v>
      </c>
      <c r="X21">
        <v>4</v>
      </c>
      <c r="Y21" s="167">
        <f t="shared" si="4"/>
        <v>282</v>
      </c>
    </row>
    <row r="22" spans="1:25" x14ac:dyDescent="0.2">
      <c r="A22" s="2">
        <v>22921</v>
      </c>
      <c r="B22" s="134">
        <v>2010</v>
      </c>
      <c r="C22" s="114" t="s">
        <v>53</v>
      </c>
      <c r="D22" s="102">
        <v>37</v>
      </c>
      <c r="E22" s="2">
        <v>396</v>
      </c>
      <c r="F22" s="132">
        <v>43</v>
      </c>
      <c r="G22" s="114">
        <v>21</v>
      </c>
      <c r="H22" s="114">
        <v>9</v>
      </c>
      <c r="I22" s="114">
        <v>24</v>
      </c>
      <c r="J22" s="114">
        <v>46</v>
      </c>
      <c r="K22" s="114">
        <v>0</v>
      </c>
      <c r="L22" s="114">
        <v>7</v>
      </c>
      <c r="M22" s="114">
        <v>10</v>
      </c>
      <c r="N22" s="132">
        <v>26</v>
      </c>
      <c r="O22" s="114">
        <v>47</v>
      </c>
      <c r="P22" s="132">
        <v>35</v>
      </c>
      <c r="Q22" s="132">
        <v>46</v>
      </c>
      <c r="R22" s="3">
        <f>SUM(F22:Q22)</f>
        <v>314</v>
      </c>
      <c r="S22" s="11">
        <f>AVERAGE(F22:Q22)</f>
        <v>26.166666666666668</v>
      </c>
      <c r="T22" s="10">
        <f>U22/S22</f>
        <v>3.1337579617834392</v>
      </c>
      <c r="U22" s="78">
        <f>SUM(E22-R22)</f>
        <v>82</v>
      </c>
      <c r="X22">
        <v>2</v>
      </c>
      <c r="Y22" s="167">
        <f t="shared" si="4"/>
        <v>84</v>
      </c>
    </row>
    <row r="23" spans="1:25" x14ac:dyDescent="0.2">
      <c r="A23" s="2">
        <v>38269</v>
      </c>
      <c r="B23" s="134">
        <v>2010</v>
      </c>
      <c r="C23" s="2" t="s">
        <v>45</v>
      </c>
      <c r="D23" s="102">
        <v>13</v>
      </c>
      <c r="E23" s="2">
        <v>210</v>
      </c>
      <c r="F23" s="132">
        <v>20</v>
      </c>
      <c r="G23" s="114">
        <v>6</v>
      </c>
      <c r="H23" s="114">
        <v>6</v>
      </c>
      <c r="I23" s="114">
        <v>14</v>
      </c>
      <c r="J23" s="114">
        <v>13</v>
      </c>
      <c r="K23" s="114">
        <v>13</v>
      </c>
      <c r="L23" s="114">
        <v>15</v>
      </c>
      <c r="M23" s="114">
        <v>3</v>
      </c>
      <c r="N23" s="114">
        <v>17</v>
      </c>
      <c r="O23" s="132">
        <v>16</v>
      </c>
      <c r="P23" s="132">
        <v>14</v>
      </c>
      <c r="Q23" s="132">
        <v>4</v>
      </c>
      <c r="R23" s="3">
        <f>SUM(F23:Q23)</f>
        <v>141</v>
      </c>
      <c r="S23" s="11">
        <f>AVERAGE(F23:Q23)</f>
        <v>11.75</v>
      </c>
      <c r="T23" s="10">
        <f>U23/S23</f>
        <v>5.8723404255319149</v>
      </c>
      <c r="U23" s="78">
        <f>SUM(E23-R23)</f>
        <v>69</v>
      </c>
      <c r="X23">
        <v>3</v>
      </c>
      <c r="Y23" s="167">
        <f t="shared" si="4"/>
        <v>72</v>
      </c>
    </row>
    <row r="24" spans="1:25" x14ac:dyDescent="0.2">
      <c r="A24" s="162"/>
      <c r="B24" s="135"/>
      <c r="C24" s="46"/>
      <c r="D24" s="46"/>
      <c r="E24" s="46"/>
      <c r="F24" s="136">
        <v>1</v>
      </c>
      <c r="G24" s="137"/>
      <c r="H24" s="137"/>
      <c r="I24" s="137"/>
      <c r="J24" s="137"/>
      <c r="K24" s="137"/>
      <c r="L24" s="137"/>
      <c r="M24" s="137"/>
      <c r="N24" s="137"/>
      <c r="O24" s="136"/>
      <c r="P24" s="136"/>
      <c r="Q24" s="136"/>
      <c r="R24" s="46"/>
      <c r="S24" s="49"/>
      <c r="T24" s="133"/>
      <c r="U24" s="138"/>
      <c r="Y24" s="167">
        <f t="shared" si="4"/>
        <v>0</v>
      </c>
    </row>
    <row r="25" spans="1:25" x14ac:dyDescent="0.2">
      <c r="A25" s="2">
        <v>11198</v>
      </c>
      <c r="B25" s="134">
        <v>2011</v>
      </c>
      <c r="C25" s="114" t="s">
        <v>46</v>
      </c>
      <c r="D25" s="102">
        <v>25</v>
      </c>
      <c r="E25" s="2">
        <v>281</v>
      </c>
      <c r="F25" s="132">
        <v>46</v>
      </c>
      <c r="G25" s="114">
        <v>25</v>
      </c>
      <c r="H25" s="114">
        <v>210</v>
      </c>
      <c r="I25" s="147"/>
      <c r="J25" s="147"/>
      <c r="K25" s="147"/>
      <c r="L25" s="147"/>
      <c r="M25" s="147"/>
      <c r="N25" s="147"/>
      <c r="O25" s="148"/>
      <c r="P25" s="148"/>
      <c r="Q25" s="148"/>
      <c r="R25" s="3">
        <f>SUM(F25:Q25)</f>
        <v>281</v>
      </c>
      <c r="S25" s="11">
        <f>AVERAGE(F25:Q25)</f>
        <v>93.666666666666671</v>
      </c>
      <c r="T25" s="10">
        <f>U25/S25</f>
        <v>0</v>
      </c>
      <c r="U25" s="78">
        <f>SUM(E25-R25)</f>
        <v>0</v>
      </c>
      <c r="Y25" s="167">
        <f t="shared" si="4"/>
        <v>0</v>
      </c>
    </row>
    <row r="26" spans="1:25" x14ac:dyDescent="0.2">
      <c r="A26">
        <v>57630</v>
      </c>
      <c r="B26" s="134">
        <v>2011</v>
      </c>
      <c r="C26" s="114" t="s">
        <v>25</v>
      </c>
      <c r="D26" s="102">
        <v>38</v>
      </c>
      <c r="E26" s="2">
        <v>535</v>
      </c>
      <c r="F26" s="130">
        <v>1</v>
      </c>
      <c r="G26" s="130">
        <v>0</v>
      </c>
      <c r="H26" s="130">
        <v>0</v>
      </c>
      <c r="I26" s="130">
        <v>4</v>
      </c>
      <c r="J26" s="130">
        <v>0</v>
      </c>
      <c r="K26" s="130">
        <v>0</v>
      </c>
      <c r="L26" s="130">
        <v>0</v>
      </c>
      <c r="M26" s="114">
        <v>0</v>
      </c>
      <c r="N26" s="114">
        <v>22</v>
      </c>
      <c r="O26" s="114">
        <v>24</v>
      </c>
      <c r="P26" s="114">
        <v>0</v>
      </c>
      <c r="Q26" s="114">
        <v>60</v>
      </c>
      <c r="R26" s="3">
        <f>SUM(F26:Q26)</f>
        <v>111</v>
      </c>
      <c r="S26" s="11">
        <f>AVERAGE(F26:Q26)</f>
        <v>9.25</v>
      </c>
      <c r="T26" s="10">
        <f>U26/S26</f>
        <v>45.837837837837839</v>
      </c>
      <c r="U26" s="78">
        <f>SUM(E26-R26)</f>
        <v>424</v>
      </c>
      <c r="V26">
        <v>65</v>
      </c>
      <c r="W26" t="s">
        <v>82</v>
      </c>
      <c r="X26">
        <v>6</v>
      </c>
      <c r="Y26" s="167">
        <f t="shared" si="4"/>
        <v>430</v>
      </c>
    </row>
    <row r="27" spans="1:25" x14ac:dyDescent="0.2">
      <c r="A27" s="2">
        <v>57632</v>
      </c>
      <c r="B27" s="134">
        <v>2011</v>
      </c>
      <c r="C27" s="2" t="s">
        <v>31</v>
      </c>
      <c r="D27" s="102">
        <v>31</v>
      </c>
      <c r="E27" s="2">
        <v>487</v>
      </c>
      <c r="F27" s="131">
        <v>1</v>
      </c>
      <c r="G27" s="130">
        <v>5</v>
      </c>
      <c r="H27" s="130">
        <v>3</v>
      </c>
      <c r="I27" s="130">
        <v>12</v>
      </c>
      <c r="J27" s="149">
        <v>18</v>
      </c>
      <c r="K27" s="149">
        <v>29</v>
      </c>
      <c r="L27" s="149">
        <v>41</v>
      </c>
      <c r="M27" s="149">
        <v>36</v>
      </c>
      <c r="N27" s="149">
        <v>143</v>
      </c>
      <c r="O27" s="151">
        <v>107</v>
      </c>
      <c r="P27" s="151">
        <v>0</v>
      </c>
      <c r="Q27" s="151">
        <v>0</v>
      </c>
      <c r="R27" s="3">
        <f t="shared" ref="R27:R48" si="5">SUM(F27:Q27)</f>
        <v>395</v>
      </c>
      <c r="S27" s="11">
        <f t="shared" ref="S27:S48" si="6">AVERAGE(F27:Q27)</f>
        <v>32.916666666666664</v>
      </c>
      <c r="T27" s="10">
        <f t="shared" ref="T27:T48" si="7">U27/S27</f>
        <v>2.7949367088607597</v>
      </c>
      <c r="U27" s="78">
        <f t="shared" ref="U27:U48" si="8">SUM(E27-R27)</f>
        <v>92</v>
      </c>
      <c r="Y27" s="167">
        <f t="shared" si="4"/>
        <v>92</v>
      </c>
    </row>
    <row r="28" spans="1:25" x14ac:dyDescent="0.2">
      <c r="A28">
        <v>57631</v>
      </c>
      <c r="B28" s="134">
        <v>2011</v>
      </c>
      <c r="C28" s="114" t="s">
        <v>33</v>
      </c>
      <c r="D28" s="102">
        <v>29</v>
      </c>
      <c r="E28" s="2">
        <v>147</v>
      </c>
      <c r="F28" s="131">
        <v>19</v>
      </c>
      <c r="G28" s="130">
        <v>0</v>
      </c>
      <c r="H28" s="130">
        <v>128</v>
      </c>
      <c r="I28" s="147"/>
      <c r="J28" s="147"/>
      <c r="K28" s="147"/>
      <c r="L28" s="147"/>
      <c r="M28" s="147"/>
      <c r="N28" s="147"/>
      <c r="O28" s="148"/>
      <c r="P28" s="148"/>
      <c r="Q28" s="148"/>
      <c r="R28" s="3">
        <f t="shared" si="5"/>
        <v>147</v>
      </c>
      <c r="S28" s="11">
        <f t="shared" si="6"/>
        <v>49</v>
      </c>
      <c r="T28" s="10">
        <f t="shared" si="7"/>
        <v>0</v>
      </c>
      <c r="U28" s="78">
        <f>SUM(E28-R28)</f>
        <v>0</v>
      </c>
      <c r="V28">
        <v>128</v>
      </c>
      <c r="W28" t="s">
        <v>83</v>
      </c>
      <c r="Y28" s="167">
        <f t="shared" si="4"/>
        <v>0</v>
      </c>
    </row>
    <row r="29" spans="1:25" x14ac:dyDescent="0.2">
      <c r="A29">
        <v>22384</v>
      </c>
      <c r="B29" s="134">
        <v>2011</v>
      </c>
      <c r="C29" s="114" t="s">
        <v>26</v>
      </c>
      <c r="D29" s="102">
        <v>16</v>
      </c>
      <c r="E29" s="2">
        <v>243</v>
      </c>
      <c r="F29" s="131">
        <v>2</v>
      </c>
      <c r="G29" s="130">
        <v>0</v>
      </c>
      <c r="H29" s="130">
        <v>0</v>
      </c>
      <c r="I29" s="130">
        <v>0</v>
      </c>
      <c r="J29" s="130">
        <v>0</v>
      </c>
      <c r="K29" s="130">
        <v>0</v>
      </c>
      <c r="L29" s="130">
        <v>0</v>
      </c>
      <c r="M29" s="130">
        <v>0</v>
      </c>
      <c r="N29" s="130">
        <v>0</v>
      </c>
      <c r="O29" s="131">
        <v>0</v>
      </c>
      <c r="P29" s="131"/>
      <c r="Q29" s="131"/>
      <c r="R29" s="3">
        <f t="shared" si="5"/>
        <v>2</v>
      </c>
      <c r="S29" s="11">
        <f t="shared" si="6"/>
        <v>0.2</v>
      </c>
      <c r="T29" s="10">
        <f t="shared" si="7"/>
        <v>1205</v>
      </c>
      <c r="U29" s="78">
        <f t="shared" si="8"/>
        <v>241</v>
      </c>
      <c r="Y29" s="167">
        <f t="shared" si="4"/>
        <v>241</v>
      </c>
    </row>
    <row r="30" spans="1:25" x14ac:dyDescent="0.2">
      <c r="A30">
        <v>22382</v>
      </c>
      <c r="B30" s="134">
        <v>2011</v>
      </c>
      <c r="C30" s="114" t="s">
        <v>23</v>
      </c>
      <c r="D30" s="102">
        <v>29</v>
      </c>
      <c r="E30" s="2">
        <v>179</v>
      </c>
      <c r="F30" s="131">
        <v>1</v>
      </c>
      <c r="G30" s="130">
        <v>0</v>
      </c>
      <c r="H30" s="130">
        <v>0</v>
      </c>
      <c r="I30" s="130">
        <v>0</v>
      </c>
      <c r="J30" s="130">
        <v>0</v>
      </c>
      <c r="K30" s="130">
        <v>0</v>
      </c>
      <c r="L30" s="130">
        <v>0</v>
      </c>
      <c r="M30" s="130">
        <v>0</v>
      </c>
      <c r="N30" s="130">
        <v>0</v>
      </c>
      <c r="O30" s="131">
        <v>0</v>
      </c>
      <c r="P30" s="131"/>
      <c r="Q30" s="131"/>
      <c r="R30" s="3">
        <f t="shared" si="5"/>
        <v>1</v>
      </c>
      <c r="S30" s="11">
        <f t="shared" si="6"/>
        <v>0.1</v>
      </c>
      <c r="T30" s="10">
        <f t="shared" si="7"/>
        <v>1780</v>
      </c>
      <c r="U30" s="78">
        <f t="shared" si="8"/>
        <v>178</v>
      </c>
      <c r="Y30" s="167">
        <f t="shared" si="4"/>
        <v>178</v>
      </c>
    </row>
    <row r="31" spans="1:25" x14ac:dyDescent="0.2">
      <c r="A31" s="2">
        <v>28361</v>
      </c>
      <c r="B31" s="134">
        <v>2011</v>
      </c>
      <c r="C31" s="2" t="s">
        <v>24</v>
      </c>
      <c r="D31" s="102">
        <v>25</v>
      </c>
      <c r="E31" s="2">
        <v>202</v>
      </c>
      <c r="F31" s="131">
        <v>5</v>
      </c>
      <c r="G31" s="130">
        <v>0</v>
      </c>
      <c r="H31" s="130">
        <v>3</v>
      </c>
      <c r="I31" s="130">
        <v>1</v>
      </c>
      <c r="J31" s="130">
        <v>3</v>
      </c>
      <c r="K31" s="130">
        <v>0</v>
      </c>
      <c r="L31" s="130">
        <v>0</v>
      </c>
      <c r="M31" s="130">
        <v>0</v>
      </c>
      <c r="N31" s="130">
        <v>0</v>
      </c>
      <c r="O31" s="131">
        <v>0</v>
      </c>
      <c r="P31" s="131"/>
      <c r="Q31" s="151">
        <v>16</v>
      </c>
      <c r="R31" s="3">
        <f t="shared" si="5"/>
        <v>28</v>
      </c>
      <c r="S31" s="11">
        <f t="shared" si="6"/>
        <v>2.5454545454545454</v>
      </c>
      <c r="T31" s="10">
        <f t="shared" si="7"/>
        <v>68.357142857142861</v>
      </c>
      <c r="U31" s="78">
        <f t="shared" si="8"/>
        <v>174</v>
      </c>
      <c r="X31">
        <v>1</v>
      </c>
      <c r="Y31" s="167">
        <f t="shared" si="4"/>
        <v>175</v>
      </c>
    </row>
    <row r="32" spans="1:25" x14ac:dyDescent="0.2">
      <c r="A32" s="2">
        <v>27736</v>
      </c>
      <c r="B32" s="134">
        <v>2011</v>
      </c>
      <c r="C32" s="2" t="s">
        <v>56</v>
      </c>
      <c r="D32" s="102">
        <v>21</v>
      </c>
      <c r="E32" s="2">
        <v>171</v>
      </c>
      <c r="F32" s="131">
        <v>2</v>
      </c>
      <c r="G32" s="130">
        <v>6</v>
      </c>
      <c r="H32" s="130">
        <v>0</v>
      </c>
      <c r="I32" s="130">
        <v>0</v>
      </c>
      <c r="J32" s="130">
        <v>0</v>
      </c>
      <c r="K32" s="130">
        <v>0</v>
      </c>
      <c r="L32" s="130">
        <v>0</v>
      </c>
      <c r="M32" s="130">
        <v>0</v>
      </c>
      <c r="N32" s="130">
        <v>0</v>
      </c>
      <c r="O32" s="131">
        <v>0</v>
      </c>
      <c r="P32" s="131"/>
      <c r="Q32" s="151">
        <v>10</v>
      </c>
      <c r="R32" s="3">
        <f t="shared" si="5"/>
        <v>18</v>
      </c>
      <c r="S32" s="11">
        <f t="shared" si="6"/>
        <v>1.6363636363636365</v>
      </c>
      <c r="T32" s="10">
        <f t="shared" si="7"/>
        <v>93.5</v>
      </c>
      <c r="U32" s="78">
        <f t="shared" si="8"/>
        <v>153</v>
      </c>
      <c r="X32">
        <v>4</v>
      </c>
      <c r="Y32" s="167">
        <f t="shared" si="4"/>
        <v>157</v>
      </c>
    </row>
    <row r="33" spans="1:25" x14ac:dyDescent="0.2">
      <c r="A33">
        <v>22921</v>
      </c>
      <c r="B33" s="134">
        <v>2011</v>
      </c>
      <c r="C33" s="2" t="s">
        <v>22</v>
      </c>
      <c r="D33" s="102">
        <v>37</v>
      </c>
      <c r="E33" s="2">
        <v>344</v>
      </c>
      <c r="F33" s="131">
        <v>1</v>
      </c>
      <c r="G33" s="130">
        <v>0</v>
      </c>
      <c r="H33" s="130">
        <v>11</v>
      </c>
      <c r="I33" s="130">
        <v>0</v>
      </c>
      <c r="J33" s="130">
        <v>0</v>
      </c>
      <c r="K33" s="130">
        <v>0</v>
      </c>
      <c r="L33" s="130">
        <v>0</v>
      </c>
      <c r="M33" s="130">
        <v>4</v>
      </c>
      <c r="N33" s="130">
        <v>0</v>
      </c>
      <c r="O33" s="131">
        <v>0</v>
      </c>
      <c r="P33" s="131"/>
      <c r="Q33" s="131"/>
      <c r="R33" s="3">
        <f t="shared" si="5"/>
        <v>16</v>
      </c>
      <c r="S33" s="11">
        <f t="shared" si="6"/>
        <v>1.6</v>
      </c>
      <c r="T33" s="10">
        <f t="shared" si="7"/>
        <v>205</v>
      </c>
      <c r="U33" s="78">
        <f t="shared" si="8"/>
        <v>328</v>
      </c>
      <c r="Y33" s="167">
        <f t="shared" si="4"/>
        <v>328</v>
      </c>
    </row>
    <row r="34" spans="1:25" ht="15.75" x14ac:dyDescent="0.25">
      <c r="A34" s="161">
        <v>26415</v>
      </c>
      <c r="B34" s="134">
        <v>2011</v>
      </c>
      <c r="C34" s="2" t="s">
        <v>57</v>
      </c>
      <c r="D34" s="102">
        <v>13</v>
      </c>
      <c r="E34" s="2">
        <v>359</v>
      </c>
      <c r="F34" s="131">
        <v>1</v>
      </c>
      <c r="G34" s="130">
        <v>4</v>
      </c>
      <c r="H34" s="130">
        <v>0</v>
      </c>
      <c r="I34" s="130">
        <v>0</v>
      </c>
      <c r="J34" s="130">
        <v>6</v>
      </c>
      <c r="K34" s="149">
        <v>14</v>
      </c>
      <c r="L34" s="149">
        <v>11</v>
      </c>
      <c r="M34" s="149">
        <v>13</v>
      </c>
      <c r="N34" s="149">
        <v>15</v>
      </c>
      <c r="O34" s="151">
        <v>16</v>
      </c>
      <c r="P34" s="151">
        <v>9</v>
      </c>
      <c r="Q34" s="151">
        <v>7</v>
      </c>
      <c r="R34" s="3">
        <f t="shared" si="5"/>
        <v>96</v>
      </c>
      <c r="S34" s="11">
        <f t="shared" si="6"/>
        <v>8</v>
      </c>
      <c r="T34" s="10">
        <f t="shared" si="7"/>
        <v>32.875</v>
      </c>
      <c r="U34" s="78">
        <f t="shared" si="8"/>
        <v>263</v>
      </c>
      <c r="X34">
        <v>3</v>
      </c>
      <c r="Y34" s="167">
        <f t="shared" si="4"/>
        <v>266</v>
      </c>
    </row>
    <row r="35" spans="1:25" x14ac:dyDescent="0.2">
      <c r="A35" s="162"/>
      <c r="B35" s="135"/>
      <c r="C35" s="46"/>
      <c r="D35" s="49"/>
      <c r="E35" s="46"/>
      <c r="F35" s="46"/>
      <c r="G35" s="46"/>
      <c r="H35" s="46"/>
      <c r="I35" s="46"/>
      <c r="J35" s="46"/>
      <c r="K35" s="46"/>
      <c r="L35" s="46"/>
      <c r="M35" s="46"/>
      <c r="N35" s="46"/>
      <c r="O35" s="46"/>
      <c r="P35" s="46"/>
      <c r="Q35" s="46"/>
      <c r="R35" s="46"/>
      <c r="S35" s="49"/>
      <c r="T35" s="133"/>
      <c r="U35" s="81"/>
      <c r="Y35" s="167">
        <f t="shared" si="4"/>
        <v>0</v>
      </c>
    </row>
    <row r="36" spans="1:25" x14ac:dyDescent="0.2">
      <c r="A36">
        <v>57631</v>
      </c>
      <c r="B36" s="134">
        <v>2012</v>
      </c>
      <c r="C36" s="2" t="s">
        <v>33</v>
      </c>
      <c r="D36" s="102"/>
      <c r="E36" s="2">
        <v>547</v>
      </c>
      <c r="F36" s="131"/>
      <c r="G36" s="130">
        <v>1</v>
      </c>
      <c r="H36" s="130">
        <v>89</v>
      </c>
      <c r="I36" s="130">
        <v>54</v>
      </c>
      <c r="J36" s="149">
        <v>64</v>
      </c>
      <c r="K36" s="149">
        <v>46</v>
      </c>
      <c r="L36" s="149">
        <v>72</v>
      </c>
      <c r="M36" s="149">
        <v>53</v>
      </c>
      <c r="N36" s="149">
        <v>66</v>
      </c>
      <c r="O36" s="151">
        <v>68</v>
      </c>
      <c r="P36" s="151">
        <v>34</v>
      </c>
      <c r="Q36" s="163"/>
      <c r="R36" s="3">
        <f t="shared" si="5"/>
        <v>547</v>
      </c>
      <c r="S36" s="11">
        <f t="shared" si="6"/>
        <v>54.7</v>
      </c>
      <c r="T36" s="10">
        <f t="shared" si="7"/>
        <v>0</v>
      </c>
      <c r="U36" s="78">
        <f t="shared" si="8"/>
        <v>0</v>
      </c>
      <c r="Y36" s="167">
        <f t="shared" si="4"/>
        <v>0</v>
      </c>
    </row>
    <row r="37" spans="1:25" x14ac:dyDescent="0.2">
      <c r="A37" s="2">
        <v>11198</v>
      </c>
      <c r="B37" s="134">
        <v>2012</v>
      </c>
      <c r="C37" s="2" t="s">
        <v>58</v>
      </c>
      <c r="D37" s="102"/>
      <c r="E37" s="2">
        <v>332</v>
      </c>
      <c r="F37" s="131"/>
      <c r="G37" s="130"/>
      <c r="H37" s="130"/>
      <c r="I37" s="130">
        <v>37</v>
      </c>
      <c r="J37" s="149">
        <v>29</v>
      </c>
      <c r="K37" s="149">
        <v>27</v>
      </c>
      <c r="L37" s="149">
        <v>32</v>
      </c>
      <c r="M37" s="149">
        <v>30</v>
      </c>
      <c r="N37" s="149">
        <v>33</v>
      </c>
      <c r="O37" s="151">
        <v>40</v>
      </c>
      <c r="P37" s="151">
        <v>21</v>
      </c>
      <c r="Q37" s="151">
        <v>13</v>
      </c>
      <c r="R37" s="3">
        <f t="shared" si="5"/>
        <v>262</v>
      </c>
      <c r="S37" s="11">
        <f t="shared" si="6"/>
        <v>29.111111111111111</v>
      </c>
      <c r="T37" s="10">
        <f t="shared" si="7"/>
        <v>2.4045801526717558</v>
      </c>
      <c r="U37" s="78">
        <f t="shared" si="8"/>
        <v>70</v>
      </c>
      <c r="X37">
        <v>4</v>
      </c>
      <c r="Y37" s="167">
        <f t="shared" si="4"/>
        <v>74</v>
      </c>
    </row>
    <row r="38" spans="1:25" x14ac:dyDescent="0.2">
      <c r="A38" s="2">
        <v>57632</v>
      </c>
      <c r="B38" s="134">
        <v>2012</v>
      </c>
      <c r="C38" s="114" t="s">
        <v>31</v>
      </c>
      <c r="D38" s="102"/>
      <c r="E38" s="2">
        <v>278</v>
      </c>
      <c r="F38" s="131"/>
      <c r="G38" s="130"/>
      <c r="H38" s="130"/>
      <c r="I38" s="130"/>
      <c r="J38" s="130"/>
      <c r="K38" s="130"/>
      <c r="L38" s="130"/>
      <c r="M38" s="130">
        <v>3</v>
      </c>
      <c r="N38" s="130">
        <v>0</v>
      </c>
      <c r="O38" s="131">
        <v>0</v>
      </c>
      <c r="P38" s="131"/>
      <c r="Q38" s="131"/>
      <c r="R38" s="3">
        <f t="shared" si="5"/>
        <v>3</v>
      </c>
      <c r="S38" s="11">
        <f t="shared" si="6"/>
        <v>1</v>
      </c>
      <c r="T38" s="10">
        <f t="shared" si="7"/>
        <v>275</v>
      </c>
      <c r="U38" s="78">
        <f t="shared" si="8"/>
        <v>275</v>
      </c>
      <c r="X38">
        <v>4</v>
      </c>
      <c r="Y38" s="167">
        <f t="shared" si="4"/>
        <v>279</v>
      </c>
    </row>
    <row r="39" spans="1:25" x14ac:dyDescent="0.2">
      <c r="A39">
        <v>57630</v>
      </c>
      <c r="B39" s="134">
        <v>2012</v>
      </c>
      <c r="C39" s="114" t="s">
        <v>25</v>
      </c>
      <c r="D39" s="102"/>
      <c r="E39" s="2">
        <v>334</v>
      </c>
      <c r="F39" s="131"/>
      <c r="G39" s="130"/>
      <c r="H39" s="130"/>
      <c r="I39" s="130"/>
      <c r="J39" s="130"/>
      <c r="K39" s="130"/>
      <c r="L39" s="130"/>
      <c r="M39" s="130">
        <v>1</v>
      </c>
      <c r="N39" s="130">
        <v>0</v>
      </c>
      <c r="O39" s="131">
        <v>0</v>
      </c>
      <c r="P39" s="131"/>
      <c r="Q39" s="131"/>
      <c r="R39" s="3">
        <f t="shared" si="5"/>
        <v>1</v>
      </c>
      <c r="S39" s="11">
        <f t="shared" si="6"/>
        <v>0.33333333333333331</v>
      </c>
      <c r="T39" s="10">
        <f t="shared" si="7"/>
        <v>999</v>
      </c>
      <c r="U39" s="78">
        <f t="shared" si="8"/>
        <v>333</v>
      </c>
      <c r="V39">
        <v>24</v>
      </c>
      <c r="W39" t="s">
        <v>82</v>
      </c>
      <c r="Y39" s="167">
        <f t="shared" si="4"/>
        <v>333</v>
      </c>
    </row>
    <row r="40" spans="1:25" x14ac:dyDescent="0.2">
      <c r="A40">
        <v>22384</v>
      </c>
      <c r="B40" s="134">
        <v>2012</v>
      </c>
      <c r="C40" s="114" t="s">
        <v>26</v>
      </c>
      <c r="D40" s="102"/>
      <c r="E40" s="2">
        <v>395</v>
      </c>
      <c r="F40" s="131"/>
      <c r="G40" s="130"/>
      <c r="H40" s="130"/>
      <c r="I40" s="130"/>
      <c r="J40" s="130"/>
      <c r="K40" s="130"/>
      <c r="L40" s="130"/>
      <c r="M40" s="130">
        <v>0</v>
      </c>
      <c r="N40" s="130">
        <v>0</v>
      </c>
      <c r="O40" s="131">
        <v>0</v>
      </c>
      <c r="P40" s="131"/>
      <c r="Q40" s="131"/>
      <c r="R40" s="3">
        <f t="shared" si="5"/>
        <v>0</v>
      </c>
      <c r="S40" s="11">
        <f t="shared" si="6"/>
        <v>0</v>
      </c>
      <c r="T40" s="10" t="e">
        <f t="shared" si="7"/>
        <v>#DIV/0!</v>
      </c>
      <c r="U40" s="78">
        <f t="shared" si="8"/>
        <v>395</v>
      </c>
      <c r="X40">
        <v>1</v>
      </c>
      <c r="Y40" s="167">
        <f t="shared" si="4"/>
        <v>396</v>
      </c>
    </row>
    <row r="41" spans="1:25" x14ac:dyDescent="0.2">
      <c r="A41">
        <v>22382</v>
      </c>
      <c r="B41" s="134">
        <v>2012</v>
      </c>
      <c r="C41" s="114" t="s">
        <v>23</v>
      </c>
      <c r="D41" s="102"/>
      <c r="E41" s="2">
        <v>449</v>
      </c>
      <c r="F41" s="131"/>
      <c r="G41" s="130"/>
      <c r="H41" s="130"/>
      <c r="I41" s="130"/>
      <c r="J41" s="130"/>
      <c r="K41" s="130"/>
      <c r="L41" s="130"/>
      <c r="M41" s="130">
        <v>0</v>
      </c>
      <c r="N41" s="130">
        <v>0</v>
      </c>
      <c r="O41" s="131">
        <v>0</v>
      </c>
      <c r="P41" s="131"/>
      <c r="Q41" s="131"/>
      <c r="R41" s="3">
        <f t="shared" si="5"/>
        <v>0</v>
      </c>
      <c r="S41" s="11">
        <f t="shared" si="6"/>
        <v>0</v>
      </c>
      <c r="T41" s="10" t="e">
        <f t="shared" si="7"/>
        <v>#DIV/0!</v>
      </c>
      <c r="U41" s="78">
        <f t="shared" si="8"/>
        <v>449</v>
      </c>
      <c r="Y41" s="167">
        <f t="shared" si="4"/>
        <v>449</v>
      </c>
    </row>
    <row r="42" spans="1:25" x14ac:dyDescent="0.2">
      <c r="A42">
        <v>27736</v>
      </c>
      <c r="B42" s="134">
        <v>2012</v>
      </c>
      <c r="C42" s="114" t="s">
        <v>56</v>
      </c>
      <c r="D42" s="102"/>
      <c r="E42" s="2">
        <v>392</v>
      </c>
      <c r="F42" s="131"/>
      <c r="G42" s="130"/>
      <c r="H42" s="130"/>
      <c r="I42" s="130"/>
      <c r="J42" s="130"/>
      <c r="K42" s="130"/>
      <c r="L42" s="130"/>
      <c r="M42" s="130">
        <v>0</v>
      </c>
      <c r="N42" s="130">
        <v>0</v>
      </c>
      <c r="O42" s="131">
        <v>0</v>
      </c>
      <c r="P42" s="131"/>
      <c r="Q42" s="131"/>
      <c r="R42" s="3">
        <f>SUM(F42:Q42)</f>
        <v>0</v>
      </c>
      <c r="S42" s="11">
        <f t="shared" si="6"/>
        <v>0</v>
      </c>
      <c r="T42" s="10" t="e">
        <f t="shared" si="7"/>
        <v>#DIV/0!</v>
      </c>
      <c r="U42" s="78">
        <f t="shared" si="8"/>
        <v>392</v>
      </c>
      <c r="X42">
        <v>1</v>
      </c>
      <c r="Y42" s="167">
        <f t="shared" si="4"/>
        <v>393</v>
      </c>
    </row>
    <row r="43" spans="1:25" x14ac:dyDescent="0.2">
      <c r="A43">
        <v>28361</v>
      </c>
      <c r="B43" s="134">
        <v>2012</v>
      </c>
      <c r="C43" s="114" t="s">
        <v>24</v>
      </c>
      <c r="D43" s="102"/>
      <c r="E43" s="2">
        <v>497</v>
      </c>
      <c r="F43" s="131"/>
      <c r="G43" s="130"/>
      <c r="H43" s="130"/>
      <c r="I43" s="130"/>
      <c r="J43" s="130"/>
      <c r="K43" s="130"/>
      <c r="L43" s="130"/>
      <c r="M43" s="130"/>
      <c r="N43" s="130"/>
      <c r="O43" s="131"/>
      <c r="P43" s="131"/>
      <c r="Q43" s="131"/>
      <c r="R43" s="3">
        <f>SUM(F43:Q43)</f>
        <v>0</v>
      </c>
      <c r="S43" s="11" t="e">
        <f>AVERAGE(F43:Q43)</f>
        <v>#DIV/0!</v>
      </c>
      <c r="T43" s="10" t="e">
        <f>U43/S43</f>
        <v>#DIV/0!</v>
      </c>
      <c r="U43" s="78">
        <f>SUM(E43-R43)</f>
        <v>497</v>
      </c>
      <c r="X43">
        <v>1</v>
      </c>
      <c r="Y43" s="167">
        <f t="shared" si="4"/>
        <v>498</v>
      </c>
    </row>
    <row r="44" spans="1:25" x14ac:dyDescent="0.2">
      <c r="A44">
        <v>22921</v>
      </c>
      <c r="B44" s="134">
        <v>2012</v>
      </c>
      <c r="C44" s="114" t="s">
        <v>22</v>
      </c>
      <c r="D44" s="102"/>
      <c r="E44" s="2">
        <v>579</v>
      </c>
      <c r="F44" s="131"/>
      <c r="G44" s="130"/>
      <c r="H44" s="130"/>
      <c r="I44" s="130"/>
      <c r="J44" s="130"/>
      <c r="K44" s="130"/>
      <c r="L44" s="130"/>
      <c r="M44" s="130"/>
      <c r="N44" s="130"/>
      <c r="O44" s="131"/>
      <c r="P44" s="131"/>
      <c r="Q44" s="131"/>
      <c r="R44" s="3">
        <f>SUM(F44:Q44)</f>
        <v>0</v>
      </c>
      <c r="S44" s="11" t="e">
        <f>AVERAGE(F44:Q44)</f>
        <v>#DIV/0!</v>
      </c>
      <c r="T44" s="10" t="e">
        <f>U44/S44</f>
        <v>#DIV/0!</v>
      </c>
      <c r="U44" s="78">
        <f>SUM(E44-R44)</f>
        <v>579</v>
      </c>
      <c r="Y44" s="167">
        <f t="shared" si="4"/>
        <v>579</v>
      </c>
    </row>
    <row r="45" spans="1:25" x14ac:dyDescent="0.2">
      <c r="A45" s="2">
        <v>34641</v>
      </c>
      <c r="B45" s="134">
        <v>2012</v>
      </c>
      <c r="C45" s="114" t="s">
        <v>21</v>
      </c>
      <c r="D45" s="102"/>
      <c r="E45" s="2">
        <v>294</v>
      </c>
      <c r="F45" s="131"/>
      <c r="G45" s="130"/>
      <c r="H45" s="130"/>
      <c r="I45" s="130"/>
      <c r="J45" s="130"/>
      <c r="K45" s="130"/>
      <c r="L45" s="130"/>
      <c r="M45" s="130"/>
      <c r="N45" s="130"/>
      <c r="O45" s="131"/>
      <c r="P45" s="131"/>
      <c r="Q45" s="131"/>
      <c r="R45" s="3">
        <f>SUM(F45:Q45)</f>
        <v>0</v>
      </c>
      <c r="S45" s="11" t="e">
        <f>AVERAGE(F45:Q45)</f>
        <v>#DIV/0!</v>
      </c>
      <c r="T45" s="10" t="e">
        <f>U45/S45</f>
        <v>#DIV/0!</v>
      </c>
      <c r="U45" s="78">
        <f>SUM(E45-R45)</f>
        <v>294</v>
      </c>
      <c r="X45">
        <v>1</v>
      </c>
      <c r="Y45" s="167">
        <f t="shared" si="4"/>
        <v>295</v>
      </c>
    </row>
    <row r="46" spans="1:25" x14ac:dyDescent="0.2">
      <c r="A46" s="2">
        <v>30306</v>
      </c>
      <c r="B46" s="134">
        <v>2012</v>
      </c>
      <c r="C46" s="114" t="s">
        <v>84</v>
      </c>
      <c r="D46" s="102"/>
      <c r="E46" s="2">
        <v>110</v>
      </c>
      <c r="F46" s="131"/>
      <c r="G46" s="130"/>
      <c r="H46" s="130"/>
      <c r="I46" s="130"/>
      <c r="J46" s="130"/>
      <c r="K46" s="130"/>
      <c r="L46" s="114">
        <v>10</v>
      </c>
      <c r="M46" s="114">
        <v>16</v>
      </c>
      <c r="N46" s="114">
        <v>14</v>
      </c>
      <c r="O46" s="132">
        <v>12</v>
      </c>
      <c r="P46" s="132">
        <v>10</v>
      </c>
      <c r="Q46" s="132">
        <v>7</v>
      </c>
      <c r="R46" s="3">
        <f>SUM(F46:Q46)</f>
        <v>69</v>
      </c>
      <c r="S46" s="11">
        <f>AVERAGE(F46:Q46)</f>
        <v>11.5</v>
      </c>
      <c r="T46" s="10">
        <f>U46/S46</f>
        <v>3.5652173913043477</v>
      </c>
      <c r="U46" s="78">
        <f>SUM(E46-R46)</f>
        <v>41</v>
      </c>
      <c r="Y46" s="167">
        <f t="shared" si="4"/>
        <v>41</v>
      </c>
    </row>
    <row r="47" spans="1:25" x14ac:dyDescent="0.2">
      <c r="A47" s="2"/>
      <c r="B47" s="134"/>
      <c r="C47" s="114" t="s">
        <v>85</v>
      </c>
      <c r="D47" s="102"/>
      <c r="E47" s="2"/>
      <c r="F47" s="131"/>
      <c r="G47" s="130"/>
      <c r="H47" s="130"/>
      <c r="I47" s="130"/>
      <c r="J47" s="130"/>
      <c r="K47" s="130"/>
      <c r="L47" s="114"/>
      <c r="M47" s="114"/>
      <c r="N47" s="114"/>
      <c r="O47" s="132"/>
      <c r="P47" s="132"/>
      <c r="Q47" s="132"/>
      <c r="R47" s="3"/>
      <c r="S47" s="11"/>
      <c r="T47" s="10"/>
      <c r="U47" s="78"/>
      <c r="Y47" s="167">
        <f t="shared" si="4"/>
        <v>0</v>
      </c>
    </row>
    <row r="48" spans="1:25" x14ac:dyDescent="0.2">
      <c r="A48" s="2"/>
      <c r="B48" s="134"/>
      <c r="C48" s="2" t="s">
        <v>86</v>
      </c>
      <c r="D48" s="102"/>
      <c r="E48" s="2">
        <v>100</v>
      </c>
      <c r="F48" s="132" t="s">
        <v>35</v>
      </c>
      <c r="G48" s="114"/>
      <c r="H48" s="114"/>
      <c r="I48" s="114"/>
      <c r="J48" s="114"/>
      <c r="K48" s="114"/>
      <c r="L48" s="114"/>
      <c r="M48" s="114"/>
      <c r="N48" s="114"/>
      <c r="O48" s="132"/>
      <c r="P48" s="132"/>
      <c r="Q48" s="132">
        <v>29</v>
      </c>
      <c r="R48" s="3">
        <f t="shared" si="5"/>
        <v>29</v>
      </c>
      <c r="S48" s="11">
        <f t="shared" si="6"/>
        <v>29</v>
      </c>
      <c r="T48" s="10">
        <f t="shared" si="7"/>
        <v>2.4482758620689653</v>
      </c>
      <c r="U48" s="78">
        <f t="shared" si="8"/>
        <v>71</v>
      </c>
      <c r="X48">
        <v>11</v>
      </c>
      <c r="Y48" s="167">
        <f t="shared" si="4"/>
        <v>82</v>
      </c>
    </row>
    <row r="49" spans="1:25" x14ac:dyDescent="0.2">
      <c r="A49" s="2"/>
      <c r="B49" s="134"/>
      <c r="C49" s="2" t="s">
        <v>87</v>
      </c>
      <c r="D49" s="102"/>
      <c r="E49" s="2">
        <v>15</v>
      </c>
      <c r="F49" s="132"/>
      <c r="G49" s="114"/>
      <c r="H49" s="114"/>
      <c r="I49" s="114"/>
      <c r="J49" s="114"/>
      <c r="K49" s="114"/>
      <c r="L49" s="114"/>
      <c r="M49" s="114"/>
      <c r="N49" s="114"/>
      <c r="O49" s="132"/>
      <c r="P49" s="132"/>
      <c r="Q49" s="132">
        <v>9</v>
      </c>
      <c r="R49" s="3">
        <f>SUM(F49:Q49)</f>
        <v>9</v>
      </c>
      <c r="S49" s="11">
        <f>AVERAGE(F49:Q49)</f>
        <v>9</v>
      </c>
      <c r="T49" s="10">
        <f>U49/S49</f>
        <v>0.66666666666666663</v>
      </c>
      <c r="U49" s="78">
        <f>SUM(E49-R49)</f>
        <v>6</v>
      </c>
      <c r="Y49" s="167">
        <f t="shared" si="4"/>
        <v>6</v>
      </c>
    </row>
    <row r="50" spans="1:25" x14ac:dyDescent="0.2">
      <c r="A50" s="2"/>
      <c r="B50" s="134"/>
      <c r="C50" s="2" t="s">
        <v>88</v>
      </c>
      <c r="D50" s="102"/>
      <c r="E50" s="2">
        <v>15</v>
      </c>
      <c r="F50" s="132"/>
      <c r="G50" s="114"/>
      <c r="H50" s="114"/>
      <c r="I50" s="114"/>
      <c r="J50" s="114"/>
      <c r="K50" s="114"/>
      <c r="L50" s="114"/>
      <c r="M50" s="114"/>
      <c r="N50" s="114"/>
      <c r="O50" s="132"/>
      <c r="P50" s="132"/>
      <c r="Q50" s="132">
        <v>1</v>
      </c>
      <c r="R50" s="3">
        <f>SUM(F50:Q50)</f>
        <v>1</v>
      </c>
      <c r="S50" s="11">
        <f>AVERAGE(F50:Q50)</f>
        <v>1</v>
      </c>
      <c r="T50" s="10">
        <f>U50/S50</f>
        <v>14</v>
      </c>
      <c r="U50" s="78">
        <f>SUM(E50-R50)</f>
        <v>14</v>
      </c>
      <c r="Y50" s="167">
        <f t="shared" si="4"/>
        <v>14</v>
      </c>
    </row>
    <row r="51" spans="1:25" x14ac:dyDescent="0.2">
      <c r="A51" s="162"/>
      <c r="B51" s="135"/>
      <c r="C51" s="46"/>
      <c r="D51" s="49"/>
      <c r="E51" s="46"/>
      <c r="F51" s="46"/>
      <c r="G51" s="46"/>
      <c r="H51" s="46"/>
      <c r="I51" s="46"/>
      <c r="J51" s="46"/>
      <c r="K51" s="46"/>
      <c r="L51" s="46"/>
      <c r="M51" s="46"/>
      <c r="N51" s="46"/>
      <c r="O51" s="46"/>
      <c r="P51" s="46"/>
      <c r="Q51" s="46"/>
      <c r="R51" s="46"/>
      <c r="S51" s="49"/>
      <c r="T51" s="133"/>
      <c r="U51" s="81"/>
    </row>
    <row r="52" spans="1:25" x14ac:dyDescent="0.2">
      <c r="A52" s="2"/>
      <c r="B52" s="134">
        <v>2009</v>
      </c>
      <c r="C52" s="2"/>
      <c r="D52" s="129"/>
      <c r="E52" s="11">
        <f t="shared" ref="E52:R52" si="9">SUM(E9:E11)</f>
        <v>152</v>
      </c>
      <c r="F52" s="11">
        <f t="shared" si="9"/>
        <v>57</v>
      </c>
      <c r="G52" s="11">
        <f t="shared" si="9"/>
        <v>17</v>
      </c>
      <c r="H52" s="11">
        <f t="shared" si="9"/>
        <v>14</v>
      </c>
      <c r="I52" s="11">
        <f t="shared" si="9"/>
        <v>34</v>
      </c>
      <c r="J52" s="11">
        <f t="shared" si="9"/>
        <v>28</v>
      </c>
      <c r="K52" s="11">
        <f t="shared" si="9"/>
        <v>2</v>
      </c>
      <c r="L52" s="11">
        <f t="shared" si="9"/>
        <v>0</v>
      </c>
      <c r="M52" s="11">
        <f t="shared" si="9"/>
        <v>0</v>
      </c>
      <c r="N52" s="11">
        <f t="shared" si="9"/>
        <v>0</v>
      </c>
      <c r="O52" s="11">
        <f t="shared" si="9"/>
        <v>0</v>
      </c>
      <c r="P52" s="11">
        <f t="shared" si="9"/>
        <v>0</v>
      </c>
      <c r="Q52" s="11">
        <f t="shared" si="9"/>
        <v>0</v>
      </c>
      <c r="R52" s="11">
        <f t="shared" si="9"/>
        <v>152</v>
      </c>
      <c r="S52" s="11">
        <f>AVERAGE(F52:Q52)</f>
        <v>12.666666666666666</v>
      </c>
      <c r="T52" s="10">
        <f>U52/S52</f>
        <v>0</v>
      </c>
      <c r="U52" s="42">
        <f>SUM(U9:U11)</f>
        <v>0</v>
      </c>
    </row>
    <row r="53" spans="1:25" x14ac:dyDescent="0.2">
      <c r="A53" s="2"/>
      <c r="B53" s="158">
        <v>2010</v>
      </c>
      <c r="C53" s="16"/>
      <c r="D53" s="139"/>
      <c r="E53" s="18">
        <f t="shared" ref="E53:R53" si="10">SUM(E13:E23)</f>
        <v>2967</v>
      </c>
      <c r="F53" s="18">
        <f t="shared" si="10"/>
        <v>196</v>
      </c>
      <c r="G53" s="18">
        <f t="shared" si="10"/>
        <v>171</v>
      </c>
      <c r="H53" s="18">
        <f t="shared" si="10"/>
        <v>149</v>
      </c>
      <c r="I53" s="18">
        <f t="shared" si="10"/>
        <v>230</v>
      </c>
      <c r="J53" s="18">
        <f t="shared" si="10"/>
        <v>283</v>
      </c>
      <c r="K53" s="18">
        <f t="shared" si="10"/>
        <v>161</v>
      </c>
      <c r="L53" s="18">
        <f t="shared" si="10"/>
        <v>211</v>
      </c>
      <c r="M53" s="18">
        <f t="shared" si="10"/>
        <v>142</v>
      </c>
      <c r="N53" s="18">
        <f t="shared" si="10"/>
        <v>221</v>
      </c>
      <c r="O53" s="18">
        <f t="shared" si="10"/>
        <v>284</v>
      </c>
      <c r="P53" s="18">
        <f t="shared" si="10"/>
        <v>152</v>
      </c>
      <c r="Q53" s="18">
        <f t="shared" si="10"/>
        <v>178</v>
      </c>
      <c r="R53" s="18">
        <f t="shared" si="10"/>
        <v>2378</v>
      </c>
      <c r="S53" s="18">
        <f>AVERAGE(F53:Q53)</f>
        <v>198.16666666666666</v>
      </c>
      <c r="T53" s="20">
        <f>U53/S53</f>
        <v>2.8915054667788058</v>
      </c>
      <c r="U53" s="54">
        <f>SUM(U13:U23)</f>
        <v>573</v>
      </c>
    </row>
    <row r="54" spans="1:25" x14ac:dyDescent="0.2">
      <c r="A54" s="2"/>
      <c r="B54" s="158">
        <v>2011</v>
      </c>
      <c r="C54" s="16"/>
      <c r="D54" s="139"/>
      <c r="E54" s="18">
        <f>SUM(E25:E34)</f>
        <v>2948</v>
      </c>
      <c r="F54" s="18">
        <f>SUM(F25:F34)</f>
        <v>79</v>
      </c>
      <c r="G54" s="18">
        <f>SUM(G25:G34)</f>
        <v>40</v>
      </c>
      <c r="H54" s="18">
        <f t="shared" ref="H54:Q54" si="11">SUM(H25:H34)</f>
        <v>355</v>
      </c>
      <c r="I54" s="18">
        <f t="shared" si="11"/>
        <v>17</v>
      </c>
      <c r="J54" s="18">
        <f t="shared" si="11"/>
        <v>27</v>
      </c>
      <c r="K54" s="18">
        <f t="shared" si="11"/>
        <v>43</v>
      </c>
      <c r="L54" s="18">
        <f t="shared" si="11"/>
        <v>52</v>
      </c>
      <c r="M54" s="18">
        <f t="shared" si="11"/>
        <v>53</v>
      </c>
      <c r="N54" s="18">
        <f t="shared" si="11"/>
        <v>180</v>
      </c>
      <c r="O54" s="18">
        <f t="shared" si="11"/>
        <v>147</v>
      </c>
      <c r="P54" s="18">
        <f t="shared" si="11"/>
        <v>9</v>
      </c>
      <c r="Q54" s="18">
        <f t="shared" si="11"/>
        <v>93</v>
      </c>
      <c r="R54" s="18">
        <f>SUM(R25:R34)</f>
        <v>1095</v>
      </c>
      <c r="S54" s="18">
        <f>AVERAGE(F54:Q54)</f>
        <v>91.25</v>
      </c>
      <c r="T54" s="20">
        <f>U54/S54</f>
        <v>20.306849315068494</v>
      </c>
      <c r="U54" s="54">
        <f>SUM(U25:U34)</f>
        <v>1853</v>
      </c>
    </row>
    <row r="55" spans="1:25" x14ac:dyDescent="0.2">
      <c r="A55" s="2"/>
      <c r="B55" s="134">
        <v>2012</v>
      </c>
      <c r="C55" s="2"/>
      <c r="D55" s="129"/>
      <c r="E55" s="18">
        <f>SUM(E36:E48)</f>
        <v>4307</v>
      </c>
      <c r="F55" s="18">
        <f>SUM(F36:F48)</f>
        <v>0</v>
      </c>
      <c r="G55" s="18">
        <f t="shared" ref="G55:Q55" si="12">SUM(G36:G48)</f>
        <v>1</v>
      </c>
      <c r="H55" s="18">
        <f t="shared" si="12"/>
        <v>89</v>
      </c>
      <c r="I55" s="18">
        <f t="shared" si="12"/>
        <v>91</v>
      </c>
      <c r="J55" s="18">
        <f t="shared" si="12"/>
        <v>93</v>
      </c>
      <c r="K55" s="18">
        <f t="shared" si="12"/>
        <v>73</v>
      </c>
      <c r="L55" s="18">
        <f t="shared" si="12"/>
        <v>114</v>
      </c>
      <c r="M55" s="18">
        <f t="shared" si="12"/>
        <v>103</v>
      </c>
      <c r="N55" s="18">
        <f t="shared" si="12"/>
        <v>113</v>
      </c>
      <c r="O55" s="18">
        <f t="shared" si="12"/>
        <v>120</v>
      </c>
      <c r="P55" s="18">
        <f t="shared" si="12"/>
        <v>65</v>
      </c>
      <c r="Q55" s="18">
        <f t="shared" si="12"/>
        <v>49</v>
      </c>
      <c r="R55" s="18">
        <f>SUM(R36:R48)</f>
        <v>911</v>
      </c>
      <c r="S55" s="18">
        <f>AVERAGE(F55:Q55)</f>
        <v>75.916666666666671</v>
      </c>
      <c r="T55" s="20">
        <f>U55/S55</f>
        <v>44.733260153677271</v>
      </c>
      <c r="U55" s="54">
        <f>SUM(U36:U48)</f>
        <v>3396</v>
      </c>
    </row>
    <row r="56" spans="1:25" x14ac:dyDescent="0.2">
      <c r="A56" s="2"/>
      <c r="B56" s="159" t="s">
        <v>59</v>
      </c>
      <c r="C56" s="2"/>
      <c r="D56" s="129"/>
      <c r="E56" s="11">
        <f t="shared" ref="E56:S56" si="13">SUM(E52:E55)</f>
        <v>10374</v>
      </c>
      <c r="F56" s="11">
        <f t="shared" si="13"/>
        <v>332</v>
      </c>
      <c r="G56" s="11">
        <f t="shared" si="13"/>
        <v>229</v>
      </c>
      <c r="H56" s="11">
        <f t="shared" si="13"/>
        <v>607</v>
      </c>
      <c r="I56" s="11">
        <f t="shared" si="13"/>
        <v>372</v>
      </c>
      <c r="J56" s="11">
        <f t="shared" si="13"/>
        <v>431</v>
      </c>
      <c r="K56" s="11">
        <f t="shared" si="13"/>
        <v>279</v>
      </c>
      <c r="L56" s="11">
        <f t="shared" si="13"/>
        <v>377</v>
      </c>
      <c r="M56" s="11">
        <f t="shared" si="13"/>
        <v>298</v>
      </c>
      <c r="N56" s="11">
        <f t="shared" si="13"/>
        <v>514</v>
      </c>
      <c r="O56" s="11">
        <f t="shared" si="13"/>
        <v>551</v>
      </c>
      <c r="P56" s="11">
        <f t="shared" si="13"/>
        <v>226</v>
      </c>
      <c r="Q56" s="11">
        <f t="shared" si="13"/>
        <v>320</v>
      </c>
      <c r="R56" s="11">
        <f t="shared" si="13"/>
        <v>4536</v>
      </c>
      <c r="S56" s="11">
        <f t="shared" si="13"/>
        <v>378</v>
      </c>
      <c r="T56" s="20">
        <f>U56/S56</f>
        <v>15.402116402116402</v>
      </c>
      <c r="U56" s="11">
        <f>SUM(U52:U55)</f>
        <v>5822</v>
      </c>
      <c r="Y56" s="167">
        <f>SUM(Y16:Y55)</f>
        <v>5898</v>
      </c>
    </row>
    <row r="57" spans="1:25" x14ac:dyDescent="0.2">
      <c r="A57" s="162"/>
      <c r="B57" s="141"/>
      <c r="C57" s="141"/>
      <c r="D57" s="142"/>
      <c r="E57" s="141"/>
      <c r="F57" s="141"/>
      <c r="G57" s="141"/>
      <c r="H57" s="141"/>
      <c r="I57" s="141"/>
      <c r="J57" s="141"/>
      <c r="K57" s="141"/>
      <c r="L57" s="141"/>
      <c r="M57" s="141"/>
      <c r="N57" s="141"/>
      <c r="O57" s="141"/>
      <c r="P57" s="141"/>
      <c r="Q57" s="141"/>
      <c r="R57" s="141"/>
      <c r="S57" s="142"/>
      <c r="T57" s="143"/>
      <c r="U57" s="144"/>
    </row>
    <row r="58" spans="1:25" ht="13.5" thickBot="1" x14ac:dyDescent="0.25"/>
    <row r="59" spans="1:25" ht="48" thickBot="1" x14ac:dyDescent="0.45">
      <c r="B59" s="116" t="s">
        <v>60</v>
      </c>
      <c r="C59" s="117"/>
      <c r="D59" s="117"/>
      <c r="E59" s="118" t="s">
        <v>61</v>
      </c>
      <c r="F59" s="446" t="s">
        <v>62</v>
      </c>
      <c r="G59" s="447"/>
      <c r="H59" s="447"/>
      <c r="I59" s="447"/>
      <c r="J59" s="447"/>
      <c r="K59" s="447"/>
      <c r="L59" s="447"/>
      <c r="M59" s="447"/>
      <c r="N59" s="447"/>
      <c r="O59" s="447"/>
      <c r="P59" s="447"/>
      <c r="Q59" s="447"/>
      <c r="R59" s="119" t="s">
        <v>63</v>
      </c>
      <c r="S59" s="120"/>
      <c r="T59" s="120"/>
      <c r="U59" s="120"/>
    </row>
    <row r="60" spans="1:25" x14ac:dyDescent="0.2">
      <c r="B60" s="22"/>
      <c r="C60" s="121"/>
      <c r="D60" s="22"/>
      <c r="E60" s="128"/>
      <c r="F60" s="22"/>
      <c r="G60" s="22"/>
      <c r="H60" s="22"/>
      <c r="I60" s="22"/>
      <c r="J60" s="22"/>
      <c r="K60" s="22"/>
      <c r="L60" s="22"/>
      <c r="M60" s="22"/>
      <c r="N60" s="22"/>
      <c r="O60" s="22"/>
      <c r="P60" s="22"/>
      <c r="Q60" s="123"/>
      <c r="R60" s="22"/>
    </row>
    <row r="61" spans="1:25" x14ac:dyDescent="0.2">
      <c r="B61" s="2"/>
      <c r="C61" s="114"/>
      <c r="D61" s="2"/>
      <c r="E61" s="22"/>
      <c r="F61" s="2"/>
      <c r="G61" s="2"/>
      <c r="H61" s="2"/>
      <c r="I61" s="2"/>
      <c r="J61" s="2"/>
      <c r="K61" s="2"/>
      <c r="L61" s="2"/>
      <c r="M61" s="2"/>
      <c r="N61" s="2"/>
      <c r="O61" s="2"/>
      <c r="P61" s="2"/>
      <c r="Q61" s="15"/>
      <c r="R61" s="2"/>
    </row>
    <row r="62" spans="1:25" x14ac:dyDescent="0.2">
      <c r="B62" s="46"/>
      <c r="C62" s="46"/>
      <c r="D62" s="46"/>
      <c r="E62" s="46"/>
      <c r="F62" s="46"/>
      <c r="G62" s="46"/>
      <c r="H62" s="46"/>
      <c r="I62" s="46"/>
      <c r="J62" s="46"/>
      <c r="K62" s="46"/>
      <c r="L62" s="46"/>
      <c r="M62" s="46"/>
      <c r="N62" s="46"/>
      <c r="O62" s="46"/>
      <c r="P62" s="46"/>
      <c r="Q62" s="124"/>
      <c r="R62" s="46"/>
    </row>
    <row r="63" spans="1:25" x14ac:dyDescent="0.2">
      <c r="B63" s="2"/>
      <c r="C63" s="114"/>
      <c r="D63" s="2"/>
      <c r="E63" s="2"/>
      <c r="F63" s="2"/>
      <c r="G63" s="2"/>
      <c r="H63" s="2"/>
      <c r="I63" s="2"/>
      <c r="J63" s="2"/>
      <c r="K63" s="2"/>
      <c r="L63" s="2"/>
      <c r="M63" s="2"/>
      <c r="N63" s="2"/>
      <c r="O63" s="2"/>
      <c r="P63" s="2"/>
      <c r="Q63" s="15"/>
      <c r="R63" s="2"/>
    </row>
    <row r="64" spans="1:25" x14ac:dyDescent="0.2">
      <c r="B64" s="2"/>
      <c r="C64" s="114"/>
      <c r="D64" s="2"/>
      <c r="E64" s="2"/>
      <c r="F64" s="2"/>
      <c r="G64" s="2"/>
      <c r="H64" s="2"/>
      <c r="I64" s="2"/>
      <c r="J64" s="2"/>
      <c r="K64" s="2"/>
      <c r="L64" s="2"/>
      <c r="M64" s="2"/>
      <c r="N64" s="2"/>
      <c r="O64" s="2"/>
      <c r="P64" s="2"/>
      <c r="Q64" s="15"/>
      <c r="R64" s="2"/>
    </row>
    <row r="65" spans="2:18" x14ac:dyDescent="0.2">
      <c r="B65" s="75"/>
      <c r="C65" s="125"/>
      <c r="D65" s="75"/>
      <c r="E65" s="75"/>
      <c r="F65" s="75"/>
      <c r="G65" s="75"/>
      <c r="H65" s="75"/>
      <c r="I65" s="75"/>
      <c r="J65" s="75"/>
      <c r="K65" s="75"/>
      <c r="L65" s="75"/>
      <c r="M65" s="75"/>
      <c r="N65" s="75"/>
      <c r="O65" s="75"/>
      <c r="P65" s="75"/>
      <c r="Q65" s="75"/>
      <c r="R65" s="46"/>
    </row>
    <row r="66" spans="2:18" ht="13.5" thickBot="1" x14ac:dyDescent="0.25">
      <c r="C66" s="126"/>
    </row>
    <row r="67" spans="2:18" ht="63.75" thickBot="1" x14ac:dyDescent="0.45">
      <c r="B67" s="448" t="s">
        <v>60</v>
      </c>
      <c r="C67" s="449"/>
      <c r="D67" s="450"/>
      <c r="E67" s="127" t="s">
        <v>64</v>
      </c>
      <c r="F67" s="446" t="s">
        <v>65</v>
      </c>
      <c r="G67" s="447"/>
      <c r="H67" s="447"/>
      <c r="I67" s="447"/>
      <c r="J67" s="447"/>
      <c r="K67" s="447"/>
      <c r="L67" s="447"/>
      <c r="M67" s="447"/>
      <c r="N67" s="447"/>
      <c r="O67" s="447"/>
      <c r="P67" s="447"/>
      <c r="Q67" s="451"/>
      <c r="R67" s="119" t="s">
        <v>66</v>
      </c>
    </row>
    <row r="68" spans="2:18" ht="15.75" x14ac:dyDescent="0.25">
      <c r="B68" s="22"/>
      <c r="C68" s="121"/>
      <c r="D68" s="22"/>
      <c r="E68" s="122"/>
      <c r="F68" s="22"/>
      <c r="G68" s="22"/>
      <c r="H68" s="22"/>
      <c r="I68" s="22"/>
      <c r="J68" s="22"/>
      <c r="K68" s="22"/>
      <c r="L68" s="22"/>
      <c r="M68" s="22"/>
      <c r="N68" s="22"/>
      <c r="O68" s="22"/>
      <c r="P68" s="22"/>
      <c r="Q68" s="22"/>
      <c r="R68" s="22"/>
    </row>
    <row r="69" spans="2:18" x14ac:dyDescent="0.2">
      <c r="B69" s="2"/>
      <c r="C69" s="114"/>
      <c r="D69" s="2"/>
      <c r="E69" s="22"/>
      <c r="F69" s="2"/>
      <c r="G69" s="2"/>
      <c r="H69" s="2"/>
      <c r="I69" s="2"/>
      <c r="J69" s="2"/>
      <c r="K69" s="2"/>
      <c r="L69" s="2"/>
      <c r="M69" s="2"/>
      <c r="N69" s="2"/>
      <c r="O69" s="2"/>
      <c r="P69" s="2"/>
      <c r="Q69" s="2"/>
      <c r="R69" s="2"/>
    </row>
    <row r="70" spans="2:18" x14ac:dyDescent="0.2">
      <c r="B70" s="46"/>
      <c r="C70" s="46"/>
      <c r="D70" s="46"/>
      <c r="E70" s="46"/>
      <c r="F70" s="46"/>
      <c r="G70" s="46"/>
      <c r="H70" s="46"/>
      <c r="I70" s="46"/>
      <c r="J70" s="46"/>
      <c r="K70" s="46"/>
      <c r="L70" s="46"/>
      <c r="M70" s="46"/>
      <c r="N70" s="46"/>
      <c r="O70" s="46"/>
      <c r="P70" s="46"/>
      <c r="Q70" s="46"/>
      <c r="R70" s="46"/>
    </row>
    <row r="71" spans="2:18" x14ac:dyDescent="0.2">
      <c r="B71" s="2"/>
      <c r="C71" s="114"/>
      <c r="D71" s="2"/>
      <c r="E71" s="2"/>
      <c r="F71" s="2"/>
      <c r="G71" s="2"/>
      <c r="H71" s="2"/>
      <c r="I71" s="2"/>
      <c r="J71" s="2"/>
      <c r="K71" s="2"/>
      <c r="L71" s="2"/>
      <c r="M71" s="2"/>
      <c r="N71" s="2"/>
      <c r="O71" s="2"/>
      <c r="P71" s="2"/>
      <c r="Q71" s="2"/>
      <c r="R71" s="2"/>
    </row>
    <row r="72" spans="2:18" x14ac:dyDescent="0.2">
      <c r="B72" s="2"/>
      <c r="C72" s="114"/>
      <c r="D72" s="2"/>
      <c r="E72" s="2"/>
      <c r="F72" s="2"/>
      <c r="G72" s="2"/>
      <c r="H72" s="2"/>
      <c r="I72" s="2"/>
      <c r="J72" s="2"/>
      <c r="K72" s="2"/>
      <c r="L72" s="2"/>
      <c r="M72" s="2"/>
      <c r="N72" s="2"/>
      <c r="O72" s="2"/>
      <c r="P72" s="2"/>
      <c r="Q72" s="2"/>
      <c r="R72" s="2"/>
    </row>
  </sheetData>
  <mergeCells count="3">
    <mergeCell ref="F59:Q59"/>
    <mergeCell ref="B67:D67"/>
    <mergeCell ref="F67:Q67"/>
  </mergeCells>
  <phoneticPr fontId="8" type="noConversion"/>
  <pageMargins left="0.75" right="0.75" top="1" bottom="1" header="0.5" footer="0.5"/>
  <pageSetup orientation="portrait" horizontalDpi="4294967295" verticalDpi="4294967295"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Y72"/>
  <sheetViews>
    <sheetView topLeftCell="A62" zoomScale="110" zoomScaleNormal="110" workbookViewId="0">
      <selection activeCell="K44" sqref="K44"/>
    </sheetView>
  </sheetViews>
  <sheetFormatPr defaultRowHeight="12.75" x14ac:dyDescent="0.2"/>
  <cols>
    <col min="3" max="3" width="16.5703125" bestFit="1" customWidth="1"/>
    <col min="4" max="4" width="11" customWidth="1"/>
    <col min="5" max="5" width="11.5703125" style="168" customWidth="1"/>
    <col min="6" max="6" width="6.28515625" style="168" customWidth="1"/>
    <col min="7" max="8" width="5.42578125" style="168" bestFit="1" customWidth="1"/>
    <col min="9" max="9" width="5.28515625" style="168" bestFit="1" customWidth="1"/>
    <col min="10" max="10" width="5.5703125" style="168" bestFit="1" customWidth="1"/>
    <col min="11" max="11" width="5.42578125" style="168" bestFit="1" customWidth="1"/>
    <col min="12" max="12" width="4.5703125" style="168" bestFit="1" customWidth="1"/>
    <col min="13" max="13" width="5.5703125" style="168" bestFit="1" customWidth="1"/>
    <col min="14" max="14" width="7.42578125" style="168" customWidth="1"/>
    <col min="15" max="15" width="5" style="168" bestFit="1" customWidth="1"/>
    <col min="16" max="17" width="5.5703125" style="168" bestFit="1" customWidth="1"/>
    <col min="19" max="19" width="10.42578125" customWidth="1"/>
    <col min="21" max="21" width="12.5703125" customWidth="1"/>
  </cols>
  <sheetData>
    <row r="2" spans="1:25" ht="15.75" x14ac:dyDescent="0.2">
      <c r="D2" s="126"/>
      <c r="E2" s="169"/>
    </row>
    <row r="3" spans="1:25" ht="15.75" x14ac:dyDescent="0.2">
      <c r="D3" s="126"/>
      <c r="E3" s="169"/>
    </row>
    <row r="4" spans="1:25" ht="15.75" x14ac:dyDescent="0.2">
      <c r="E4" s="169"/>
    </row>
    <row r="6" spans="1:25" ht="13.5" thickBot="1" x14ac:dyDescent="0.25"/>
    <row r="7" spans="1:25" ht="21" thickBot="1" x14ac:dyDescent="0.35">
      <c r="A7" s="155"/>
      <c r="B7" s="104" t="s">
        <v>0</v>
      </c>
      <c r="C7" s="105"/>
      <c r="D7" s="105"/>
      <c r="E7" s="348"/>
      <c r="F7" s="348"/>
      <c r="G7" s="348"/>
      <c r="H7" s="348"/>
      <c r="I7" s="348"/>
      <c r="J7" s="348"/>
      <c r="K7" s="348"/>
      <c r="L7" s="348"/>
      <c r="M7" s="348"/>
      <c r="N7" s="348"/>
      <c r="O7" s="348"/>
      <c r="P7" s="348"/>
      <c r="Q7" s="348"/>
      <c r="R7" s="105"/>
      <c r="S7" s="105"/>
      <c r="T7" s="105"/>
      <c r="U7" s="106"/>
    </row>
    <row r="8" spans="1:25" ht="48" thickBot="1" x14ac:dyDescent="0.3">
      <c r="A8" s="160" t="s">
        <v>79</v>
      </c>
      <c r="B8" s="156" t="s">
        <v>3</v>
      </c>
      <c r="C8" s="107" t="s">
        <v>2</v>
      </c>
      <c r="D8" s="108" t="s">
        <v>89</v>
      </c>
      <c r="E8" s="109" t="s">
        <v>90</v>
      </c>
      <c r="F8" s="110" t="s">
        <v>4</v>
      </c>
      <c r="G8" s="110" t="s">
        <v>5</v>
      </c>
      <c r="H8" s="110" t="s">
        <v>6</v>
      </c>
      <c r="I8" s="110" t="s">
        <v>7</v>
      </c>
      <c r="J8" s="110" t="s">
        <v>8</v>
      </c>
      <c r="K8" s="110" t="s">
        <v>9</v>
      </c>
      <c r="L8" s="110" t="s">
        <v>10</v>
      </c>
      <c r="M8" s="110" t="s">
        <v>11</v>
      </c>
      <c r="N8" s="110" t="s">
        <v>12</v>
      </c>
      <c r="O8" s="110" t="s">
        <v>13</v>
      </c>
      <c r="P8" s="110" t="s">
        <v>14</v>
      </c>
      <c r="Q8" s="110" t="s">
        <v>15</v>
      </c>
      <c r="R8" s="111" t="s">
        <v>16</v>
      </c>
      <c r="S8" s="112" t="s">
        <v>91</v>
      </c>
      <c r="T8" s="109" t="s">
        <v>19</v>
      </c>
      <c r="U8" s="113" t="s">
        <v>41</v>
      </c>
      <c r="X8" s="165"/>
      <c r="Y8" s="166"/>
    </row>
    <row r="9" spans="1:25" x14ac:dyDescent="0.2">
      <c r="A9" s="162"/>
      <c r="B9" s="135"/>
      <c r="C9" s="46"/>
      <c r="D9" s="49"/>
      <c r="E9" s="170"/>
      <c r="F9" s="170"/>
      <c r="G9" s="170"/>
      <c r="H9" s="170"/>
      <c r="I9" s="170"/>
      <c r="J9" s="170"/>
      <c r="K9" s="170"/>
      <c r="L9" s="170"/>
      <c r="M9" s="170"/>
      <c r="N9" s="170"/>
      <c r="O9" s="170"/>
      <c r="P9" s="170"/>
      <c r="Q9" s="170"/>
      <c r="R9" s="46"/>
      <c r="S9" s="49"/>
      <c r="T9" s="115"/>
      <c r="U9" s="81"/>
    </row>
    <row r="10" spans="1:25" x14ac:dyDescent="0.2">
      <c r="A10" s="2">
        <v>22382</v>
      </c>
      <c r="B10" s="134">
        <v>2010</v>
      </c>
      <c r="C10" s="114" t="s">
        <v>23</v>
      </c>
      <c r="D10" s="102">
        <v>29</v>
      </c>
      <c r="E10" s="146">
        <v>36</v>
      </c>
      <c r="F10" s="171">
        <v>20</v>
      </c>
      <c r="G10" s="171">
        <v>16</v>
      </c>
      <c r="H10" s="181"/>
      <c r="I10" s="181"/>
      <c r="J10" s="181"/>
      <c r="K10" s="181"/>
      <c r="L10" s="181"/>
      <c r="M10" s="181"/>
      <c r="N10" s="181"/>
      <c r="O10" s="181"/>
      <c r="P10" s="181"/>
      <c r="Q10" s="181"/>
      <c r="R10" s="3">
        <f t="shared" ref="R10:R15" si="0">SUM(F10:Q10)</f>
        <v>36</v>
      </c>
      <c r="S10" s="11">
        <f t="shared" ref="S10:S15" si="1">AVERAGE(F10:Q10)</f>
        <v>18</v>
      </c>
      <c r="T10" s="10">
        <f t="shared" ref="T10:T15" si="2">U10/S10</f>
        <v>0</v>
      </c>
      <c r="U10" s="78">
        <f>SUM(E10-R10)</f>
        <v>0</v>
      </c>
      <c r="Y10" s="167"/>
    </row>
    <row r="11" spans="1:25" x14ac:dyDescent="0.2">
      <c r="A11" s="2">
        <v>22834</v>
      </c>
      <c r="B11" s="134">
        <v>2010</v>
      </c>
      <c r="C11" s="114" t="s">
        <v>26</v>
      </c>
      <c r="D11" s="102">
        <v>16</v>
      </c>
      <c r="E11" s="146">
        <v>137</v>
      </c>
      <c r="F11" s="171">
        <v>20</v>
      </c>
      <c r="G11" s="145">
        <v>20</v>
      </c>
      <c r="H11" s="145">
        <v>6</v>
      </c>
      <c r="I11" s="145">
        <v>9</v>
      </c>
      <c r="J11" s="145">
        <v>24</v>
      </c>
      <c r="K11" s="145">
        <v>17</v>
      </c>
      <c r="L11" s="145">
        <v>22</v>
      </c>
      <c r="M11" s="145">
        <v>10</v>
      </c>
      <c r="N11" s="181"/>
      <c r="O11" s="181"/>
      <c r="P11" s="181"/>
      <c r="Q11" s="181"/>
      <c r="R11" s="3">
        <f t="shared" si="0"/>
        <v>128</v>
      </c>
      <c r="S11" s="11">
        <f t="shared" si="1"/>
        <v>16</v>
      </c>
      <c r="T11" s="10">
        <f t="shared" si="2"/>
        <v>0</v>
      </c>
      <c r="U11" s="78">
        <v>0</v>
      </c>
      <c r="Y11" s="167"/>
    </row>
    <row r="12" spans="1:25" x14ac:dyDescent="0.2">
      <c r="A12">
        <v>18004</v>
      </c>
      <c r="B12" s="134">
        <v>2010</v>
      </c>
      <c r="C12" s="2" t="s">
        <v>29</v>
      </c>
      <c r="D12" s="102">
        <v>12</v>
      </c>
      <c r="E12" s="146">
        <v>32</v>
      </c>
      <c r="F12" s="145">
        <v>11</v>
      </c>
      <c r="G12" s="145">
        <v>21</v>
      </c>
      <c r="H12" s="181"/>
      <c r="I12" s="181"/>
      <c r="J12" s="181"/>
      <c r="K12" s="181"/>
      <c r="L12" s="181"/>
      <c r="M12" s="181"/>
      <c r="N12" s="181"/>
      <c r="O12" s="181"/>
      <c r="P12" s="181"/>
      <c r="Q12" s="181"/>
      <c r="R12" s="3">
        <f t="shared" si="0"/>
        <v>32</v>
      </c>
      <c r="S12" s="11">
        <f t="shared" si="1"/>
        <v>16</v>
      </c>
      <c r="T12" s="10">
        <f t="shared" si="2"/>
        <v>0</v>
      </c>
      <c r="U12" s="78">
        <f>SUM(E12-R12)</f>
        <v>0</v>
      </c>
      <c r="V12" s="126" t="s">
        <v>35</v>
      </c>
      <c r="Y12" s="167"/>
    </row>
    <row r="13" spans="1:25" x14ac:dyDescent="0.2">
      <c r="A13" s="2">
        <v>34641</v>
      </c>
      <c r="B13" s="134">
        <v>2010</v>
      </c>
      <c r="C13" s="114" t="s">
        <v>52</v>
      </c>
      <c r="D13" s="102">
        <v>22</v>
      </c>
      <c r="E13" s="146">
        <v>278</v>
      </c>
      <c r="F13" s="171">
        <v>9</v>
      </c>
      <c r="G13" s="171">
        <v>17</v>
      </c>
      <c r="H13" s="145">
        <v>22</v>
      </c>
      <c r="I13" s="145">
        <v>24</v>
      </c>
      <c r="J13" s="145">
        <v>23</v>
      </c>
      <c r="K13" s="145">
        <v>47</v>
      </c>
      <c r="L13" s="145">
        <v>29</v>
      </c>
      <c r="M13" s="145">
        <v>31</v>
      </c>
      <c r="N13" s="145">
        <v>28</v>
      </c>
      <c r="O13" s="145">
        <v>48</v>
      </c>
      <c r="P13" s="181"/>
      <c r="Q13" s="181"/>
      <c r="R13" s="3">
        <f t="shared" si="0"/>
        <v>278</v>
      </c>
      <c r="S13" s="11">
        <f t="shared" si="1"/>
        <v>27.8</v>
      </c>
      <c r="T13" s="10">
        <f t="shared" si="2"/>
        <v>0</v>
      </c>
      <c r="U13" s="78">
        <f>SUM(E13-R13)</f>
        <v>0</v>
      </c>
      <c r="V13" s="126" t="s">
        <v>35</v>
      </c>
      <c r="Y13" s="167"/>
    </row>
    <row r="14" spans="1:25" x14ac:dyDescent="0.2">
      <c r="A14" s="2">
        <v>22921</v>
      </c>
      <c r="B14" s="134">
        <v>2010</v>
      </c>
      <c r="C14" s="114" t="s">
        <v>53</v>
      </c>
      <c r="D14" s="102">
        <v>37</v>
      </c>
      <c r="E14" s="146">
        <v>150</v>
      </c>
      <c r="F14" s="145">
        <v>38</v>
      </c>
      <c r="G14" s="145">
        <v>59</v>
      </c>
      <c r="H14" s="145">
        <v>21</v>
      </c>
      <c r="I14" s="181">
        <v>12</v>
      </c>
      <c r="J14" s="181">
        <v>5</v>
      </c>
      <c r="K14" s="181">
        <v>15</v>
      </c>
      <c r="L14" s="181"/>
      <c r="M14" s="181"/>
      <c r="N14" s="181"/>
      <c r="O14" s="181"/>
      <c r="P14" s="181"/>
      <c r="Q14" s="181"/>
      <c r="R14" s="3">
        <f t="shared" si="0"/>
        <v>150</v>
      </c>
      <c r="S14" s="11">
        <f t="shared" si="1"/>
        <v>25</v>
      </c>
      <c r="T14" s="10">
        <f t="shared" si="2"/>
        <v>0</v>
      </c>
      <c r="U14" s="78">
        <f>SUM(E14-R14)</f>
        <v>0</v>
      </c>
      <c r="Y14" s="167"/>
    </row>
    <row r="15" spans="1:25" x14ac:dyDescent="0.2">
      <c r="A15" s="2">
        <v>38269</v>
      </c>
      <c r="B15" s="134">
        <v>2010</v>
      </c>
      <c r="C15" s="2" t="s">
        <v>45</v>
      </c>
      <c r="D15" s="102">
        <v>13</v>
      </c>
      <c r="E15" s="146">
        <v>69</v>
      </c>
      <c r="F15" s="145">
        <v>5</v>
      </c>
      <c r="G15" s="145">
        <v>0</v>
      </c>
      <c r="H15" s="145">
        <v>14</v>
      </c>
      <c r="I15" s="145">
        <v>9</v>
      </c>
      <c r="J15" s="145">
        <v>10</v>
      </c>
      <c r="K15" s="145">
        <v>16</v>
      </c>
      <c r="L15" s="145" t="s">
        <v>92</v>
      </c>
      <c r="M15" s="181"/>
      <c r="N15" s="181"/>
      <c r="O15" s="181"/>
      <c r="P15" s="181"/>
      <c r="Q15" s="181"/>
      <c r="R15" s="3">
        <f t="shared" si="0"/>
        <v>54</v>
      </c>
      <c r="S15" s="11">
        <f t="shared" si="1"/>
        <v>9</v>
      </c>
      <c r="T15" s="10">
        <f t="shared" si="2"/>
        <v>0</v>
      </c>
      <c r="U15" s="78">
        <v>0</v>
      </c>
      <c r="Y15" s="167"/>
    </row>
    <row r="16" spans="1:25" x14ac:dyDescent="0.2">
      <c r="A16" s="162"/>
      <c r="B16" s="135"/>
      <c r="C16" s="46"/>
      <c r="D16" s="46"/>
      <c r="E16" s="170"/>
      <c r="F16" s="172">
        <v>1</v>
      </c>
      <c r="G16" s="172"/>
      <c r="H16" s="172"/>
      <c r="I16" s="172"/>
      <c r="J16" s="172"/>
      <c r="K16" s="172"/>
      <c r="L16" s="172"/>
      <c r="M16" s="172"/>
      <c r="N16" s="172"/>
      <c r="O16" s="172"/>
      <c r="P16" s="172"/>
      <c r="Q16" s="172"/>
      <c r="R16" s="46"/>
      <c r="S16" s="49"/>
      <c r="T16" s="133"/>
      <c r="U16" s="138"/>
      <c r="Y16" s="167"/>
    </row>
    <row r="17" spans="1:25" x14ac:dyDescent="0.2">
      <c r="A17">
        <v>57630</v>
      </c>
      <c r="B17" s="134">
        <v>2011</v>
      </c>
      <c r="C17" s="114" t="s">
        <v>25</v>
      </c>
      <c r="D17" s="102">
        <v>38</v>
      </c>
      <c r="E17" s="146">
        <v>458</v>
      </c>
      <c r="F17" s="171">
        <v>1</v>
      </c>
      <c r="G17" s="171">
        <v>17</v>
      </c>
      <c r="H17" s="171">
        <v>21</v>
      </c>
      <c r="I17" s="171">
        <v>33</v>
      </c>
      <c r="J17" s="171">
        <v>34</v>
      </c>
      <c r="K17" s="171">
        <v>28</v>
      </c>
      <c r="L17" s="171">
        <v>29</v>
      </c>
      <c r="M17" s="145">
        <v>24</v>
      </c>
      <c r="N17" s="145">
        <v>60</v>
      </c>
      <c r="O17" s="145">
        <v>34</v>
      </c>
      <c r="P17" s="145">
        <v>76</v>
      </c>
      <c r="Q17" s="145">
        <v>21</v>
      </c>
      <c r="R17" s="3">
        <f>SUM(F17:Q17)</f>
        <v>378</v>
      </c>
      <c r="S17" s="11">
        <f>AVERAGE(F17:Q17)</f>
        <v>31.5</v>
      </c>
      <c r="T17" s="10">
        <f>U17/S17</f>
        <v>2.5396825396825395</v>
      </c>
      <c r="U17" s="78">
        <f>SUM(E17-R17)</f>
        <v>80</v>
      </c>
      <c r="V17" s="126" t="s">
        <v>35</v>
      </c>
      <c r="W17" s="126" t="s">
        <v>35</v>
      </c>
      <c r="Y17" s="167"/>
    </row>
    <row r="18" spans="1:25" x14ac:dyDescent="0.2">
      <c r="A18" s="2">
        <v>57632</v>
      </c>
      <c r="B18" s="134">
        <v>2011</v>
      </c>
      <c r="C18" s="2" t="s">
        <v>31</v>
      </c>
      <c r="D18" s="102">
        <v>31</v>
      </c>
      <c r="E18" s="146">
        <v>95</v>
      </c>
      <c r="F18" s="171">
        <v>1</v>
      </c>
      <c r="G18" s="171">
        <v>19</v>
      </c>
      <c r="H18" s="171">
        <v>18</v>
      </c>
      <c r="I18" s="171">
        <v>24</v>
      </c>
      <c r="J18" s="171">
        <v>33</v>
      </c>
      <c r="K18" s="181"/>
      <c r="L18" s="181"/>
      <c r="M18" s="181"/>
      <c r="N18" s="181"/>
      <c r="O18" s="181"/>
      <c r="P18" s="181"/>
      <c r="Q18" s="181"/>
      <c r="R18" s="3">
        <f t="shared" ref="R18:R36" si="3">SUM(F18:Q18)</f>
        <v>95</v>
      </c>
      <c r="S18" s="11">
        <f t="shared" ref="S18:S36" si="4">AVERAGE(F18:Q18)</f>
        <v>19</v>
      </c>
      <c r="T18" s="10">
        <f t="shared" ref="T18:T36" si="5">U18/S18</f>
        <v>0</v>
      </c>
      <c r="U18" s="78">
        <f t="shared" ref="U18:U31" si="6">SUM(E18-R18)</f>
        <v>0</v>
      </c>
      <c r="Y18" s="167"/>
    </row>
    <row r="19" spans="1:25" x14ac:dyDescent="0.2">
      <c r="A19">
        <v>22384</v>
      </c>
      <c r="B19" s="134">
        <v>2011</v>
      </c>
      <c r="C19" s="114" t="s">
        <v>26</v>
      </c>
      <c r="D19" s="102">
        <v>16</v>
      </c>
      <c r="E19" s="146">
        <v>241</v>
      </c>
      <c r="F19" s="180">
        <v>9</v>
      </c>
      <c r="G19" s="180">
        <v>1</v>
      </c>
      <c r="H19" s="180">
        <v>0</v>
      </c>
      <c r="I19" s="180">
        <v>0</v>
      </c>
      <c r="J19" s="180">
        <v>0</v>
      </c>
      <c r="K19" s="180">
        <v>7</v>
      </c>
      <c r="L19" s="180">
        <v>0</v>
      </c>
      <c r="M19" s="180">
        <v>0</v>
      </c>
      <c r="N19" s="145">
        <v>107</v>
      </c>
      <c r="O19" s="145">
        <v>36</v>
      </c>
      <c r="P19" s="145">
        <v>19</v>
      </c>
      <c r="Q19" s="145">
        <v>16</v>
      </c>
      <c r="R19" s="3">
        <f t="shared" si="3"/>
        <v>195</v>
      </c>
      <c r="S19" s="11">
        <f t="shared" si="4"/>
        <v>16.25</v>
      </c>
      <c r="T19" s="10">
        <f t="shared" si="5"/>
        <v>2.8307692307692309</v>
      </c>
      <c r="U19" s="78">
        <f t="shared" si="6"/>
        <v>46</v>
      </c>
      <c r="Y19" s="167"/>
    </row>
    <row r="20" spans="1:25" x14ac:dyDescent="0.2">
      <c r="A20">
        <v>22382</v>
      </c>
      <c r="B20" s="134">
        <v>2011</v>
      </c>
      <c r="C20" s="114" t="s">
        <v>23</v>
      </c>
      <c r="D20" s="102">
        <v>29</v>
      </c>
      <c r="E20" s="146">
        <v>179</v>
      </c>
      <c r="F20" s="180">
        <v>6</v>
      </c>
      <c r="G20" s="171">
        <v>19</v>
      </c>
      <c r="H20" s="171">
        <v>20</v>
      </c>
      <c r="I20" s="171">
        <v>25</v>
      </c>
      <c r="J20" s="171">
        <v>32</v>
      </c>
      <c r="K20" s="171">
        <v>16</v>
      </c>
      <c r="L20" s="171">
        <v>43</v>
      </c>
      <c r="M20" s="171">
        <v>18</v>
      </c>
      <c r="N20" s="183"/>
      <c r="O20" s="183"/>
      <c r="P20" s="183"/>
      <c r="Q20" s="183"/>
      <c r="R20" s="3">
        <f t="shared" si="3"/>
        <v>179</v>
      </c>
      <c r="S20" s="11">
        <f t="shared" si="4"/>
        <v>22.375</v>
      </c>
      <c r="T20" s="10">
        <f t="shared" si="5"/>
        <v>0</v>
      </c>
      <c r="U20" s="78">
        <f t="shared" si="6"/>
        <v>0</v>
      </c>
      <c r="Y20" s="167"/>
    </row>
    <row r="21" spans="1:25" x14ac:dyDescent="0.2">
      <c r="A21" s="2">
        <v>28361</v>
      </c>
      <c r="B21" s="134">
        <v>2011</v>
      </c>
      <c r="C21" s="2" t="s">
        <v>24</v>
      </c>
      <c r="D21" s="102">
        <v>25</v>
      </c>
      <c r="E21" s="146">
        <v>174</v>
      </c>
      <c r="F21" s="171">
        <v>11</v>
      </c>
      <c r="G21" s="171">
        <v>9</v>
      </c>
      <c r="H21" s="171">
        <v>18</v>
      </c>
      <c r="I21" s="171">
        <v>15</v>
      </c>
      <c r="J21" s="171">
        <v>25</v>
      </c>
      <c r="K21" s="171">
        <v>17</v>
      </c>
      <c r="L21" s="171">
        <v>24</v>
      </c>
      <c r="M21" s="171">
        <v>11</v>
      </c>
      <c r="N21" s="171">
        <v>21</v>
      </c>
      <c r="O21" s="171">
        <v>13</v>
      </c>
      <c r="P21" s="171">
        <v>10</v>
      </c>
      <c r="Q21" s="181"/>
      <c r="R21" s="3">
        <f t="shared" si="3"/>
        <v>174</v>
      </c>
      <c r="S21" s="11">
        <f t="shared" si="4"/>
        <v>15.818181818181818</v>
      </c>
      <c r="T21" s="10">
        <f t="shared" si="5"/>
        <v>0</v>
      </c>
      <c r="U21" s="78">
        <f t="shared" si="6"/>
        <v>0</v>
      </c>
      <c r="Y21" s="167"/>
    </row>
    <row r="22" spans="1:25" x14ac:dyDescent="0.2">
      <c r="A22" s="2">
        <v>27736</v>
      </c>
      <c r="B22" s="134">
        <v>2011</v>
      </c>
      <c r="C22" s="2" t="s">
        <v>56</v>
      </c>
      <c r="D22" s="102">
        <v>21</v>
      </c>
      <c r="E22" s="146">
        <v>153</v>
      </c>
      <c r="F22" s="171">
        <v>7</v>
      </c>
      <c r="G22" s="171">
        <v>13</v>
      </c>
      <c r="H22" s="171">
        <v>15</v>
      </c>
      <c r="I22" s="171">
        <v>17</v>
      </c>
      <c r="J22" s="171">
        <v>18</v>
      </c>
      <c r="K22" s="171">
        <v>15</v>
      </c>
      <c r="L22" s="171">
        <v>4</v>
      </c>
      <c r="M22" s="171">
        <v>8</v>
      </c>
      <c r="N22" s="171">
        <v>39</v>
      </c>
      <c r="O22" s="171">
        <v>17</v>
      </c>
      <c r="P22" s="181"/>
      <c r="Q22" s="181"/>
      <c r="R22" s="3">
        <f t="shared" si="3"/>
        <v>153</v>
      </c>
      <c r="S22" s="11">
        <f t="shared" si="4"/>
        <v>15.3</v>
      </c>
      <c r="T22" s="10">
        <f t="shared" si="5"/>
        <v>0</v>
      </c>
      <c r="U22" s="78">
        <f t="shared" si="6"/>
        <v>0</v>
      </c>
      <c r="Y22" s="167"/>
    </row>
    <row r="23" spans="1:25" x14ac:dyDescent="0.2">
      <c r="A23">
        <v>22921</v>
      </c>
      <c r="B23" s="134">
        <v>2011</v>
      </c>
      <c r="C23" s="2" t="s">
        <v>22</v>
      </c>
      <c r="D23" s="102">
        <v>37</v>
      </c>
      <c r="E23" s="146">
        <v>328</v>
      </c>
      <c r="F23" s="180">
        <v>1</v>
      </c>
      <c r="G23" s="180">
        <v>0</v>
      </c>
      <c r="H23" s="180">
        <v>9</v>
      </c>
      <c r="I23" s="180">
        <v>0</v>
      </c>
      <c r="J23" s="171">
        <v>25</v>
      </c>
      <c r="K23" s="171">
        <v>65</v>
      </c>
      <c r="L23" s="171">
        <v>37</v>
      </c>
      <c r="M23" s="171">
        <v>20</v>
      </c>
      <c r="N23" s="171">
        <v>38</v>
      </c>
      <c r="O23" s="171">
        <v>44</v>
      </c>
      <c r="P23" s="171">
        <v>26</v>
      </c>
      <c r="Q23" s="171">
        <v>29</v>
      </c>
      <c r="R23" s="3">
        <f t="shared" si="3"/>
        <v>294</v>
      </c>
      <c r="S23" s="11">
        <f t="shared" si="4"/>
        <v>24.5</v>
      </c>
      <c r="T23" s="10">
        <f t="shared" si="5"/>
        <v>1.3877551020408163</v>
      </c>
      <c r="U23" s="78">
        <f t="shared" si="6"/>
        <v>34</v>
      </c>
      <c r="Y23" s="167"/>
    </row>
    <row r="24" spans="1:25" ht="15" x14ac:dyDescent="0.25">
      <c r="A24" s="186">
        <v>26415</v>
      </c>
      <c r="B24" s="134">
        <v>2011</v>
      </c>
      <c r="C24" s="2" t="s">
        <v>57</v>
      </c>
      <c r="D24" s="102">
        <v>13</v>
      </c>
      <c r="E24" s="146">
        <v>263</v>
      </c>
      <c r="F24" s="171">
        <v>8</v>
      </c>
      <c r="G24" s="171">
        <v>9</v>
      </c>
      <c r="H24" s="171">
        <v>9</v>
      </c>
      <c r="I24" s="171">
        <v>33</v>
      </c>
      <c r="J24" s="171">
        <v>5</v>
      </c>
      <c r="K24" s="171">
        <v>0</v>
      </c>
      <c r="L24" s="171">
        <v>17</v>
      </c>
      <c r="M24" s="171">
        <v>9</v>
      </c>
      <c r="N24" s="171">
        <v>53</v>
      </c>
      <c r="O24" s="171">
        <v>0</v>
      </c>
      <c r="P24" s="171">
        <v>0</v>
      </c>
      <c r="Q24" s="171">
        <v>4</v>
      </c>
      <c r="R24" s="3">
        <f t="shared" si="3"/>
        <v>147</v>
      </c>
      <c r="S24" s="11">
        <f t="shared" si="4"/>
        <v>12.25</v>
      </c>
      <c r="T24" s="10">
        <f t="shared" si="5"/>
        <v>9.4693877551020407</v>
      </c>
      <c r="U24" s="78">
        <f t="shared" si="6"/>
        <v>116</v>
      </c>
      <c r="Y24" s="167"/>
    </row>
    <row r="25" spans="1:25" x14ac:dyDescent="0.2">
      <c r="A25" s="162"/>
      <c r="B25" s="135"/>
      <c r="C25" s="46"/>
      <c r="D25" s="49"/>
      <c r="E25" s="170"/>
      <c r="F25" s="170"/>
      <c r="G25" s="170"/>
      <c r="H25" s="170"/>
      <c r="I25" s="170"/>
      <c r="J25" s="170"/>
      <c r="K25" s="170"/>
      <c r="L25" s="170"/>
      <c r="M25" s="170"/>
      <c r="N25" s="170"/>
      <c r="O25" s="170"/>
      <c r="P25" s="170"/>
      <c r="Q25" s="170"/>
      <c r="R25" s="46"/>
      <c r="S25" s="49"/>
      <c r="T25" s="133"/>
      <c r="U25" s="81"/>
      <c r="Y25" s="167"/>
    </row>
    <row r="26" spans="1:25" x14ac:dyDescent="0.2">
      <c r="A26" s="2">
        <v>11198</v>
      </c>
      <c r="B26" s="134">
        <v>2012</v>
      </c>
      <c r="C26" s="2" t="s">
        <v>58</v>
      </c>
      <c r="D26" s="102"/>
      <c r="E26" s="146">
        <v>70</v>
      </c>
      <c r="F26" s="171">
        <v>14</v>
      </c>
      <c r="G26" s="171">
        <v>20</v>
      </c>
      <c r="H26" s="171">
        <v>19</v>
      </c>
      <c r="I26" s="171">
        <v>17</v>
      </c>
      <c r="J26" s="181"/>
      <c r="K26" s="181"/>
      <c r="L26" s="181"/>
      <c r="M26" s="181"/>
      <c r="N26" s="181"/>
      <c r="O26" s="181"/>
      <c r="P26" s="181"/>
      <c r="Q26" s="181"/>
      <c r="R26" s="3">
        <f t="shared" si="3"/>
        <v>70</v>
      </c>
      <c r="S26" s="11">
        <f t="shared" si="4"/>
        <v>17.5</v>
      </c>
      <c r="T26" s="10">
        <f t="shared" si="5"/>
        <v>0</v>
      </c>
      <c r="U26" s="78">
        <f t="shared" si="6"/>
        <v>0</v>
      </c>
      <c r="Y26" s="167"/>
    </row>
    <row r="27" spans="1:25" x14ac:dyDescent="0.2">
      <c r="A27" s="2">
        <v>57632</v>
      </c>
      <c r="B27" s="134">
        <v>2012</v>
      </c>
      <c r="C27" s="114" t="s">
        <v>31</v>
      </c>
      <c r="D27" s="102"/>
      <c r="E27" s="146">
        <v>275</v>
      </c>
      <c r="F27" s="180">
        <v>20</v>
      </c>
      <c r="G27" s="180">
        <v>0</v>
      </c>
      <c r="H27" s="180">
        <v>2</v>
      </c>
      <c r="I27" s="180">
        <v>0</v>
      </c>
      <c r="J27" s="171">
        <v>16</v>
      </c>
      <c r="K27" s="171">
        <v>43</v>
      </c>
      <c r="L27" s="171">
        <v>39</v>
      </c>
      <c r="M27" s="171">
        <v>38</v>
      </c>
      <c r="N27" s="171">
        <v>87</v>
      </c>
      <c r="O27" s="171">
        <v>30</v>
      </c>
      <c r="P27" s="181"/>
      <c r="Q27" s="181"/>
      <c r="R27" s="3">
        <f t="shared" si="3"/>
        <v>275</v>
      </c>
      <c r="S27" s="11">
        <f t="shared" si="4"/>
        <v>27.5</v>
      </c>
      <c r="T27" s="10">
        <f t="shared" si="5"/>
        <v>0</v>
      </c>
      <c r="U27" s="78">
        <f t="shared" si="6"/>
        <v>0</v>
      </c>
      <c r="Y27" s="167"/>
    </row>
    <row r="28" spans="1:25" x14ac:dyDescent="0.2">
      <c r="A28">
        <v>57630</v>
      </c>
      <c r="B28" s="134">
        <v>2012</v>
      </c>
      <c r="C28" s="114" t="s">
        <v>25</v>
      </c>
      <c r="D28" s="102"/>
      <c r="E28" s="146">
        <v>334</v>
      </c>
      <c r="F28" s="180">
        <v>28</v>
      </c>
      <c r="G28" s="180">
        <v>2</v>
      </c>
      <c r="H28" s="180">
        <v>0</v>
      </c>
      <c r="I28" s="180">
        <v>8</v>
      </c>
      <c r="J28" s="180">
        <v>0</v>
      </c>
      <c r="K28" s="180">
        <v>8</v>
      </c>
      <c r="L28" s="180">
        <v>10</v>
      </c>
      <c r="M28" s="180">
        <v>3</v>
      </c>
      <c r="N28" s="180">
        <v>22</v>
      </c>
      <c r="O28" s="180">
        <v>10</v>
      </c>
      <c r="P28" s="180">
        <v>0</v>
      </c>
      <c r="Q28" s="180">
        <v>23</v>
      </c>
      <c r="R28" s="3">
        <f t="shared" si="3"/>
        <v>114</v>
      </c>
      <c r="S28" s="11">
        <f t="shared" si="4"/>
        <v>9.5</v>
      </c>
      <c r="T28" s="10">
        <f t="shared" si="5"/>
        <v>23.157894736842106</v>
      </c>
      <c r="U28" s="78">
        <f t="shared" si="6"/>
        <v>220</v>
      </c>
      <c r="V28" s="126" t="s">
        <v>35</v>
      </c>
      <c r="W28" s="126" t="s">
        <v>35</v>
      </c>
      <c r="Y28" s="167"/>
    </row>
    <row r="29" spans="1:25" x14ac:dyDescent="0.2">
      <c r="A29">
        <v>22384</v>
      </c>
      <c r="B29" s="134">
        <v>2012</v>
      </c>
      <c r="C29" s="114" t="s">
        <v>26</v>
      </c>
      <c r="D29" s="102"/>
      <c r="E29" s="146">
        <v>395</v>
      </c>
      <c r="F29" s="180">
        <v>22</v>
      </c>
      <c r="G29" s="180">
        <v>0</v>
      </c>
      <c r="H29" s="180">
        <v>0</v>
      </c>
      <c r="I29" s="180">
        <v>0</v>
      </c>
      <c r="J29" s="180">
        <v>0</v>
      </c>
      <c r="K29" s="180">
        <v>0</v>
      </c>
      <c r="L29" s="180">
        <v>0</v>
      </c>
      <c r="M29" s="180">
        <v>0</v>
      </c>
      <c r="N29" s="180">
        <v>26</v>
      </c>
      <c r="O29" s="180">
        <v>0</v>
      </c>
      <c r="P29" s="180">
        <v>30</v>
      </c>
      <c r="Q29" s="180">
        <v>2</v>
      </c>
      <c r="R29" s="3">
        <f t="shared" si="3"/>
        <v>80</v>
      </c>
      <c r="S29" s="11">
        <f t="shared" si="4"/>
        <v>6.666666666666667</v>
      </c>
      <c r="T29" s="10">
        <f t="shared" si="5"/>
        <v>47.25</v>
      </c>
      <c r="U29" s="78">
        <f t="shared" si="6"/>
        <v>315</v>
      </c>
      <c r="Y29" s="167"/>
    </row>
    <row r="30" spans="1:25" x14ac:dyDescent="0.2">
      <c r="A30">
        <v>22382</v>
      </c>
      <c r="B30" s="134">
        <v>2012</v>
      </c>
      <c r="C30" s="114" t="s">
        <v>23</v>
      </c>
      <c r="D30" s="102"/>
      <c r="E30" s="146">
        <v>409</v>
      </c>
      <c r="F30" s="180">
        <v>23</v>
      </c>
      <c r="G30" s="180">
        <v>1</v>
      </c>
      <c r="H30" s="180">
        <v>2</v>
      </c>
      <c r="I30" s="180">
        <v>0</v>
      </c>
      <c r="J30" s="180">
        <v>0</v>
      </c>
      <c r="K30" s="180">
        <v>4</v>
      </c>
      <c r="L30" s="180">
        <v>0</v>
      </c>
      <c r="M30" s="180">
        <v>4</v>
      </c>
      <c r="N30" s="180">
        <v>0</v>
      </c>
      <c r="O30" s="145">
        <v>39</v>
      </c>
      <c r="P30" s="145">
        <v>32</v>
      </c>
      <c r="Q30" s="145">
        <v>19</v>
      </c>
      <c r="R30" s="3">
        <f t="shared" si="3"/>
        <v>124</v>
      </c>
      <c r="S30" s="11">
        <f t="shared" si="4"/>
        <v>10.333333333333334</v>
      </c>
      <c r="T30" s="10">
        <f t="shared" si="5"/>
        <v>27.58064516129032</v>
      </c>
      <c r="U30" s="78">
        <f t="shared" si="6"/>
        <v>285</v>
      </c>
      <c r="Y30" s="167"/>
    </row>
    <row r="31" spans="1:25" x14ac:dyDescent="0.2">
      <c r="A31">
        <v>27736</v>
      </c>
      <c r="B31" s="134">
        <v>2012</v>
      </c>
      <c r="C31" s="114" t="s">
        <v>56</v>
      </c>
      <c r="D31" s="102"/>
      <c r="E31" s="146">
        <v>292</v>
      </c>
      <c r="F31" s="180">
        <v>1</v>
      </c>
      <c r="G31" s="180">
        <v>6</v>
      </c>
      <c r="H31" s="180">
        <v>0</v>
      </c>
      <c r="I31" s="180">
        <v>0</v>
      </c>
      <c r="J31" s="180">
        <v>0</v>
      </c>
      <c r="K31" s="180">
        <v>0</v>
      </c>
      <c r="L31" s="180">
        <v>5</v>
      </c>
      <c r="M31" s="180">
        <v>4</v>
      </c>
      <c r="N31" s="180">
        <v>8</v>
      </c>
      <c r="O31" s="180">
        <v>8</v>
      </c>
      <c r="P31" s="171">
        <v>19</v>
      </c>
      <c r="Q31" s="171">
        <v>18</v>
      </c>
      <c r="R31" s="3">
        <f>SUM(F31:Q31)</f>
        <v>69</v>
      </c>
      <c r="S31" s="11">
        <f t="shared" si="4"/>
        <v>5.75</v>
      </c>
      <c r="T31" s="10">
        <f t="shared" si="5"/>
        <v>38.782608695652172</v>
      </c>
      <c r="U31" s="78">
        <f t="shared" si="6"/>
        <v>223</v>
      </c>
      <c r="Y31" s="167"/>
    </row>
    <row r="32" spans="1:25" x14ac:dyDescent="0.2">
      <c r="A32">
        <v>28361</v>
      </c>
      <c r="B32" s="134">
        <v>2012</v>
      </c>
      <c r="C32" s="114" t="s">
        <v>24</v>
      </c>
      <c r="D32" s="102"/>
      <c r="E32" s="146">
        <v>497</v>
      </c>
      <c r="F32" s="180">
        <v>28</v>
      </c>
      <c r="G32" s="180">
        <v>1</v>
      </c>
      <c r="H32" s="180">
        <v>0</v>
      </c>
      <c r="I32" s="180">
        <v>0</v>
      </c>
      <c r="J32" s="180">
        <v>0</v>
      </c>
      <c r="K32" s="180">
        <v>10</v>
      </c>
      <c r="L32" s="180">
        <v>7</v>
      </c>
      <c r="M32" s="180">
        <v>0</v>
      </c>
      <c r="N32" s="180">
        <v>0</v>
      </c>
      <c r="O32" s="180">
        <v>17</v>
      </c>
      <c r="P32" s="145">
        <v>9</v>
      </c>
      <c r="Q32" s="145">
        <v>19</v>
      </c>
      <c r="R32" s="3">
        <f>SUM(F32:Q32)</f>
        <v>91</v>
      </c>
      <c r="S32" s="11">
        <f>AVERAGE(F32:Q32)</f>
        <v>7.583333333333333</v>
      </c>
      <c r="T32" s="10">
        <f>U32/S32</f>
        <v>53.53846153846154</v>
      </c>
      <c r="U32" s="78">
        <f>SUM(E32-R32)</f>
        <v>406</v>
      </c>
      <c r="Y32" s="167"/>
    </row>
    <row r="33" spans="1:25" x14ac:dyDescent="0.2">
      <c r="A33">
        <v>22921</v>
      </c>
      <c r="B33" s="134">
        <v>2012</v>
      </c>
      <c r="C33" s="114" t="s">
        <v>22</v>
      </c>
      <c r="D33" s="102"/>
      <c r="E33" s="146">
        <v>579</v>
      </c>
      <c r="F33" s="180">
        <v>1</v>
      </c>
      <c r="G33" s="180">
        <v>4</v>
      </c>
      <c r="H33" s="180">
        <v>0</v>
      </c>
      <c r="I33" s="180">
        <v>0</v>
      </c>
      <c r="J33" s="180">
        <v>0</v>
      </c>
      <c r="K33" s="180">
        <v>23</v>
      </c>
      <c r="L33" s="180">
        <v>15</v>
      </c>
      <c r="M33" s="180">
        <v>6</v>
      </c>
      <c r="N33" s="180">
        <v>22</v>
      </c>
      <c r="O33" s="180">
        <v>55</v>
      </c>
      <c r="P33" s="171">
        <v>8</v>
      </c>
      <c r="Q33" s="171">
        <v>20</v>
      </c>
      <c r="R33" s="3">
        <f>SUM(F33:Q33)</f>
        <v>154</v>
      </c>
      <c r="S33" s="11">
        <f>AVERAGE(F33:Q33)</f>
        <v>12.833333333333334</v>
      </c>
      <c r="T33" s="10">
        <f>U33/S33</f>
        <v>33.116883116883116</v>
      </c>
      <c r="U33" s="78">
        <f>SUM(E33-R33)</f>
        <v>425</v>
      </c>
      <c r="Y33" s="167"/>
    </row>
    <row r="34" spans="1:25" x14ac:dyDescent="0.2">
      <c r="A34" s="2">
        <v>34641</v>
      </c>
      <c r="B34" s="134">
        <v>2012</v>
      </c>
      <c r="C34" s="114" t="s">
        <v>21</v>
      </c>
      <c r="D34" s="102"/>
      <c r="E34" s="146">
        <v>294</v>
      </c>
      <c r="F34" s="180">
        <v>4</v>
      </c>
      <c r="G34" s="180">
        <v>0</v>
      </c>
      <c r="H34" s="180">
        <v>10</v>
      </c>
      <c r="I34" s="180">
        <v>0</v>
      </c>
      <c r="J34" s="180">
        <v>0</v>
      </c>
      <c r="K34" s="180">
        <v>7</v>
      </c>
      <c r="L34" s="180">
        <v>17</v>
      </c>
      <c r="M34" s="180">
        <v>0</v>
      </c>
      <c r="N34" s="180">
        <v>6</v>
      </c>
      <c r="O34" s="180">
        <v>0</v>
      </c>
      <c r="P34" s="180">
        <v>11</v>
      </c>
      <c r="Q34" s="145">
        <v>33</v>
      </c>
      <c r="R34" s="3">
        <f>SUM(F34:Q34)</f>
        <v>88</v>
      </c>
      <c r="S34" s="11">
        <f>AVERAGE(F34:Q34)</f>
        <v>7.333333333333333</v>
      </c>
      <c r="T34" s="10">
        <f>U34/S34</f>
        <v>28.090909090909093</v>
      </c>
      <c r="U34" s="78">
        <f>SUM(E34-R34)</f>
        <v>206</v>
      </c>
      <c r="Y34" s="167"/>
    </row>
    <row r="35" spans="1:25" x14ac:dyDescent="0.2">
      <c r="A35" s="2">
        <v>30306</v>
      </c>
      <c r="B35" s="134">
        <v>2012</v>
      </c>
      <c r="C35" s="114" t="s">
        <v>84</v>
      </c>
      <c r="D35" s="102"/>
      <c r="E35" s="146">
        <v>41</v>
      </c>
      <c r="F35" s="171">
        <v>11</v>
      </c>
      <c r="G35" s="171">
        <v>9</v>
      </c>
      <c r="H35" s="171">
        <v>9</v>
      </c>
      <c r="I35" s="171">
        <v>5</v>
      </c>
      <c r="J35" s="171">
        <v>7</v>
      </c>
      <c r="K35" s="181"/>
      <c r="L35" s="181"/>
      <c r="M35" s="181"/>
      <c r="N35" s="181"/>
      <c r="O35" s="181"/>
      <c r="P35" s="181"/>
      <c r="Q35" s="181"/>
      <c r="R35" s="3">
        <f>SUM(F35:Q35)</f>
        <v>41</v>
      </c>
      <c r="S35" s="11">
        <f>AVERAGE(F35:Q35)</f>
        <v>8.1999999999999993</v>
      </c>
      <c r="T35" s="10">
        <f>U35/S35</f>
        <v>0</v>
      </c>
      <c r="U35" s="78">
        <f>SUM(E35-R35)</f>
        <v>0</v>
      </c>
      <c r="Y35" s="167"/>
    </row>
    <row r="36" spans="1:25" x14ac:dyDescent="0.2">
      <c r="A36" s="2"/>
      <c r="B36" s="134"/>
      <c r="C36" s="2" t="s">
        <v>87</v>
      </c>
      <c r="D36" s="102"/>
      <c r="E36" s="146">
        <v>15</v>
      </c>
      <c r="F36" s="145">
        <v>11</v>
      </c>
      <c r="G36" s="145">
        <v>1</v>
      </c>
      <c r="H36" s="145">
        <v>1</v>
      </c>
      <c r="I36" s="145">
        <v>0</v>
      </c>
      <c r="J36" s="145">
        <v>0</v>
      </c>
      <c r="K36" s="181"/>
      <c r="L36" s="181"/>
      <c r="M36" s="181"/>
      <c r="N36" s="181"/>
      <c r="O36" s="181"/>
      <c r="P36" s="181"/>
      <c r="Q36" s="181"/>
      <c r="R36" s="3">
        <f t="shared" si="3"/>
        <v>13</v>
      </c>
      <c r="S36" s="11">
        <f t="shared" si="4"/>
        <v>2.6</v>
      </c>
      <c r="T36" s="10">
        <f t="shared" si="5"/>
        <v>0</v>
      </c>
      <c r="U36" s="182">
        <v>0</v>
      </c>
      <c r="Y36" s="167"/>
    </row>
    <row r="37" spans="1:25" x14ac:dyDescent="0.2">
      <c r="A37" s="162"/>
      <c r="B37" s="162"/>
      <c r="C37" s="162"/>
      <c r="D37" s="162"/>
      <c r="E37" s="162"/>
      <c r="F37" s="162"/>
      <c r="G37" s="162"/>
      <c r="H37" s="162"/>
      <c r="I37" s="162"/>
      <c r="J37" s="162"/>
      <c r="K37" s="162"/>
      <c r="L37" s="162"/>
      <c r="M37" s="162"/>
      <c r="N37" s="162"/>
      <c r="O37" s="162"/>
      <c r="P37" s="162"/>
      <c r="Q37" s="162"/>
      <c r="R37" s="162"/>
      <c r="S37" s="162"/>
      <c r="T37" s="162"/>
      <c r="U37" s="162"/>
      <c r="Y37" s="167"/>
    </row>
    <row r="38" spans="1:25" x14ac:dyDescent="0.2">
      <c r="A38" s="2">
        <v>11198</v>
      </c>
      <c r="B38" s="134">
        <v>2013</v>
      </c>
      <c r="C38" s="2" t="s">
        <v>46</v>
      </c>
      <c r="D38" s="102"/>
      <c r="E38" s="146">
        <v>342</v>
      </c>
      <c r="F38" s="180"/>
      <c r="G38" s="180"/>
      <c r="H38" s="180">
        <v>1</v>
      </c>
      <c r="I38" s="171">
        <v>25</v>
      </c>
      <c r="J38" s="171">
        <v>56</v>
      </c>
      <c r="K38" s="171">
        <v>35</v>
      </c>
      <c r="L38" s="171">
        <v>48</v>
      </c>
      <c r="M38" s="171">
        <v>19</v>
      </c>
      <c r="N38" s="171">
        <v>40</v>
      </c>
      <c r="O38" s="171">
        <v>31</v>
      </c>
      <c r="P38" s="171">
        <v>23</v>
      </c>
      <c r="Q38" s="171">
        <v>16</v>
      </c>
      <c r="R38" s="3">
        <f t="shared" ref="R38:R45" si="7">SUM(F38:Q38)</f>
        <v>294</v>
      </c>
      <c r="S38" s="11">
        <f t="shared" ref="S38:S45" si="8">AVERAGE(F38:Q38)</f>
        <v>29.4</v>
      </c>
      <c r="T38" s="10">
        <f t="shared" ref="T38:T45" si="9">U38/S38</f>
        <v>1.6326530612244898</v>
      </c>
      <c r="U38" s="78">
        <f t="shared" ref="U38:U45" si="10">SUM(E38-R38)</f>
        <v>48</v>
      </c>
      <c r="Y38" s="167"/>
    </row>
    <row r="39" spans="1:25" x14ac:dyDescent="0.2">
      <c r="A39" s="2">
        <v>57631</v>
      </c>
      <c r="B39" s="134">
        <v>2013</v>
      </c>
      <c r="C39" s="2" t="s">
        <v>33</v>
      </c>
      <c r="D39" s="102"/>
      <c r="E39" s="146">
        <v>358</v>
      </c>
      <c r="F39" s="180"/>
      <c r="G39" s="180"/>
      <c r="H39" s="180">
        <v>1</v>
      </c>
      <c r="I39" s="171">
        <v>60</v>
      </c>
      <c r="J39" s="171">
        <v>68</v>
      </c>
      <c r="K39" s="171">
        <v>35</v>
      </c>
      <c r="L39" s="171">
        <v>48</v>
      </c>
      <c r="M39" s="171">
        <v>24</v>
      </c>
      <c r="N39" s="171">
        <v>38</v>
      </c>
      <c r="O39" s="171">
        <v>35</v>
      </c>
      <c r="P39" s="171">
        <v>23</v>
      </c>
      <c r="Q39" s="171">
        <v>17</v>
      </c>
      <c r="R39" s="3">
        <f t="shared" si="7"/>
        <v>349</v>
      </c>
      <c r="S39" s="11">
        <f t="shared" si="8"/>
        <v>34.9</v>
      </c>
      <c r="T39" s="10">
        <f t="shared" si="9"/>
        <v>0.25787965616045844</v>
      </c>
      <c r="U39" s="78">
        <f t="shared" si="10"/>
        <v>9</v>
      </c>
      <c r="Y39" s="167"/>
    </row>
    <row r="40" spans="1:25" x14ac:dyDescent="0.2">
      <c r="A40" s="2">
        <v>57632</v>
      </c>
      <c r="B40" s="134">
        <v>2013</v>
      </c>
      <c r="C40" s="2" t="s">
        <v>31</v>
      </c>
      <c r="D40" s="102"/>
      <c r="E40" s="146">
        <v>589</v>
      </c>
      <c r="F40" s="180"/>
      <c r="G40" s="180"/>
      <c r="H40" s="180"/>
      <c r="I40" s="180"/>
      <c r="J40" s="180">
        <v>1</v>
      </c>
      <c r="K40" s="180"/>
      <c r="L40" s="180">
        <v>22</v>
      </c>
      <c r="M40" s="180">
        <v>9</v>
      </c>
      <c r="N40" s="180">
        <v>9</v>
      </c>
      <c r="O40" s="180">
        <v>30</v>
      </c>
      <c r="P40" s="171">
        <v>76</v>
      </c>
      <c r="Q40" s="171">
        <v>19</v>
      </c>
      <c r="R40" s="3">
        <f t="shared" si="7"/>
        <v>166</v>
      </c>
      <c r="S40" s="11">
        <f t="shared" si="8"/>
        <v>23.714285714285715</v>
      </c>
      <c r="T40" s="10">
        <f t="shared" si="9"/>
        <v>17.837349397590362</v>
      </c>
      <c r="U40" s="78">
        <f t="shared" si="10"/>
        <v>423</v>
      </c>
      <c r="Y40" s="167"/>
    </row>
    <row r="41" spans="1:25" x14ac:dyDescent="0.2">
      <c r="A41" s="2">
        <v>57630</v>
      </c>
      <c r="B41" s="134">
        <v>2013</v>
      </c>
      <c r="C41" s="2" t="s">
        <v>25</v>
      </c>
      <c r="D41" s="102"/>
      <c r="E41" s="146">
        <v>608</v>
      </c>
      <c r="F41" s="180"/>
      <c r="G41" s="180"/>
      <c r="H41" s="180"/>
      <c r="I41" s="180"/>
      <c r="J41" s="180"/>
      <c r="K41" s="180">
        <v>1</v>
      </c>
      <c r="L41" s="180">
        <v>5</v>
      </c>
      <c r="M41" s="180">
        <v>0</v>
      </c>
      <c r="N41" s="180">
        <v>22</v>
      </c>
      <c r="O41" s="180">
        <v>2</v>
      </c>
      <c r="P41" s="180">
        <v>12</v>
      </c>
      <c r="Q41" s="180">
        <v>10</v>
      </c>
      <c r="R41" s="3">
        <f t="shared" si="7"/>
        <v>52</v>
      </c>
      <c r="S41" s="11">
        <f t="shared" si="8"/>
        <v>7.4285714285714288</v>
      </c>
      <c r="T41" s="10">
        <f t="shared" si="9"/>
        <v>74.84615384615384</v>
      </c>
      <c r="U41" s="78">
        <f t="shared" si="10"/>
        <v>556</v>
      </c>
      <c r="Y41" s="167"/>
    </row>
    <row r="42" spans="1:25" x14ac:dyDescent="0.2">
      <c r="A42" s="2">
        <v>22382</v>
      </c>
      <c r="B42" s="134">
        <v>2013</v>
      </c>
      <c r="C42" s="2" t="s">
        <v>23</v>
      </c>
      <c r="D42" s="102"/>
      <c r="E42" s="146">
        <v>343</v>
      </c>
      <c r="F42" s="180"/>
      <c r="G42" s="180"/>
      <c r="H42" s="180"/>
      <c r="I42" s="180"/>
      <c r="J42" s="180"/>
      <c r="K42" s="180"/>
      <c r="L42" s="180">
        <v>1</v>
      </c>
      <c r="M42" s="180">
        <v>0</v>
      </c>
      <c r="N42" s="180">
        <v>9</v>
      </c>
      <c r="O42" s="180">
        <v>9</v>
      </c>
      <c r="P42" s="180">
        <v>12</v>
      </c>
      <c r="Q42" s="180">
        <v>9</v>
      </c>
      <c r="R42" s="3">
        <f t="shared" si="7"/>
        <v>40</v>
      </c>
      <c r="S42" s="11">
        <f t="shared" si="8"/>
        <v>6.666666666666667</v>
      </c>
      <c r="T42" s="10">
        <f t="shared" si="9"/>
        <v>45.449999999999996</v>
      </c>
      <c r="U42" s="78">
        <f t="shared" si="10"/>
        <v>303</v>
      </c>
      <c r="Y42" s="167"/>
    </row>
    <row r="43" spans="1:25" x14ac:dyDescent="0.2">
      <c r="A43" s="2"/>
      <c r="B43" s="134">
        <v>2013</v>
      </c>
      <c r="C43" s="2" t="s">
        <v>93</v>
      </c>
      <c r="D43" s="102"/>
      <c r="E43" s="146">
        <v>280</v>
      </c>
      <c r="F43" s="180"/>
      <c r="G43" s="180"/>
      <c r="H43" s="180"/>
      <c r="I43" s="180"/>
      <c r="J43" s="180"/>
      <c r="K43" s="180"/>
      <c r="L43" s="180"/>
      <c r="M43" s="180">
        <v>1</v>
      </c>
      <c r="N43" s="180">
        <v>24</v>
      </c>
      <c r="O43" s="180">
        <v>13</v>
      </c>
      <c r="P43" s="180">
        <v>11</v>
      </c>
      <c r="Q43" s="180">
        <v>29</v>
      </c>
      <c r="R43" s="3">
        <f t="shared" si="7"/>
        <v>78</v>
      </c>
      <c r="S43" s="11">
        <f t="shared" si="8"/>
        <v>15.6</v>
      </c>
      <c r="T43" s="10">
        <f t="shared" si="9"/>
        <v>12.948717948717949</v>
      </c>
      <c r="U43" s="78">
        <f t="shared" si="10"/>
        <v>202</v>
      </c>
      <c r="Y43" s="167"/>
    </row>
    <row r="44" spans="1:25" x14ac:dyDescent="0.2">
      <c r="A44" s="2">
        <v>22384</v>
      </c>
      <c r="B44" s="134">
        <v>2013</v>
      </c>
      <c r="C44" s="2" t="s">
        <v>26</v>
      </c>
      <c r="D44" s="102"/>
      <c r="E44" s="146">
        <v>290</v>
      </c>
      <c r="F44" s="180"/>
      <c r="G44" s="180"/>
      <c r="H44" s="180"/>
      <c r="I44" s="180"/>
      <c r="J44" s="180"/>
      <c r="K44" s="180"/>
      <c r="L44" s="180">
        <v>1</v>
      </c>
      <c r="M44" s="180">
        <v>0</v>
      </c>
      <c r="N44" s="180">
        <v>9</v>
      </c>
      <c r="O44" s="180">
        <v>11</v>
      </c>
      <c r="P44" s="180">
        <v>13</v>
      </c>
      <c r="Q44" s="180">
        <v>0</v>
      </c>
      <c r="R44" s="3">
        <f t="shared" si="7"/>
        <v>34</v>
      </c>
      <c r="S44" s="11">
        <f t="shared" si="8"/>
        <v>5.666666666666667</v>
      </c>
      <c r="T44" s="10">
        <f t="shared" si="9"/>
        <v>45.17647058823529</v>
      </c>
      <c r="U44" s="78">
        <f t="shared" si="10"/>
        <v>256</v>
      </c>
      <c r="Y44" s="167"/>
    </row>
    <row r="45" spans="1:25" x14ac:dyDescent="0.2">
      <c r="A45" s="2">
        <v>27736</v>
      </c>
      <c r="B45" s="134">
        <v>2013</v>
      </c>
      <c r="C45" s="2" t="s">
        <v>56</v>
      </c>
      <c r="D45" s="102"/>
      <c r="E45" s="146">
        <v>395</v>
      </c>
      <c r="F45" s="180"/>
      <c r="G45" s="180"/>
      <c r="H45" s="180"/>
      <c r="I45" s="180"/>
      <c r="J45" s="180"/>
      <c r="K45" s="180"/>
      <c r="L45" s="180"/>
      <c r="M45" s="180">
        <v>1</v>
      </c>
      <c r="N45" s="180">
        <v>19</v>
      </c>
      <c r="O45" s="180">
        <v>9</v>
      </c>
      <c r="P45" s="180">
        <v>2</v>
      </c>
      <c r="Q45" s="180">
        <v>13</v>
      </c>
      <c r="R45" s="3">
        <f t="shared" si="7"/>
        <v>44</v>
      </c>
      <c r="S45" s="11">
        <f t="shared" si="8"/>
        <v>8.8000000000000007</v>
      </c>
      <c r="T45" s="10">
        <f t="shared" si="9"/>
        <v>39.886363636363633</v>
      </c>
      <c r="U45" s="78">
        <f t="shared" si="10"/>
        <v>351</v>
      </c>
      <c r="Y45" s="167"/>
    </row>
    <row r="46" spans="1:25" x14ac:dyDescent="0.2">
      <c r="A46" s="2">
        <v>28361</v>
      </c>
      <c r="B46" s="134">
        <v>2013</v>
      </c>
      <c r="C46" s="2" t="s">
        <v>24</v>
      </c>
      <c r="D46" s="102"/>
      <c r="E46" s="146">
        <v>282</v>
      </c>
      <c r="F46" s="180"/>
      <c r="G46" s="180"/>
      <c r="H46" s="180"/>
      <c r="I46" s="180"/>
      <c r="J46" s="180"/>
      <c r="K46" s="180"/>
      <c r="L46" s="180"/>
      <c r="M46" s="180"/>
      <c r="N46" s="180"/>
      <c r="O46" s="180"/>
      <c r="P46" s="180"/>
      <c r="Q46" s="180">
        <v>1</v>
      </c>
      <c r="R46" s="3">
        <f>SUM(F46:Q46)</f>
        <v>1</v>
      </c>
      <c r="S46" s="11">
        <f>AVERAGE(F46:Q46)</f>
        <v>1</v>
      </c>
      <c r="T46" s="10">
        <f>U46/S46</f>
        <v>281</v>
      </c>
      <c r="U46" s="78">
        <f>SUM(E46-R46)</f>
        <v>281</v>
      </c>
      <c r="Y46" s="167"/>
    </row>
    <row r="47" spans="1:25" x14ac:dyDescent="0.2">
      <c r="A47" s="2">
        <v>22921</v>
      </c>
      <c r="B47" s="134">
        <v>2013</v>
      </c>
      <c r="C47" s="2" t="s">
        <v>22</v>
      </c>
      <c r="D47" s="102"/>
      <c r="E47" s="146">
        <v>717</v>
      </c>
      <c r="F47" s="180"/>
      <c r="G47" s="180"/>
      <c r="H47" s="180"/>
      <c r="I47" s="180"/>
      <c r="J47" s="180"/>
      <c r="K47" s="180"/>
      <c r="L47" s="180"/>
      <c r="M47" s="180"/>
      <c r="N47" s="180"/>
      <c r="O47" s="180"/>
      <c r="P47" s="180"/>
      <c r="Q47" s="180">
        <v>1</v>
      </c>
      <c r="R47" s="3">
        <f>SUM(F47:Q47)</f>
        <v>1</v>
      </c>
      <c r="S47" s="11">
        <f>AVERAGE(F47:Q47)</f>
        <v>1</v>
      </c>
      <c r="T47" s="10">
        <f>U47/S47</f>
        <v>716</v>
      </c>
      <c r="U47" s="78">
        <f>SUM(E47-R47)</f>
        <v>716</v>
      </c>
      <c r="Y47" s="167"/>
    </row>
    <row r="48" spans="1:25" x14ac:dyDescent="0.2">
      <c r="A48" s="2">
        <v>34641</v>
      </c>
      <c r="B48" s="134">
        <v>2013</v>
      </c>
      <c r="C48" s="2" t="s">
        <v>52</v>
      </c>
      <c r="D48" s="102"/>
      <c r="E48" s="146">
        <v>427</v>
      </c>
      <c r="F48" s="180"/>
      <c r="G48" s="180"/>
      <c r="H48" s="180"/>
      <c r="I48" s="180"/>
      <c r="J48" s="180"/>
      <c r="K48" s="180"/>
      <c r="L48" s="180"/>
      <c r="M48" s="180"/>
      <c r="N48" s="180"/>
      <c r="O48" s="180"/>
      <c r="P48" s="180"/>
      <c r="Q48" s="180">
        <v>1</v>
      </c>
      <c r="R48" s="3">
        <f>SUM(F48:Q48)</f>
        <v>1</v>
      </c>
      <c r="S48" s="11">
        <f>AVERAGE(F48:Q48)</f>
        <v>1</v>
      </c>
      <c r="T48" s="10">
        <f>U48/S48</f>
        <v>426</v>
      </c>
      <c r="U48" s="78">
        <f>SUM(E48-R48)</f>
        <v>426</v>
      </c>
      <c r="Y48" s="167"/>
    </row>
    <row r="49" spans="1:25" x14ac:dyDescent="0.2">
      <c r="A49" s="2"/>
      <c r="B49" s="134">
        <v>2013</v>
      </c>
      <c r="C49" s="2" t="s">
        <v>94</v>
      </c>
      <c r="D49" s="102"/>
      <c r="E49" s="146">
        <v>134</v>
      </c>
      <c r="F49" s="180"/>
      <c r="G49" s="180"/>
      <c r="H49" s="180"/>
      <c r="I49" s="180"/>
      <c r="J49" s="180"/>
      <c r="K49" s="180"/>
      <c r="L49" s="180"/>
      <c r="M49" s="180"/>
      <c r="N49" s="180"/>
      <c r="O49" s="180"/>
      <c r="P49" s="180"/>
      <c r="Q49" s="180">
        <v>1</v>
      </c>
      <c r="R49" s="3">
        <f>SUM(F49:Q49)</f>
        <v>1</v>
      </c>
      <c r="S49" s="11">
        <f>AVERAGE(F49:Q49)</f>
        <v>1</v>
      </c>
      <c r="T49" s="10">
        <f>U49/S49</f>
        <v>133</v>
      </c>
      <c r="U49" s="78">
        <f>SUM(E49-R49)</f>
        <v>133</v>
      </c>
      <c r="Y49" s="167"/>
    </row>
    <row r="50" spans="1:25" x14ac:dyDescent="0.2">
      <c r="A50" s="2"/>
      <c r="B50" s="134">
        <v>2013</v>
      </c>
      <c r="C50" s="2" t="s">
        <v>95</v>
      </c>
      <c r="D50" s="102"/>
      <c r="E50" s="146">
        <v>69</v>
      </c>
      <c r="F50" s="180"/>
      <c r="G50" s="180"/>
      <c r="H50" s="180"/>
      <c r="I50" s="180"/>
      <c r="J50" s="180"/>
      <c r="K50" s="180"/>
      <c r="L50" s="180"/>
      <c r="M50" s="180"/>
      <c r="N50" s="180"/>
      <c r="O50" s="180"/>
      <c r="P50" s="180"/>
      <c r="Q50" s="180">
        <v>1</v>
      </c>
      <c r="R50" s="3">
        <f>SUM(F50:Q50)</f>
        <v>1</v>
      </c>
      <c r="S50" s="11">
        <f>AVERAGE(F50:Q50)</f>
        <v>1</v>
      </c>
      <c r="T50" s="10">
        <f>U50/S50</f>
        <v>68</v>
      </c>
      <c r="U50" s="78">
        <f>SUM(E50-R50)</f>
        <v>68</v>
      </c>
      <c r="Y50" s="167"/>
    </row>
    <row r="51" spans="1:25" x14ac:dyDescent="0.2">
      <c r="A51" s="162"/>
      <c r="B51" s="135"/>
      <c r="C51" s="46"/>
      <c r="D51" s="49"/>
      <c r="E51" s="170"/>
      <c r="F51" s="170"/>
      <c r="G51" s="170"/>
      <c r="H51" s="170"/>
      <c r="I51" s="170"/>
      <c r="J51" s="170"/>
      <c r="K51" s="170"/>
      <c r="L51" s="170"/>
      <c r="M51" s="170"/>
      <c r="N51" s="170"/>
      <c r="O51" s="170"/>
      <c r="P51" s="170"/>
      <c r="Q51" s="170"/>
      <c r="R51" s="46"/>
      <c r="S51" s="49"/>
      <c r="T51" s="133"/>
      <c r="U51" s="81"/>
    </row>
    <row r="52" spans="1:25" x14ac:dyDescent="0.2">
      <c r="A52" s="2"/>
      <c r="B52" s="158">
        <v>2010</v>
      </c>
      <c r="C52" s="16"/>
      <c r="D52" s="139"/>
      <c r="E52" s="93">
        <f t="shared" ref="E52:R52" si="11">SUM(E10:E15)</f>
        <v>702</v>
      </c>
      <c r="F52" s="93">
        <f t="shared" si="11"/>
        <v>103</v>
      </c>
      <c r="G52" s="93">
        <f t="shared" si="11"/>
        <v>133</v>
      </c>
      <c r="H52" s="93">
        <f t="shared" si="11"/>
        <v>63</v>
      </c>
      <c r="I52" s="93">
        <f t="shared" si="11"/>
        <v>54</v>
      </c>
      <c r="J52" s="93">
        <f t="shared" si="11"/>
        <v>62</v>
      </c>
      <c r="K52" s="93">
        <f t="shared" si="11"/>
        <v>95</v>
      </c>
      <c r="L52" s="93">
        <f t="shared" si="11"/>
        <v>51</v>
      </c>
      <c r="M52" s="93">
        <f t="shared" si="11"/>
        <v>41</v>
      </c>
      <c r="N52" s="93">
        <f t="shared" si="11"/>
        <v>28</v>
      </c>
      <c r="O52" s="93">
        <f t="shared" si="11"/>
        <v>48</v>
      </c>
      <c r="P52" s="93">
        <f t="shared" si="11"/>
        <v>0</v>
      </c>
      <c r="Q52" s="93">
        <f t="shared" si="11"/>
        <v>0</v>
      </c>
      <c r="R52" s="18">
        <f t="shared" si="11"/>
        <v>678</v>
      </c>
      <c r="S52" s="18">
        <f>AVERAGE(F52:Q52)</f>
        <v>56.5</v>
      </c>
      <c r="T52" s="20">
        <f>U52/S52</f>
        <v>0</v>
      </c>
      <c r="U52" s="54">
        <f>SUM(U10:U15)</f>
        <v>0</v>
      </c>
    </row>
    <row r="53" spans="1:25" x14ac:dyDescent="0.2">
      <c r="A53" s="2"/>
      <c r="B53" s="158">
        <v>2011</v>
      </c>
      <c r="C53" s="16"/>
      <c r="D53" s="139"/>
      <c r="E53" s="93">
        <f t="shared" ref="E53:R53" si="12">SUM(E17:E24)</f>
        <v>1891</v>
      </c>
      <c r="F53" s="93">
        <f t="shared" si="12"/>
        <v>44</v>
      </c>
      <c r="G53" s="93">
        <f t="shared" si="12"/>
        <v>87</v>
      </c>
      <c r="H53" s="93">
        <f t="shared" si="12"/>
        <v>110</v>
      </c>
      <c r="I53" s="93">
        <f t="shared" si="12"/>
        <v>147</v>
      </c>
      <c r="J53" s="93">
        <f t="shared" si="12"/>
        <v>172</v>
      </c>
      <c r="K53" s="93">
        <f t="shared" si="12"/>
        <v>148</v>
      </c>
      <c r="L53" s="93">
        <f t="shared" si="12"/>
        <v>154</v>
      </c>
      <c r="M53" s="93">
        <f t="shared" si="12"/>
        <v>90</v>
      </c>
      <c r="N53" s="93">
        <f t="shared" si="12"/>
        <v>318</v>
      </c>
      <c r="O53" s="93">
        <f t="shared" si="12"/>
        <v>144</v>
      </c>
      <c r="P53" s="93">
        <f t="shared" si="12"/>
        <v>131</v>
      </c>
      <c r="Q53" s="93">
        <f t="shared" si="12"/>
        <v>70</v>
      </c>
      <c r="R53" s="18">
        <f t="shared" si="12"/>
        <v>1615</v>
      </c>
      <c r="S53" s="18">
        <f>AVERAGE(F53:Q53)</f>
        <v>134.58333333333334</v>
      </c>
      <c r="T53" s="20">
        <f>U53/S53</f>
        <v>2.0507739938080496</v>
      </c>
      <c r="U53" s="54">
        <f>SUM(U17:U24)</f>
        <v>276</v>
      </c>
    </row>
    <row r="54" spans="1:25" x14ac:dyDescent="0.2">
      <c r="A54" s="2"/>
      <c r="B54" s="134">
        <v>2012</v>
      </c>
      <c r="C54" s="2"/>
      <c r="D54" s="129"/>
      <c r="E54" s="93">
        <f t="shared" ref="E54:R54" si="13">SUM(E26:E35)</f>
        <v>3186</v>
      </c>
      <c r="F54" s="93">
        <f t="shared" si="13"/>
        <v>152</v>
      </c>
      <c r="G54" s="93">
        <f t="shared" si="13"/>
        <v>43</v>
      </c>
      <c r="H54" s="93">
        <f t="shared" si="13"/>
        <v>42</v>
      </c>
      <c r="I54" s="93">
        <f t="shared" si="13"/>
        <v>30</v>
      </c>
      <c r="J54" s="93">
        <f t="shared" si="13"/>
        <v>23</v>
      </c>
      <c r="K54" s="93">
        <f t="shared" si="13"/>
        <v>95</v>
      </c>
      <c r="L54" s="93">
        <f t="shared" si="13"/>
        <v>93</v>
      </c>
      <c r="M54" s="93">
        <f t="shared" si="13"/>
        <v>55</v>
      </c>
      <c r="N54" s="93">
        <f t="shared" si="13"/>
        <v>171</v>
      </c>
      <c r="O54" s="93">
        <f t="shared" si="13"/>
        <v>159</v>
      </c>
      <c r="P54" s="93">
        <f t="shared" si="13"/>
        <v>109</v>
      </c>
      <c r="Q54" s="93">
        <f t="shared" si="13"/>
        <v>134</v>
      </c>
      <c r="R54" s="18">
        <f t="shared" si="13"/>
        <v>1106</v>
      </c>
      <c r="S54" s="18">
        <f>AVERAGE(F54:Q54)</f>
        <v>92.166666666666671</v>
      </c>
      <c r="T54" s="20">
        <f>U54/S54</f>
        <v>22.56781193490054</v>
      </c>
      <c r="U54" s="54">
        <f>SUM(U26:U35)</f>
        <v>2080</v>
      </c>
    </row>
    <row r="55" spans="1:25" x14ac:dyDescent="0.2">
      <c r="A55" s="2"/>
      <c r="B55" s="134">
        <v>2013</v>
      </c>
      <c r="C55" s="2"/>
      <c r="D55" s="129"/>
      <c r="E55" s="93">
        <f>SUM(E38:E50)</f>
        <v>4834</v>
      </c>
      <c r="F55" s="93">
        <f t="shared" ref="F55:U55" si="14">SUM(F38:F50)</f>
        <v>0</v>
      </c>
      <c r="G55" s="93">
        <f t="shared" si="14"/>
        <v>0</v>
      </c>
      <c r="H55" s="93">
        <f t="shared" si="14"/>
        <v>2</v>
      </c>
      <c r="I55" s="93">
        <f t="shared" si="14"/>
        <v>85</v>
      </c>
      <c r="J55" s="93">
        <f t="shared" si="14"/>
        <v>125</v>
      </c>
      <c r="K55" s="93">
        <f t="shared" si="14"/>
        <v>71</v>
      </c>
      <c r="L55" s="93">
        <f t="shared" si="14"/>
        <v>125</v>
      </c>
      <c r="M55" s="93">
        <f t="shared" si="14"/>
        <v>54</v>
      </c>
      <c r="N55" s="93">
        <f t="shared" si="14"/>
        <v>170</v>
      </c>
      <c r="O55" s="93">
        <f t="shared" si="14"/>
        <v>140</v>
      </c>
      <c r="P55" s="93">
        <f t="shared" si="14"/>
        <v>172</v>
      </c>
      <c r="Q55" s="93">
        <f t="shared" si="14"/>
        <v>118</v>
      </c>
      <c r="R55" s="184">
        <f t="shared" si="14"/>
        <v>1062</v>
      </c>
      <c r="S55" s="184">
        <f>AVERAGE(F55:Q55)</f>
        <v>88.5</v>
      </c>
      <c r="T55" s="185">
        <f>U55/S55</f>
        <v>42.621468926553675</v>
      </c>
      <c r="U55" s="184">
        <f t="shared" si="14"/>
        <v>3772</v>
      </c>
    </row>
    <row r="56" spans="1:25" x14ac:dyDescent="0.2">
      <c r="A56" s="2"/>
      <c r="B56" s="159" t="s">
        <v>59</v>
      </c>
      <c r="C56" s="2"/>
      <c r="D56" s="129"/>
      <c r="E56" s="173">
        <f t="shared" ref="E56:Q56" si="15">SUM(E52:E54)</f>
        <v>5779</v>
      </c>
      <c r="F56" s="173">
        <f t="shared" si="15"/>
        <v>299</v>
      </c>
      <c r="G56" s="173">
        <f t="shared" si="15"/>
        <v>263</v>
      </c>
      <c r="H56" s="173">
        <f t="shared" si="15"/>
        <v>215</v>
      </c>
      <c r="I56" s="173">
        <f t="shared" si="15"/>
        <v>231</v>
      </c>
      <c r="J56" s="173">
        <f t="shared" si="15"/>
        <v>257</v>
      </c>
      <c r="K56" s="173">
        <f t="shared" si="15"/>
        <v>338</v>
      </c>
      <c r="L56" s="173">
        <f t="shared" si="15"/>
        <v>298</v>
      </c>
      <c r="M56" s="173">
        <f t="shared" si="15"/>
        <v>186</v>
      </c>
      <c r="N56" s="173">
        <f t="shared" si="15"/>
        <v>517</v>
      </c>
      <c r="O56" s="173">
        <f t="shared" si="15"/>
        <v>351</v>
      </c>
      <c r="P56" s="173">
        <f t="shared" si="15"/>
        <v>240</v>
      </c>
      <c r="Q56" s="173">
        <f t="shared" si="15"/>
        <v>204</v>
      </c>
      <c r="R56" s="11">
        <f>SUM(R52:R55)</f>
        <v>4461</v>
      </c>
      <c r="S56" s="11">
        <f>SUM(S52:S55)</f>
        <v>371.75</v>
      </c>
      <c r="T56" s="20">
        <f>U56/S56</f>
        <v>16.484196368527236</v>
      </c>
      <c r="U56" s="11">
        <f>SUM(U52:U55)</f>
        <v>6128</v>
      </c>
      <c r="Y56" s="167"/>
    </row>
    <row r="57" spans="1:25" x14ac:dyDescent="0.2">
      <c r="A57" s="162"/>
      <c r="B57" s="141"/>
      <c r="C57" s="141"/>
      <c r="D57" s="142"/>
      <c r="E57" s="174"/>
      <c r="F57" s="174"/>
      <c r="G57" s="174"/>
      <c r="H57" s="174"/>
      <c r="I57" s="174"/>
      <c r="J57" s="174"/>
      <c r="K57" s="174"/>
      <c r="L57" s="174"/>
      <c r="M57" s="174"/>
      <c r="N57" s="174"/>
      <c r="O57" s="174"/>
      <c r="P57" s="174"/>
      <c r="Q57" s="174"/>
      <c r="R57" s="141"/>
      <c r="S57" s="142"/>
      <c r="T57" s="143"/>
      <c r="U57" s="144"/>
    </row>
    <row r="58" spans="1:25" ht="13.5" thickBot="1" x14ac:dyDescent="0.25"/>
    <row r="59" spans="1:25" ht="48" thickBot="1" x14ac:dyDescent="0.45">
      <c r="B59" s="116" t="s">
        <v>60</v>
      </c>
      <c r="C59" s="117"/>
      <c r="D59" s="117"/>
      <c r="E59" s="118" t="s">
        <v>61</v>
      </c>
      <c r="F59" s="446" t="s">
        <v>62</v>
      </c>
      <c r="G59" s="447"/>
      <c r="H59" s="447"/>
      <c r="I59" s="447"/>
      <c r="J59" s="447"/>
      <c r="K59" s="447"/>
      <c r="L59" s="447"/>
      <c r="M59" s="447"/>
      <c r="N59" s="447"/>
      <c r="O59" s="447"/>
      <c r="P59" s="447"/>
      <c r="Q59" s="447"/>
      <c r="R59" s="119" t="s">
        <v>63</v>
      </c>
      <c r="S59" s="120"/>
      <c r="T59" s="120"/>
      <c r="U59" s="120"/>
    </row>
    <row r="60" spans="1:25" x14ac:dyDescent="0.2">
      <c r="B60" s="22"/>
      <c r="C60" s="121"/>
      <c r="D60" s="22"/>
      <c r="E60" s="128"/>
      <c r="F60" s="175"/>
      <c r="G60" s="175"/>
      <c r="H60" s="175"/>
      <c r="I60" s="175"/>
      <c r="J60" s="175"/>
      <c r="K60" s="175"/>
      <c r="L60" s="175"/>
      <c r="M60" s="175"/>
      <c r="N60" s="175"/>
      <c r="O60" s="175"/>
      <c r="P60" s="175"/>
      <c r="Q60" s="176"/>
      <c r="R60" s="22"/>
    </row>
    <row r="61" spans="1:25" x14ac:dyDescent="0.2">
      <c r="B61" s="2"/>
      <c r="C61" s="114"/>
      <c r="D61" s="2"/>
      <c r="E61" s="175"/>
      <c r="F61" s="146"/>
      <c r="G61" s="146"/>
      <c r="H61" s="146"/>
      <c r="I61" s="146"/>
      <c r="J61" s="146"/>
      <c r="K61" s="146"/>
      <c r="L61" s="146"/>
      <c r="M61" s="146"/>
      <c r="N61" s="146"/>
      <c r="O61" s="146"/>
      <c r="P61" s="146"/>
      <c r="Q61" s="177"/>
      <c r="R61" s="2"/>
    </row>
    <row r="62" spans="1:25" x14ac:dyDescent="0.2">
      <c r="B62" s="46"/>
      <c r="C62" s="46"/>
      <c r="D62" s="46"/>
      <c r="E62" s="170"/>
      <c r="F62" s="170"/>
      <c r="G62" s="170"/>
      <c r="H62" s="170"/>
      <c r="I62" s="170"/>
      <c r="J62" s="170"/>
      <c r="K62" s="170"/>
      <c r="L62" s="170"/>
      <c r="M62" s="170"/>
      <c r="N62" s="170"/>
      <c r="O62" s="170"/>
      <c r="P62" s="170"/>
      <c r="Q62" s="178"/>
      <c r="R62" s="46"/>
    </row>
    <row r="63" spans="1:25" x14ac:dyDescent="0.2">
      <c r="B63" s="2"/>
      <c r="C63" s="114"/>
      <c r="D63" s="2"/>
      <c r="E63" s="146"/>
      <c r="F63" s="146"/>
      <c r="G63" s="146"/>
      <c r="H63" s="146"/>
      <c r="I63" s="146"/>
      <c r="J63" s="146"/>
      <c r="K63" s="146"/>
      <c r="L63" s="146"/>
      <c r="M63" s="146"/>
      <c r="N63" s="146"/>
      <c r="O63" s="146"/>
      <c r="P63" s="146"/>
      <c r="Q63" s="177"/>
      <c r="R63" s="2"/>
    </row>
    <row r="64" spans="1:25" x14ac:dyDescent="0.2">
      <c r="B64" s="2"/>
      <c r="C64" s="114"/>
      <c r="D64" s="2"/>
      <c r="E64" s="146"/>
      <c r="F64" s="146"/>
      <c r="G64" s="146"/>
      <c r="H64" s="146"/>
      <c r="I64" s="146"/>
      <c r="J64" s="146"/>
      <c r="K64" s="146"/>
      <c r="L64" s="146"/>
      <c r="M64" s="146"/>
      <c r="N64" s="146"/>
      <c r="O64" s="146"/>
      <c r="P64" s="146"/>
      <c r="Q64" s="177"/>
      <c r="R64" s="2"/>
    </row>
    <row r="65" spans="2:18" x14ac:dyDescent="0.2">
      <c r="B65" s="75"/>
      <c r="C65" s="125"/>
      <c r="D65" s="75"/>
      <c r="E65" s="179"/>
      <c r="F65" s="179"/>
      <c r="G65" s="179"/>
      <c r="H65" s="179"/>
      <c r="I65" s="179"/>
      <c r="J65" s="179"/>
      <c r="K65" s="179"/>
      <c r="L65" s="179"/>
      <c r="M65" s="179"/>
      <c r="N65" s="179"/>
      <c r="O65" s="179"/>
      <c r="P65" s="179"/>
      <c r="Q65" s="179"/>
      <c r="R65" s="46"/>
    </row>
    <row r="66" spans="2:18" ht="13.5" thickBot="1" x14ac:dyDescent="0.25">
      <c r="C66" s="126"/>
    </row>
    <row r="67" spans="2:18" ht="63.75" thickBot="1" x14ac:dyDescent="0.45">
      <c r="B67" s="448" t="s">
        <v>60</v>
      </c>
      <c r="C67" s="449"/>
      <c r="D67" s="450"/>
      <c r="E67" s="127" t="s">
        <v>64</v>
      </c>
      <c r="F67" s="446" t="s">
        <v>65</v>
      </c>
      <c r="G67" s="447"/>
      <c r="H67" s="447"/>
      <c r="I67" s="447"/>
      <c r="J67" s="447"/>
      <c r="K67" s="447"/>
      <c r="L67" s="447"/>
      <c r="M67" s="447"/>
      <c r="N67" s="447"/>
      <c r="O67" s="447"/>
      <c r="P67" s="447"/>
      <c r="Q67" s="451"/>
      <c r="R67" s="119" t="s">
        <v>66</v>
      </c>
    </row>
    <row r="68" spans="2:18" ht="15.75" x14ac:dyDescent="0.25">
      <c r="B68" s="22"/>
      <c r="C68" s="121"/>
      <c r="D68" s="22"/>
      <c r="E68" s="122"/>
      <c r="F68" s="175"/>
      <c r="G68" s="175"/>
      <c r="H68" s="175"/>
      <c r="I68" s="175"/>
      <c r="J68" s="175"/>
      <c r="K68" s="175"/>
      <c r="L68" s="175"/>
      <c r="M68" s="175"/>
      <c r="N68" s="175"/>
      <c r="O68" s="175"/>
      <c r="P68" s="175"/>
      <c r="Q68" s="175"/>
      <c r="R68" s="22"/>
    </row>
    <row r="69" spans="2:18" x14ac:dyDescent="0.2">
      <c r="B69" s="2"/>
      <c r="C69" s="114"/>
      <c r="D69" s="2"/>
      <c r="E69" s="175"/>
      <c r="F69" s="146"/>
      <c r="G69" s="146"/>
      <c r="H69" s="146"/>
      <c r="I69" s="146"/>
      <c r="J69" s="146"/>
      <c r="K69" s="146"/>
      <c r="L69" s="146"/>
      <c r="M69" s="146"/>
      <c r="N69" s="146"/>
      <c r="O69" s="146"/>
      <c r="P69" s="146"/>
      <c r="Q69" s="146"/>
      <c r="R69" s="2"/>
    </row>
    <row r="70" spans="2:18" x14ac:dyDescent="0.2">
      <c r="B70" s="46"/>
      <c r="C70" s="46"/>
      <c r="D70" s="46"/>
      <c r="E70" s="170"/>
      <c r="F70" s="170"/>
      <c r="G70" s="170"/>
      <c r="H70" s="170"/>
      <c r="I70" s="170"/>
      <c r="J70" s="170"/>
      <c r="K70" s="170"/>
      <c r="L70" s="170"/>
      <c r="M70" s="170"/>
      <c r="N70" s="170"/>
      <c r="O70" s="170"/>
      <c r="P70" s="170"/>
      <c r="Q70" s="170"/>
      <c r="R70" s="46"/>
    </row>
    <row r="71" spans="2:18" x14ac:dyDescent="0.2">
      <c r="B71" s="2"/>
      <c r="C71" s="114"/>
      <c r="D71" s="2"/>
      <c r="E71" s="146"/>
      <c r="F71" s="146"/>
      <c r="G71" s="146"/>
      <c r="H71" s="146"/>
      <c r="I71" s="146"/>
      <c r="J71" s="146"/>
      <c r="K71" s="146"/>
      <c r="L71" s="146"/>
      <c r="M71" s="146"/>
      <c r="N71" s="146"/>
      <c r="O71" s="146"/>
      <c r="P71" s="146"/>
      <c r="Q71" s="146"/>
      <c r="R71" s="2"/>
    </row>
    <row r="72" spans="2:18" x14ac:dyDescent="0.2">
      <c r="B72" s="2"/>
      <c r="C72" s="114"/>
      <c r="D72" s="2"/>
      <c r="E72" s="146"/>
      <c r="F72" s="146"/>
      <c r="G72" s="146"/>
      <c r="H72" s="146"/>
      <c r="I72" s="146"/>
      <c r="J72" s="146"/>
      <c r="K72" s="146"/>
      <c r="L72" s="146"/>
      <c r="M72" s="146"/>
      <c r="N72" s="146"/>
      <c r="O72" s="146"/>
      <c r="P72" s="146"/>
      <c r="Q72" s="146"/>
      <c r="R72" s="2"/>
    </row>
  </sheetData>
  <mergeCells count="3">
    <mergeCell ref="F59:Q59"/>
    <mergeCell ref="B67:D67"/>
    <mergeCell ref="F67:Q67"/>
  </mergeCells>
  <pageMargins left="0.7" right="0.7" top="0.75" bottom="0.75" header="0.3" footer="0.3"/>
  <pageSetup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73"/>
  <sheetViews>
    <sheetView topLeftCell="A8" zoomScale="90" zoomScaleNormal="90" workbookViewId="0">
      <selection activeCell="S23" sqref="S23:S35"/>
    </sheetView>
  </sheetViews>
  <sheetFormatPr defaultRowHeight="12.75" x14ac:dyDescent="0.2"/>
  <cols>
    <col min="3" max="3" width="16.5703125" bestFit="1" customWidth="1"/>
    <col min="4" max="4" width="9.7109375" customWidth="1"/>
    <col min="5" max="5" width="11.42578125" customWidth="1"/>
    <col min="15" max="16" width="9.28515625" style="168"/>
    <col min="19" max="19" width="10" customWidth="1"/>
  </cols>
  <sheetData>
    <row r="1" spans="1:21" x14ac:dyDescent="0.2">
      <c r="E1" s="168"/>
      <c r="F1" s="168"/>
      <c r="G1" s="168"/>
      <c r="H1" s="168"/>
      <c r="I1" s="168"/>
      <c r="J1" s="168"/>
      <c r="K1" s="168"/>
      <c r="L1" s="168"/>
      <c r="M1" s="168"/>
      <c r="N1" s="168"/>
      <c r="Q1" s="168"/>
    </row>
    <row r="2" spans="1:21" ht="15.75" x14ac:dyDescent="0.2">
      <c r="D2" s="126"/>
      <c r="E2" s="169"/>
      <c r="F2" s="168"/>
      <c r="G2" s="168"/>
      <c r="H2" s="168"/>
      <c r="I2" s="168"/>
      <c r="J2" s="168"/>
      <c r="K2" s="168"/>
      <c r="L2" s="168"/>
      <c r="M2" s="168"/>
      <c r="N2" s="168"/>
      <c r="Q2" s="168"/>
    </row>
    <row r="3" spans="1:21" ht="15.75" x14ac:dyDescent="0.2">
      <c r="D3" s="126"/>
      <c r="E3" s="169"/>
      <c r="F3" s="168"/>
      <c r="G3" s="168"/>
      <c r="H3" s="168"/>
      <c r="I3" s="168"/>
      <c r="J3" s="168"/>
      <c r="K3" s="168"/>
      <c r="L3" s="168"/>
      <c r="M3" s="168"/>
      <c r="N3" s="168"/>
      <c r="Q3" s="168"/>
    </row>
    <row r="4" spans="1:21" ht="15.75" x14ac:dyDescent="0.2">
      <c r="E4" s="169"/>
      <c r="F4" s="168"/>
      <c r="G4" s="168"/>
      <c r="H4" s="168"/>
      <c r="I4" s="168"/>
      <c r="J4" s="168"/>
      <c r="K4" s="168"/>
      <c r="L4" s="168"/>
      <c r="M4" s="168"/>
      <c r="N4" s="168"/>
      <c r="Q4" s="168"/>
    </row>
    <row r="5" spans="1:21" x14ac:dyDescent="0.2">
      <c r="E5" s="168"/>
      <c r="F5" s="168"/>
      <c r="G5" s="168"/>
      <c r="H5" s="168"/>
      <c r="I5" s="168"/>
      <c r="J5" s="168"/>
      <c r="K5" s="168"/>
      <c r="L5" s="168"/>
      <c r="M5" s="168"/>
      <c r="N5" s="168"/>
      <c r="Q5" s="168"/>
    </row>
    <row r="6" spans="1:21" ht="13.5" thickBot="1" x14ac:dyDescent="0.25">
      <c r="E6" s="168"/>
      <c r="F6" s="168"/>
      <c r="G6" s="168"/>
      <c r="H6" s="168"/>
      <c r="I6" s="168"/>
      <c r="J6" s="168"/>
      <c r="K6" s="168"/>
      <c r="L6" s="168"/>
      <c r="M6" s="168"/>
      <c r="N6" s="168"/>
      <c r="Q6" s="168"/>
    </row>
    <row r="7" spans="1:21" ht="21" thickBot="1" x14ac:dyDescent="0.35">
      <c r="A7" s="155"/>
      <c r="B7" s="104" t="s">
        <v>0</v>
      </c>
      <c r="C7" s="105"/>
      <c r="D7" s="105"/>
      <c r="E7" s="348"/>
      <c r="F7" s="348"/>
      <c r="G7" s="348"/>
      <c r="H7" s="348"/>
      <c r="I7" s="348"/>
      <c r="J7" s="348"/>
      <c r="K7" s="348"/>
      <c r="L7" s="348"/>
      <c r="M7" s="348"/>
      <c r="N7" s="348"/>
      <c r="O7" s="348"/>
      <c r="P7" s="348"/>
      <c r="Q7" s="348"/>
      <c r="R7" s="105"/>
      <c r="S7" s="105"/>
      <c r="T7" s="105"/>
      <c r="U7" s="106"/>
    </row>
    <row r="8" spans="1:21" ht="63.75" thickBot="1" x14ac:dyDescent="0.3">
      <c r="A8" s="160" t="s">
        <v>79</v>
      </c>
      <c r="B8" s="156" t="s">
        <v>3</v>
      </c>
      <c r="C8" s="107" t="s">
        <v>2</v>
      </c>
      <c r="D8" s="108" t="s">
        <v>91</v>
      </c>
      <c r="E8" s="109" t="s">
        <v>96</v>
      </c>
      <c r="F8" s="110" t="s">
        <v>4</v>
      </c>
      <c r="G8" s="110" t="s">
        <v>5</v>
      </c>
      <c r="H8" s="110" t="s">
        <v>6</v>
      </c>
      <c r="I8" s="110" t="s">
        <v>7</v>
      </c>
      <c r="J8" s="110" t="s">
        <v>8</v>
      </c>
      <c r="K8" s="110" t="s">
        <v>9</v>
      </c>
      <c r="L8" s="110" t="s">
        <v>10</v>
      </c>
      <c r="M8" s="110" t="s">
        <v>11</v>
      </c>
      <c r="N8" s="110" t="s">
        <v>12</v>
      </c>
      <c r="O8" s="110" t="s">
        <v>13</v>
      </c>
      <c r="P8" s="110" t="s">
        <v>14</v>
      </c>
      <c r="Q8" s="110" t="s">
        <v>15</v>
      </c>
      <c r="R8" s="111" t="s">
        <v>16</v>
      </c>
      <c r="S8" s="112" t="s">
        <v>97</v>
      </c>
      <c r="T8" s="109" t="s">
        <v>19</v>
      </c>
      <c r="U8" s="113" t="s">
        <v>41</v>
      </c>
    </row>
    <row r="9" spans="1:21" x14ac:dyDescent="0.2">
      <c r="A9" s="162"/>
      <c r="B9" s="135"/>
      <c r="C9" s="46"/>
      <c r="D9" s="46"/>
      <c r="E9" s="170"/>
      <c r="F9" s="172">
        <v>1</v>
      </c>
      <c r="G9" s="172"/>
      <c r="H9" s="172"/>
      <c r="I9" s="172"/>
      <c r="J9" s="172"/>
      <c r="K9" s="172"/>
      <c r="L9" s="172"/>
      <c r="M9" s="172"/>
      <c r="N9" s="172"/>
      <c r="O9" s="172"/>
      <c r="P9" s="172"/>
      <c r="Q9" s="172"/>
      <c r="R9" s="46"/>
      <c r="S9" s="49"/>
      <c r="T9" s="133"/>
      <c r="U9" s="138"/>
    </row>
    <row r="10" spans="1:21" x14ac:dyDescent="0.2">
      <c r="A10">
        <v>57630</v>
      </c>
      <c r="B10" s="134">
        <v>2011</v>
      </c>
      <c r="C10" s="114" t="s">
        <v>25</v>
      </c>
      <c r="D10" s="102">
        <v>32</v>
      </c>
      <c r="E10" s="146">
        <v>80</v>
      </c>
      <c r="F10" s="171">
        <v>34</v>
      </c>
      <c r="G10" s="171">
        <v>12</v>
      </c>
      <c r="H10" s="190">
        <v>15</v>
      </c>
      <c r="I10" s="171">
        <v>10</v>
      </c>
      <c r="J10" s="171">
        <v>9</v>
      </c>
      <c r="K10" s="181"/>
      <c r="L10" s="181"/>
      <c r="M10" s="181"/>
      <c r="N10" s="181"/>
      <c r="O10" s="181"/>
      <c r="P10" s="181"/>
      <c r="Q10" s="181"/>
      <c r="R10" s="3">
        <f>SUM(F10:Q10)</f>
        <v>80</v>
      </c>
      <c r="S10" s="11">
        <f>AVERAGE(F10:Q10)</f>
        <v>16</v>
      </c>
      <c r="T10" s="10">
        <f>U10/S10</f>
        <v>0</v>
      </c>
      <c r="U10" s="78">
        <f>SUM(E10-R10)</f>
        <v>0</v>
      </c>
    </row>
    <row r="11" spans="1:21" x14ac:dyDescent="0.2">
      <c r="A11">
        <v>22384</v>
      </c>
      <c r="B11" s="134">
        <v>2011</v>
      </c>
      <c r="C11" s="114" t="s">
        <v>26</v>
      </c>
      <c r="D11" s="102">
        <v>16</v>
      </c>
      <c r="E11" s="146">
        <v>46</v>
      </c>
      <c r="F11" s="171">
        <v>18</v>
      </c>
      <c r="G11" s="171">
        <v>11</v>
      </c>
      <c r="H11" s="171">
        <v>12</v>
      </c>
      <c r="I11" s="171">
        <v>5</v>
      </c>
      <c r="J11" s="181"/>
      <c r="K11" s="181"/>
      <c r="L11" s="181"/>
      <c r="M11" s="181"/>
      <c r="N11" s="181"/>
      <c r="O11" s="181"/>
      <c r="P11" s="181"/>
      <c r="Q11" s="181"/>
      <c r="R11" s="3">
        <f t="shared" ref="R11:R17" si="0">SUM(F11:Q11)</f>
        <v>46</v>
      </c>
      <c r="S11" s="11">
        <f t="shared" ref="S11:S18" si="1">AVERAGE(F11:Q11)</f>
        <v>11.5</v>
      </c>
      <c r="T11" s="10">
        <f t="shared" ref="T11:T18" si="2">U11/S11</f>
        <v>0</v>
      </c>
      <c r="U11" s="78">
        <f t="shared" ref="U11:U18" si="3">SUM(E11-R11)</f>
        <v>0</v>
      </c>
    </row>
    <row r="12" spans="1:21" x14ac:dyDescent="0.2">
      <c r="A12">
        <v>22921</v>
      </c>
      <c r="B12" s="134">
        <v>2011</v>
      </c>
      <c r="C12" s="2" t="s">
        <v>22</v>
      </c>
      <c r="D12" s="102">
        <v>25</v>
      </c>
      <c r="E12" s="146">
        <v>34</v>
      </c>
      <c r="F12" s="171">
        <v>25</v>
      </c>
      <c r="G12" s="171">
        <v>9</v>
      </c>
      <c r="H12" s="181"/>
      <c r="I12" s="181"/>
      <c r="J12" s="181"/>
      <c r="K12" s="181"/>
      <c r="L12" s="181"/>
      <c r="M12" s="181"/>
      <c r="N12" s="181"/>
      <c r="O12" s="181"/>
      <c r="P12" s="181"/>
      <c r="Q12" s="181"/>
      <c r="R12" s="3">
        <f t="shared" si="0"/>
        <v>34</v>
      </c>
      <c r="S12" s="11">
        <f t="shared" si="1"/>
        <v>17</v>
      </c>
      <c r="T12" s="10">
        <f t="shared" si="2"/>
        <v>0</v>
      </c>
      <c r="U12" s="78">
        <f t="shared" si="3"/>
        <v>0</v>
      </c>
    </row>
    <row r="13" spans="1:21" ht="15" x14ac:dyDescent="0.25">
      <c r="A13" s="186">
        <v>26415</v>
      </c>
      <c r="B13" s="134">
        <v>2011</v>
      </c>
      <c r="C13" s="2" t="s">
        <v>57</v>
      </c>
      <c r="D13" s="102">
        <v>12</v>
      </c>
      <c r="E13" s="146">
        <v>116</v>
      </c>
      <c r="F13" s="171">
        <v>13</v>
      </c>
      <c r="G13" s="171">
        <v>4</v>
      </c>
      <c r="H13" s="171">
        <v>19</v>
      </c>
      <c r="I13" s="171">
        <v>16</v>
      </c>
      <c r="J13" s="171">
        <v>15</v>
      </c>
      <c r="K13" s="171">
        <v>11</v>
      </c>
      <c r="L13" s="171">
        <v>22</v>
      </c>
      <c r="M13" s="171">
        <v>16</v>
      </c>
      <c r="N13" s="181"/>
      <c r="O13" s="181"/>
      <c r="P13" s="181"/>
      <c r="Q13" s="181"/>
      <c r="R13" s="3">
        <f t="shared" si="0"/>
        <v>116</v>
      </c>
      <c r="S13" s="11">
        <f t="shared" si="1"/>
        <v>14.5</v>
      </c>
      <c r="T13" s="10">
        <f t="shared" si="2"/>
        <v>0</v>
      </c>
      <c r="U13" s="78">
        <f t="shared" si="3"/>
        <v>0</v>
      </c>
    </row>
    <row r="14" spans="1:21" x14ac:dyDescent="0.2">
      <c r="A14" s="162"/>
      <c r="B14" s="135"/>
      <c r="C14" s="46"/>
      <c r="D14" s="49"/>
      <c r="E14" s="170"/>
      <c r="F14" s="170"/>
      <c r="G14" s="170"/>
      <c r="H14" s="170"/>
      <c r="I14" s="170"/>
      <c r="J14" s="170"/>
      <c r="K14" s="170"/>
      <c r="L14" s="170"/>
      <c r="M14" s="170"/>
      <c r="N14" s="170"/>
      <c r="O14" s="170"/>
      <c r="P14" s="170"/>
      <c r="Q14" s="170"/>
      <c r="R14" s="46"/>
      <c r="S14" s="49"/>
      <c r="T14" s="133"/>
      <c r="U14" s="81"/>
    </row>
    <row r="15" spans="1:21" x14ac:dyDescent="0.2">
      <c r="A15">
        <v>57630</v>
      </c>
      <c r="B15" s="134">
        <v>2012</v>
      </c>
      <c r="C15" s="114" t="s">
        <v>25</v>
      </c>
      <c r="D15" s="102">
        <v>45</v>
      </c>
      <c r="E15" s="146">
        <v>220</v>
      </c>
      <c r="F15" s="171">
        <v>6</v>
      </c>
      <c r="G15" s="171">
        <v>13</v>
      </c>
      <c r="H15" s="171">
        <v>5</v>
      </c>
      <c r="I15" s="171">
        <v>9</v>
      </c>
      <c r="J15" s="171">
        <v>13</v>
      </c>
      <c r="K15" s="171">
        <v>14</v>
      </c>
      <c r="L15" s="171">
        <v>48</v>
      </c>
      <c r="M15" s="171">
        <v>34</v>
      </c>
      <c r="N15" s="171">
        <v>36</v>
      </c>
      <c r="O15" s="171">
        <v>17</v>
      </c>
      <c r="P15" s="145">
        <v>2</v>
      </c>
      <c r="Q15" s="181"/>
      <c r="R15" s="3">
        <f t="shared" si="0"/>
        <v>197</v>
      </c>
      <c r="S15" s="11">
        <f t="shared" si="1"/>
        <v>17.90909090909091</v>
      </c>
      <c r="T15" s="10">
        <f t="shared" si="2"/>
        <v>1.2842639593908629</v>
      </c>
      <c r="U15" s="78">
        <f t="shared" si="3"/>
        <v>23</v>
      </c>
    </row>
    <row r="16" spans="1:21" x14ac:dyDescent="0.2">
      <c r="A16">
        <v>22384</v>
      </c>
      <c r="B16" s="134">
        <v>2012</v>
      </c>
      <c r="C16" s="114" t="s">
        <v>26</v>
      </c>
      <c r="D16" s="102">
        <v>36</v>
      </c>
      <c r="E16" s="146">
        <v>315</v>
      </c>
      <c r="F16" s="171">
        <v>3</v>
      </c>
      <c r="G16" s="171">
        <v>1</v>
      </c>
      <c r="H16" s="171">
        <v>2</v>
      </c>
      <c r="I16" s="171">
        <v>0</v>
      </c>
      <c r="J16" s="171">
        <v>0</v>
      </c>
      <c r="K16" s="171">
        <v>0</v>
      </c>
      <c r="L16" s="171">
        <v>6</v>
      </c>
      <c r="M16" s="171">
        <v>13</v>
      </c>
      <c r="N16" s="171">
        <v>18</v>
      </c>
      <c r="O16" s="171">
        <v>26</v>
      </c>
      <c r="P16" s="171">
        <v>24</v>
      </c>
      <c r="Q16" s="171">
        <v>17</v>
      </c>
      <c r="R16" s="3">
        <f t="shared" si="0"/>
        <v>110</v>
      </c>
      <c r="S16" s="11">
        <f t="shared" si="1"/>
        <v>9.1666666666666661</v>
      </c>
      <c r="T16" s="10">
        <f t="shared" si="2"/>
        <v>22.363636363636363</v>
      </c>
      <c r="U16" s="78">
        <f t="shared" si="3"/>
        <v>205</v>
      </c>
    </row>
    <row r="17" spans="1:21" x14ac:dyDescent="0.2">
      <c r="A17">
        <v>22382</v>
      </c>
      <c r="B17" s="134">
        <v>2012</v>
      </c>
      <c r="C17" s="114" t="s">
        <v>23</v>
      </c>
      <c r="D17" s="102">
        <v>29</v>
      </c>
      <c r="E17" s="146">
        <v>285</v>
      </c>
      <c r="F17" s="171">
        <v>13</v>
      </c>
      <c r="G17" s="171">
        <v>24</v>
      </c>
      <c r="H17" s="171">
        <v>15</v>
      </c>
      <c r="I17" s="171">
        <v>35</v>
      </c>
      <c r="J17" s="171">
        <v>20</v>
      </c>
      <c r="K17" s="171">
        <v>26</v>
      </c>
      <c r="L17" s="171">
        <v>22</v>
      </c>
      <c r="M17" s="171">
        <v>24</v>
      </c>
      <c r="N17" s="171">
        <v>31</v>
      </c>
      <c r="O17" s="171">
        <v>41</v>
      </c>
      <c r="P17" s="171">
        <v>28</v>
      </c>
      <c r="Q17" s="171">
        <v>6</v>
      </c>
      <c r="R17" s="3">
        <f t="shared" si="0"/>
        <v>285</v>
      </c>
      <c r="S17" s="11">
        <f t="shared" si="1"/>
        <v>23.75</v>
      </c>
      <c r="T17" s="10">
        <f t="shared" si="2"/>
        <v>0</v>
      </c>
      <c r="U17" s="78">
        <f t="shared" si="3"/>
        <v>0</v>
      </c>
    </row>
    <row r="18" spans="1:21" x14ac:dyDescent="0.2">
      <c r="A18">
        <v>27736</v>
      </c>
      <c r="B18" s="134">
        <v>2012</v>
      </c>
      <c r="C18" s="114" t="s">
        <v>56</v>
      </c>
      <c r="D18" s="102">
        <v>22</v>
      </c>
      <c r="E18" s="146">
        <v>223</v>
      </c>
      <c r="F18" s="171">
        <v>29</v>
      </c>
      <c r="G18" s="171">
        <v>11</v>
      </c>
      <c r="H18" s="171">
        <v>12</v>
      </c>
      <c r="I18" s="171">
        <v>25</v>
      </c>
      <c r="J18" s="171">
        <v>17</v>
      </c>
      <c r="K18" s="171">
        <v>13</v>
      </c>
      <c r="L18" s="171">
        <v>20</v>
      </c>
      <c r="M18" s="171">
        <v>16</v>
      </c>
      <c r="N18" s="171">
        <v>20</v>
      </c>
      <c r="O18" s="171">
        <v>26</v>
      </c>
      <c r="P18" s="171">
        <v>19</v>
      </c>
      <c r="Q18" s="145">
        <v>15</v>
      </c>
      <c r="R18" s="3">
        <f>SUM(F18:Q18)</f>
        <v>223</v>
      </c>
      <c r="S18" s="11">
        <f t="shared" si="1"/>
        <v>18.583333333333332</v>
      </c>
      <c r="T18" s="10">
        <f t="shared" si="2"/>
        <v>0</v>
      </c>
      <c r="U18" s="78">
        <f t="shared" si="3"/>
        <v>0</v>
      </c>
    </row>
    <row r="19" spans="1:21" x14ac:dyDescent="0.2">
      <c r="A19">
        <v>28361</v>
      </c>
      <c r="B19" s="134">
        <v>2012</v>
      </c>
      <c r="C19" s="114" t="s">
        <v>24</v>
      </c>
      <c r="D19" s="102">
        <v>22</v>
      </c>
      <c r="E19" s="146">
        <v>406</v>
      </c>
      <c r="F19" s="171">
        <v>27</v>
      </c>
      <c r="G19" s="171">
        <v>13</v>
      </c>
      <c r="H19" s="171">
        <v>15</v>
      </c>
      <c r="I19" s="171">
        <v>26</v>
      </c>
      <c r="J19" s="171">
        <v>27</v>
      </c>
      <c r="K19" s="171">
        <v>23</v>
      </c>
      <c r="L19" s="171">
        <v>32</v>
      </c>
      <c r="M19" s="171">
        <v>22</v>
      </c>
      <c r="N19" s="171">
        <v>17</v>
      </c>
      <c r="O19" s="171">
        <v>56</v>
      </c>
      <c r="P19" s="171">
        <v>32</v>
      </c>
      <c r="Q19" s="171">
        <v>21</v>
      </c>
      <c r="R19" s="3">
        <f>SUM(F19:Q19)</f>
        <v>311</v>
      </c>
      <c r="S19" s="11">
        <f>AVERAGE(F19:Q19)</f>
        <v>25.916666666666668</v>
      </c>
      <c r="T19" s="10">
        <f>U19/S19</f>
        <v>3.665594855305466</v>
      </c>
      <c r="U19" s="78">
        <f>SUM(E19-R19)</f>
        <v>95</v>
      </c>
    </row>
    <row r="20" spans="1:21" x14ac:dyDescent="0.2">
      <c r="A20">
        <v>22921</v>
      </c>
      <c r="B20" s="134">
        <v>2012</v>
      </c>
      <c r="C20" s="114" t="s">
        <v>22</v>
      </c>
      <c r="D20" s="102">
        <v>50</v>
      </c>
      <c r="E20" s="146">
        <v>425</v>
      </c>
      <c r="F20" s="171">
        <v>43</v>
      </c>
      <c r="G20" s="171">
        <v>35</v>
      </c>
      <c r="H20" s="171">
        <v>40</v>
      </c>
      <c r="I20" s="171">
        <v>55</v>
      </c>
      <c r="J20" s="171">
        <v>41</v>
      </c>
      <c r="K20" s="171">
        <v>48</v>
      </c>
      <c r="L20" s="171">
        <v>40</v>
      </c>
      <c r="M20" s="171">
        <v>47</v>
      </c>
      <c r="N20" s="171">
        <v>64</v>
      </c>
      <c r="O20" s="145">
        <v>6</v>
      </c>
      <c r="P20" s="181"/>
      <c r="Q20" s="181"/>
      <c r="R20" s="3">
        <f>SUM(F20:Q20)</f>
        <v>419</v>
      </c>
      <c r="S20" s="11">
        <f>AVERAGE(F20:Q20)</f>
        <v>41.9</v>
      </c>
      <c r="T20" s="10">
        <f>U20/S20</f>
        <v>0.14319809069212411</v>
      </c>
      <c r="U20" s="78">
        <f>SUM(E20-R20)</f>
        <v>6</v>
      </c>
    </row>
    <row r="21" spans="1:21" x14ac:dyDescent="0.2">
      <c r="A21" s="2">
        <v>34641</v>
      </c>
      <c r="B21" s="134">
        <v>2012</v>
      </c>
      <c r="C21" s="114" t="s">
        <v>21</v>
      </c>
      <c r="D21" s="102">
        <v>31</v>
      </c>
      <c r="E21" s="146">
        <v>206</v>
      </c>
      <c r="F21" s="171">
        <v>26</v>
      </c>
      <c r="G21" s="171">
        <v>22</v>
      </c>
      <c r="H21" s="171">
        <v>29</v>
      </c>
      <c r="I21" s="171">
        <v>35</v>
      </c>
      <c r="J21" s="171">
        <v>33</v>
      </c>
      <c r="K21" s="171">
        <v>25</v>
      </c>
      <c r="L21" s="171">
        <v>32</v>
      </c>
      <c r="M21" s="181">
        <v>4</v>
      </c>
      <c r="N21" s="181"/>
      <c r="O21" s="181"/>
      <c r="P21" s="181"/>
      <c r="Q21" s="181"/>
      <c r="R21" s="3">
        <f>SUM(F21:Q21)</f>
        <v>206</v>
      </c>
      <c r="S21" s="11">
        <f>AVERAGE(F21:Q21)</f>
        <v>25.75</v>
      </c>
      <c r="T21" s="10">
        <f>U21/S21</f>
        <v>0</v>
      </c>
      <c r="U21" s="78">
        <f>SUM(E21-R21)</f>
        <v>0</v>
      </c>
    </row>
    <row r="22" spans="1:21" x14ac:dyDescent="0.2">
      <c r="A22" s="162"/>
      <c r="B22" s="162"/>
      <c r="C22" s="162"/>
      <c r="D22" s="162"/>
      <c r="E22" s="162"/>
      <c r="F22" s="162"/>
      <c r="G22" s="162"/>
      <c r="H22" s="162"/>
      <c r="I22" s="162"/>
      <c r="J22" s="162"/>
      <c r="K22" s="162"/>
      <c r="L22" s="162"/>
      <c r="M22" s="162"/>
      <c r="N22" s="162"/>
      <c r="O22" s="211"/>
      <c r="P22" s="211"/>
      <c r="Q22" s="162"/>
      <c r="R22" s="162"/>
      <c r="S22" s="162"/>
      <c r="T22" s="162"/>
      <c r="U22" s="162"/>
    </row>
    <row r="23" spans="1:21" x14ac:dyDescent="0.2">
      <c r="A23" s="2">
        <v>11198</v>
      </c>
      <c r="B23" s="134">
        <v>2013</v>
      </c>
      <c r="C23" s="2" t="s">
        <v>46</v>
      </c>
      <c r="D23" s="102">
        <v>30</v>
      </c>
      <c r="E23" s="146">
        <v>48</v>
      </c>
      <c r="F23" s="171">
        <v>24</v>
      </c>
      <c r="G23" s="171">
        <v>24</v>
      </c>
      <c r="H23" s="181"/>
      <c r="I23" s="181"/>
      <c r="J23" s="181"/>
      <c r="K23" s="181"/>
      <c r="L23" s="181"/>
      <c r="M23" s="181"/>
      <c r="N23" s="181"/>
      <c r="O23" s="181"/>
      <c r="P23" s="181"/>
      <c r="Q23" s="181"/>
      <c r="R23" s="3">
        <f t="shared" ref="R23:R30" si="4">SUM(F23:Q23)</f>
        <v>48</v>
      </c>
      <c r="S23" s="11">
        <f t="shared" ref="S23:S30" si="5">AVERAGE(F23:Q23)</f>
        <v>24</v>
      </c>
      <c r="T23" s="10">
        <f t="shared" ref="T23:T30" si="6">U23/S23</f>
        <v>0</v>
      </c>
      <c r="U23" s="78">
        <f t="shared" ref="U23:U30" si="7">SUM(E23-R23)</f>
        <v>0</v>
      </c>
    </row>
    <row r="24" spans="1:21" x14ac:dyDescent="0.2">
      <c r="A24" s="2">
        <v>57631</v>
      </c>
      <c r="B24" s="134">
        <v>2013</v>
      </c>
      <c r="C24" s="2" t="s">
        <v>33</v>
      </c>
      <c r="D24" s="102">
        <v>35</v>
      </c>
      <c r="E24" s="146">
        <v>9</v>
      </c>
      <c r="F24" s="171">
        <v>9</v>
      </c>
      <c r="G24" s="181"/>
      <c r="H24" s="181"/>
      <c r="I24" s="181"/>
      <c r="J24" s="181"/>
      <c r="K24" s="181"/>
      <c r="L24" s="181"/>
      <c r="M24" s="181"/>
      <c r="N24" s="181"/>
      <c r="O24" s="181"/>
      <c r="P24" s="181"/>
      <c r="Q24" s="181"/>
      <c r="R24" s="3">
        <f t="shared" si="4"/>
        <v>9</v>
      </c>
      <c r="S24" s="11">
        <f t="shared" si="5"/>
        <v>9</v>
      </c>
      <c r="T24" s="10">
        <f t="shared" si="6"/>
        <v>0</v>
      </c>
      <c r="U24" s="78">
        <f t="shared" si="7"/>
        <v>0</v>
      </c>
    </row>
    <row r="25" spans="1:21" x14ac:dyDescent="0.2">
      <c r="A25" s="2">
        <v>57632</v>
      </c>
      <c r="B25" s="134">
        <v>2013</v>
      </c>
      <c r="C25" s="2" t="s">
        <v>31</v>
      </c>
      <c r="D25" s="102">
        <v>45</v>
      </c>
      <c r="E25" s="146">
        <v>423</v>
      </c>
      <c r="F25" s="171">
        <v>36</v>
      </c>
      <c r="G25" s="171">
        <v>22</v>
      </c>
      <c r="H25" s="171">
        <v>0</v>
      </c>
      <c r="I25" s="171">
        <v>10</v>
      </c>
      <c r="J25" s="171">
        <v>55</v>
      </c>
      <c r="K25" s="171">
        <v>39</v>
      </c>
      <c r="L25" s="171">
        <v>49</v>
      </c>
      <c r="M25" s="171">
        <v>34</v>
      </c>
      <c r="N25" s="171">
        <v>42</v>
      </c>
      <c r="O25" s="171">
        <v>49</v>
      </c>
      <c r="P25" s="171">
        <v>36</v>
      </c>
      <c r="Q25" s="171">
        <v>29</v>
      </c>
      <c r="R25" s="3">
        <f t="shared" si="4"/>
        <v>401</v>
      </c>
      <c r="S25" s="11">
        <f t="shared" si="5"/>
        <v>33.416666666666664</v>
      </c>
      <c r="T25" s="10">
        <f t="shared" si="6"/>
        <v>0.65835411471321703</v>
      </c>
      <c r="U25" s="78">
        <f t="shared" si="7"/>
        <v>22</v>
      </c>
    </row>
    <row r="26" spans="1:21" x14ac:dyDescent="0.2">
      <c r="A26" s="2">
        <v>57630</v>
      </c>
      <c r="B26" s="134">
        <v>2013</v>
      </c>
      <c r="C26" s="2" t="s">
        <v>25</v>
      </c>
      <c r="D26" s="102">
        <v>45</v>
      </c>
      <c r="E26" s="146">
        <v>556</v>
      </c>
      <c r="F26" s="180">
        <v>1</v>
      </c>
      <c r="G26" s="180">
        <v>10</v>
      </c>
      <c r="H26" s="180">
        <v>5</v>
      </c>
      <c r="I26" s="180">
        <v>11</v>
      </c>
      <c r="J26" s="180">
        <v>5</v>
      </c>
      <c r="K26" s="180">
        <v>7</v>
      </c>
      <c r="L26" s="180">
        <v>3</v>
      </c>
      <c r="M26" s="180">
        <v>4</v>
      </c>
      <c r="N26" s="180">
        <v>3</v>
      </c>
      <c r="O26" s="171">
        <v>29</v>
      </c>
      <c r="P26" s="171">
        <v>39</v>
      </c>
      <c r="Q26" s="145">
        <v>37</v>
      </c>
      <c r="R26" s="3">
        <f t="shared" si="4"/>
        <v>154</v>
      </c>
      <c r="S26" s="11">
        <f t="shared" si="5"/>
        <v>12.833333333333334</v>
      </c>
      <c r="T26" s="10">
        <f t="shared" si="6"/>
        <v>31.324675324675322</v>
      </c>
      <c r="U26" s="78">
        <f t="shared" si="7"/>
        <v>402</v>
      </c>
    </row>
    <row r="27" spans="1:21" x14ac:dyDescent="0.2">
      <c r="A27" s="2">
        <v>22382</v>
      </c>
      <c r="B27" s="134">
        <v>2013</v>
      </c>
      <c r="C27" s="2" t="s">
        <v>23</v>
      </c>
      <c r="D27" s="102">
        <v>29</v>
      </c>
      <c r="E27" s="146">
        <v>303</v>
      </c>
      <c r="F27" s="180">
        <v>1</v>
      </c>
      <c r="G27" s="180">
        <v>1</v>
      </c>
      <c r="H27" s="180">
        <v>21</v>
      </c>
      <c r="I27" s="180">
        <v>0</v>
      </c>
      <c r="J27" s="180">
        <v>1</v>
      </c>
      <c r="K27" s="180">
        <v>4</v>
      </c>
      <c r="L27" s="180">
        <v>20</v>
      </c>
      <c r="M27" s="180">
        <v>2</v>
      </c>
      <c r="N27" s="180">
        <v>5</v>
      </c>
      <c r="O27" s="180">
        <v>16</v>
      </c>
      <c r="P27" s="180">
        <v>12</v>
      </c>
      <c r="Q27" s="214">
        <v>33</v>
      </c>
      <c r="R27" s="3">
        <f t="shared" si="4"/>
        <v>116</v>
      </c>
      <c r="S27" s="11">
        <f t="shared" si="5"/>
        <v>9.6666666666666661</v>
      </c>
      <c r="T27" s="10">
        <f t="shared" si="6"/>
        <v>19.344827586206897</v>
      </c>
      <c r="U27" s="78">
        <f t="shared" si="7"/>
        <v>187</v>
      </c>
    </row>
    <row r="28" spans="1:21" x14ac:dyDescent="0.2">
      <c r="A28" s="2">
        <v>84802</v>
      </c>
      <c r="B28" s="134">
        <v>2013</v>
      </c>
      <c r="C28" s="2" t="s">
        <v>93</v>
      </c>
      <c r="D28" s="102">
        <v>18</v>
      </c>
      <c r="E28" s="146">
        <v>202</v>
      </c>
      <c r="F28" s="180">
        <v>21</v>
      </c>
      <c r="G28" s="180">
        <v>8</v>
      </c>
      <c r="H28" s="180">
        <v>11</v>
      </c>
      <c r="I28" s="180">
        <v>6</v>
      </c>
      <c r="J28" s="180">
        <v>8</v>
      </c>
      <c r="K28" s="180">
        <v>6</v>
      </c>
      <c r="L28" s="180">
        <v>8</v>
      </c>
      <c r="M28" s="180">
        <v>5</v>
      </c>
      <c r="N28" s="180">
        <v>8</v>
      </c>
      <c r="O28" s="180">
        <v>15</v>
      </c>
      <c r="P28" s="180">
        <v>9</v>
      </c>
      <c r="Q28" s="214">
        <v>20</v>
      </c>
      <c r="R28" s="3">
        <f t="shared" si="4"/>
        <v>125</v>
      </c>
      <c r="S28" s="11">
        <f t="shared" si="5"/>
        <v>10.416666666666666</v>
      </c>
      <c r="T28" s="10">
        <f t="shared" si="6"/>
        <v>7.3920000000000003</v>
      </c>
      <c r="U28" s="78">
        <f t="shared" si="7"/>
        <v>77</v>
      </c>
    </row>
    <row r="29" spans="1:21" x14ac:dyDescent="0.2">
      <c r="A29" s="2">
        <v>22384</v>
      </c>
      <c r="B29" s="134">
        <v>2013</v>
      </c>
      <c r="C29" s="2" t="s">
        <v>26</v>
      </c>
      <c r="D29" s="102">
        <v>36</v>
      </c>
      <c r="E29" s="146">
        <v>256</v>
      </c>
      <c r="F29" s="180">
        <v>1</v>
      </c>
      <c r="G29" s="180">
        <v>0</v>
      </c>
      <c r="H29" s="180">
        <v>0</v>
      </c>
      <c r="I29" s="180">
        <v>0</v>
      </c>
      <c r="J29" s="180">
        <v>0</v>
      </c>
      <c r="K29" s="180">
        <v>0</v>
      </c>
      <c r="L29" s="180">
        <v>2</v>
      </c>
      <c r="M29" s="180">
        <v>2</v>
      </c>
      <c r="N29" s="180">
        <v>1</v>
      </c>
      <c r="O29" s="180"/>
      <c r="P29" s="180">
        <v>1</v>
      </c>
      <c r="Q29" s="180">
        <v>4</v>
      </c>
      <c r="R29" s="3">
        <f t="shared" si="4"/>
        <v>11</v>
      </c>
      <c r="S29" s="11">
        <f t="shared" si="5"/>
        <v>1</v>
      </c>
      <c r="T29" s="10">
        <f t="shared" si="6"/>
        <v>245</v>
      </c>
      <c r="U29" s="78">
        <f t="shared" si="7"/>
        <v>245</v>
      </c>
    </row>
    <row r="30" spans="1:21" x14ac:dyDescent="0.2">
      <c r="A30" s="2">
        <v>27736</v>
      </c>
      <c r="B30" s="134">
        <v>2013</v>
      </c>
      <c r="C30" s="2" t="s">
        <v>56</v>
      </c>
      <c r="D30" s="102">
        <v>22</v>
      </c>
      <c r="E30" s="146">
        <v>351</v>
      </c>
      <c r="F30" s="180">
        <v>8</v>
      </c>
      <c r="G30" s="180">
        <v>2</v>
      </c>
      <c r="H30" s="180">
        <v>6</v>
      </c>
      <c r="I30" s="180">
        <v>7</v>
      </c>
      <c r="J30" s="180">
        <v>1</v>
      </c>
      <c r="K30" s="180">
        <v>7</v>
      </c>
      <c r="L30" s="180">
        <v>14</v>
      </c>
      <c r="M30" s="180">
        <v>6</v>
      </c>
      <c r="N30" s="180">
        <v>9</v>
      </c>
      <c r="O30" s="180">
        <v>23</v>
      </c>
      <c r="P30" s="180">
        <v>18</v>
      </c>
      <c r="Q30" s="180">
        <v>20</v>
      </c>
      <c r="R30" s="3">
        <f t="shared" si="4"/>
        <v>121</v>
      </c>
      <c r="S30" s="11">
        <f t="shared" si="5"/>
        <v>10.083333333333334</v>
      </c>
      <c r="T30" s="10">
        <f t="shared" si="6"/>
        <v>22.809917355371901</v>
      </c>
      <c r="U30" s="78">
        <f t="shared" si="7"/>
        <v>230</v>
      </c>
    </row>
    <row r="31" spans="1:21" x14ac:dyDescent="0.2">
      <c r="A31" s="2">
        <v>28361</v>
      </c>
      <c r="B31" s="134">
        <v>2013</v>
      </c>
      <c r="C31" s="2" t="s">
        <v>24</v>
      </c>
      <c r="D31" s="191">
        <v>22</v>
      </c>
      <c r="E31" s="146">
        <v>281</v>
      </c>
      <c r="F31" s="180">
        <v>1</v>
      </c>
      <c r="G31" s="180">
        <v>0</v>
      </c>
      <c r="H31" s="180">
        <v>2</v>
      </c>
      <c r="I31" s="180">
        <v>0</v>
      </c>
      <c r="J31" s="180">
        <v>2</v>
      </c>
      <c r="K31" s="180">
        <v>0</v>
      </c>
      <c r="L31" s="180">
        <v>4</v>
      </c>
      <c r="M31" s="180">
        <v>3</v>
      </c>
      <c r="N31" s="180">
        <v>1</v>
      </c>
      <c r="O31" s="180"/>
      <c r="P31" s="180">
        <v>0</v>
      </c>
      <c r="Q31" s="180">
        <v>11</v>
      </c>
      <c r="R31" s="3">
        <f>SUM(F31:Q31)</f>
        <v>24</v>
      </c>
      <c r="S31" s="11">
        <f>AVERAGE(F31:Q31)</f>
        <v>2.1818181818181817</v>
      </c>
      <c r="T31" s="10">
        <f>U31/S31</f>
        <v>117.79166666666667</v>
      </c>
      <c r="U31" s="78">
        <f>SUM(E31-R31)</f>
        <v>257</v>
      </c>
    </row>
    <row r="32" spans="1:21" x14ac:dyDescent="0.2">
      <c r="A32" s="2">
        <v>22921</v>
      </c>
      <c r="B32" s="134">
        <v>2013</v>
      </c>
      <c r="C32" s="2" t="s">
        <v>22</v>
      </c>
      <c r="D32" s="191">
        <v>50</v>
      </c>
      <c r="E32" s="146">
        <v>716</v>
      </c>
      <c r="F32" s="180">
        <v>20</v>
      </c>
      <c r="G32" s="180">
        <v>4</v>
      </c>
      <c r="H32" s="180">
        <v>1</v>
      </c>
      <c r="I32" s="180">
        <v>4</v>
      </c>
      <c r="J32" s="180">
        <v>2</v>
      </c>
      <c r="K32" s="180">
        <v>3</v>
      </c>
      <c r="L32" s="180">
        <v>16</v>
      </c>
      <c r="M32" s="180">
        <v>5</v>
      </c>
      <c r="N32" s="180">
        <v>1</v>
      </c>
      <c r="O32" s="180">
        <v>67</v>
      </c>
      <c r="P32" s="168">
        <v>59</v>
      </c>
      <c r="Q32" s="145">
        <v>57</v>
      </c>
      <c r="R32" s="3">
        <f>SUM(F32:Q32)</f>
        <v>239</v>
      </c>
      <c r="S32" s="11">
        <f>AVERAGE(F32:Q32)</f>
        <v>19.916666666666668</v>
      </c>
      <c r="T32" s="10">
        <f>U32/S32</f>
        <v>23.949790794979076</v>
      </c>
      <c r="U32" s="78">
        <f>SUM(E32-R32)</f>
        <v>477</v>
      </c>
    </row>
    <row r="33" spans="1:22" x14ac:dyDescent="0.2">
      <c r="A33" s="2">
        <v>34641</v>
      </c>
      <c r="B33" s="134">
        <v>2013</v>
      </c>
      <c r="C33" s="2" t="s">
        <v>52</v>
      </c>
      <c r="D33" s="191">
        <v>31</v>
      </c>
      <c r="E33" s="146">
        <v>426</v>
      </c>
      <c r="F33" s="180">
        <v>1</v>
      </c>
      <c r="G33" s="180">
        <v>2</v>
      </c>
      <c r="H33" s="180">
        <v>2</v>
      </c>
      <c r="I33" s="180">
        <v>2</v>
      </c>
      <c r="J33" s="180">
        <v>2</v>
      </c>
      <c r="K33" s="180">
        <v>3</v>
      </c>
      <c r="L33" s="180">
        <v>8</v>
      </c>
      <c r="M33" s="145">
        <v>25</v>
      </c>
      <c r="N33" s="145">
        <v>25</v>
      </c>
      <c r="O33" s="145">
        <v>37</v>
      </c>
      <c r="P33" s="145">
        <v>25</v>
      </c>
      <c r="Q33" s="145">
        <v>23</v>
      </c>
      <c r="R33" s="3">
        <f>SUM(F33:Q33)</f>
        <v>155</v>
      </c>
      <c r="S33" s="11">
        <f>AVERAGE(F33:Q33)</f>
        <v>12.916666666666666</v>
      </c>
      <c r="T33" s="10">
        <f>U33/S33</f>
        <v>20.980645161290322</v>
      </c>
      <c r="U33" s="78">
        <f>SUM(E33-R33)</f>
        <v>271</v>
      </c>
    </row>
    <row r="34" spans="1:22" x14ac:dyDescent="0.2">
      <c r="A34" s="2">
        <v>86051</v>
      </c>
      <c r="B34" s="134">
        <v>2013</v>
      </c>
      <c r="C34" s="2" t="s">
        <v>94</v>
      </c>
      <c r="D34" s="191" t="s">
        <v>35</v>
      </c>
      <c r="E34" s="146">
        <v>133</v>
      </c>
      <c r="F34" s="145">
        <v>6</v>
      </c>
      <c r="G34" s="145">
        <v>10</v>
      </c>
      <c r="H34" s="145">
        <v>9</v>
      </c>
      <c r="I34" s="145">
        <v>13</v>
      </c>
      <c r="J34" s="145">
        <v>13</v>
      </c>
      <c r="K34" s="145">
        <v>18</v>
      </c>
      <c r="L34" s="145">
        <v>19</v>
      </c>
      <c r="M34" s="145">
        <v>16</v>
      </c>
      <c r="N34" s="145">
        <v>16</v>
      </c>
      <c r="O34" s="145">
        <v>7</v>
      </c>
      <c r="P34" s="145">
        <v>6</v>
      </c>
      <c r="Q34" s="181"/>
      <c r="R34" s="3">
        <f>SUM(F34:Q34)</f>
        <v>133</v>
      </c>
      <c r="S34" s="11">
        <f>AVERAGE(F34:Q34)</f>
        <v>12.090909090909092</v>
      </c>
      <c r="T34" s="10">
        <f>U34/S34</f>
        <v>0</v>
      </c>
      <c r="U34" s="78">
        <f>SUM(E34-R34)</f>
        <v>0</v>
      </c>
    </row>
    <row r="35" spans="1:22" x14ac:dyDescent="0.2">
      <c r="A35" s="2">
        <v>84251</v>
      </c>
      <c r="B35" s="134">
        <v>2013</v>
      </c>
      <c r="C35" s="2" t="s">
        <v>95</v>
      </c>
      <c r="D35" s="191" t="s">
        <v>35</v>
      </c>
      <c r="E35" s="146">
        <v>68</v>
      </c>
      <c r="F35" s="145">
        <v>11</v>
      </c>
      <c r="G35" s="145">
        <v>5</v>
      </c>
      <c r="H35" s="145">
        <v>2</v>
      </c>
      <c r="I35" s="145">
        <v>4</v>
      </c>
      <c r="J35" s="145">
        <v>2</v>
      </c>
      <c r="K35" s="145">
        <v>7</v>
      </c>
      <c r="L35" s="145">
        <v>7</v>
      </c>
      <c r="M35" s="145">
        <v>5</v>
      </c>
      <c r="N35" s="145">
        <v>4</v>
      </c>
      <c r="O35" s="145">
        <v>11</v>
      </c>
      <c r="P35" s="145">
        <v>6</v>
      </c>
      <c r="Q35" s="181"/>
      <c r="R35" s="3">
        <f>SUM(F35:Q35)</f>
        <v>64</v>
      </c>
      <c r="S35" s="11">
        <f>AVERAGE(F35:Q35)</f>
        <v>5.8181818181818183</v>
      </c>
      <c r="T35" s="10">
        <f>U35/S35</f>
        <v>0.6875</v>
      </c>
      <c r="U35" s="78">
        <f>SUM(E35-R35)</f>
        <v>4</v>
      </c>
    </row>
    <row r="36" spans="1:22" x14ac:dyDescent="0.2">
      <c r="A36" s="162"/>
      <c r="B36" s="135"/>
      <c r="C36" s="46"/>
      <c r="D36" s="49"/>
      <c r="E36" s="170"/>
      <c r="F36" s="170"/>
      <c r="G36" s="170"/>
      <c r="H36" s="170"/>
      <c r="I36" s="170"/>
      <c r="J36" s="170"/>
      <c r="K36" s="170"/>
      <c r="L36" s="170"/>
      <c r="M36" s="170"/>
      <c r="N36" s="170"/>
      <c r="O36" s="170"/>
      <c r="P36" s="170"/>
      <c r="Q36" s="170"/>
      <c r="R36" s="46"/>
      <c r="S36" s="49"/>
      <c r="T36" s="133"/>
      <c r="U36" s="81"/>
    </row>
    <row r="37" spans="1:22" x14ac:dyDescent="0.2">
      <c r="A37" s="2">
        <v>11198</v>
      </c>
      <c r="B37" s="187">
        <v>2014</v>
      </c>
      <c r="C37" s="2" t="s">
        <v>46</v>
      </c>
      <c r="D37" s="102"/>
      <c r="E37" s="146">
        <v>336</v>
      </c>
      <c r="F37" s="180"/>
      <c r="G37" s="180"/>
      <c r="H37" s="180" t="s">
        <v>35</v>
      </c>
      <c r="I37" s="145">
        <v>27</v>
      </c>
      <c r="J37" s="145">
        <v>41</v>
      </c>
      <c r="K37" s="145">
        <v>31</v>
      </c>
      <c r="L37" s="145">
        <v>38</v>
      </c>
      <c r="M37" s="145">
        <v>28</v>
      </c>
      <c r="N37" s="145">
        <v>31</v>
      </c>
      <c r="O37" s="210">
        <v>54</v>
      </c>
      <c r="P37" s="145">
        <v>27</v>
      </c>
      <c r="Q37" s="181"/>
      <c r="R37" s="3">
        <f>SUM(F37:Q37)</f>
        <v>277</v>
      </c>
      <c r="S37" s="11">
        <f>AVERAGE(F37:Q37)</f>
        <v>34.625</v>
      </c>
      <c r="T37" s="10">
        <f t="shared" ref="T37:T47" si="8">U37/S37</f>
        <v>1.703971119133574</v>
      </c>
      <c r="U37" s="78">
        <f t="shared" ref="U37:U47" si="9">SUM(E37-R37)</f>
        <v>59</v>
      </c>
    </row>
    <row r="38" spans="1:22" x14ac:dyDescent="0.2">
      <c r="A38" s="2">
        <v>57631</v>
      </c>
      <c r="B38" s="187">
        <v>2014</v>
      </c>
      <c r="C38" s="114" t="s">
        <v>98</v>
      </c>
      <c r="D38" s="102"/>
      <c r="E38" s="146">
        <v>113</v>
      </c>
      <c r="F38" s="180"/>
      <c r="G38" s="180"/>
      <c r="H38" s="180"/>
      <c r="I38" s="145">
        <v>36</v>
      </c>
      <c r="J38" s="145">
        <v>12</v>
      </c>
      <c r="K38" s="145">
        <v>13</v>
      </c>
      <c r="L38" s="145">
        <v>23</v>
      </c>
      <c r="M38" s="145">
        <v>6</v>
      </c>
      <c r="N38" s="145">
        <v>10</v>
      </c>
      <c r="O38" s="145">
        <v>11</v>
      </c>
      <c r="P38" s="145">
        <v>2</v>
      </c>
      <c r="Q38" s="181"/>
      <c r="R38" s="3">
        <f t="shared" ref="R38:R47" si="10">SUM(F38:Q38)</f>
        <v>113</v>
      </c>
      <c r="S38" s="11">
        <f t="shared" ref="S38:S47" si="11">AVERAGE(F38:Q38)</f>
        <v>14.125</v>
      </c>
      <c r="T38" s="10">
        <f t="shared" si="8"/>
        <v>0</v>
      </c>
      <c r="U38" s="78">
        <f t="shared" si="9"/>
        <v>0</v>
      </c>
    </row>
    <row r="39" spans="1:22" x14ac:dyDescent="0.2">
      <c r="A39" s="2">
        <v>57631</v>
      </c>
      <c r="B39" s="187">
        <v>2014</v>
      </c>
      <c r="C39" s="2" t="s">
        <v>33</v>
      </c>
      <c r="D39" s="102"/>
      <c r="E39" s="146">
        <v>268</v>
      </c>
      <c r="F39" s="180"/>
      <c r="G39" s="180"/>
      <c r="H39" s="180"/>
      <c r="I39" s="145">
        <v>44</v>
      </c>
      <c r="J39" s="145">
        <v>46</v>
      </c>
      <c r="K39" s="145">
        <v>41</v>
      </c>
      <c r="L39" s="145">
        <v>47</v>
      </c>
      <c r="M39" s="145">
        <v>42</v>
      </c>
      <c r="N39" s="145">
        <v>43</v>
      </c>
      <c r="O39" s="145">
        <v>5</v>
      </c>
      <c r="P39" s="181"/>
      <c r="Q39" s="181"/>
      <c r="R39" s="3">
        <f t="shared" si="10"/>
        <v>268</v>
      </c>
      <c r="S39" s="11">
        <f t="shared" si="11"/>
        <v>38.285714285714285</v>
      </c>
      <c r="T39" s="10">
        <f t="shared" si="8"/>
        <v>0</v>
      </c>
      <c r="U39" s="78">
        <f t="shared" si="9"/>
        <v>0</v>
      </c>
    </row>
    <row r="40" spans="1:22" x14ac:dyDescent="0.2">
      <c r="A40" s="2">
        <v>57632</v>
      </c>
      <c r="B40" s="187">
        <v>2014</v>
      </c>
      <c r="C40" s="2" t="s">
        <v>31</v>
      </c>
      <c r="D40" s="102"/>
      <c r="E40" s="146">
        <v>504</v>
      </c>
      <c r="F40" s="180"/>
      <c r="G40" s="180"/>
      <c r="H40" s="180"/>
      <c r="I40" s="180"/>
      <c r="J40" s="180"/>
      <c r="K40" s="180">
        <v>0</v>
      </c>
      <c r="L40" s="180">
        <v>21</v>
      </c>
      <c r="M40" s="180">
        <v>7</v>
      </c>
      <c r="N40" s="180">
        <v>8</v>
      </c>
      <c r="O40" s="180">
        <v>8</v>
      </c>
      <c r="P40" s="180">
        <v>7</v>
      </c>
      <c r="Q40" s="145">
        <v>12</v>
      </c>
      <c r="R40" s="3">
        <f t="shared" si="10"/>
        <v>63</v>
      </c>
      <c r="S40" s="11">
        <f t="shared" si="11"/>
        <v>9</v>
      </c>
      <c r="T40" s="10">
        <f t="shared" si="8"/>
        <v>49</v>
      </c>
      <c r="U40" s="78">
        <f t="shared" si="9"/>
        <v>441</v>
      </c>
      <c r="V40" t="s">
        <v>35</v>
      </c>
    </row>
    <row r="41" spans="1:22" x14ac:dyDescent="0.2">
      <c r="A41" s="2">
        <v>57630</v>
      </c>
      <c r="B41" s="187">
        <v>2014</v>
      </c>
      <c r="C41" s="2" t="s">
        <v>25</v>
      </c>
      <c r="D41" s="102"/>
      <c r="E41" s="146">
        <v>536</v>
      </c>
      <c r="F41" s="180"/>
      <c r="G41" s="180"/>
      <c r="H41" s="180"/>
      <c r="I41" s="180"/>
      <c r="J41" s="180"/>
      <c r="K41" s="180"/>
      <c r="L41" s="180">
        <v>10</v>
      </c>
      <c r="M41" s="180">
        <v>5</v>
      </c>
      <c r="N41" s="180">
        <v>0</v>
      </c>
      <c r="O41" s="180">
        <v>26</v>
      </c>
      <c r="P41" s="180">
        <v>13</v>
      </c>
      <c r="Q41" s="180">
        <v>14</v>
      </c>
      <c r="R41" s="3">
        <f t="shared" si="10"/>
        <v>68</v>
      </c>
      <c r="S41" s="11">
        <f t="shared" si="11"/>
        <v>11.333333333333334</v>
      </c>
      <c r="T41" s="10">
        <f t="shared" si="8"/>
        <v>41.294117647058819</v>
      </c>
      <c r="U41" s="78">
        <f t="shared" si="9"/>
        <v>468</v>
      </c>
    </row>
    <row r="42" spans="1:22" x14ac:dyDescent="0.2">
      <c r="A42" s="2">
        <v>22382</v>
      </c>
      <c r="B42" s="187">
        <v>2014</v>
      </c>
      <c r="C42" s="2" t="s">
        <v>23</v>
      </c>
      <c r="D42" s="102"/>
      <c r="E42" s="146">
        <v>356</v>
      </c>
      <c r="F42" s="180"/>
      <c r="G42" s="180"/>
      <c r="H42" s="180"/>
      <c r="I42" s="180"/>
      <c r="J42" s="180"/>
      <c r="K42" s="180"/>
      <c r="L42" s="180">
        <v>12</v>
      </c>
      <c r="M42" s="180">
        <v>8</v>
      </c>
      <c r="N42" s="180">
        <v>10</v>
      </c>
      <c r="O42" s="180">
        <v>8</v>
      </c>
      <c r="P42" s="180">
        <v>1</v>
      </c>
      <c r="Q42" s="180">
        <v>11</v>
      </c>
      <c r="R42" s="3">
        <f t="shared" si="10"/>
        <v>50</v>
      </c>
      <c r="S42" s="11">
        <f t="shared" si="11"/>
        <v>8.3333333333333339</v>
      </c>
      <c r="T42" s="10">
        <f t="shared" si="8"/>
        <v>36.72</v>
      </c>
      <c r="U42" s="78">
        <f t="shared" si="9"/>
        <v>306</v>
      </c>
    </row>
    <row r="43" spans="1:22" x14ac:dyDescent="0.2">
      <c r="A43" s="2">
        <v>84802</v>
      </c>
      <c r="B43" s="187">
        <v>2014</v>
      </c>
      <c r="C43" s="2" t="s">
        <v>93</v>
      </c>
      <c r="D43" s="102"/>
      <c r="E43" s="146">
        <v>273</v>
      </c>
      <c r="F43" s="180"/>
      <c r="G43" s="180"/>
      <c r="H43" s="180"/>
      <c r="I43" s="180"/>
      <c r="J43" s="180"/>
      <c r="K43" s="180"/>
      <c r="L43" s="180"/>
      <c r="M43" s="180"/>
      <c r="N43" s="180"/>
      <c r="O43" s="180"/>
      <c r="P43" s="180"/>
      <c r="Q43" s="180">
        <v>2</v>
      </c>
      <c r="R43" s="3">
        <f t="shared" si="10"/>
        <v>2</v>
      </c>
      <c r="S43" s="11">
        <f t="shared" si="11"/>
        <v>2</v>
      </c>
      <c r="T43" s="10">
        <f t="shared" si="8"/>
        <v>135.5</v>
      </c>
      <c r="U43" s="78">
        <f t="shared" si="9"/>
        <v>271</v>
      </c>
    </row>
    <row r="44" spans="1:22" x14ac:dyDescent="0.2">
      <c r="A44" s="2">
        <v>22384</v>
      </c>
      <c r="B44" s="187">
        <v>2014</v>
      </c>
      <c r="C44" s="2" t="s">
        <v>26</v>
      </c>
      <c r="D44" s="102"/>
      <c r="E44" s="146">
        <v>247</v>
      </c>
      <c r="F44" s="180"/>
      <c r="G44" s="180"/>
      <c r="H44" s="180"/>
      <c r="I44" s="180"/>
      <c r="J44" s="180"/>
      <c r="K44" s="180"/>
      <c r="L44" s="180">
        <v>0</v>
      </c>
      <c r="M44" s="180">
        <v>0</v>
      </c>
      <c r="N44" s="180">
        <v>10</v>
      </c>
      <c r="O44" s="180">
        <v>7</v>
      </c>
      <c r="P44" s="180">
        <v>6</v>
      </c>
      <c r="Q44" s="180">
        <v>6</v>
      </c>
      <c r="R44" s="3">
        <f t="shared" si="10"/>
        <v>29</v>
      </c>
      <c r="S44" s="11">
        <f t="shared" si="11"/>
        <v>4.833333333333333</v>
      </c>
      <c r="T44" s="10">
        <f t="shared" si="8"/>
        <v>45.103448275862071</v>
      </c>
      <c r="U44" s="78">
        <f t="shared" si="9"/>
        <v>218</v>
      </c>
    </row>
    <row r="45" spans="1:22" x14ac:dyDescent="0.2">
      <c r="A45" s="2">
        <v>27736</v>
      </c>
      <c r="B45" s="187">
        <v>2014</v>
      </c>
      <c r="C45" s="2" t="s">
        <v>56</v>
      </c>
      <c r="D45" s="102"/>
      <c r="E45" s="146">
        <v>476</v>
      </c>
      <c r="F45" s="180"/>
      <c r="G45" s="180"/>
      <c r="H45" s="180"/>
      <c r="I45" s="180"/>
      <c r="J45" s="180"/>
      <c r="K45" s="180"/>
      <c r="L45" s="180">
        <v>10</v>
      </c>
      <c r="M45" s="180">
        <v>6</v>
      </c>
      <c r="N45" s="180">
        <v>13</v>
      </c>
      <c r="O45" s="180">
        <v>6</v>
      </c>
      <c r="P45" s="180">
        <v>6</v>
      </c>
      <c r="Q45" s="180">
        <v>11</v>
      </c>
      <c r="R45" s="3">
        <f t="shared" si="10"/>
        <v>52</v>
      </c>
      <c r="S45" s="11">
        <f t="shared" si="11"/>
        <v>8.6666666666666661</v>
      </c>
      <c r="T45" s="10">
        <f t="shared" si="8"/>
        <v>48.923076923076927</v>
      </c>
      <c r="U45" s="78">
        <f t="shared" si="9"/>
        <v>424</v>
      </c>
    </row>
    <row r="46" spans="1:22" x14ac:dyDescent="0.2">
      <c r="A46" s="2">
        <v>28361</v>
      </c>
      <c r="B46" s="187">
        <v>2014</v>
      </c>
      <c r="C46" s="2" t="s">
        <v>24</v>
      </c>
      <c r="D46" s="102"/>
      <c r="E46" s="146">
        <v>141</v>
      </c>
      <c r="F46" s="180"/>
      <c r="G46" s="180"/>
      <c r="H46" s="180"/>
      <c r="I46" s="180"/>
      <c r="J46" s="180"/>
      <c r="K46" s="180"/>
      <c r="L46" s="180"/>
      <c r="M46" s="180"/>
      <c r="N46" s="180"/>
      <c r="O46" s="180"/>
      <c r="P46" s="180"/>
      <c r="Q46" s="180">
        <v>1</v>
      </c>
      <c r="R46" s="3">
        <f t="shared" si="10"/>
        <v>1</v>
      </c>
      <c r="S46" s="11">
        <f t="shared" si="11"/>
        <v>1</v>
      </c>
      <c r="T46" s="10">
        <f t="shared" si="8"/>
        <v>140</v>
      </c>
      <c r="U46" s="78">
        <f t="shared" si="9"/>
        <v>140</v>
      </c>
    </row>
    <row r="47" spans="1:22" x14ac:dyDescent="0.2">
      <c r="A47" s="2">
        <v>22921</v>
      </c>
      <c r="B47" s="187">
        <v>2014</v>
      </c>
      <c r="C47" s="2" t="s">
        <v>22</v>
      </c>
      <c r="D47" s="102"/>
      <c r="E47" s="146">
        <v>676</v>
      </c>
      <c r="F47" s="180"/>
      <c r="G47" s="180"/>
      <c r="H47" s="180"/>
      <c r="I47" s="180"/>
      <c r="J47" s="180"/>
      <c r="K47" s="180"/>
      <c r="L47" s="180"/>
      <c r="M47" s="180"/>
      <c r="N47" s="180"/>
      <c r="O47" s="180"/>
      <c r="P47" s="180"/>
      <c r="Q47" s="180">
        <v>1</v>
      </c>
      <c r="R47" s="3">
        <f t="shared" si="10"/>
        <v>1</v>
      </c>
      <c r="S47" s="11">
        <f t="shared" si="11"/>
        <v>1</v>
      </c>
      <c r="T47" s="10">
        <f t="shared" si="8"/>
        <v>675</v>
      </c>
      <c r="U47" s="78">
        <f t="shared" si="9"/>
        <v>675</v>
      </c>
    </row>
    <row r="48" spans="1:22" x14ac:dyDescent="0.2">
      <c r="A48" s="16">
        <v>34641</v>
      </c>
      <c r="B48" s="187">
        <v>2014</v>
      </c>
      <c r="C48" s="16" t="s">
        <v>52</v>
      </c>
      <c r="D48" s="193"/>
      <c r="E48" s="194">
        <v>372</v>
      </c>
      <c r="F48" s="195"/>
      <c r="G48" s="195"/>
      <c r="H48" s="195"/>
      <c r="I48" s="195"/>
      <c r="J48" s="195"/>
      <c r="K48" s="195"/>
      <c r="L48" s="195"/>
      <c r="M48" s="195"/>
      <c r="N48" s="195"/>
      <c r="O48" s="195"/>
      <c r="P48" s="195"/>
      <c r="Q48" s="195">
        <v>1</v>
      </c>
      <c r="R48" s="17">
        <f>SUM(F48:Q48)</f>
        <v>1</v>
      </c>
      <c r="S48" s="18">
        <f>AVERAGE(F48:Q48)</f>
        <v>1</v>
      </c>
      <c r="T48" s="20">
        <f>U48/S48</f>
        <v>371</v>
      </c>
      <c r="U48" s="94">
        <f>SUM(E48-R48)</f>
        <v>371</v>
      </c>
    </row>
    <row r="49" spans="1:21" x14ac:dyDescent="0.2">
      <c r="A49" s="2">
        <v>18004</v>
      </c>
      <c r="B49" s="196">
        <v>2014</v>
      </c>
      <c r="C49" s="2" t="s">
        <v>99</v>
      </c>
      <c r="D49" s="102"/>
      <c r="E49" s="146">
        <v>264</v>
      </c>
      <c r="F49" s="180"/>
      <c r="G49" s="180"/>
      <c r="H49" s="180"/>
      <c r="I49" s="180"/>
      <c r="J49" s="180"/>
      <c r="K49" s="180"/>
      <c r="L49" s="180"/>
      <c r="M49" s="180"/>
      <c r="N49" s="180">
        <v>6</v>
      </c>
      <c r="O49" s="180">
        <v>13</v>
      </c>
      <c r="P49" s="145">
        <v>11</v>
      </c>
      <c r="Q49" s="145">
        <v>11</v>
      </c>
      <c r="R49" s="17">
        <f>SUM(F49:Q49)</f>
        <v>41</v>
      </c>
      <c r="S49" s="18">
        <f>AVERAGE(F49:Q49)</f>
        <v>10.25</v>
      </c>
      <c r="T49" s="20">
        <f>U49/S49</f>
        <v>21.756097560975611</v>
      </c>
      <c r="U49" s="94">
        <f>SUM(E49-R49)</f>
        <v>223</v>
      </c>
    </row>
    <row r="50" spans="1:21" x14ac:dyDescent="0.2">
      <c r="A50" s="2">
        <v>86051</v>
      </c>
      <c r="B50" s="196">
        <v>2014</v>
      </c>
      <c r="C50" s="2" t="s">
        <v>94</v>
      </c>
      <c r="D50" s="197"/>
      <c r="E50" s="146">
        <v>322</v>
      </c>
      <c r="F50" s="198"/>
      <c r="G50" s="198"/>
      <c r="H50" s="198"/>
      <c r="I50" s="198"/>
      <c r="J50" s="198"/>
      <c r="K50" s="198"/>
      <c r="L50" s="198"/>
      <c r="M50" s="198"/>
      <c r="N50" s="198"/>
      <c r="O50" s="212"/>
      <c r="P50" s="212"/>
      <c r="Q50" s="212">
        <v>1</v>
      </c>
      <c r="R50" s="17">
        <f>SUM(F50:Q50)</f>
        <v>1</v>
      </c>
      <c r="S50" s="18">
        <f>AVERAGE(F50:Q50)</f>
        <v>1</v>
      </c>
      <c r="T50" s="20">
        <f>U50/S50</f>
        <v>321</v>
      </c>
      <c r="U50" s="94">
        <f>SUM(E50-R50)</f>
        <v>321</v>
      </c>
    </row>
    <row r="51" spans="1:21" x14ac:dyDescent="0.2">
      <c r="A51" s="2"/>
      <c r="B51" s="196">
        <v>2014</v>
      </c>
      <c r="C51" s="2" t="s">
        <v>100</v>
      </c>
      <c r="D51" s="197"/>
      <c r="E51" s="146">
        <v>134</v>
      </c>
      <c r="F51" s="198"/>
      <c r="G51" s="198"/>
      <c r="H51" s="198"/>
      <c r="I51" s="198"/>
      <c r="J51" s="198"/>
      <c r="K51" s="198"/>
      <c r="L51" s="198"/>
      <c r="M51" s="198"/>
      <c r="N51" s="198"/>
      <c r="O51" s="212">
        <v>18</v>
      </c>
      <c r="P51" s="213">
        <v>20</v>
      </c>
      <c r="Q51" s="213">
        <v>18</v>
      </c>
      <c r="R51" s="17">
        <f>SUM(F51:Q51)</f>
        <v>56</v>
      </c>
      <c r="S51" s="18">
        <f>AVERAGE(F51:Q51)</f>
        <v>18.666666666666668</v>
      </c>
      <c r="T51" s="20">
        <f>U51/S51</f>
        <v>4.1785714285714279</v>
      </c>
      <c r="U51" s="94">
        <f>SUM(E51-R51)</f>
        <v>78</v>
      </c>
    </row>
    <row r="52" spans="1:21" x14ac:dyDescent="0.2">
      <c r="A52" s="162"/>
      <c r="B52" s="162"/>
      <c r="C52" s="162"/>
      <c r="D52" s="162"/>
      <c r="E52" s="162"/>
      <c r="F52" s="162"/>
      <c r="G52" s="162"/>
      <c r="H52" s="162"/>
      <c r="I52" s="162"/>
      <c r="J52" s="162"/>
      <c r="K52" s="162"/>
      <c r="L52" s="162"/>
      <c r="M52" s="162"/>
      <c r="N52" s="162"/>
      <c r="O52" s="211"/>
      <c r="P52" s="211"/>
      <c r="Q52" s="162"/>
      <c r="R52" s="162"/>
      <c r="S52" s="162"/>
      <c r="T52" s="162"/>
      <c r="U52" s="162"/>
    </row>
    <row r="53" spans="1:21" x14ac:dyDescent="0.2">
      <c r="A53" s="2"/>
      <c r="B53" s="158">
        <v>2011</v>
      </c>
      <c r="C53" s="16"/>
      <c r="D53" s="139"/>
      <c r="E53" s="93">
        <f t="shared" ref="E53:R53" si="12">SUM(E10:E13)</f>
        <v>276</v>
      </c>
      <c r="F53" s="93">
        <f t="shared" si="12"/>
        <v>90</v>
      </c>
      <c r="G53" s="93">
        <f t="shared" si="12"/>
        <v>36</v>
      </c>
      <c r="H53" s="93">
        <f t="shared" si="12"/>
        <v>46</v>
      </c>
      <c r="I53" s="93">
        <f t="shared" si="12"/>
        <v>31</v>
      </c>
      <c r="J53" s="93">
        <f t="shared" si="12"/>
        <v>24</v>
      </c>
      <c r="K53" s="93">
        <f t="shared" si="12"/>
        <v>11</v>
      </c>
      <c r="L53" s="93">
        <f t="shared" si="12"/>
        <v>22</v>
      </c>
      <c r="M53" s="93">
        <f t="shared" si="12"/>
        <v>16</v>
      </c>
      <c r="N53" s="93">
        <f t="shared" si="12"/>
        <v>0</v>
      </c>
      <c r="O53" s="93">
        <f t="shared" si="12"/>
        <v>0</v>
      </c>
      <c r="P53" s="93">
        <f t="shared" si="12"/>
        <v>0</v>
      </c>
      <c r="Q53" s="93">
        <f t="shared" si="12"/>
        <v>0</v>
      </c>
      <c r="R53" s="18">
        <f t="shared" si="12"/>
        <v>276</v>
      </c>
      <c r="S53" s="18">
        <f>AVERAGE(F53:Q53)</f>
        <v>23</v>
      </c>
      <c r="T53" s="20">
        <f>U53/S53</f>
        <v>0</v>
      </c>
      <c r="U53" s="188">
        <f>SUM(U10:U13)</f>
        <v>0</v>
      </c>
    </row>
    <row r="54" spans="1:21" x14ac:dyDescent="0.2">
      <c r="A54" s="2"/>
      <c r="B54" s="134">
        <v>2012</v>
      </c>
      <c r="C54" s="2"/>
      <c r="D54" s="129"/>
      <c r="E54" s="93">
        <f t="shared" ref="E54:R54" si="13">SUM(E15:E21)</f>
        <v>2080</v>
      </c>
      <c r="F54" s="93">
        <f t="shared" si="13"/>
        <v>147</v>
      </c>
      <c r="G54" s="93">
        <f t="shared" si="13"/>
        <v>119</v>
      </c>
      <c r="H54" s="93">
        <f t="shared" si="13"/>
        <v>118</v>
      </c>
      <c r="I54" s="93">
        <f t="shared" si="13"/>
        <v>185</v>
      </c>
      <c r="J54" s="93">
        <f t="shared" si="13"/>
        <v>151</v>
      </c>
      <c r="K54" s="93">
        <f t="shared" si="13"/>
        <v>149</v>
      </c>
      <c r="L54" s="93">
        <f t="shared" si="13"/>
        <v>200</v>
      </c>
      <c r="M54" s="93">
        <f t="shared" si="13"/>
        <v>160</v>
      </c>
      <c r="N54" s="93">
        <f t="shared" si="13"/>
        <v>186</v>
      </c>
      <c r="O54" s="93">
        <f t="shared" si="13"/>
        <v>172</v>
      </c>
      <c r="P54" s="93">
        <f t="shared" si="13"/>
        <v>105</v>
      </c>
      <c r="Q54" s="93">
        <f t="shared" si="13"/>
        <v>59</v>
      </c>
      <c r="R54" s="18">
        <f t="shared" si="13"/>
        <v>1751</v>
      </c>
      <c r="S54" s="18">
        <f>AVERAGE(F54:Q54)</f>
        <v>145.91666666666666</v>
      </c>
      <c r="T54" s="20">
        <f>U54/S54</f>
        <v>2.2547115933752142</v>
      </c>
      <c r="U54" s="188">
        <f>SUM(U15:U21)</f>
        <v>329</v>
      </c>
    </row>
    <row r="55" spans="1:21" x14ac:dyDescent="0.2">
      <c r="A55" s="2"/>
      <c r="B55" s="134">
        <v>2013</v>
      </c>
      <c r="C55" s="2"/>
      <c r="D55" s="129"/>
      <c r="E55" s="93">
        <f t="shared" ref="E55:R55" si="14">SUM(E23:E35)</f>
        <v>3772</v>
      </c>
      <c r="F55" s="93">
        <f t="shared" si="14"/>
        <v>140</v>
      </c>
      <c r="G55" s="93">
        <f t="shared" si="14"/>
        <v>88</v>
      </c>
      <c r="H55" s="93">
        <f t="shared" si="14"/>
        <v>59</v>
      </c>
      <c r="I55" s="93">
        <f t="shared" si="14"/>
        <v>57</v>
      </c>
      <c r="J55" s="93">
        <f t="shared" si="14"/>
        <v>91</v>
      </c>
      <c r="K55" s="93">
        <f t="shared" si="14"/>
        <v>94</v>
      </c>
      <c r="L55" s="93">
        <f t="shared" si="14"/>
        <v>150</v>
      </c>
      <c r="M55" s="93">
        <f t="shared" si="14"/>
        <v>107</v>
      </c>
      <c r="N55" s="93">
        <f t="shared" si="14"/>
        <v>115</v>
      </c>
      <c r="O55" s="93">
        <f t="shared" si="14"/>
        <v>254</v>
      </c>
      <c r="P55" s="93">
        <f t="shared" si="14"/>
        <v>211</v>
      </c>
      <c r="Q55" s="93">
        <f t="shared" si="14"/>
        <v>234</v>
      </c>
      <c r="R55" s="184">
        <f t="shared" si="14"/>
        <v>1600</v>
      </c>
      <c r="S55" s="184">
        <f>AVERAGE(F55:Q55)</f>
        <v>133.33333333333334</v>
      </c>
      <c r="T55" s="185">
        <f>U55/S55</f>
        <v>16.29</v>
      </c>
      <c r="U55" s="184">
        <f>SUM(U23:U35)</f>
        <v>2172</v>
      </c>
    </row>
    <row r="56" spans="1:21" x14ac:dyDescent="0.2">
      <c r="A56" s="2"/>
      <c r="B56" s="134">
        <v>2014</v>
      </c>
      <c r="C56" s="2"/>
      <c r="D56" s="129"/>
      <c r="E56" s="93">
        <f t="shared" ref="E56:R56" si="15">SUM(E37:E48)</f>
        <v>4298</v>
      </c>
      <c r="F56" s="93">
        <f t="shared" si="15"/>
        <v>0</v>
      </c>
      <c r="G56" s="93">
        <f t="shared" si="15"/>
        <v>0</v>
      </c>
      <c r="H56" s="93">
        <f t="shared" si="15"/>
        <v>0</v>
      </c>
      <c r="I56" s="93">
        <f t="shared" si="15"/>
        <v>107</v>
      </c>
      <c r="J56" s="93">
        <f t="shared" si="15"/>
        <v>99</v>
      </c>
      <c r="K56" s="93">
        <f t="shared" si="15"/>
        <v>85</v>
      </c>
      <c r="L56" s="93">
        <f t="shared" si="15"/>
        <v>161</v>
      </c>
      <c r="M56" s="93">
        <f t="shared" si="15"/>
        <v>102</v>
      </c>
      <c r="N56" s="93">
        <f t="shared" si="15"/>
        <v>125</v>
      </c>
      <c r="O56" s="93">
        <f t="shared" si="15"/>
        <v>125</v>
      </c>
      <c r="P56" s="93">
        <f t="shared" si="15"/>
        <v>62</v>
      </c>
      <c r="Q56" s="93">
        <f>SUM(Q37:Q48)</f>
        <v>59</v>
      </c>
      <c r="R56" s="184">
        <f t="shared" si="15"/>
        <v>925</v>
      </c>
      <c r="S56" s="184">
        <f>AVERAGE(F56:Q56)</f>
        <v>77.083333333333329</v>
      </c>
      <c r="T56" s="185">
        <f>U56/S56</f>
        <v>43.75783783783784</v>
      </c>
      <c r="U56" s="184">
        <f>SUM(U37:U48)</f>
        <v>3373</v>
      </c>
    </row>
    <row r="57" spans="1:21" x14ac:dyDescent="0.2">
      <c r="A57" s="2"/>
      <c r="B57" s="159" t="s">
        <v>59</v>
      </c>
      <c r="C57" s="2"/>
      <c r="D57" s="129"/>
      <c r="E57" s="173">
        <f>SUM(E53:E54)</f>
        <v>2356</v>
      </c>
      <c r="F57" s="173">
        <f t="shared" ref="F57:S57" si="16">SUM(F53:F56)</f>
        <v>377</v>
      </c>
      <c r="G57" s="173">
        <f t="shared" si="16"/>
        <v>243</v>
      </c>
      <c r="H57" s="173">
        <f t="shared" si="16"/>
        <v>223</v>
      </c>
      <c r="I57" s="173">
        <f t="shared" si="16"/>
        <v>380</v>
      </c>
      <c r="J57" s="173">
        <f t="shared" si="16"/>
        <v>365</v>
      </c>
      <c r="K57" s="173">
        <f t="shared" si="16"/>
        <v>339</v>
      </c>
      <c r="L57" s="173">
        <f t="shared" si="16"/>
        <v>533</v>
      </c>
      <c r="M57" s="173">
        <f t="shared" si="16"/>
        <v>385</v>
      </c>
      <c r="N57" s="173">
        <f t="shared" si="16"/>
        <v>426</v>
      </c>
      <c r="O57" s="173">
        <f t="shared" si="16"/>
        <v>551</v>
      </c>
      <c r="P57" s="173">
        <f t="shared" si="16"/>
        <v>378</v>
      </c>
      <c r="Q57" s="173">
        <f t="shared" si="16"/>
        <v>352</v>
      </c>
      <c r="R57" s="192">
        <f t="shared" si="16"/>
        <v>4552</v>
      </c>
      <c r="S57" s="11">
        <f t="shared" si="16"/>
        <v>379.33333333333331</v>
      </c>
      <c r="T57" s="20">
        <f>U57/S57</f>
        <v>15.485061511423551</v>
      </c>
      <c r="U57" s="11">
        <f>SUM(U53:U56)</f>
        <v>5874</v>
      </c>
    </row>
    <row r="58" spans="1:21" x14ac:dyDescent="0.2">
      <c r="A58" s="162"/>
      <c r="B58" s="141"/>
      <c r="C58" s="141"/>
      <c r="D58" s="142"/>
      <c r="E58" s="174"/>
      <c r="F58" s="174"/>
      <c r="G58" s="174"/>
      <c r="H58" s="174"/>
      <c r="I58" s="174"/>
      <c r="J58" s="174"/>
      <c r="K58" s="174"/>
      <c r="L58" s="174"/>
      <c r="M58" s="174"/>
      <c r="N58" s="174"/>
      <c r="O58" s="174"/>
      <c r="P58" s="174"/>
      <c r="Q58" s="174"/>
      <c r="R58" s="141"/>
      <c r="S58" s="142"/>
      <c r="T58" s="143"/>
      <c r="U58" s="189"/>
    </row>
    <row r="59" spans="1:21" ht="13.5" thickBot="1" x14ac:dyDescent="0.25">
      <c r="E59" s="168"/>
      <c r="F59" s="168"/>
      <c r="G59" s="168"/>
      <c r="H59" s="168"/>
      <c r="I59" s="168"/>
      <c r="J59" s="168"/>
      <c r="K59" s="168"/>
      <c r="L59" s="168"/>
      <c r="M59" s="168"/>
      <c r="N59" s="168"/>
      <c r="Q59" s="168"/>
    </row>
    <row r="60" spans="1:21" ht="48" thickBot="1" x14ac:dyDescent="0.45">
      <c r="B60" s="116" t="s">
        <v>60</v>
      </c>
      <c r="C60" s="117"/>
      <c r="D60" s="117"/>
      <c r="E60" s="118" t="s">
        <v>61</v>
      </c>
      <c r="F60" s="446" t="s">
        <v>62</v>
      </c>
      <c r="G60" s="447"/>
      <c r="H60" s="447"/>
      <c r="I60" s="447"/>
      <c r="J60" s="447"/>
      <c r="K60" s="447"/>
      <c r="L60" s="447"/>
      <c r="M60" s="447"/>
      <c r="N60" s="447"/>
      <c r="O60" s="447"/>
      <c r="P60" s="447"/>
      <c r="Q60" s="447"/>
      <c r="R60" s="119" t="s">
        <v>63</v>
      </c>
      <c r="S60" s="120"/>
      <c r="T60" s="120"/>
      <c r="U60" s="120"/>
    </row>
    <row r="61" spans="1:21" x14ac:dyDescent="0.2">
      <c r="B61" s="22"/>
      <c r="C61" s="121"/>
      <c r="D61" s="22"/>
      <c r="E61" s="128"/>
      <c r="F61" s="175"/>
      <c r="G61" s="175"/>
      <c r="H61" s="175"/>
      <c r="I61" s="175"/>
      <c r="J61" s="175"/>
      <c r="K61" s="175"/>
      <c r="L61" s="175"/>
      <c r="M61" s="175"/>
      <c r="N61" s="175"/>
      <c r="O61" s="175"/>
      <c r="P61" s="175"/>
      <c r="Q61" s="176"/>
      <c r="R61" s="22"/>
    </row>
    <row r="62" spans="1:21" x14ac:dyDescent="0.2">
      <c r="B62" s="2"/>
      <c r="C62" s="114"/>
      <c r="D62" s="2"/>
      <c r="E62" s="175"/>
      <c r="F62" s="146"/>
      <c r="G62" s="146"/>
      <c r="H62" s="146"/>
      <c r="I62" s="146"/>
      <c r="J62" s="146"/>
      <c r="K62" s="146"/>
      <c r="L62" s="146"/>
      <c r="M62" s="146"/>
      <c r="N62" s="146"/>
      <c r="O62" s="146"/>
      <c r="P62" s="146"/>
      <c r="Q62" s="177"/>
      <c r="R62" s="2"/>
    </row>
    <row r="63" spans="1:21" x14ac:dyDescent="0.2">
      <c r="B63" s="46"/>
      <c r="C63" s="46"/>
      <c r="D63" s="46"/>
      <c r="E63" s="170"/>
      <c r="F63" s="170"/>
      <c r="G63" s="170"/>
      <c r="H63" s="170"/>
      <c r="I63" s="170"/>
      <c r="J63" s="170"/>
      <c r="K63" s="170"/>
      <c r="L63" s="170"/>
      <c r="M63" s="170"/>
      <c r="N63" s="170"/>
      <c r="O63" s="170"/>
      <c r="P63" s="170"/>
      <c r="Q63" s="178"/>
      <c r="R63" s="46"/>
    </row>
    <row r="64" spans="1:21" x14ac:dyDescent="0.2">
      <c r="B64" s="2"/>
      <c r="C64" s="114"/>
      <c r="D64" s="2"/>
      <c r="E64" s="146"/>
      <c r="F64" s="146"/>
      <c r="G64" s="146"/>
      <c r="H64" s="146"/>
      <c r="I64" s="146"/>
      <c r="J64" s="146"/>
      <c r="K64" s="146"/>
      <c r="L64" s="146"/>
      <c r="M64" s="146"/>
      <c r="N64" s="146"/>
      <c r="O64" s="146"/>
      <c r="P64" s="146"/>
      <c r="Q64" s="177"/>
      <c r="R64" s="2"/>
    </row>
    <row r="65" spans="2:18" x14ac:dyDescent="0.2">
      <c r="B65" s="2"/>
      <c r="C65" s="114"/>
      <c r="D65" s="2"/>
      <c r="E65" s="146"/>
      <c r="F65" s="146"/>
      <c r="G65" s="146"/>
      <c r="H65" s="146"/>
      <c r="I65" s="146"/>
      <c r="J65" s="146"/>
      <c r="K65" s="146"/>
      <c r="L65" s="146"/>
      <c r="M65" s="146"/>
      <c r="N65" s="146"/>
      <c r="O65" s="146"/>
      <c r="P65" s="146"/>
      <c r="Q65" s="177"/>
      <c r="R65" s="2"/>
    </row>
    <row r="66" spans="2:18" x14ac:dyDescent="0.2">
      <c r="B66" s="75"/>
      <c r="C66" s="125"/>
      <c r="D66" s="75"/>
      <c r="E66" s="179"/>
      <c r="F66" s="179"/>
      <c r="G66" s="179"/>
      <c r="H66" s="179"/>
      <c r="I66" s="179"/>
      <c r="J66" s="179"/>
      <c r="K66" s="179"/>
      <c r="L66" s="179"/>
      <c r="M66" s="179"/>
      <c r="N66" s="179"/>
      <c r="O66" s="179"/>
      <c r="P66" s="179"/>
      <c r="Q66" s="179"/>
      <c r="R66" s="46"/>
    </row>
    <row r="67" spans="2:18" ht="13.5" thickBot="1" x14ac:dyDescent="0.25">
      <c r="C67" s="126"/>
      <c r="E67" s="168"/>
      <c r="F67" s="168"/>
      <c r="G67" s="168"/>
      <c r="H67" s="168"/>
      <c r="I67" s="168"/>
      <c r="J67" s="168"/>
      <c r="K67" s="168"/>
      <c r="L67" s="168"/>
      <c r="M67" s="168"/>
      <c r="N67" s="168"/>
      <c r="Q67" s="168"/>
    </row>
    <row r="68" spans="2:18" ht="63.75" thickBot="1" x14ac:dyDescent="0.45">
      <c r="B68" s="448" t="s">
        <v>60</v>
      </c>
      <c r="C68" s="449"/>
      <c r="D68" s="450"/>
      <c r="E68" s="127" t="s">
        <v>64</v>
      </c>
      <c r="F68" s="446" t="s">
        <v>65</v>
      </c>
      <c r="G68" s="447"/>
      <c r="H68" s="447"/>
      <c r="I68" s="447"/>
      <c r="J68" s="447"/>
      <c r="K68" s="447"/>
      <c r="L68" s="447"/>
      <c r="M68" s="447"/>
      <c r="N68" s="447"/>
      <c r="O68" s="447"/>
      <c r="P68" s="447"/>
      <c r="Q68" s="451"/>
      <c r="R68" s="119" t="s">
        <v>66</v>
      </c>
    </row>
    <row r="69" spans="2:18" ht="15.75" x14ac:dyDescent="0.25">
      <c r="B69" s="22"/>
      <c r="C69" s="121"/>
      <c r="D69" s="22"/>
      <c r="E69" s="122"/>
      <c r="F69" s="175"/>
      <c r="G69" s="175"/>
      <c r="H69" s="175"/>
      <c r="I69" s="175"/>
      <c r="J69" s="175"/>
      <c r="K69" s="175"/>
      <c r="L69" s="175"/>
      <c r="M69" s="175"/>
      <c r="N69" s="175"/>
      <c r="O69" s="175"/>
      <c r="P69" s="175"/>
      <c r="Q69" s="175"/>
      <c r="R69" s="22"/>
    </row>
    <row r="70" spans="2:18" x14ac:dyDescent="0.2">
      <c r="B70" s="2"/>
      <c r="C70" s="114"/>
      <c r="D70" s="2"/>
      <c r="E70" s="175"/>
      <c r="F70" s="146"/>
      <c r="G70" s="146"/>
      <c r="H70" s="146"/>
      <c r="I70" s="146"/>
      <c r="J70" s="146"/>
      <c r="K70" s="146"/>
      <c r="L70" s="146"/>
      <c r="M70" s="146"/>
      <c r="N70" s="146"/>
      <c r="O70" s="146"/>
      <c r="P70" s="146"/>
      <c r="Q70" s="146"/>
      <c r="R70" s="2"/>
    </row>
    <row r="71" spans="2:18" x14ac:dyDescent="0.2">
      <c r="B71" s="46"/>
      <c r="C71" s="46"/>
      <c r="D71" s="46"/>
      <c r="E71" s="170"/>
      <c r="F71" s="170"/>
      <c r="G71" s="170"/>
      <c r="H71" s="170"/>
      <c r="I71" s="170"/>
      <c r="J71" s="170"/>
      <c r="K71" s="170"/>
      <c r="L71" s="170"/>
      <c r="M71" s="170"/>
      <c r="N71" s="170"/>
      <c r="O71" s="170"/>
      <c r="P71" s="170"/>
      <c r="Q71" s="170"/>
      <c r="R71" s="46"/>
    </row>
    <row r="72" spans="2:18" x14ac:dyDescent="0.2">
      <c r="B72" s="2"/>
      <c r="C72" s="114"/>
      <c r="D72" s="2"/>
      <c r="E72" s="146"/>
      <c r="F72" s="146"/>
      <c r="G72" s="146"/>
      <c r="H72" s="146"/>
      <c r="I72" s="146"/>
      <c r="J72" s="146"/>
      <c r="K72" s="146"/>
      <c r="L72" s="146"/>
      <c r="M72" s="146"/>
      <c r="N72" s="146"/>
      <c r="O72" s="146"/>
      <c r="P72" s="146"/>
      <c r="Q72" s="146"/>
      <c r="R72" s="2"/>
    </row>
    <row r="73" spans="2:18" x14ac:dyDescent="0.2">
      <c r="B73" s="2"/>
      <c r="C73" s="114"/>
      <c r="D73" s="2"/>
      <c r="E73" s="146"/>
      <c r="F73" s="146"/>
      <c r="G73" s="146"/>
      <c r="H73" s="146"/>
      <c r="I73" s="146"/>
      <c r="J73" s="146"/>
      <c r="K73" s="146"/>
      <c r="L73" s="146"/>
      <c r="M73" s="146"/>
      <c r="N73" s="146"/>
      <c r="O73" s="146"/>
      <c r="P73" s="146"/>
      <c r="Q73" s="146"/>
      <c r="R73" s="2"/>
    </row>
  </sheetData>
  <mergeCells count="3">
    <mergeCell ref="F60:Q60"/>
    <mergeCell ref="B68:D68"/>
    <mergeCell ref="F68:Q68"/>
  </mergeCells>
  <pageMargins left="0.7" right="0.7" top="0.75" bottom="0.75" header="0.3" footer="0.3"/>
  <pageSetup orientation="portrait" horizontalDpi="4294967293" vertic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workbookViewId="0">
      <selection sqref="A1:D25"/>
    </sheetView>
  </sheetViews>
  <sheetFormatPr defaultRowHeight="12.75" x14ac:dyDescent="0.2"/>
  <cols>
    <col min="1" max="1" width="12.42578125" style="168" bestFit="1" customWidth="1"/>
    <col min="2" max="3" width="9.28515625" style="168"/>
    <col min="4" max="4" width="9.28515625" style="216"/>
    <col min="9" max="9" width="10.7109375" style="168" bestFit="1" customWidth="1"/>
    <col min="10" max="10" width="9.28515625" style="168"/>
  </cols>
  <sheetData>
    <row r="1" spans="1:10" x14ac:dyDescent="0.2">
      <c r="A1" s="217" t="s">
        <v>81</v>
      </c>
      <c r="B1" s="217"/>
      <c r="C1" s="217" t="s">
        <v>101</v>
      </c>
      <c r="D1" s="218" t="s">
        <v>102</v>
      </c>
      <c r="I1" s="217" t="s">
        <v>103</v>
      </c>
      <c r="J1" s="217" t="s">
        <v>104</v>
      </c>
    </row>
    <row r="2" spans="1:10" x14ac:dyDescent="0.2">
      <c r="A2" s="168">
        <v>2012</v>
      </c>
      <c r="B2" s="215" t="s">
        <v>105</v>
      </c>
      <c r="C2" s="168">
        <v>3</v>
      </c>
      <c r="D2" s="216">
        <f>C2/12</f>
        <v>0.25</v>
      </c>
      <c r="I2" s="215" t="s">
        <v>106</v>
      </c>
      <c r="J2" s="168">
        <v>1860</v>
      </c>
    </row>
    <row r="3" spans="1:10" x14ac:dyDescent="0.2">
      <c r="A3" s="168">
        <v>2013</v>
      </c>
      <c r="B3" s="215" t="s">
        <v>105</v>
      </c>
      <c r="C3" s="168">
        <v>43</v>
      </c>
      <c r="D3" s="216">
        <f>C3/12</f>
        <v>3.5833333333333335</v>
      </c>
      <c r="I3" s="215" t="s">
        <v>107</v>
      </c>
      <c r="J3" s="168">
        <v>850</v>
      </c>
    </row>
    <row r="4" spans="1:10" x14ac:dyDescent="0.2">
      <c r="A4" s="168">
        <v>2014</v>
      </c>
      <c r="B4" s="215" t="s">
        <v>105</v>
      </c>
      <c r="C4" s="168">
        <v>14</v>
      </c>
      <c r="D4" s="216">
        <f t="shared" ref="D4:D25" si="0">C4/12</f>
        <v>1.1666666666666667</v>
      </c>
      <c r="I4" s="215" t="s">
        <v>108</v>
      </c>
      <c r="J4" s="168">
        <v>825</v>
      </c>
    </row>
    <row r="5" spans="1:10" x14ac:dyDescent="0.2">
      <c r="A5" s="168">
        <v>2013</v>
      </c>
      <c r="B5" s="215" t="s">
        <v>109</v>
      </c>
      <c r="C5" s="168">
        <v>28</v>
      </c>
      <c r="D5" s="216">
        <f t="shared" si="0"/>
        <v>2.3333333333333335</v>
      </c>
      <c r="I5" s="215" t="s">
        <v>110</v>
      </c>
      <c r="J5" s="168">
        <v>800</v>
      </c>
    </row>
    <row r="6" spans="1:10" x14ac:dyDescent="0.2">
      <c r="A6" s="168">
        <v>2014</v>
      </c>
      <c r="B6" s="215" t="s">
        <v>109</v>
      </c>
      <c r="C6" s="168">
        <v>33</v>
      </c>
      <c r="D6" s="216">
        <f t="shared" si="0"/>
        <v>2.75</v>
      </c>
      <c r="I6" s="215" t="s">
        <v>111</v>
      </c>
      <c r="J6" s="168">
        <v>2650</v>
      </c>
    </row>
    <row r="7" spans="1:10" x14ac:dyDescent="0.2">
      <c r="A7" s="168">
        <v>2014</v>
      </c>
      <c r="B7" s="215" t="s">
        <v>106</v>
      </c>
      <c r="C7" s="168">
        <v>41</v>
      </c>
      <c r="D7" s="216">
        <f t="shared" si="0"/>
        <v>3.4166666666666665</v>
      </c>
      <c r="I7" s="215" t="s">
        <v>25</v>
      </c>
      <c r="J7" s="168">
        <v>3700</v>
      </c>
    </row>
    <row r="8" spans="1:10" x14ac:dyDescent="0.2">
      <c r="A8" s="168">
        <v>2012</v>
      </c>
      <c r="B8" s="215" t="s">
        <v>112</v>
      </c>
      <c r="C8" s="168">
        <v>35</v>
      </c>
      <c r="D8" s="216">
        <f t="shared" si="0"/>
        <v>2.9166666666666665</v>
      </c>
      <c r="I8" s="215" t="s">
        <v>109</v>
      </c>
      <c r="J8" s="168">
        <v>2380</v>
      </c>
    </row>
    <row r="9" spans="1:10" x14ac:dyDescent="0.2">
      <c r="A9" s="168">
        <v>2013</v>
      </c>
      <c r="B9" s="215" t="s">
        <v>112</v>
      </c>
      <c r="C9" s="168">
        <v>44</v>
      </c>
      <c r="D9" s="216">
        <f t="shared" si="0"/>
        <v>3.6666666666666665</v>
      </c>
      <c r="I9" s="215" t="s">
        <v>24</v>
      </c>
      <c r="J9" s="168">
        <v>2360</v>
      </c>
    </row>
    <row r="10" spans="1:10" x14ac:dyDescent="0.2">
      <c r="A10" s="168">
        <v>2014</v>
      </c>
      <c r="B10" s="215" t="s">
        <v>112</v>
      </c>
      <c r="C10" s="168">
        <v>9</v>
      </c>
      <c r="D10" s="216">
        <f t="shared" si="0"/>
        <v>0.75</v>
      </c>
      <c r="I10" s="215" t="s">
        <v>113</v>
      </c>
      <c r="J10" s="168">
        <v>700</v>
      </c>
    </row>
    <row r="11" spans="1:10" x14ac:dyDescent="0.2">
      <c r="A11" s="168">
        <v>2013</v>
      </c>
      <c r="B11" s="215" t="s">
        <v>114</v>
      </c>
      <c r="C11" s="168">
        <v>37</v>
      </c>
      <c r="D11" s="216">
        <f t="shared" si="0"/>
        <v>3.0833333333333335</v>
      </c>
      <c r="I11" s="215" t="s">
        <v>115</v>
      </c>
      <c r="J11" s="168">
        <v>1330</v>
      </c>
    </row>
    <row r="12" spans="1:10" x14ac:dyDescent="0.2">
      <c r="A12" s="168">
        <v>2014</v>
      </c>
      <c r="B12" s="215" t="s">
        <v>114</v>
      </c>
      <c r="C12" s="168">
        <v>21</v>
      </c>
      <c r="D12" s="216">
        <f t="shared" si="0"/>
        <v>1.75</v>
      </c>
      <c r="I12" s="215" t="s">
        <v>116</v>
      </c>
      <c r="J12" s="168">
        <v>1835</v>
      </c>
    </row>
    <row r="13" spans="1:10" x14ac:dyDescent="0.2">
      <c r="A13" s="168">
        <v>2013</v>
      </c>
      <c r="B13" s="215" t="s">
        <v>116</v>
      </c>
      <c r="C13" s="168">
        <v>18</v>
      </c>
      <c r="D13" s="216">
        <f t="shared" si="0"/>
        <v>1.5</v>
      </c>
      <c r="I13" s="215" t="s">
        <v>23</v>
      </c>
      <c r="J13" s="168">
        <v>1465</v>
      </c>
    </row>
    <row r="14" spans="1:10" x14ac:dyDescent="0.2">
      <c r="A14" s="168">
        <v>2014</v>
      </c>
      <c r="B14" s="215" t="s">
        <v>116</v>
      </c>
      <c r="C14" s="168">
        <v>30</v>
      </c>
      <c r="D14" s="216">
        <f t="shared" si="0"/>
        <v>2.5</v>
      </c>
      <c r="I14" s="215" t="s">
        <v>112</v>
      </c>
      <c r="J14" s="168">
        <v>1050</v>
      </c>
    </row>
    <row r="15" spans="1:10" x14ac:dyDescent="0.2">
      <c r="A15" s="168">
        <v>2012</v>
      </c>
      <c r="B15" s="215" t="s">
        <v>117</v>
      </c>
      <c r="C15" s="168">
        <v>11</v>
      </c>
      <c r="D15" s="216">
        <f t="shared" si="0"/>
        <v>0.91666666666666663</v>
      </c>
      <c r="I15" s="215" t="s">
        <v>118</v>
      </c>
      <c r="J15" s="168">
        <v>70</v>
      </c>
    </row>
    <row r="16" spans="1:10" x14ac:dyDescent="0.2">
      <c r="A16" s="168">
        <v>2013</v>
      </c>
      <c r="B16" s="215" t="s">
        <v>117</v>
      </c>
      <c r="C16" s="168">
        <v>27</v>
      </c>
      <c r="D16" s="216">
        <f t="shared" si="0"/>
        <v>2.25</v>
      </c>
      <c r="I16" s="215" t="s">
        <v>119</v>
      </c>
      <c r="J16" s="168">
        <v>550</v>
      </c>
    </row>
    <row r="17" spans="1:10" x14ac:dyDescent="0.2">
      <c r="A17" s="168">
        <v>2014</v>
      </c>
      <c r="B17" s="215" t="s">
        <v>117</v>
      </c>
      <c r="C17" s="168">
        <v>12</v>
      </c>
      <c r="D17" s="216">
        <f t="shared" si="0"/>
        <v>1</v>
      </c>
      <c r="I17" s="215" t="s">
        <v>120</v>
      </c>
      <c r="J17" s="168">
        <v>1100</v>
      </c>
    </row>
    <row r="18" spans="1:10" x14ac:dyDescent="0.2">
      <c r="A18" s="168">
        <v>2013</v>
      </c>
      <c r="B18" s="215" t="s">
        <v>121</v>
      </c>
      <c r="C18" s="168">
        <v>11</v>
      </c>
      <c r="D18" s="216">
        <f t="shared" si="0"/>
        <v>0.91666666666666663</v>
      </c>
    </row>
    <row r="19" spans="1:10" x14ac:dyDescent="0.2">
      <c r="A19" s="168">
        <v>2014</v>
      </c>
      <c r="B19" s="215" t="s">
        <v>121</v>
      </c>
      <c r="C19" s="168">
        <v>18</v>
      </c>
      <c r="D19" s="216">
        <f t="shared" si="0"/>
        <v>1.5</v>
      </c>
    </row>
    <row r="20" spans="1:10" x14ac:dyDescent="0.2">
      <c r="A20" s="168">
        <v>2013</v>
      </c>
      <c r="B20" s="215" t="s">
        <v>118</v>
      </c>
      <c r="C20" s="168">
        <v>21</v>
      </c>
      <c r="D20" s="216">
        <f t="shared" si="0"/>
        <v>1.75</v>
      </c>
    </row>
    <row r="21" spans="1:10" x14ac:dyDescent="0.2">
      <c r="A21" s="168">
        <v>2014</v>
      </c>
      <c r="B21" s="215" t="s">
        <v>118</v>
      </c>
      <c r="C21" s="168">
        <v>9</v>
      </c>
      <c r="D21" s="216">
        <f t="shared" si="0"/>
        <v>0.75</v>
      </c>
    </row>
    <row r="22" spans="1:10" x14ac:dyDescent="0.2">
      <c r="A22" s="215">
        <v>2014</v>
      </c>
      <c r="B22" s="215" t="s">
        <v>100</v>
      </c>
      <c r="C22" s="168">
        <v>57</v>
      </c>
      <c r="D22" s="216">
        <f t="shared" si="0"/>
        <v>4.75</v>
      </c>
    </row>
    <row r="23" spans="1:10" x14ac:dyDescent="0.2">
      <c r="A23" s="168">
        <v>2013</v>
      </c>
      <c r="B23" s="215" t="s">
        <v>119</v>
      </c>
      <c r="C23" s="168">
        <v>45</v>
      </c>
      <c r="D23" s="216">
        <f t="shared" si="0"/>
        <v>3.75</v>
      </c>
    </row>
    <row r="24" spans="1:10" x14ac:dyDescent="0.2">
      <c r="A24" s="168">
        <v>2014</v>
      </c>
      <c r="B24" s="215" t="s">
        <v>122</v>
      </c>
      <c r="C24" s="168">
        <v>13</v>
      </c>
      <c r="D24" s="216">
        <f t="shared" si="0"/>
        <v>1.0833333333333333</v>
      </c>
    </row>
    <row r="25" spans="1:10" x14ac:dyDescent="0.2">
      <c r="A25" s="168">
        <v>2014</v>
      </c>
      <c r="B25" s="215" t="s">
        <v>123</v>
      </c>
      <c r="C25" s="168">
        <v>37</v>
      </c>
      <c r="D25" s="216">
        <f t="shared" si="0"/>
        <v>3.0833333333333335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105"/>
  <sheetViews>
    <sheetView zoomScale="80" zoomScaleNormal="80" workbookViewId="0">
      <selection activeCell="C45" sqref="C45"/>
    </sheetView>
  </sheetViews>
  <sheetFormatPr defaultColWidth="9.28515625" defaultRowHeight="15" x14ac:dyDescent="0.2"/>
  <cols>
    <col min="1" max="2" width="9.28515625" style="220"/>
    <col min="3" max="3" width="29" style="220" customWidth="1"/>
    <col min="4" max="4" width="9.42578125" style="220" customWidth="1"/>
    <col min="5" max="5" width="8.5703125" style="220" customWidth="1"/>
    <col min="6" max="6" width="6.42578125" style="220" customWidth="1"/>
    <col min="7" max="7" width="7.42578125" style="220" customWidth="1"/>
    <col min="8" max="8" width="6.42578125" style="220" customWidth="1"/>
    <col min="9" max="10" width="7.42578125" style="220" customWidth="1"/>
    <col min="11" max="11" width="8.42578125" style="220" customWidth="1"/>
    <col min="12" max="12" width="6.7109375" style="220" customWidth="1"/>
    <col min="13" max="13" width="8.42578125" style="220" customWidth="1"/>
    <col min="14" max="18" width="8.7109375" style="220" customWidth="1"/>
    <col min="19" max="19" width="10.28515625" style="220" customWidth="1"/>
    <col min="20" max="21" width="8.7109375" style="220" customWidth="1"/>
    <col min="22" max="22" width="9.28515625" style="220"/>
    <col min="23" max="23" width="15.5703125" style="220" customWidth="1"/>
    <col min="24" max="16384" width="9.28515625" style="220"/>
  </cols>
  <sheetData>
    <row r="1" spans="1:23" x14ac:dyDescent="0.2">
      <c r="E1" s="221"/>
      <c r="F1" s="221"/>
      <c r="G1" s="221"/>
      <c r="H1" s="221"/>
      <c r="I1" s="221"/>
      <c r="J1" s="221"/>
      <c r="K1" s="221"/>
      <c r="L1" s="221"/>
      <c r="M1" s="221"/>
      <c r="N1" s="221"/>
      <c r="O1" s="221"/>
      <c r="P1" s="221"/>
      <c r="Q1" s="221"/>
    </row>
    <row r="2" spans="1:23" ht="15.75" x14ac:dyDescent="0.2">
      <c r="E2" s="169"/>
      <c r="F2" s="221"/>
      <c r="G2" s="221"/>
      <c r="H2" s="221"/>
      <c r="I2" s="221"/>
      <c r="J2" s="221"/>
      <c r="K2" s="221"/>
      <c r="L2" s="221"/>
      <c r="M2" s="221"/>
      <c r="N2" s="221"/>
      <c r="O2" s="221"/>
      <c r="P2" s="221"/>
      <c r="Q2" s="221"/>
    </row>
    <row r="3" spans="1:23" ht="15.75" x14ac:dyDescent="0.2">
      <c r="E3" s="169"/>
      <c r="F3" s="221"/>
      <c r="G3" s="221"/>
      <c r="H3" s="221"/>
      <c r="I3" s="221"/>
      <c r="J3" s="221"/>
      <c r="K3" s="221"/>
      <c r="L3" s="221"/>
      <c r="M3" s="221"/>
      <c r="N3" s="221"/>
      <c r="O3" s="221"/>
      <c r="P3" s="221"/>
      <c r="Q3" s="221"/>
    </row>
    <row r="4" spans="1:23" ht="15.75" x14ac:dyDescent="0.2">
      <c r="E4" s="169"/>
      <c r="F4" s="221"/>
      <c r="G4" s="221"/>
      <c r="H4" s="221"/>
      <c r="I4" s="221"/>
      <c r="J4" s="221"/>
      <c r="K4" s="221"/>
      <c r="L4" s="221"/>
      <c r="M4" s="221"/>
      <c r="N4" s="221"/>
      <c r="O4" s="221"/>
      <c r="P4" s="221"/>
      <c r="Q4" s="221"/>
    </row>
    <row r="5" spans="1:23" x14ac:dyDescent="0.2">
      <c r="E5" s="221"/>
      <c r="F5" s="221"/>
      <c r="G5" s="221"/>
      <c r="H5" s="221"/>
      <c r="I5" s="221"/>
      <c r="J5" s="221"/>
      <c r="K5" s="221"/>
      <c r="L5" s="221"/>
      <c r="M5" s="221"/>
      <c r="N5" s="221"/>
      <c r="O5" s="221"/>
      <c r="P5" s="221"/>
      <c r="Q5" s="221"/>
    </row>
    <row r="6" spans="1:23" ht="15.75" thickBot="1" x14ac:dyDescent="0.25">
      <c r="E6" s="221"/>
      <c r="F6" s="221"/>
      <c r="G6" s="221"/>
      <c r="H6" s="221"/>
      <c r="I6" s="221"/>
      <c r="J6" s="221"/>
      <c r="K6" s="221"/>
      <c r="L6" s="221"/>
      <c r="M6" s="221"/>
      <c r="N6" s="221"/>
      <c r="O6" s="221"/>
      <c r="P6" s="221"/>
      <c r="Q6" s="221"/>
    </row>
    <row r="7" spans="1:23" ht="16.5" thickBot="1" x14ac:dyDescent="0.3">
      <c r="A7" s="222"/>
      <c r="B7" s="223" t="s">
        <v>0</v>
      </c>
      <c r="C7" s="224"/>
      <c r="D7" s="224"/>
      <c r="E7" s="349"/>
      <c r="F7" s="349"/>
      <c r="G7" s="349"/>
      <c r="H7" s="349"/>
      <c r="I7" s="349"/>
      <c r="J7" s="349"/>
      <c r="K7" s="349"/>
      <c r="L7" s="349"/>
      <c r="M7" s="349"/>
      <c r="N7" s="349"/>
      <c r="O7" s="349"/>
      <c r="P7" s="349"/>
      <c r="Q7" s="349"/>
      <c r="R7" s="224"/>
      <c r="S7" s="224"/>
      <c r="T7" s="224"/>
      <c r="U7" s="225"/>
      <c r="V7" s="223" t="s">
        <v>0</v>
      </c>
      <c r="W7" s="224"/>
    </row>
    <row r="8" spans="1:23" ht="63.75" thickBot="1" x14ac:dyDescent="0.3">
      <c r="A8" s="160" t="s">
        <v>79</v>
      </c>
      <c r="B8" s="156" t="s">
        <v>3</v>
      </c>
      <c r="C8" s="107" t="s">
        <v>2</v>
      </c>
      <c r="D8" s="108" t="s">
        <v>97</v>
      </c>
      <c r="E8" s="109" t="s">
        <v>124</v>
      </c>
      <c r="F8" s="219" t="s">
        <v>4</v>
      </c>
      <c r="G8" s="110" t="s">
        <v>5</v>
      </c>
      <c r="H8" s="110" t="s">
        <v>6</v>
      </c>
      <c r="I8" s="110" t="s">
        <v>7</v>
      </c>
      <c r="J8" s="110" t="s">
        <v>8</v>
      </c>
      <c r="K8" s="110" t="s">
        <v>9</v>
      </c>
      <c r="L8" s="110" t="s">
        <v>10</v>
      </c>
      <c r="M8" s="110" t="s">
        <v>11</v>
      </c>
      <c r="N8" s="110" t="s">
        <v>12</v>
      </c>
      <c r="O8" s="110" t="s">
        <v>13</v>
      </c>
      <c r="P8" s="110" t="s">
        <v>14</v>
      </c>
      <c r="Q8" s="110" t="s">
        <v>15</v>
      </c>
      <c r="R8" s="111" t="s">
        <v>16</v>
      </c>
      <c r="S8" s="112" t="s">
        <v>125</v>
      </c>
      <c r="T8" s="109" t="s">
        <v>19</v>
      </c>
      <c r="U8" s="113" t="s">
        <v>41</v>
      </c>
      <c r="V8" s="156" t="s">
        <v>3</v>
      </c>
      <c r="W8" s="107" t="s">
        <v>2</v>
      </c>
    </row>
    <row r="9" spans="1:23" x14ac:dyDescent="0.2">
      <c r="A9" s="226"/>
      <c r="B9" s="227"/>
      <c r="C9" s="228"/>
      <c r="D9" s="228"/>
      <c r="E9" s="229"/>
      <c r="F9" s="229">
        <v>1</v>
      </c>
      <c r="G9" s="229"/>
      <c r="H9" s="229"/>
      <c r="I9" s="229"/>
      <c r="J9" s="229"/>
      <c r="K9" s="229"/>
      <c r="L9" s="229"/>
      <c r="M9" s="229"/>
      <c r="N9" s="229"/>
      <c r="O9" s="229"/>
      <c r="P9" s="229"/>
      <c r="Q9" s="229"/>
      <c r="R9" s="228"/>
      <c r="S9" s="230"/>
      <c r="T9" s="231"/>
      <c r="U9" s="232"/>
      <c r="V9" s="227"/>
      <c r="W9" s="228"/>
    </row>
    <row r="10" spans="1:23" x14ac:dyDescent="0.2">
      <c r="A10" s="220">
        <v>22384</v>
      </c>
      <c r="B10" s="233">
        <v>2012</v>
      </c>
      <c r="C10" s="234" t="s">
        <v>26</v>
      </c>
      <c r="D10" s="235">
        <v>36</v>
      </c>
      <c r="E10" s="236">
        <v>208</v>
      </c>
      <c r="F10" s="237">
        <v>23</v>
      </c>
      <c r="G10" s="237">
        <v>9</v>
      </c>
      <c r="H10" s="237">
        <v>8</v>
      </c>
      <c r="I10" s="237">
        <v>17</v>
      </c>
      <c r="J10" s="237">
        <v>27</v>
      </c>
      <c r="K10" s="237">
        <v>16</v>
      </c>
      <c r="L10" s="237">
        <v>15</v>
      </c>
      <c r="M10" s="237">
        <v>15</v>
      </c>
      <c r="N10" s="237">
        <v>23</v>
      </c>
      <c r="O10" s="237">
        <v>28</v>
      </c>
      <c r="P10" s="237">
        <v>22</v>
      </c>
      <c r="Q10" s="237"/>
      <c r="R10" s="238">
        <f t="shared" ref="R10:R51" si="0">SUM(F10:Q10)</f>
        <v>203</v>
      </c>
      <c r="S10" s="239">
        <f>IFERROR((AVERAGE(F10:Q10)),0)</f>
        <v>18.454545454545453</v>
      </c>
      <c r="T10" s="240">
        <f>IFERROR((U10/S10),0)</f>
        <v>0.27093596059113301</v>
      </c>
      <c r="U10" s="241">
        <f>SUM(E10-R10)</f>
        <v>5</v>
      </c>
      <c r="V10" s="233">
        <v>2012</v>
      </c>
      <c r="W10" s="234" t="s">
        <v>26</v>
      </c>
    </row>
    <row r="11" spans="1:23" x14ac:dyDescent="0.2">
      <c r="A11" s="220">
        <v>28361</v>
      </c>
      <c r="B11" s="233">
        <v>2012</v>
      </c>
      <c r="C11" s="234" t="s">
        <v>24</v>
      </c>
      <c r="D11" s="235">
        <v>22</v>
      </c>
      <c r="E11" s="236">
        <v>96</v>
      </c>
      <c r="F11" s="237">
        <v>22</v>
      </c>
      <c r="G11" s="237">
        <v>19</v>
      </c>
      <c r="H11" s="237">
        <v>13</v>
      </c>
      <c r="I11" s="237">
        <v>26</v>
      </c>
      <c r="J11" s="237">
        <v>16</v>
      </c>
      <c r="K11" s="242"/>
      <c r="L11" s="242"/>
      <c r="M11" s="242"/>
      <c r="N11" s="242"/>
      <c r="O11" s="242"/>
      <c r="P11" s="242"/>
      <c r="Q11" s="242"/>
      <c r="R11" s="238">
        <f t="shared" si="0"/>
        <v>96</v>
      </c>
      <c r="S11" s="239">
        <f>IFERROR((AVERAGE(F11:Q11)),0)</f>
        <v>19.2</v>
      </c>
      <c r="T11" s="240">
        <f>IFERROR((U11/S11),0)</f>
        <v>0</v>
      </c>
      <c r="U11" s="241">
        <f>SUM(E11-R11)</f>
        <v>0</v>
      </c>
      <c r="V11" s="233">
        <v>2012</v>
      </c>
      <c r="W11" s="234" t="s">
        <v>24</v>
      </c>
    </row>
    <row r="12" spans="1:23" x14ac:dyDescent="0.2">
      <c r="A12" s="226"/>
      <c r="B12" s="226"/>
      <c r="C12" s="226"/>
      <c r="D12" s="226"/>
      <c r="E12" s="226"/>
      <c r="F12" s="226"/>
      <c r="G12" s="226"/>
      <c r="H12" s="226"/>
      <c r="I12" s="226"/>
      <c r="J12" s="226"/>
      <c r="K12" s="226"/>
      <c r="L12" s="226"/>
      <c r="M12" s="226"/>
      <c r="N12" s="226"/>
      <c r="O12" s="243"/>
      <c r="P12" s="243"/>
      <c r="Q12" s="226"/>
      <c r="R12" s="226"/>
      <c r="S12" s="226"/>
      <c r="T12" s="226"/>
      <c r="U12" s="226"/>
      <c r="V12" s="226"/>
      <c r="W12" s="226"/>
    </row>
    <row r="13" spans="1:23" x14ac:dyDescent="0.2">
      <c r="A13" s="234">
        <v>57632</v>
      </c>
      <c r="B13" s="233">
        <v>2013</v>
      </c>
      <c r="C13" s="234" t="s">
        <v>31</v>
      </c>
      <c r="D13" s="235">
        <v>45</v>
      </c>
      <c r="E13" s="236">
        <v>24</v>
      </c>
      <c r="F13" s="237">
        <v>21</v>
      </c>
      <c r="G13" s="237">
        <v>3</v>
      </c>
      <c r="H13" s="242"/>
      <c r="I13" s="242"/>
      <c r="J13" s="242"/>
      <c r="K13" s="242"/>
      <c r="L13" s="242"/>
      <c r="M13" s="242"/>
      <c r="N13" s="242"/>
      <c r="O13" s="242"/>
      <c r="P13" s="242"/>
      <c r="Q13" s="242"/>
      <c r="R13" s="238">
        <f t="shared" si="0"/>
        <v>24</v>
      </c>
      <c r="S13" s="239">
        <f t="shared" ref="S13:S21" si="1">IFERROR((AVERAGE(F13:Q13)),0)</f>
        <v>12</v>
      </c>
      <c r="T13" s="240">
        <f t="shared" ref="T13:T21" si="2">IFERROR((U13/S13),0)</f>
        <v>0</v>
      </c>
      <c r="U13" s="241">
        <f t="shared" ref="U13:U18" si="3">SUM(E13-R13)</f>
        <v>0</v>
      </c>
      <c r="V13" s="233">
        <v>2013</v>
      </c>
      <c r="W13" s="234" t="s">
        <v>31</v>
      </c>
    </row>
    <row r="14" spans="1:23" x14ac:dyDescent="0.2">
      <c r="A14" s="234">
        <v>57630</v>
      </c>
      <c r="B14" s="233">
        <v>2013</v>
      </c>
      <c r="C14" s="234" t="s">
        <v>25</v>
      </c>
      <c r="D14" s="235">
        <v>45</v>
      </c>
      <c r="E14" s="236">
        <v>406</v>
      </c>
      <c r="F14" s="237">
        <v>32</v>
      </c>
      <c r="G14" s="237">
        <v>24</v>
      </c>
      <c r="H14" s="237">
        <v>27</v>
      </c>
      <c r="I14" s="237">
        <v>49</v>
      </c>
      <c r="J14" s="237">
        <f>274-227</f>
        <v>47</v>
      </c>
      <c r="K14" s="237">
        <v>75</v>
      </c>
      <c r="L14" s="237">
        <v>48</v>
      </c>
      <c r="M14" s="237">
        <v>53</v>
      </c>
      <c r="N14" s="237">
        <v>51</v>
      </c>
      <c r="O14" s="242"/>
      <c r="P14" s="242"/>
      <c r="Q14" s="242"/>
      <c r="R14" s="238">
        <f t="shared" si="0"/>
        <v>406</v>
      </c>
      <c r="S14" s="239">
        <f t="shared" si="1"/>
        <v>45.111111111111114</v>
      </c>
      <c r="T14" s="240">
        <f t="shared" si="2"/>
        <v>0</v>
      </c>
      <c r="U14" s="241">
        <f t="shared" si="3"/>
        <v>0</v>
      </c>
      <c r="V14" s="233">
        <v>2013</v>
      </c>
      <c r="W14" s="234" t="s">
        <v>25</v>
      </c>
    </row>
    <row r="15" spans="1:23" x14ac:dyDescent="0.2">
      <c r="A15" s="234">
        <v>22382</v>
      </c>
      <c r="B15" s="233">
        <v>2013</v>
      </c>
      <c r="C15" s="234" t="s">
        <v>23</v>
      </c>
      <c r="D15" s="235">
        <v>29</v>
      </c>
      <c r="E15" s="236">
        <v>190</v>
      </c>
      <c r="F15" s="237">
        <v>31</v>
      </c>
      <c r="G15" s="237">
        <v>55</v>
      </c>
      <c r="H15" s="237">
        <v>25</v>
      </c>
      <c r="I15" s="237">
        <v>45</v>
      </c>
      <c r="J15" s="244">
        <v>-15</v>
      </c>
      <c r="K15" s="237">
        <f>49-21</f>
        <v>28</v>
      </c>
      <c r="L15" s="237">
        <v>21</v>
      </c>
      <c r="M15" s="242"/>
      <c r="N15" s="242"/>
      <c r="O15" s="242"/>
      <c r="P15" s="242"/>
      <c r="Q15" s="245"/>
      <c r="R15" s="238">
        <f t="shared" si="0"/>
        <v>190</v>
      </c>
      <c r="S15" s="239">
        <f t="shared" si="1"/>
        <v>27.142857142857142</v>
      </c>
      <c r="T15" s="240">
        <f t="shared" si="2"/>
        <v>0</v>
      </c>
      <c r="U15" s="241">
        <f t="shared" si="3"/>
        <v>0</v>
      </c>
      <c r="V15" s="233">
        <v>2013</v>
      </c>
      <c r="W15" s="234" t="s">
        <v>23</v>
      </c>
    </row>
    <row r="16" spans="1:23" x14ac:dyDescent="0.2">
      <c r="A16" s="234">
        <v>84802</v>
      </c>
      <c r="B16" s="233">
        <v>2013</v>
      </c>
      <c r="C16" s="234" t="s">
        <v>93</v>
      </c>
      <c r="D16" s="235">
        <v>18</v>
      </c>
      <c r="E16" s="236">
        <v>81</v>
      </c>
      <c r="F16" s="237">
        <v>11</v>
      </c>
      <c r="G16" s="237">
        <v>4</v>
      </c>
      <c r="H16" s="237">
        <v>2</v>
      </c>
      <c r="I16" s="237">
        <v>11</v>
      </c>
      <c r="J16" s="237">
        <v>8</v>
      </c>
      <c r="K16" s="237">
        <v>7</v>
      </c>
      <c r="L16" s="237">
        <v>20</v>
      </c>
      <c r="M16" s="237">
        <v>6</v>
      </c>
      <c r="N16" s="237">
        <v>12</v>
      </c>
      <c r="O16" s="242" t="s">
        <v>35</v>
      </c>
      <c r="P16" s="242"/>
      <c r="Q16" s="245"/>
      <c r="R16" s="238">
        <f t="shared" si="0"/>
        <v>81</v>
      </c>
      <c r="S16" s="239">
        <f t="shared" si="1"/>
        <v>9</v>
      </c>
      <c r="T16" s="240">
        <f t="shared" si="2"/>
        <v>0</v>
      </c>
      <c r="U16" s="241">
        <f t="shared" si="3"/>
        <v>0</v>
      </c>
      <c r="V16" s="233">
        <v>2013</v>
      </c>
      <c r="W16" s="234" t="s">
        <v>93</v>
      </c>
    </row>
    <row r="17" spans="1:23" x14ac:dyDescent="0.2">
      <c r="A17" s="234">
        <v>22384</v>
      </c>
      <c r="B17" s="233">
        <v>2013</v>
      </c>
      <c r="C17" s="234" t="s">
        <v>26</v>
      </c>
      <c r="D17" s="235">
        <v>36</v>
      </c>
      <c r="E17" s="236">
        <v>249</v>
      </c>
      <c r="F17" s="246">
        <v>6</v>
      </c>
      <c r="G17" s="246"/>
      <c r="H17" s="246">
        <v>1</v>
      </c>
      <c r="I17" s="246">
        <v>1</v>
      </c>
      <c r="J17" s="246">
        <v>0</v>
      </c>
      <c r="K17" s="246">
        <v>0</v>
      </c>
      <c r="L17" s="246">
        <v>0</v>
      </c>
      <c r="M17" s="246">
        <v>0</v>
      </c>
      <c r="N17" s="246"/>
      <c r="O17" s="246">
        <v>8</v>
      </c>
      <c r="P17" s="236">
        <v>11</v>
      </c>
      <c r="Q17" s="236">
        <v>18</v>
      </c>
      <c r="R17" s="238">
        <f t="shared" si="0"/>
        <v>45</v>
      </c>
      <c r="S17" s="239">
        <f t="shared" si="1"/>
        <v>4.5</v>
      </c>
      <c r="T17" s="240">
        <f t="shared" si="2"/>
        <v>45.333333333333336</v>
      </c>
      <c r="U17" s="241">
        <f t="shared" si="3"/>
        <v>204</v>
      </c>
      <c r="V17" s="233">
        <v>2013</v>
      </c>
      <c r="W17" s="234" t="s">
        <v>26</v>
      </c>
    </row>
    <row r="18" spans="1:23" x14ac:dyDescent="0.2">
      <c r="A18" s="234">
        <v>27736</v>
      </c>
      <c r="B18" s="233">
        <v>2013</v>
      </c>
      <c r="C18" s="234" t="s">
        <v>56</v>
      </c>
      <c r="D18" s="235">
        <v>22</v>
      </c>
      <c r="E18" s="236">
        <v>232</v>
      </c>
      <c r="F18" s="237">
        <v>30</v>
      </c>
      <c r="G18" s="237">
        <v>28</v>
      </c>
      <c r="H18" s="237">
        <v>24</v>
      </c>
      <c r="I18" s="237">
        <v>51</v>
      </c>
      <c r="J18" s="237">
        <v>33</v>
      </c>
      <c r="K18" s="237">
        <v>34</v>
      </c>
      <c r="L18" s="237">
        <v>32</v>
      </c>
      <c r="M18" s="242"/>
      <c r="N18" s="242"/>
      <c r="O18" s="242"/>
      <c r="P18" s="242"/>
      <c r="Q18" s="242"/>
      <c r="R18" s="238">
        <f t="shared" si="0"/>
        <v>232</v>
      </c>
      <c r="S18" s="239">
        <f t="shared" si="1"/>
        <v>33.142857142857146</v>
      </c>
      <c r="T18" s="240">
        <f t="shared" si="2"/>
        <v>0</v>
      </c>
      <c r="U18" s="241">
        <f t="shared" si="3"/>
        <v>0</v>
      </c>
      <c r="V18" s="233">
        <v>2013</v>
      </c>
      <c r="W18" s="234" t="s">
        <v>56</v>
      </c>
    </row>
    <row r="19" spans="1:23" x14ac:dyDescent="0.2">
      <c r="A19" s="234">
        <v>28361</v>
      </c>
      <c r="B19" s="233">
        <v>2013</v>
      </c>
      <c r="C19" s="234" t="s">
        <v>24</v>
      </c>
      <c r="D19" s="235">
        <v>22</v>
      </c>
      <c r="E19" s="236">
        <v>259</v>
      </c>
      <c r="F19" s="246">
        <v>53</v>
      </c>
      <c r="G19" s="246"/>
      <c r="H19" s="246">
        <v>5</v>
      </c>
      <c r="I19" s="246"/>
      <c r="J19" s="246">
        <v>16</v>
      </c>
      <c r="K19" s="246">
        <v>21</v>
      </c>
      <c r="L19" s="237">
        <v>22</v>
      </c>
      <c r="M19" s="237">
        <v>20</v>
      </c>
      <c r="N19" s="237">
        <v>25</v>
      </c>
      <c r="O19" s="237">
        <v>10</v>
      </c>
      <c r="P19" s="237">
        <v>0</v>
      </c>
      <c r="Q19" s="237">
        <v>0</v>
      </c>
      <c r="R19" s="238">
        <f t="shared" si="0"/>
        <v>172</v>
      </c>
      <c r="S19" s="239">
        <f t="shared" si="1"/>
        <v>17.2</v>
      </c>
      <c r="T19" s="240">
        <f t="shared" si="2"/>
        <v>5.058139534883721</v>
      </c>
      <c r="U19" s="241">
        <f>SUM(E19-R19)</f>
        <v>87</v>
      </c>
      <c r="V19" s="233">
        <v>2013</v>
      </c>
      <c r="W19" s="234" t="s">
        <v>24</v>
      </c>
    </row>
    <row r="20" spans="1:23" x14ac:dyDescent="0.2">
      <c r="A20" s="234">
        <v>22921</v>
      </c>
      <c r="B20" s="233">
        <v>2013</v>
      </c>
      <c r="C20" s="234" t="s">
        <v>22</v>
      </c>
      <c r="D20" s="235">
        <v>50</v>
      </c>
      <c r="E20" s="236">
        <v>478</v>
      </c>
      <c r="F20" s="237">
        <v>26</v>
      </c>
      <c r="G20" s="237">
        <v>38</v>
      </c>
      <c r="H20" s="237">
        <v>32</v>
      </c>
      <c r="I20" s="237">
        <v>49</v>
      </c>
      <c r="J20" s="237">
        <v>68</v>
      </c>
      <c r="K20" s="237">
        <v>55</v>
      </c>
      <c r="L20" s="237">
        <v>47</v>
      </c>
      <c r="M20" s="237">
        <v>54</v>
      </c>
      <c r="N20" s="237">
        <v>43</v>
      </c>
      <c r="O20" s="237">
        <v>61</v>
      </c>
      <c r="P20" s="296">
        <v>5</v>
      </c>
      <c r="Q20" s="242"/>
      <c r="R20" s="238">
        <f t="shared" si="0"/>
        <v>478</v>
      </c>
      <c r="S20" s="239">
        <f t="shared" si="1"/>
        <v>43.454545454545453</v>
      </c>
      <c r="T20" s="240">
        <f t="shared" si="2"/>
        <v>0</v>
      </c>
      <c r="U20" s="241">
        <f>SUM(E20-R20)</f>
        <v>0</v>
      </c>
      <c r="V20" s="233">
        <v>2013</v>
      </c>
      <c r="W20" s="234" t="s">
        <v>22</v>
      </c>
    </row>
    <row r="21" spans="1:23" x14ac:dyDescent="0.2">
      <c r="A21" s="234">
        <v>34641</v>
      </c>
      <c r="B21" s="233">
        <v>2013</v>
      </c>
      <c r="C21" s="234" t="s">
        <v>52</v>
      </c>
      <c r="D21" s="235">
        <v>31</v>
      </c>
      <c r="E21" s="236">
        <v>273</v>
      </c>
      <c r="F21" s="237">
        <v>22</v>
      </c>
      <c r="G21" s="237">
        <v>17</v>
      </c>
      <c r="H21" s="237">
        <v>35</v>
      </c>
      <c r="I21" s="237">
        <v>35</v>
      </c>
      <c r="J21" s="244">
        <v>15</v>
      </c>
      <c r="K21" s="237">
        <v>1</v>
      </c>
      <c r="L21" s="237">
        <v>25</v>
      </c>
      <c r="M21" s="237">
        <v>29</v>
      </c>
      <c r="N21" s="237">
        <v>38</v>
      </c>
      <c r="O21" s="237">
        <v>18</v>
      </c>
      <c r="P21" s="237">
        <v>31</v>
      </c>
      <c r="Q21" s="242"/>
      <c r="R21" s="238">
        <f t="shared" si="0"/>
        <v>266</v>
      </c>
      <c r="S21" s="239">
        <f t="shared" si="1"/>
        <v>24.181818181818183</v>
      </c>
      <c r="T21" s="240">
        <f t="shared" si="2"/>
        <v>0.28947368421052627</v>
      </c>
      <c r="U21" s="241">
        <f>SUM(E21-R21)</f>
        <v>7</v>
      </c>
      <c r="V21" s="233">
        <v>2013</v>
      </c>
      <c r="W21" s="234" t="s">
        <v>52</v>
      </c>
    </row>
    <row r="22" spans="1:23" x14ac:dyDescent="0.2">
      <c r="A22" s="226"/>
      <c r="B22" s="227"/>
      <c r="C22" s="228"/>
      <c r="D22" s="230"/>
      <c r="E22" s="229"/>
      <c r="F22" s="229"/>
      <c r="G22" s="229"/>
      <c r="H22" s="229"/>
      <c r="I22" s="229"/>
      <c r="J22" s="229"/>
      <c r="K22" s="229"/>
      <c r="L22" s="229"/>
      <c r="M22" s="229"/>
      <c r="N22" s="229"/>
      <c r="O22" s="229"/>
      <c r="P22" s="229"/>
      <c r="Q22" s="229"/>
      <c r="R22" s="228"/>
      <c r="S22" s="230"/>
      <c r="T22" s="231"/>
      <c r="U22" s="247"/>
      <c r="V22" s="227"/>
      <c r="W22" s="228"/>
    </row>
    <row r="23" spans="1:23" x14ac:dyDescent="0.2">
      <c r="A23" s="234">
        <v>11198</v>
      </c>
      <c r="B23" s="248">
        <v>2014</v>
      </c>
      <c r="C23" s="234" t="s">
        <v>46</v>
      </c>
      <c r="D23" s="235"/>
      <c r="E23" s="236">
        <v>59</v>
      </c>
      <c r="F23" s="237">
        <v>40</v>
      </c>
      <c r="G23" s="237">
        <v>13</v>
      </c>
      <c r="H23" s="237">
        <v>6</v>
      </c>
      <c r="I23" s="242"/>
      <c r="J23" s="242"/>
      <c r="K23" s="242"/>
      <c r="L23" s="242"/>
      <c r="M23" s="242"/>
      <c r="N23" s="242"/>
      <c r="O23" s="249"/>
      <c r="P23" s="242"/>
      <c r="Q23" s="242"/>
      <c r="R23" s="238">
        <f t="shared" si="0"/>
        <v>59</v>
      </c>
      <c r="S23" s="239">
        <f t="shared" ref="S23:S34" si="4">IFERROR((AVERAGE(F23:Q23)),0)</f>
        <v>19.666666666666668</v>
      </c>
      <c r="T23" s="240">
        <f t="shared" ref="T23:T34" si="5">IFERROR((U23/S23),0)</f>
        <v>0</v>
      </c>
      <c r="U23" s="241">
        <f t="shared" ref="U23:U31" si="6">SUM(E23-R23)</f>
        <v>0</v>
      </c>
      <c r="V23" s="248">
        <v>2014</v>
      </c>
      <c r="W23" s="234" t="s">
        <v>46</v>
      </c>
    </row>
    <row r="24" spans="1:23" x14ac:dyDescent="0.2">
      <c r="A24" s="234">
        <v>57632</v>
      </c>
      <c r="B24" s="248">
        <v>2014</v>
      </c>
      <c r="C24" s="234" t="s">
        <v>31</v>
      </c>
      <c r="D24" s="235"/>
      <c r="E24" s="236">
        <v>444</v>
      </c>
      <c r="F24" s="246">
        <v>8</v>
      </c>
      <c r="G24" s="237">
        <v>18</v>
      </c>
      <c r="H24" s="237">
        <v>18</v>
      </c>
      <c r="I24" s="237">
        <v>40</v>
      </c>
      <c r="J24" s="237">
        <f>360-327</f>
        <v>33</v>
      </c>
      <c r="K24" s="237">
        <v>41</v>
      </c>
      <c r="L24" s="237">
        <v>49</v>
      </c>
      <c r="M24" s="237">
        <v>55</v>
      </c>
      <c r="N24" s="237">
        <v>25</v>
      </c>
      <c r="O24" s="237">
        <v>28</v>
      </c>
      <c r="P24" s="237">
        <v>89</v>
      </c>
      <c r="Q24" s="237">
        <v>0</v>
      </c>
      <c r="R24" s="238">
        <f t="shared" si="0"/>
        <v>404</v>
      </c>
      <c r="S24" s="239">
        <f t="shared" si="4"/>
        <v>33.666666666666664</v>
      </c>
      <c r="T24" s="240">
        <f t="shared" si="5"/>
        <v>1.1881188118811883</v>
      </c>
      <c r="U24" s="241">
        <f t="shared" si="6"/>
        <v>40</v>
      </c>
      <c r="V24" s="248">
        <v>2014</v>
      </c>
      <c r="W24" s="234" t="s">
        <v>31</v>
      </c>
    </row>
    <row r="25" spans="1:23" x14ac:dyDescent="0.2">
      <c r="A25" s="234">
        <v>57630</v>
      </c>
      <c r="B25" s="248">
        <v>2014</v>
      </c>
      <c r="C25" s="234" t="s">
        <v>25</v>
      </c>
      <c r="D25" s="235"/>
      <c r="E25" s="236">
        <v>469</v>
      </c>
      <c r="F25" s="246">
        <v>21</v>
      </c>
      <c r="G25" s="246">
        <v>9</v>
      </c>
      <c r="H25" s="246"/>
      <c r="I25" s="246">
        <v>6</v>
      </c>
      <c r="J25" s="246">
        <v>10</v>
      </c>
      <c r="K25" s="246">
        <v>2</v>
      </c>
      <c r="L25" s="246">
        <v>19</v>
      </c>
      <c r="M25" s="246">
        <v>6</v>
      </c>
      <c r="N25" s="237">
        <v>17</v>
      </c>
      <c r="O25" s="237">
        <v>43</v>
      </c>
      <c r="P25" s="237">
        <v>31</v>
      </c>
      <c r="Q25" s="237">
        <v>48</v>
      </c>
      <c r="R25" s="238">
        <f t="shared" si="0"/>
        <v>212</v>
      </c>
      <c r="S25" s="239">
        <f t="shared" si="4"/>
        <v>19.272727272727273</v>
      </c>
      <c r="T25" s="240">
        <f t="shared" si="5"/>
        <v>13.334905660377357</v>
      </c>
      <c r="U25" s="241">
        <f t="shared" si="6"/>
        <v>257</v>
      </c>
      <c r="V25" s="248">
        <v>2014</v>
      </c>
      <c r="W25" s="234" t="s">
        <v>25</v>
      </c>
    </row>
    <row r="26" spans="1:23" x14ac:dyDescent="0.2">
      <c r="A26" s="234">
        <v>22382</v>
      </c>
      <c r="B26" s="248">
        <v>2014</v>
      </c>
      <c r="C26" s="234" t="s">
        <v>23</v>
      </c>
      <c r="D26" s="235"/>
      <c r="E26" s="236">
        <v>308</v>
      </c>
      <c r="F26" s="246">
        <v>13</v>
      </c>
      <c r="G26" s="246">
        <v>8</v>
      </c>
      <c r="H26" s="246">
        <v>4</v>
      </c>
      <c r="I26" s="246">
        <v>3</v>
      </c>
      <c r="J26" s="246">
        <v>0</v>
      </c>
      <c r="K26" s="246">
        <v>0</v>
      </c>
      <c r="L26" s="237">
        <v>8</v>
      </c>
      <c r="M26" s="237">
        <v>30</v>
      </c>
      <c r="N26" s="237">
        <v>39</v>
      </c>
      <c r="O26" s="237">
        <v>49</v>
      </c>
      <c r="P26" s="237">
        <v>50</v>
      </c>
      <c r="Q26" s="237">
        <v>29</v>
      </c>
      <c r="R26" s="238">
        <f t="shared" si="0"/>
        <v>233</v>
      </c>
      <c r="S26" s="239">
        <f t="shared" si="4"/>
        <v>19.416666666666668</v>
      </c>
      <c r="T26" s="240">
        <f t="shared" si="5"/>
        <v>3.8626609442060085</v>
      </c>
      <c r="U26" s="241">
        <f t="shared" si="6"/>
        <v>75</v>
      </c>
      <c r="V26" s="248">
        <v>2014</v>
      </c>
      <c r="W26" s="234" t="s">
        <v>23</v>
      </c>
    </row>
    <row r="27" spans="1:23" x14ac:dyDescent="0.2">
      <c r="A27" s="234">
        <v>84802</v>
      </c>
      <c r="B27" s="248">
        <v>2014</v>
      </c>
      <c r="C27" s="234" t="s">
        <v>93</v>
      </c>
      <c r="D27" s="235"/>
      <c r="E27" s="236">
        <v>271</v>
      </c>
      <c r="F27" s="246">
        <v>1</v>
      </c>
      <c r="G27" s="246" t="s">
        <v>35</v>
      </c>
      <c r="H27" s="246"/>
      <c r="I27" s="246"/>
      <c r="J27" s="246">
        <v>2</v>
      </c>
      <c r="K27" s="246">
        <v>1</v>
      </c>
      <c r="L27" s="246">
        <v>0</v>
      </c>
      <c r="M27" s="246">
        <v>4</v>
      </c>
      <c r="N27" s="237">
        <v>12</v>
      </c>
      <c r="O27" s="237">
        <v>5</v>
      </c>
      <c r="P27" s="237">
        <v>23</v>
      </c>
      <c r="Q27" s="237">
        <v>68</v>
      </c>
      <c r="R27" s="238">
        <f t="shared" si="0"/>
        <v>116</v>
      </c>
      <c r="S27" s="239">
        <f t="shared" si="4"/>
        <v>12.888888888888889</v>
      </c>
      <c r="T27" s="240">
        <f t="shared" si="5"/>
        <v>12.025862068965516</v>
      </c>
      <c r="U27" s="241">
        <f t="shared" si="6"/>
        <v>155</v>
      </c>
      <c r="V27" s="248">
        <v>2014</v>
      </c>
      <c r="W27" s="234" t="s">
        <v>93</v>
      </c>
    </row>
    <row r="28" spans="1:23" x14ac:dyDescent="0.2">
      <c r="A28" s="234">
        <v>22384</v>
      </c>
      <c r="B28" s="248">
        <v>2014</v>
      </c>
      <c r="C28" s="234" t="s">
        <v>26</v>
      </c>
      <c r="D28" s="235"/>
      <c r="E28" s="236">
        <v>219</v>
      </c>
      <c r="F28" s="246">
        <v>12</v>
      </c>
      <c r="G28" s="246"/>
      <c r="H28" s="246">
        <v>8</v>
      </c>
      <c r="I28" s="246">
        <v>1</v>
      </c>
      <c r="J28" s="246">
        <v>3</v>
      </c>
      <c r="K28" s="246">
        <v>0</v>
      </c>
      <c r="L28" s="246">
        <v>0</v>
      </c>
      <c r="M28" s="246">
        <v>13</v>
      </c>
      <c r="N28" s="246"/>
      <c r="O28" s="246">
        <v>0</v>
      </c>
      <c r="P28" s="246">
        <v>0</v>
      </c>
      <c r="Q28" s="246">
        <v>0</v>
      </c>
      <c r="R28" s="238">
        <f t="shared" si="0"/>
        <v>37</v>
      </c>
      <c r="S28" s="239">
        <f t="shared" si="4"/>
        <v>3.7</v>
      </c>
      <c r="T28" s="240">
        <f t="shared" si="5"/>
        <v>49.189189189189186</v>
      </c>
      <c r="U28" s="241">
        <f t="shared" si="6"/>
        <v>182</v>
      </c>
      <c r="V28" s="248">
        <v>2014</v>
      </c>
      <c r="W28" s="234" t="s">
        <v>26</v>
      </c>
    </row>
    <row r="29" spans="1:23" x14ac:dyDescent="0.2">
      <c r="A29" s="234">
        <v>27736</v>
      </c>
      <c r="B29" s="248">
        <v>2014</v>
      </c>
      <c r="C29" s="234" t="s">
        <v>56</v>
      </c>
      <c r="D29" s="235"/>
      <c r="E29" s="236">
        <v>427</v>
      </c>
      <c r="F29" s="246">
        <v>3</v>
      </c>
      <c r="G29" s="246">
        <v>3</v>
      </c>
      <c r="H29" s="246"/>
      <c r="I29" s="246"/>
      <c r="J29" s="246">
        <v>2</v>
      </c>
      <c r="K29" s="246">
        <v>0</v>
      </c>
      <c r="L29" s="237">
        <v>35</v>
      </c>
      <c r="M29" s="237">
        <v>40</v>
      </c>
      <c r="N29" s="237">
        <v>44</v>
      </c>
      <c r="O29" s="237">
        <v>38</v>
      </c>
      <c r="P29" s="237">
        <v>44</v>
      </c>
      <c r="Q29" s="237">
        <v>39</v>
      </c>
      <c r="R29" s="238">
        <f t="shared" si="0"/>
        <v>248</v>
      </c>
      <c r="S29" s="239">
        <f t="shared" si="4"/>
        <v>24.8</v>
      </c>
      <c r="T29" s="240">
        <f t="shared" si="5"/>
        <v>7.217741935483871</v>
      </c>
      <c r="U29" s="241">
        <f t="shared" si="6"/>
        <v>179</v>
      </c>
      <c r="V29" s="248">
        <v>2014</v>
      </c>
      <c r="W29" s="234" t="s">
        <v>56</v>
      </c>
    </row>
    <row r="30" spans="1:23" x14ac:dyDescent="0.2">
      <c r="A30" s="234">
        <v>28361</v>
      </c>
      <c r="B30" s="248">
        <v>2014</v>
      </c>
      <c r="C30" s="234" t="s">
        <v>24</v>
      </c>
      <c r="D30" s="235"/>
      <c r="E30" s="236">
        <v>141</v>
      </c>
      <c r="F30" s="246">
        <v>15</v>
      </c>
      <c r="G30" s="246"/>
      <c r="H30" s="246"/>
      <c r="I30" s="246">
        <v>6</v>
      </c>
      <c r="J30" s="246">
        <v>7</v>
      </c>
      <c r="K30" s="246">
        <v>4</v>
      </c>
      <c r="L30" s="246">
        <v>1</v>
      </c>
      <c r="M30" s="246">
        <v>1</v>
      </c>
      <c r="N30" s="246">
        <v>4</v>
      </c>
      <c r="O30" s="246">
        <v>2</v>
      </c>
      <c r="P30" s="246">
        <v>0</v>
      </c>
      <c r="Q30" s="246">
        <v>0</v>
      </c>
      <c r="R30" s="238">
        <f t="shared" si="0"/>
        <v>40</v>
      </c>
      <c r="S30" s="239">
        <f t="shared" si="4"/>
        <v>4</v>
      </c>
      <c r="T30" s="240">
        <f t="shared" si="5"/>
        <v>25.25</v>
      </c>
      <c r="U30" s="241">
        <f t="shared" si="6"/>
        <v>101</v>
      </c>
      <c r="V30" s="248">
        <v>2014</v>
      </c>
      <c r="W30" s="234" t="s">
        <v>24</v>
      </c>
    </row>
    <row r="31" spans="1:23" x14ac:dyDescent="0.2">
      <c r="A31" s="234">
        <v>22921</v>
      </c>
      <c r="B31" s="248">
        <v>2014</v>
      </c>
      <c r="C31" s="234" t="s">
        <v>22</v>
      </c>
      <c r="D31" s="235"/>
      <c r="E31" s="236">
        <v>676</v>
      </c>
      <c r="F31" s="246">
        <v>1</v>
      </c>
      <c r="G31" s="246">
        <v>22</v>
      </c>
      <c r="H31" s="246">
        <v>7</v>
      </c>
      <c r="I31" s="246"/>
      <c r="J31" s="246">
        <v>0</v>
      </c>
      <c r="K31" s="246">
        <v>0</v>
      </c>
      <c r="L31" s="246">
        <v>0</v>
      </c>
      <c r="M31" s="246"/>
      <c r="N31" s="246"/>
      <c r="O31" s="246">
        <v>5</v>
      </c>
      <c r="P31" s="246">
        <v>2</v>
      </c>
      <c r="Q31" s="236">
        <v>126</v>
      </c>
      <c r="R31" s="238">
        <f t="shared" si="0"/>
        <v>163</v>
      </c>
      <c r="S31" s="239">
        <f t="shared" si="4"/>
        <v>18.111111111111111</v>
      </c>
      <c r="T31" s="240">
        <f t="shared" si="5"/>
        <v>28.325153374233128</v>
      </c>
      <c r="U31" s="241">
        <f t="shared" si="6"/>
        <v>513</v>
      </c>
      <c r="V31" s="248">
        <v>2014</v>
      </c>
      <c r="W31" s="234" t="s">
        <v>22</v>
      </c>
    </row>
    <row r="32" spans="1:23" x14ac:dyDescent="0.2">
      <c r="A32" s="250">
        <v>34641</v>
      </c>
      <c r="B32" s="248">
        <v>2014</v>
      </c>
      <c r="C32" s="250" t="s">
        <v>52</v>
      </c>
      <c r="D32" s="251"/>
      <c r="E32" s="252">
        <v>372</v>
      </c>
      <c r="F32" s="253">
        <v>5</v>
      </c>
      <c r="G32" s="253"/>
      <c r="H32" s="253"/>
      <c r="I32" s="253">
        <v>3</v>
      </c>
      <c r="J32" s="253">
        <v>4</v>
      </c>
      <c r="K32" s="253">
        <v>0</v>
      </c>
      <c r="L32" s="253">
        <v>0</v>
      </c>
      <c r="M32" s="253">
        <v>3</v>
      </c>
      <c r="N32" s="253"/>
      <c r="O32" s="253">
        <v>0</v>
      </c>
      <c r="P32" s="253">
        <v>0</v>
      </c>
      <c r="Q32" s="253">
        <v>0</v>
      </c>
      <c r="R32" s="238">
        <f t="shared" si="0"/>
        <v>15</v>
      </c>
      <c r="S32" s="239">
        <f t="shared" si="4"/>
        <v>1.6666666666666667</v>
      </c>
      <c r="T32" s="240">
        <f t="shared" si="5"/>
        <v>214.2</v>
      </c>
      <c r="U32" s="254">
        <f>SUM(E32-R32)</f>
        <v>357</v>
      </c>
      <c r="V32" s="248">
        <v>2014</v>
      </c>
      <c r="W32" s="250" t="s">
        <v>52</v>
      </c>
    </row>
    <row r="33" spans="1:28" x14ac:dyDescent="0.2">
      <c r="A33" s="234">
        <v>18004</v>
      </c>
      <c r="B33" s="255">
        <v>2014</v>
      </c>
      <c r="C33" s="234" t="s">
        <v>126</v>
      </c>
      <c r="D33" s="235"/>
      <c r="E33" s="236">
        <v>226</v>
      </c>
      <c r="F33" s="246">
        <v>3</v>
      </c>
      <c r="G33" s="246">
        <v>8</v>
      </c>
      <c r="H33" s="246">
        <v>5</v>
      </c>
      <c r="I33" s="246">
        <v>7</v>
      </c>
      <c r="J33" s="246">
        <v>9</v>
      </c>
      <c r="K33" s="246">
        <v>13</v>
      </c>
      <c r="L33" s="237">
        <v>17</v>
      </c>
      <c r="M33" s="237">
        <v>18</v>
      </c>
      <c r="N33" s="237">
        <v>16</v>
      </c>
      <c r="O33" s="237">
        <v>13</v>
      </c>
      <c r="P33" s="237">
        <v>21</v>
      </c>
      <c r="Q33" s="237">
        <v>14</v>
      </c>
      <c r="R33" s="238">
        <f t="shared" si="0"/>
        <v>144</v>
      </c>
      <c r="S33" s="239">
        <f t="shared" si="4"/>
        <v>12</v>
      </c>
      <c r="T33" s="240">
        <f t="shared" si="5"/>
        <v>6.833333333333333</v>
      </c>
      <c r="U33" s="254">
        <f>SUM(E33-R33)</f>
        <v>82</v>
      </c>
      <c r="V33" s="255">
        <v>2014</v>
      </c>
      <c r="W33" s="234" t="s">
        <v>127</v>
      </c>
    </row>
    <row r="34" spans="1:28" x14ac:dyDescent="0.2">
      <c r="A34" s="234">
        <v>86051</v>
      </c>
      <c r="B34" s="255">
        <v>2014</v>
      </c>
      <c r="C34" s="234" t="s">
        <v>94</v>
      </c>
      <c r="D34" s="256"/>
      <c r="E34" s="236">
        <v>322</v>
      </c>
      <c r="F34" s="246">
        <v>2</v>
      </c>
      <c r="G34" s="246"/>
      <c r="H34" s="246">
        <v>2</v>
      </c>
      <c r="I34" s="237">
        <v>18</v>
      </c>
      <c r="J34" s="244">
        <v>15</v>
      </c>
      <c r="K34" s="237">
        <f>285-252</f>
        <v>33</v>
      </c>
      <c r="L34" s="237">
        <v>33</v>
      </c>
      <c r="M34" s="237">
        <v>76</v>
      </c>
      <c r="N34" s="237">
        <v>38</v>
      </c>
      <c r="O34" s="237">
        <v>35</v>
      </c>
      <c r="P34" s="237">
        <v>53</v>
      </c>
      <c r="Q34" s="237">
        <v>7</v>
      </c>
      <c r="R34" s="238">
        <f t="shared" si="0"/>
        <v>312</v>
      </c>
      <c r="S34" s="239">
        <f t="shared" si="4"/>
        <v>28.363636363636363</v>
      </c>
      <c r="T34" s="240">
        <f t="shared" si="5"/>
        <v>0.35256410256410259</v>
      </c>
      <c r="U34" s="254">
        <f>SUM(E34-R34)</f>
        <v>10</v>
      </c>
      <c r="V34" s="255">
        <v>2014</v>
      </c>
      <c r="W34" s="234" t="s">
        <v>94</v>
      </c>
    </row>
    <row r="35" spans="1:28" x14ac:dyDescent="0.2">
      <c r="A35" s="234">
        <v>28381</v>
      </c>
      <c r="B35" s="255">
        <v>2014</v>
      </c>
      <c r="C35" s="234" t="s">
        <v>100</v>
      </c>
      <c r="D35" s="256"/>
      <c r="E35" s="236">
        <f>84+225</f>
        <v>309</v>
      </c>
      <c r="F35" s="237">
        <v>27</v>
      </c>
      <c r="G35" s="237">
        <v>9</v>
      </c>
      <c r="H35" s="237">
        <v>32</v>
      </c>
      <c r="I35" s="237">
        <v>16</v>
      </c>
      <c r="J35" s="242"/>
      <c r="K35" s="237"/>
      <c r="L35" s="237">
        <v>41</v>
      </c>
      <c r="M35" s="237">
        <v>56</v>
      </c>
      <c r="N35" s="237"/>
      <c r="O35" s="237">
        <v>0</v>
      </c>
      <c r="P35" s="237">
        <v>0</v>
      </c>
      <c r="Q35" s="237">
        <v>0</v>
      </c>
      <c r="R35" s="238">
        <f t="shared" si="0"/>
        <v>181</v>
      </c>
      <c r="S35" s="239">
        <f>IFERROR((AVERAGE(F35:Q35)),0)</f>
        <v>20.111111111111111</v>
      </c>
      <c r="T35" s="240">
        <f>IFERROR((U35/S35),0)</f>
        <v>6.3646408839779003</v>
      </c>
      <c r="U35" s="254">
        <f>SUM(E35-R35)</f>
        <v>128</v>
      </c>
      <c r="V35" s="255">
        <v>2014</v>
      </c>
      <c r="W35" s="234" t="s">
        <v>100</v>
      </c>
    </row>
    <row r="36" spans="1:28" x14ac:dyDescent="0.2">
      <c r="A36" s="226"/>
      <c r="B36" s="226"/>
      <c r="C36" s="226"/>
      <c r="D36" s="226"/>
      <c r="E36" s="243"/>
      <c r="F36" s="226"/>
      <c r="G36" s="226"/>
      <c r="H36" s="226"/>
      <c r="I36" s="226"/>
      <c r="J36" s="226"/>
      <c r="K36" s="226"/>
      <c r="L36" s="226"/>
      <c r="M36" s="226"/>
      <c r="N36" s="226"/>
      <c r="O36" s="243"/>
      <c r="P36" s="243"/>
      <c r="Q36" s="243"/>
      <c r="R36" s="257"/>
      <c r="S36" s="258"/>
      <c r="T36" s="259"/>
      <c r="U36" s="260"/>
      <c r="V36" s="226"/>
      <c r="W36" s="226"/>
      <c r="AB36" s="220" t="s">
        <v>35</v>
      </c>
    </row>
    <row r="37" spans="1:28" x14ac:dyDescent="0.2">
      <c r="A37" s="234">
        <v>11198</v>
      </c>
      <c r="B37" s="255">
        <v>2015</v>
      </c>
      <c r="C37" s="234" t="s">
        <v>46</v>
      </c>
      <c r="D37" s="256"/>
      <c r="E37" s="236">
        <v>400</v>
      </c>
      <c r="F37" s="237">
        <v>1</v>
      </c>
      <c r="G37" s="237">
        <v>15</v>
      </c>
      <c r="H37" s="237">
        <v>29</v>
      </c>
      <c r="I37" s="237">
        <v>47</v>
      </c>
      <c r="J37" s="237">
        <v>40</v>
      </c>
      <c r="K37" s="237">
        <v>33</v>
      </c>
      <c r="L37" s="237">
        <v>45</v>
      </c>
      <c r="M37" s="237">
        <v>37</v>
      </c>
      <c r="N37" s="237">
        <v>59</v>
      </c>
      <c r="O37" s="237">
        <v>45</v>
      </c>
      <c r="P37" s="237">
        <v>37</v>
      </c>
      <c r="Q37" s="237">
        <v>12</v>
      </c>
      <c r="R37" s="238">
        <f t="shared" si="0"/>
        <v>400</v>
      </c>
      <c r="S37" s="239">
        <f>IFERROR((AVERAGE(F37:Q37)),0)</f>
        <v>33.333333333333336</v>
      </c>
      <c r="T37" s="240">
        <f>IFERROR((U37/S37),0)</f>
        <v>0</v>
      </c>
      <c r="U37" s="254">
        <f t="shared" ref="U37:U57" si="7">SUM(E37-R37)</f>
        <v>0</v>
      </c>
      <c r="V37" s="255">
        <v>2015</v>
      </c>
      <c r="W37" s="234" t="s">
        <v>46</v>
      </c>
    </row>
    <row r="38" spans="1:28" x14ac:dyDescent="0.2">
      <c r="A38" s="234">
        <v>57631</v>
      </c>
      <c r="B38" s="255">
        <v>2015</v>
      </c>
      <c r="C38" s="234" t="s">
        <v>33</v>
      </c>
      <c r="D38" s="256"/>
      <c r="E38" s="236">
        <v>316</v>
      </c>
      <c r="F38" s="237">
        <v>1</v>
      </c>
      <c r="G38" s="237">
        <v>32</v>
      </c>
      <c r="H38" s="237">
        <v>27</v>
      </c>
      <c r="I38" s="237">
        <v>52</v>
      </c>
      <c r="J38" s="237">
        <v>50</v>
      </c>
      <c r="K38" s="237">
        <f>154-10-112</f>
        <v>32</v>
      </c>
      <c r="L38" s="237">
        <v>40</v>
      </c>
      <c r="M38" s="237">
        <v>37</v>
      </c>
      <c r="N38" s="237">
        <v>44</v>
      </c>
      <c r="O38" s="237">
        <v>1</v>
      </c>
      <c r="P38" s="242"/>
      <c r="Q38" s="242"/>
      <c r="R38" s="238">
        <f t="shared" si="0"/>
        <v>316</v>
      </c>
      <c r="S38" s="239">
        <f>IFERROR((AVERAGE(F38:Q38)),0)</f>
        <v>31.6</v>
      </c>
      <c r="T38" s="240">
        <f>IFERROR((U38/S38),0)</f>
        <v>0</v>
      </c>
      <c r="U38" s="254">
        <f t="shared" si="7"/>
        <v>0</v>
      </c>
      <c r="V38" s="255">
        <v>2015</v>
      </c>
      <c r="W38" s="234" t="s">
        <v>33</v>
      </c>
    </row>
    <row r="39" spans="1:28" x14ac:dyDescent="0.2">
      <c r="A39" s="234">
        <v>57632</v>
      </c>
      <c r="B39" s="255">
        <v>2015</v>
      </c>
      <c r="C39" s="234" t="s">
        <v>31</v>
      </c>
      <c r="D39" s="256"/>
      <c r="E39" s="236">
        <v>431</v>
      </c>
      <c r="F39" s="246"/>
      <c r="G39" s="246"/>
      <c r="H39" s="246"/>
      <c r="I39" s="246"/>
      <c r="J39" s="246"/>
      <c r="K39" s="246"/>
      <c r="L39" s="246"/>
      <c r="M39" s="246">
        <v>24</v>
      </c>
      <c r="N39" s="246"/>
      <c r="O39" s="246"/>
      <c r="P39" s="237">
        <v>56</v>
      </c>
      <c r="Q39" s="237">
        <v>9</v>
      </c>
      <c r="R39" s="238">
        <f t="shared" si="0"/>
        <v>89</v>
      </c>
      <c r="S39" s="239">
        <f>IFERROR((AVERAGE(F39:Q39)),0)</f>
        <v>29.666666666666668</v>
      </c>
      <c r="T39" s="240">
        <f>IFERROR((U39/S39),0)</f>
        <v>11.52808988764045</v>
      </c>
      <c r="U39" s="261">
        <f t="shared" si="7"/>
        <v>342</v>
      </c>
      <c r="V39" s="255">
        <v>2015</v>
      </c>
      <c r="W39" s="234" t="s">
        <v>31</v>
      </c>
    </row>
    <row r="40" spans="1:28" x14ac:dyDescent="0.2">
      <c r="A40" s="234"/>
      <c r="B40" s="255">
        <v>2015</v>
      </c>
      <c r="C40" s="234" t="s">
        <v>128</v>
      </c>
      <c r="D40" s="256"/>
      <c r="E40" s="236">
        <v>0</v>
      </c>
      <c r="F40" s="246"/>
      <c r="G40" s="246"/>
      <c r="H40" s="246"/>
      <c r="I40" s="246"/>
      <c r="J40" s="246"/>
      <c r="K40" s="246"/>
      <c r="L40" s="246"/>
      <c r="M40" s="246"/>
      <c r="N40" s="246"/>
      <c r="O40" s="246"/>
      <c r="P40" s="246"/>
      <c r="Q40" s="246"/>
      <c r="R40" s="238">
        <f t="shared" si="0"/>
        <v>0</v>
      </c>
      <c r="S40" s="239">
        <f>IFERROR((AVERAGE(F40:Q40)),0)</f>
        <v>0</v>
      </c>
      <c r="T40" s="240">
        <f t="shared" ref="T40:T51" si="8">IFERROR((U40/S40),0)</f>
        <v>0</v>
      </c>
      <c r="U40" s="261">
        <f t="shared" si="7"/>
        <v>0</v>
      </c>
      <c r="V40" s="255">
        <v>2015</v>
      </c>
      <c r="W40" s="234" t="s">
        <v>128</v>
      </c>
    </row>
    <row r="41" spans="1:28" x14ac:dyDescent="0.2">
      <c r="A41" s="234">
        <v>57630</v>
      </c>
      <c r="B41" s="255">
        <v>2015</v>
      </c>
      <c r="C41" s="234" t="s">
        <v>25</v>
      </c>
      <c r="D41" s="256"/>
      <c r="E41" s="236">
        <v>518</v>
      </c>
      <c r="F41" s="246"/>
      <c r="G41" s="246"/>
      <c r="H41" s="246"/>
      <c r="I41" s="246"/>
      <c r="J41" s="246"/>
      <c r="K41" s="246"/>
      <c r="L41" s="246"/>
      <c r="M41" s="246">
        <v>1</v>
      </c>
      <c r="N41" s="246"/>
      <c r="O41" s="246">
        <v>42</v>
      </c>
      <c r="P41" s="246">
        <v>0</v>
      </c>
      <c r="Q41" s="246">
        <v>13</v>
      </c>
      <c r="R41" s="238">
        <f t="shared" si="0"/>
        <v>56</v>
      </c>
      <c r="S41" s="239">
        <f t="shared" ref="S41:S51" si="9">IFERROR((AVERAGE(F41:Q41)),0)</f>
        <v>14</v>
      </c>
      <c r="T41" s="240">
        <f t="shared" si="8"/>
        <v>33</v>
      </c>
      <c r="U41" s="261">
        <f t="shared" si="7"/>
        <v>462</v>
      </c>
      <c r="V41" s="255">
        <v>2015</v>
      </c>
      <c r="W41" s="234" t="s">
        <v>25</v>
      </c>
    </row>
    <row r="42" spans="1:28" x14ac:dyDescent="0.2">
      <c r="A42" s="234">
        <v>22382</v>
      </c>
      <c r="B42" s="255">
        <v>2015</v>
      </c>
      <c r="C42" s="234" t="s">
        <v>23</v>
      </c>
      <c r="D42" s="256"/>
      <c r="E42" s="236">
        <v>431</v>
      </c>
      <c r="F42" s="246"/>
      <c r="G42" s="246"/>
      <c r="H42" s="246"/>
      <c r="I42" s="246"/>
      <c r="J42" s="246"/>
      <c r="K42" s="246"/>
      <c r="L42" s="246"/>
      <c r="M42" s="246">
        <v>95</v>
      </c>
      <c r="N42" s="246"/>
      <c r="O42" s="246">
        <v>0</v>
      </c>
      <c r="P42" s="246">
        <v>0</v>
      </c>
      <c r="Q42" s="246">
        <v>0</v>
      </c>
      <c r="R42" s="238">
        <f t="shared" si="0"/>
        <v>95</v>
      </c>
      <c r="S42" s="239">
        <f t="shared" si="9"/>
        <v>23.75</v>
      </c>
      <c r="T42" s="240">
        <f t="shared" si="8"/>
        <v>14.147368421052631</v>
      </c>
      <c r="U42" s="261">
        <f t="shared" si="7"/>
        <v>336</v>
      </c>
      <c r="V42" s="255">
        <v>2015</v>
      </c>
      <c r="W42" s="234" t="s">
        <v>23</v>
      </c>
    </row>
    <row r="43" spans="1:28" x14ac:dyDescent="0.2">
      <c r="A43" s="234">
        <v>84802</v>
      </c>
      <c r="B43" s="255">
        <v>2015</v>
      </c>
      <c r="C43" s="234" t="s">
        <v>93</v>
      </c>
      <c r="D43" s="256"/>
      <c r="E43" s="236">
        <v>225</v>
      </c>
      <c r="F43" s="246"/>
      <c r="G43" s="246"/>
      <c r="H43" s="246"/>
      <c r="I43" s="246"/>
      <c r="J43" s="246"/>
      <c r="K43" s="246"/>
      <c r="L43" s="246"/>
      <c r="M43" s="246">
        <v>1</v>
      </c>
      <c r="N43" s="246"/>
      <c r="O43" s="246"/>
      <c r="P43" s="246"/>
      <c r="Q43" s="246">
        <v>0</v>
      </c>
      <c r="R43" s="238">
        <f t="shared" si="0"/>
        <v>1</v>
      </c>
      <c r="S43" s="239">
        <f t="shared" si="9"/>
        <v>0.5</v>
      </c>
      <c r="T43" s="240">
        <f t="shared" si="8"/>
        <v>448</v>
      </c>
      <c r="U43" s="261">
        <f t="shared" si="7"/>
        <v>224</v>
      </c>
      <c r="V43" s="255">
        <v>2015</v>
      </c>
      <c r="W43" s="234" t="s">
        <v>93</v>
      </c>
    </row>
    <row r="44" spans="1:28" x14ac:dyDescent="0.2">
      <c r="A44" s="234">
        <v>22384</v>
      </c>
      <c r="B44" s="255">
        <v>2015</v>
      </c>
      <c r="C44" s="234" t="s">
        <v>26</v>
      </c>
      <c r="D44" s="256"/>
      <c r="E44" s="236">
        <v>0</v>
      </c>
      <c r="F44" s="246"/>
      <c r="G44" s="246"/>
      <c r="H44" s="246"/>
      <c r="I44" s="246"/>
      <c r="J44" s="246"/>
      <c r="K44" s="246"/>
      <c r="L44" s="246"/>
      <c r="M44" s="246"/>
      <c r="N44" s="246"/>
      <c r="O44" s="246"/>
      <c r="P44" s="246"/>
      <c r="Q44" s="246"/>
      <c r="R44" s="238">
        <f t="shared" si="0"/>
        <v>0</v>
      </c>
      <c r="S44" s="239">
        <f t="shared" si="9"/>
        <v>0</v>
      </c>
      <c r="T44" s="240">
        <f t="shared" si="8"/>
        <v>0</v>
      </c>
      <c r="U44" s="261">
        <f t="shared" si="7"/>
        <v>0</v>
      </c>
      <c r="V44" s="255">
        <v>2015</v>
      </c>
      <c r="W44" s="234" t="s">
        <v>26</v>
      </c>
    </row>
    <row r="45" spans="1:28" x14ac:dyDescent="0.2">
      <c r="A45" s="234">
        <v>27736</v>
      </c>
      <c r="B45" s="255">
        <v>2015</v>
      </c>
      <c r="C45" s="234" t="s">
        <v>56</v>
      </c>
      <c r="D45" s="256"/>
      <c r="E45" s="236">
        <v>363</v>
      </c>
      <c r="F45" s="246"/>
      <c r="G45" s="246"/>
      <c r="H45" s="246"/>
      <c r="I45" s="246"/>
      <c r="J45" s="246"/>
      <c r="K45" s="246"/>
      <c r="L45" s="246"/>
      <c r="M45" s="246">
        <v>1</v>
      </c>
      <c r="N45" s="246">
        <v>10</v>
      </c>
      <c r="O45" s="246">
        <v>6</v>
      </c>
      <c r="P45" s="246">
        <v>26</v>
      </c>
      <c r="Q45" s="246">
        <v>21</v>
      </c>
      <c r="R45" s="238">
        <f t="shared" si="0"/>
        <v>64</v>
      </c>
      <c r="S45" s="239">
        <f t="shared" si="9"/>
        <v>12.8</v>
      </c>
      <c r="T45" s="240">
        <f t="shared" si="8"/>
        <v>23.359375</v>
      </c>
      <c r="U45" s="261">
        <f t="shared" si="7"/>
        <v>299</v>
      </c>
      <c r="V45" s="255">
        <v>2015</v>
      </c>
      <c r="W45" s="234" t="s">
        <v>56</v>
      </c>
    </row>
    <row r="46" spans="1:28" x14ac:dyDescent="0.2">
      <c r="A46" s="234">
        <v>28361</v>
      </c>
      <c r="B46" s="255">
        <v>2015</v>
      </c>
      <c r="C46" s="234" t="s">
        <v>24</v>
      </c>
      <c r="D46" s="256"/>
      <c r="E46" s="236">
        <v>115</v>
      </c>
      <c r="F46" s="246"/>
      <c r="G46" s="246"/>
      <c r="H46" s="246"/>
      <c r="I46" s="246"/>
      <c r="J46" s="246"/>
      <c r="K46" s="246"/>
      <c r="L46" s="246"/>
      <c r="M46" s="246"/>
      <c r="N46" s="246"/>
      <c r="O46" s="246"/>
      <c r="P46" s="246"/>
      <c r="Q46" s="246">
        <v>0</v>
      </c>
      <c r="R46" s="238">
        <f t="shared" si="0"/>
        <v>0</v>
      </c>
      <c r="S46" s="239">
        <f t="shared" si="9"/>
        <v>0</v>
      </c>
      <c r="T46" s="240">
        <f t="shared" si="8"/>
        <v>0</v>
      </c>
      <c r="U46" s="261">
        <f t="shared" si="7"/>
        <v>115</v>
      </c>
      <c r="V46" s="255">
        <v>2015</v>
      </c>
      <c r="W46" s="234" t="s">
        <v>24</v>
      </c>
    </row>
    <row r="47" spans="1:28" x14ac:dyDescent="0.2">
      <c r="A47" s="234">
        <v>22921</v>
      </c>
      <c r="B47" s="255">
        <v>2015</v>
      </c>
      <c r="C47" s="234" t="s">
        <v>22</v>
      </c>
      <c r="D47" s="256"/>
      <c r="E47" s="236">
        <v>671</v>
      </c>
      <c r="F47" s="246"/>
      <c r="G47" s="246"/>
      <c r="H47" s="246"/>
      <c r="I47" s="246"/>
      <c r="J47" s="246"/>
      <c r="K47" s="246"/>
      <c r="L47" s="246"/>
      <c r="M47" s="246"/>
      <c r="N47" s="246"/>
      <c r="O47" s="246"/>
      <c r="P47" s="246"/>
      <c r="Q47" s="246">
        <v>0</v>
      </c>
      <c r="R47" s="238">
        <f t="shared" si="0"/>
        <v>0</v>
      </c>
      <c r="S47" s="239">
        <f t="shared" si="9"/>
        <v>0</v>
      </c>
      <c r="T47" s="240">
        <f t="shared" si="8"/>
        <v>0</v>
      </c>
      <c r="U47" s="261">
        <f t="shared" si="7"/>
        <v>671</v>
      </c>
      <c r="V47" s="255">
        <v>2015</v>
      </c>
      <c r="W47" s="234" t="s">
        <v>22</v>
      </c>
    </row>
    <row r="48" spans="1:28" x14ac:dyDescent="0.2">
      <c r="A48" s="250">
        <v>34641</v>
      </c>
      <c r="B48" s="255">
        <v>2015</v>
      </c>
      <c r="C48" s="250" t="s">
        <v>52</v>
      </c>
      <c r="D48" s="256"/>
      <c r="E48" s="236">
        <v>275</v>
      </c>
      <c r="F48" s="246"/>
      <c r="G48" s="246"/>
      <c r="H48" s="246"/>
      <c r="I48" s="246"/>
      <c r="J48" s="246"/>
      <c r="K48" s="246"/>
      <c r="L48" s="246"/>
      <c r="M48" s="246"/>
      <c r="N48" s="246"/>
      <c r="O48" s="246"/>
      <c r="P48" s="246"/>
      <c r="Q48" s="246">
        <v>65</v>
      </c>
      <c r="R48" s="238">
        <f t="shared" si="0"/>
        <v>65</v>
      </c>
      <c r="S48" s="239">
        <f t="shared" si="9"/>
        <v>65</v>
      </c>
      <c r="T48" s="240">
        <f t="shared" si="8"/>
        <v>3.2307692307692308</v>
      </c>
      <c r="U48" s="261">
        <f t="shared" si="7"/>
        <v>210</v>
      </c>
      <c r="V48" s="255">
        <v>2015</v>
      </c>
      <c r="W48" s="250" t="s">
        <v>52</v>
      </c>
    </row>
    <row r="49" spans="1:30" x14ac:dyDescent="0.2">
      <c r="A49" s="234">
        <v>18004</v>
      </c>
      <c r="B49" s="255">
        <v>2015</v>
      </c>
      <c r="C49" s="234" t="s">
        <v>99</v>
      </c>
      <c r="D49" s="256"/>
      <c r="E49" s="236">
        <v>252</v>
      </c>
      <c r="F49" s="246"/>
      <c r="G49" s="246"/>
      <c r="H49" s="246"/>
      <c r="I49" s="246"/>
      <c r="J49" s="246"/>
      <c r="K49" s="246"/>
      <c r="L49" s="246"/>
      <c r="M49" s="246">
        <v>1</v>
      </c>
      <c r="N49" s="246"/>
      <c r="O49" s="246">
        <v>11</v>
      </c>
      <c r="P49" s="246">
        <v>4</v>
      </c>
      <c r="Q49" s="246">
        <v>16</v>
      </c>
      <c r="R49" s="238">
        <f t="shared" si="0"/>
        <v>32</v>
      </c>
      <c r="S49" s="239">
        <f t="shared" si="9"/>
        <v>8</v>
      </c>
      <c r="T49" s="240">
        <f t="shared" si="8"/>
        <v>27.5</v>
      </c>
      <c r="U49" s="261">
        <f t="shared" si="7"/>
        <v>220</v>
      </c>
      <c r="V49" s="255">
        <v>2015</v>
      </c>
      <c r="W49" s="234" t="s">
        <v>99</v>
      </c>
    </row>
    <row r="50" spans="1:30" x14ac:dyDescent="0.2">
      <c r="A50" s="234">
        <v>86051</v>
      </c>
      <c r="B50" s="255">
        <v>2015</v>
      </c>
      <c r="C50" s="234" t="s">
        <v>94</v>
      </c>
      <c r="D50" s="256"/>
      <c r="E50" s="236">
        <v>421</v>
      </c>
      <c r="F50" s="246"/>
      <c r="G50" s="246"/>
      <c r="H50" s="246"/>
      <c r="I50" s="246"/>
      <c r="J50" s="246"/>
      <c r="K50" s="246"/>
      <c r="L50" s="246"/>
      <c r="M50" s="246"/>
      <c r="N50" s="246"/>
      <c r="O50" s="246"/>
      <c r="P50" s="246"/>
      <c r="Q50" s="246">
        <v>29</v>
      </c>
      <c r="R50" s="238">
        <f t="shared" si="0"/>
        <v>29</v>
      </c>
      <c r="S50" s="239">
        <f t="shared" si="9"/>
        <v>29</v>
      </c>
      <c r="T50" s="240">
        <f t="shared" si="8"/>
        <v>13.517241379310345</v>
      </c>
      <c r="U50" s="261">
        <f>SUM(E50-R50)</f>
        <v>392</v>
      </c>
      <c r="V50" s="255">
        <v>2015</v>
      </c>
      <c r="W50" s="234" t="s">
        <v>94</v>
      </c>
    </row>
    <row r="51" spans="1:30" x14ac:dyDescent="0.2">
      <c r="A51" s="234">
        <v>28381</v>
      </c>
      <c r="B51" s="255">
        <v>2015</v>
      </c>
      <c r="C51" s="234" t="s">
        <v>100</v>
      </c>
      <c r="D51" s="256"/>
      <c r="E51" s="236"/>
      <c r="F51" s="246"/>
      <c r="G51" s="246"/>
      <c r="H51" s="246"/>
      <c r="I51" s="246"/>
      <c r="J51" s="246"/>
      <c r="K51" s="246"/>
      <c r="L51" s="246"/>
      <c r="M51" s="246"/>
      <c r="N51" s="246"/>
      <c r="O51" s="246"/>
      <c r="P51" s="246"/>
      <c r="Q51" s="246"/>
      <c r="R51" s="238">
        <f t="shared" si="0"/>
        <v>0</v>
      </c>
      <c r="S51" s="239">
        <f t="shared" si="9"/>
        <v>0</v>
      </c>
      <c r="T51" s="240">
        <f t="shared" si="8"/>
        <v>0</v>
      </c>
      <c r="U51" s="261">
        <f t="shared" si="7"/>
        <v>0</v>
      </c>
      <c r="V51" s="255">
        <v>2015</v>
      </c>
      <c r="W51" s="234" t="s">
        <v>100</v>
      </c>
    </row>
    <row r="52" spans="1:30" x14ac:dyDescent="0.2">
      <c r="A52" s="226"/>
      <c r="B52" s="226"/>
      <c r="C52" s="226"/>
      <c r="D52" s="226"/>
      <c r="E52" s="226"/>
      <c r="F52" s="226"/>
      <c r="G52" s="226"/>
      <c r="H52" s="226"/>
      <c r="I52" s="226"/>
      <c r="J52" s="226"/>
      <c r="K52" s="226"/>
      <c r="L52" s="226"/>
      <c r="M52" s="226"/>
      <c r="N52" s="226"/>
      <c r="O52" s="243"/>
      <c r="P52" s="243"/>
      <c r="Q52" s="226"/>
      <c r="R52" s="226"/>
      <c r="S52" s="226"/>
      <c r="T52" s="226"/>
      <c r="U52" s="226"/>
      <c r="V52" s="226"/>
      <c r="W52" s="226"/>
    </row>
    <row r="53" spans="1:30" x14ac:dyDescent="0.2">
      <c r="A53" s="234"/>
      <c r="B53" s="233">
        <v>2012</v>
      </c>
      <c r="C53" s="234"/>
      <c r="D53" s="262"/>
      <c r="E53" s="263">
        <f t="shared" ref="E53:R53" si="10">SUM(E10:E11)</f>
        <v>304</v>
      </c>
      <c r="F53" s="263">
        <f t="shared" si="10"/>
        <v>45</v>
      </c>
      <c r="G53" s="263">
        <f t="shared" si="10"/>
        <v>28</v>
      </c>
      <c r="H53" s="263">
        <f t="shared" si="10"/>
        <v>21</v>
      </c>
      <c r="I53" s="263">
        <f t="shared" si="10"/>
        <v>43</v>
      </c>
      <c r="J53" s="263">
        <f t="shared" si="10"/>
        <v>43</v>
      </c>
      <c r="K53" s="263">
        <f t="shared" si="10"/>
        <v>16</v>
      </c>
      <c r="L53" s="263">
        <f t="shared" si="10"/>
        <v>15</v>
      </c>
      <c r="M53" s="263">
        <f t="shared" si="10"/>
        <v>15</v>
      </c>
      <c r="N53" s="263">
        <f t="shared" si="10"/>
        <v>23</v>
      </c>
      <c r="O53" s="263">
        <f t="shared" si="10"/>
        <v>28</v>
      </c>
      <c r="P53" s="263">
        <f t="shared" si="10"/>
        <v>22</v>
      </c>
      <c r="Q53" s="263">
        <f t="shared" si="10"/>
        <v>0</v>
      </c>
      <c r="R53" s="238">
        <f t="shared" si="10"/>
        <v>299</v>
      </c>
      <c r="S53" s="239">
        <f>AVERAGE(F53:Q53)</f>
        <v>24.916666666666668</v>
      </c>
      <c r="T53" s="240">
        <f>U53/S53</f>
        <v>0.20066889632107021</v>
      </c>
      <c r="U53" s="261">
        <f t="shared" si="7"/>
        <v>5</v>
      </c>
      <c r="V53" s="233">
        <v>2012</v>
      </c>
      <c r="W53" s="234"/>
    </row>
    <row r="54" spans="1:30" x14ac:dyDescent="0.2">
      <c r="A54" s="234"/>
      <c r="B54" s="233">
        <v>2013</v>
      </c>
      <c r="C54" s="234"/>
      <c r="D54" s="262"/>
      <c r="E54" s="263">
        <f t="shared" ref="E54:R54" si="11">SUM(E13:E21)</f>
        <v>2192</v>
      </c>
      <c r="F54" s="263">
        <f t="shared" si="11"/>
        <v>232</v>
      </c>
      <c r="G54" s="263">
        <f t="shared" si="11"/>
        <v>169</v>
      </c>
      <c r="H54" s="263">
        <f t="shared" si="11"/>
        <v>151</v>
      </c>
      <c r="I54" s="263">
        <f t="shared" si="11"/>
        <v>241</v>
      </c>
      <c r="J54" s="263">
        <f t="shared" si="11"/>
        <v>172</v>
      </c>
      <c r="K54" s="263">
        <f t="shared" si="11"/>
        <v>221</v>
      </c>
      <c r="L54" s="263">
        <f t="shared" si="11"/>
        <v>215</v>
      </c>
      <c r="M54" s="263">
        <f t="shared" si="11"/>
        <v>162</v>
      </c>
      <c r="N54" s="263">
        <f t="shared" si="11"/>
        <v>169</v>
      </c>
      <c r="O54" s="263">
        <f t="shared" si="11"/>
        <v>97</v>
      </c>
      <c r="P54" s="263">
        <f t="shared" si="11"/>
        <v>47</v>
      </c>
      <c r="Q54" s="263">
        <f t="shared" si="11"/>
        <v>18</v>
      </c>
      <c r="R54" s="238">
        <f t="shared" si="11"/>
        <v>1894</v>
      </c>
      <c r="S54" s="264">
        <f>AVERAGE(F54:Q54)</f>
        <v>157.83333333333334</v>
      </c>
      <c r="T54" s="265">
        <f>U54/S54</f>
        <v>1.8880675818373811</v>
      </c>
      <c r="U54" s="261">
        <f t="shared" si="7"/>
        <v>298</v>
      </c>
      <c r="V54" s="233">
        <v>2013</v>
      </c>
      <c r="W54" s="234"/>
    </row>
    <row r="55" spans="1:30" x14ac:dyDescent="0.2">
      <c r="A55" s="234"/>
      <c r="B55" s="233">
        <v>2014</v>
      </c>
      <c r="C55" s="234"/>
      <c r="D55" s="262"/>
      <c r="E55" s="263">
        <f t="shared" ref="E55:R55" si="12">SUM(E23:E35)</f>
        <v>4243</v>
      </c>
      <c r="F55" s="263">
        <f t="shared" si="12"/>
        <v>151</v>
      </c>
      <c r="G55" s="263">
        <f t="shared" si="12"/>
        <v>90</v>
      </c>
      <c r="H55" s="263">
        <f t="shared" si="12"/>
        <v>82</v>
      </c>
      <c r="I55" s="263">
        <f t="shared" si="12"/>
        <v>100</v>
      </c>
      <c r="J55" s="263">
        <f t="shared" si="12"/>
        <v>85</v>
      </c>
      <c r="K55" s="263">
        <f t="shared" si="12"/>
        <v>94</v>
      </c>
      <c r="L55" s="263">
        <f t="shared" si="12"/>
        <v>203</v>
      </c>
      <c r="M55" s="263">
        <f t="shared" si="12"/>
        <v>302</v>
      </c>
      <c r="N55" s="263">
        <f t="shared" si="12"/>
        <v>195</v>
      </c>
      <c r="O55" s="263">
        <f t="shared" si="12"/>
        <v>218</v>
      </c>
      <c r="P55" s="263">
        <f t="shared" si="12"/>
        <v>313</v>
      </c>
      <c r="Q55" s="263">
        <f t="shared" si="12"/>
        <v>331</v>
      </c>
      <c r="R55" s="238">
        <f t="shared" si="12"/>
        <v>2164</v>
      </c>
      <c r="S55" s="264">
        <f>AVERAGE(F55:Q55)</f>
        <v>180.33333333333334</v>
      </c>
      <c r="T55" s="265">
        <f>U55/S55</f>
        <v>11.528650646950092</v>
      </c>
      <c r="U55" s="261">
        <f t="shared" si="7"/>
        <v>2079</v>
      </c>
      <c r="V55" s="233">
        <v>2014</v>
      </c>
      <c r="W55" s="234"/>
    </row>
    <row r="56" spans="1:30" x14ac:dyDescent="0.2">
      <c r="A56" s="234"/>
      <c r="B56" s="233">
        <v>2015</v>
      </c>
      <c r="C56" s="234"/>
      <c r="D56" s="262"/>
      <c r="E56" s="263">
        <f t="shared" ref="E56:Q56" si="13">SUM(E37:E51)</f>
        <v>4418</v>
      </c>
      <c r="F56" s="263">
        <f t="shared" si="13"/>
        <v>2</v>
      </c>
      <c r="G56" s="263">
        <f t="shared" si="13"/>
        <v>47</v>
      </c>
      <c r="H56" s="263">
        <f t="shared" si="13"/>
        <v>56</v>
      </c>
      <c r="I56" s="263">
        <f t="shared" si="13"/>
        <v>99</v>
      </c>
      <c r="J56" s="263">
        <f t="shared" si="13"/>
        <v>90</v>
      </c>
      <c r="K56" s="263">
        <f t="shared" si="13"/>
        <v>65</v>
      </c>
      <c r="L56" s="263">
        <f t="shared" si="13"/>
        <v>85</v>
      </c>
      <c r="M56" s="263">
        <f t="shared" si="13"/>
        <v>197</v>
      </c>
      <c r="N56" s="263">
        <f t="shared" si="13"/>
        <v>113</v>
      </c>
      <c r="O56" s="263">
        <f t="shared" si="13"/>
        <v>105</v>
      </c>
      <c r="P56" s="263">
        <f t="shared" si="13"/>
        <v>123</v>
      </c>
      <c r="Q56" s="263">
        <f t="shared" si="13"/>
        <v>165</v>
      </c>
      <c r="R56" s="238">
        <f>SUM(R24:R33)</f>
        <v>1612</v>
      </c>
      <c r="S56" s="264">
        <f>AVERAGE(F56:Q56)</f>
        <v>95.583333333333329</v>
      </c>
      <c r="T56" s="265">
        <f>U56/S56</f>
        <v>29.356582388840454</v>
      </c>
      <c r="U56" s="261">
        <f t="shared" si="7"/>
        <v>2806</v>
      </c>
      <c r="V56" s="233">
        <v>2015</v>
      </c>
      <c r="W56" s="234"/>
    </row>
    <row r="57" spans="1:30" x14ac:dyDescent="0.2">
      <c r="A57" s="234"/>
      <c r="B57" s="266" t="s">
        <v>59</v>
      </c>
      <c r="C57" s="234"/>
      <c r="D57" s="262"/>
      <c r="E57" s="267">
        <f>SUM(E53:E56)</f>
        <v>11157</v>
      </c>
      <c r="F57" s="267">
        <f t="shared" ref="F57:Q57" si="14">SUM(F53:F56)</f>
        <v>430</v>
      </c>
      <c r="G57" s="267">
        <f t="shared" si="14"/>
        <v>334</v>
      </c>
      <c r="H57" s="267">
        <f t="shared" si="14"/>
        <v>310</v>
      </c>
      <c r="I57" s="267">
        <f t="shared" si="14"/>
        <v>483</v>
      </c>
      <c r="J57" s="267">
        <f t="shared" si="14"/>
        <v>390</v>
      </c>
      <c r="K57" s="267">
        <f t="shared" si="14"/>
        <v>396</v>
      </c>
      <c r="L57" s="267">
        <f t="shared" si="14"/>
        <v>518</v>
      </c>
      <c r="M57" s="267">
        <f t="shared" si="14"/>
        <v>676</v>
      </c>
      <c r="N57" s="267">
        <f t="shared" si="14"/>
        <v>500</v>
      </c>
      <c r="O57" s="267">
        <f t="shared" si="14"/>
        <v>448</v>
      </c>
      <c r="P57" s="267">
        <f t="shared" si="14"/>
        <v>505</v>
      </c>
      <c r="Q57" s="267">
        <f t="shared" si="14"/>
        <v>514</v>
      </c>
      <c r="R57" s="238">
        <f>SUM(R53:R56)</f>
        <v>5969</v>
      </c>
      <c r="S57" s="268">
        <f>SUM(S53:S56)</f>
        <v>458.66666666666669</v>
      </c>
      <c r="T57" s="240">
        <f>U57/S57</f>
        <v>11.311046511627907</v>
      </c>
      <c r="U57" s="261">
        <f t="shared" si="7"/>
        <v>5188</v>
      </c>
      <c r="V57" s="266" t="s">
        <v>59</v>
      </c>
      <c r="W57" s="234"/>
    </row>
    <row r="58" spans="1:30" x14ac:dyDescent="0.2">
      <c r="A58" s="226"/>
      <c r="B58" s="269"/>
      <c r="C58" s="269"/>
      <c r="D58" s="270"/>
      <c r="E58" s="271"/>
      <c r="F58" s="271"/>
      <c r="G58" s="271"/>
      <c r="H58" s="271"/>
      <c r="I58" s="271"/>
      <c r="J58" s="271"/>
      <c r="K58" s="272"/>
      <c r="L58" s="272"/>
      <c r="M58" s="272"/>
      <c r="N58" s="272"/>
      <c r="O58" s="272"/>
      <c r="P58" s="272"/>
      <c r="Q58" s="272"/>
      <c r="R58" s="269"/>
      <c r="S58" s="270"/>
      <c r="T58" s="273"/>
      <c r="U58" s="274"/>
      <c r="V58" s="269"/>
      <c r="W58" s="269"/>
    </row>
    <row r="59" spans="1:30" x14ac:dyDescent="0.2">
      <c r="D59" s="275"/>
      <c r="E59" s="276"/>
      <c r="F59" s="276"/>
      <c r="G59" s="276"/>
      <c r="H59" s="276"/>
      <c r="I59" s="276"/>
      <c r="J59" s="276"/>
      <c r="K59" s="221"/>
      <c r="L59" s="221"/>
      <c r="M59" s="221"/>
      <c r="N59" s="221"/>
      <c r="O59" s="221"/>
      <c r="P59" s="221"/>
      <c r="Q59" s="221"/>
      <c r="S59" s="275"/>
      <c r="T59" s="277"/>
    </row>
    <row r="60" spans="1:30" ht="15.75" x14ac:dyDescent="0.25">
      <c r="B60" s="278" t="s">
        <v>129</v>
      </c>
      <c r="C60" s="278"/>
      <c r="D60" s="275"/>
      <c r="E60" s="221"/>
      <c r="F60" s="221"/>
      <c r="G60" s="221"/>
      <c r="H60" s="221"/>
      <c r="I60" s="221"/>
      <c r="J60" s="221"/>
      <c r="K60" s="221"/>
      <c r="L60" s="221"/>
      <c r="M60" s="221"/>
      <c r="N60" s="221"/>
      <c r="O60" s="221"/>
      <c r="P60" s="221"/>
      <c r="Q60" s="221"/>
      <c r="S60" s="275"/>
      <c r="T60" s="277"/>
      <c r="V60" s="278" t="s">
        <v>129</v>
      </c>
      <c r="W60" s="278"/>
    </row>
    <row r="61" spans="1:30" x14ac:dyDescent="0.2">
      <c r="D61" s="275"/>
      <c r="E61" s="221"/>
      <c r="F61" s="221"/>
      <c r="G61" s="221"/>
      <c r="H61" s="221"/>
      <c r="I61" s="221"/>
      <c r="J61" s="221"/>
      <c r="K61" s="221"/>
      <c r="L61" s="221"/>
      <c r="M61" s="221"/>
      <c r="N61" s="221"/>
      <c r="O61" s="221"/>
      <c r="P61" s="221"/>
      <c r="Q61" s="221"/>
      <c r="S61" s="275"/>
      <c r="T61" s="277"/>
    </row>
    <row r="62" spans="1:30" x14ac:dyDescent="0.2">
      <c r="A62" s="226"/>
      <c r="B62" s="226"/>
      <c r="C62" s="226"/>
      <c r="D62" s="226"/>
      <c r="E62" s="226"/>
      <c r="F62" s="226"/>
      <c r="G62" s="226"/>
      <c r="H62" s="226"/>
      <c r="I62" s="226"/>
      <c r="J62" s="226"/>
      <c r="K62" s="226"/>
      <c r="L62" s="226"/>
      <c r="M62" s="226"/>
      <c r="N62" s="226"/>
      <c r="O62" s="243"/>
      <c r="P62" s="243"/>
      <c r="Q62" s="226"/>
      <c r="R62" s="226"/>
      <c r="S62" s="226"/>
      <c r="T62" s="226"/>
      <c r="U62" s="226"/>
      <c r="V62" s="226"/>
      <c r="W62" s="226"/>
    </row>
    <row r="63" spans="1:30" x14ac:dyDescent="0.2">
      <c r="A63" s="234">
        <v>100465</v>
      </c>
      <c r="B63" s="255">
        <v>2014</v>
      </c>
      <c r="C63" s="234" t="s">
        <v>130</v>
      </c>
      <c r="D63" s="256">
        <v>9.2100000000000009</v>
      </c>
      <c r="E63" s="237">
        <v>327</v>
      </c>
      <c r="F63" s="246"/>
      <c r="G63" s="246"/>
      <c r="H63" s="246"/>
      <c r="I63" s="246"/>
      <c r="J63" s="246"/>
      <c r="K63" s="246">
        <v>12</v>
      </c>
      <c r="L63" s="246"/>
      <c r="M63" s="246"/>
      <c r="N63" s="246">
        <v>31</v>
      </c>
      <c r="O63" s="246">
        <v>0</v>
      </c>
      <c r="P63" s="246">
        <v>0</v>
      </c>
      <c r="Q63" s="246">
        <v>0</v>
      </c>
      <c r="R63" s="238">
        <f>SUM(F63:Q63)</f>
        <v>43</v>
      </c>
      <c r="S63" s="239">
        <f>IFERROR((AVERAGE(F63:Q63)),0)</f>
        <v>8.6</v>
      </c>
      <c r="T63" s="240">
        <f>IFERROR((U63/S63),0)</f>
        <v>33.02325581395349</v>
      </c>
      <c r="U63" s="261">
        <f>SUM(E63-R63)</f>
        <v>284</v>
      </c>
      <c r="V63" s="255">
        <v>2014</v>
      </c>
      <c r="W63" s="234" t="s">
        <v>130</v>
      </c>
      <c r="AD63" s="220">
        <v>1</v>
      </c>
    </row>
    <row r="64" spans="1:30" x14ac:dyDescent="0.2">
      <c r="A64" s="234">
        <v>97511</v>
      </c>
      <c r="B64" s="248">
        <v>2014</v>
      </c>
      <c r="C64" s="234" t="s">
        <v>25</v>
      </c>
      <c r="D64" s="235">
        <v>6.92</v>
      </c>
      <c r="E64" s="236">
        <v>388</v>
      </c>
      <c r="F64" s="246"/>
      <c r="G64" s="246"/>
      <c r="H64" s="246"/>
      <c r="I64" s="246"/>
      <c r="J64" s="246">
        <v>1</v>
      </c>
      <c r="K64" s="246">
        <v>6</v>
      </c>
      <c r="L64" s="246"/>
      <c r="M64" s="246"/>
      <c r="N64" s="246">
        <v>43</v>
      </c>
      <c r="O64" s="246">
        <v>0</v>
      </c>
      <c r="P64" s="246">
        <v>0</v>
      </c>
      <c r="Q64" s="246">
        <v>0</v>
      </c>
      <c r="R64" s="238">
        <f>SUM(F64:Q64)</f>
        <v>50</v>
      </c>
      <c r="S64" s="239">
        <f>IFERROR((AVERAGE(F64:Q64)),0)</f>
        <v>8.3333333333333339</v>
      </c>
      <c r="T64" s="240">
        <f>IFERROR((U64/S64),0)</f>
        <v>40.559999999999995</v>
      </c>
      <c r="U64" s="261">
        <f>SUM(E64-R64)</f>
        <v>338</v>
      </c>
      <c r="V64" s="248">
        <v>2015</v>
      </c>
      <c r="W64" s="234" t="s">
        <v>25</v>
      </c>
    </row>
    <row r="65" spans="1:23" x14ac:dyDescent="0.2">
      <c r="A65" s="234">
        <v>102768</v>
      </c>
      <c r="B65" s="255">
        <v>2014</v>
      </c>
      <c r="C65" s="234" t="s">
        <v>131</v>
      </c>
      <c r="D65" s="256">
        <v>2.42</v>
      </c>
      <c r="E65" s="236">
        <v>136</v>
      </c>
      <c r="F65" s="246"/>
      <c r="G65" s="246"/>
      <c r="H65" s="246"/>
      <c r="I65" s="246"/>
      <c r="J65" s="246"/>
      <c r="K65" s="246"/>
      <c r="L65" s="246"/>
      <c r="M65" s="246"/>
      <c r="N65" s="246">
        <v>20</v>
      </c>
      <c r="O65" s="246">
        <v>0</v>
      </c>
      <c r="P65" s="246">
        <v>0</v>
      </c>
      <c r="Q65" s="246">
        <v>0</v>
      </c>
      <c r="R65" s="238">
        <f>SUM(F65:Q65)</f>
        <v>20</v>
      </c>
      <c r="S65" s="239">
        <f>IFERROR((AVERAGE(F65:Q65)),0)</f>
        <v>5</v>
      </c>
      <c r="T65" s="240">
        <f>IFERROR((U65/S65),0)</f>
        <v>23.2</v>
      </c>
      <c r="U65" s="261">
        <f>SUM(E65-R65)</f>
        <v>116</v>
      </c>
      <c r="V65" s="255">
        <v>2014</v>
      </c>
      <c r="W65" s="234" t="s">
        <v>131</v>
      </c>
    </row>
    <row r="66" spans="1:23" x14ac:dyDescent="0.2">
      <c r="A66" s="234">
        <v>101639</v>
      </c>
      <c r="B66" s="255">
        <v>2014</v>
      </c>
      <c r="C66" s="234" t="s">
        <v>120</v>
      </c>
      <c r="D66" s="256">
        <v>7.96</v>
      </c>
      <c r="E66" s="236">
        <v>446</v>
      </c>
      <c r="F66" s="246"/>
      <c r="G66" s="246"/>
      <c r="H66" s="246"/>
      <c r="I66" s="246"/>
      <c r="J66" s="246"/>
      <c r="K66" s="246"/>
      <c r="L66" s="246"/>
      <c r="M66" s="246"/>
      <c r="N66" s="246">
        <v>46</v>
      </c>
      <c r="O66" s="246">
        <v>0</v>
      </c>
      <c r="P66" s="246">
        <v>0</v>
      </c>
      <c r="Q66" s="246">
        <v>0</v>
      </c>
      <c r="R66" s="238">
        <f>SUM(F66:Q66)</f>
        <v>46</v>
      </c>
      <c r="S66" s="239">
        <f>IFERROR((AVERAGE(F66:Q66)),0)</f>
        <v>11.5</v>
      </c>
      <c r="T66" s="240">
        <f>IFERROR((U66/S66),0)</f>
        <v>34.782608695652172</v>
      </c>
      <c r="U66" s="261">
        <f>SUM(E66-R66)</f>
        <v>400</v>
      </c>
      <c r="V66" s="255">
        <v>2014</v>
      </c>
      <c r="W66" s="234" t="s">
        <v>120</v>
      </c>
    </row>
    <row r="67" spans="1:23" x14ac:dyDescent="0.2">
      <c r="A67" s="234">
        <v>100463</v>
      </c>
      <c r="B67" s="255">
        <v>2014</v>
      </c>
      <c r="C67" s="234" t="s">
        <v>132</v>
      </c>
      <c r="D67" s="256">
        <v>2.0699999999999998</v>
      </c>
      <c r="E67" s="236">
        <v>116</v>
      </c>
      <c r="F67" s="246"/>
      <c r="G67" s="246"/>
      <c r="H67" s="246"/>
      <c r="I67" s="246"/>
      <c r="J67" s="246"/>
      <c r="K67" s="246">
        <v>4</v>
      </c>
      <c r="L67" s="246"/>
      <c r="M67" s="246"/>
      <c r="N67" s="246">
        <v>47</v>
      </c>
      <c r="O67" s="246">
        <v>0</v>
      </c>
      <c r="P67" s="246">
        <v>0</v>
      </c>
      <c r="Q67" s="246">
        <v>0</v>
      </c>
      <c r="R67" s="238">
        <f>SUM(F67:Q67)</f>
        <v>51</v>
      </c>
      <c r="S67" s="239">
        <f>IFERROR((AVERAGE(F67:Q67)),0)</f>
        <v>10.199999999999999</v>
      </c>
      <c r="T67" s="240">
        <f>IFERROR((U67/S67),0)</f>
        <v>6.3725490196078436</v>
      </c>
      <c r="U67" s="261">
        <f>SUM(E67-R67)</f>
        <v>65</v>
      </c>
      <c r="V67" s="255">
        <v>2014</v>
      </c>
      <c r="W67" s="234" t="s">
        <v>132</v>
      </c>
    </row>
    <row r="68" spans="1:23" ht="14.25" customHeight="1" x14ac:dyDescent="0.2">
      <c r="A68" s="226"/>
      <c r="B68" s="226"/>
      <c r="C68" s="226"/>
      <c r="D68" s="226"/>
      <c r="E68" s="226"/>
      <c r="F68" s="226"/>
      <c r="G68" s="226"/>
      <c r="H68" s="226"/>
      <c r="I68" s="226"/>
      <c r="J68" s="226"/>
      <c r="K68" s="226"/>
      <c r="L68" s="226"/>
      <c r="M68" s="226"/>
      <c r="N68" s="226"/>
      <c r="O68" s="243"/>
      <c r="P68" s="243"/>
      <c r="Q68" s="226"/>
      <c r="R68" s="226"/>
      <c r="S68" s="226"/>
      <c r="T68" s="226"/>
      <c r="U68" s="226"/>
      <c r="V68" s="226"/>
      <c r="W68" s="226"/>
    </row>
    <row r="69" spans="1:23" x14ac:dyDescent="0.2">
      <c r="A69" s="234">
        <v>97509</v>
      </c>
      <c r="B69" s="255">
        <v>2015</v>
      </c>
      <c r="C69" s="234" t="s">
        <v>107</v>
      </c>
      <c r="D69" s="256">
        <v>6.58</v>
      </c>
      <c r="E69" s="236">
        <v>369</v>
      </c>
      <c r="F69" s="246"/>
      <c r="G69" s="246"/>
      <c r="H69" s="246"/>
      <c r="I69" s="246"/>
      <c r="J69" s="246">
        <v>1</v>
      </c>
      <c r="K69" s="246">
        <v>7</v>
      </c>
      <c r="L69" s="246"/>
      <c r="M69" s="246"/>
      <c r="N69" s="246">
        <v>30</v>
      </c>
      <c r="O69" s="246">
        <v>0</v>
      </c>
      <c r="P69" s="246">
        <v>26</v>
      </c>
      <c r="Q69" s="246">
        <v>18</v>
      </c>
      <c r="R69" s="238">
        <f t="shared" ref="R69:R76" si="15">SUM(F69:Q69)</f>
        <v>82</v>
      </c>
      <c r="S69" s="239">
        <f t="shared" ref="S69:S76" si="16">IFERROR((AVERAGE(F69:Q69)),0)</f>
        <v>13.666666666666666</v>
      </c>
      <c r="T69" s="240">
        <f t="shared" ref="T69:T79" si="17">IFERROR((U69/S69),0)</f>
        <v>21</v>
      </c>
      <c r="U69" s="261">
        <f t="shared" ref="U69:U76" si="18">SUM(E69-R69)</f>
        <v>287</v>
      </c>
      <c r="V69" s="255">
        <v>2015</v>
      </c>
      <c r="W69" s="234" t="s">
        <v>107</v>
      </c>
    </row>
    <row r="70" spans="1:23" x14ac:dyDescent="0.2">
      <c r="A70" s="234">
        <v>101636</v>
      </c>
      <c r="B70" s="248">
        <v>2015</v>
      </c>
      <c r="C70" s="234" t="s">
        <v>31</v>
      </c>
      <c r="D70" s="256">
        <v>4</v>
      </c>
      <c r="E70" s="236">
        <v>225</v>
      </c>
      <c r="F70" s="246"/>
      <c r="G70" s="246"/>
      <c r="H70" s="246"/>
      <c r="I70" s="246"/>
      <c r="J70" s="246"/>
      <c r="K70" s="246"/>
      <c r="L70" s="246"/>
      <c r="M70" s="246"/>
      <c r="N70" s="246">
        <v>52</v>
      </c>
      <c r="O70" s="246">
        <v>0</v>
      </c>
      <c r="P70" s="246">
        <v>0</v>
      </c>
      <c r="Q70" s="246">
        <v>0</v>
      </c>
      <c r="R70" s="238">
        <f t="shared" si="15"/>
        <v>52</v>
      </c>
      <c r="S70" s="239">
        <f t="shared" si="16"/>
        <v>13</v>
      </c>
      <c r="T70" s="240">
        <f t="shared" si="17"/>
        <v>13.307692307692308</v>
      </c>
      <c r="U70" s="261">
        <f t="shared" si="18"/>
        <v>173</v>
      </c>
      <c r="V70" s="248">
        <v>2015</v>
      </c>
      <c r="W70" s="234" t="s">
        <v>31</v>
      </c>
    </row>
    <row r="71" spans="1:23" x14ac:dyDescent="0.2">
      <c r="A71" s="234">
        <v>101819</v>
      </c>
      <c r="B71" s="295" t="s">
        <v>133</v>
      </c>
      <c r="C71" s="234" t="s">
        <v>134</v>
      </c>
      <c r="D71" s="235">
        <v>2.35</v>
      </c>
      <c r="E71" s="236">
        <v>132</v>
      </c>
      <c r="F71" s="246"/>
      <c r="G71" s="246"/>
      <c r="H71" s="246"/>
      <c r="I71" s="246"/>
      <c r="J71" s="246"/>
      <c r="K71" s="246">
        <v>7</v>
      </c>
      <c r="L71" s="246"/>
      <c r="M71" s="246"/>
      <c r="N71" s="246">
        <v>28</v>
      </c>
      <c r="O71" s="246">
        <v>0</v>
      </c>
      <c r="P71" s="246">
        <v>2</v>
      </c>
      <c r="Q71" s="246">
        <v>13</v>
      </c>
      <c r="R71" s="238">
        <f t="shared" si="15"/>
        <v>50</v>
      </c>
      <c r="S71" s="239">
        <f>IFERROR((AVERAGE(F71:Q71)),0)</f>
        <v>10</v>
      </c>
      <c r="T71" s="240">
        <f t="shared" si="17"/>
        <v>8.1999999999999993</v>
      </c>
      <c r="U71" s="261">
        <f>SUM(E71-R71)</f>
        <v>82</v>
      </c>
      <c r="V71" s="248" t="s">
        <v>35</v>
      </c>
      <c r="W71" s="234" t="s">
        <v>134</v>
      </c>
    </row>
    <row r="72" spans="1:23" x14ac:dyDescent="0.2">
      <c r="A72" s="234">
        <v>101638</v>
      </c>
      <c r="B72" s="248">
        <v>2015</v>
      </c>
      <c r="C72" s="234" t="s">
        <v>26</v>
      </c>
      <c r="D72" s="235"/>
      <c r="E72" s="236">
        <v>350</v>
      </c>
      <c r="F72" s="246"/>
      <c r="G72" s="246"/>
      <c r="H72" s="246"/>
      <c r="I72" s="246"/>
      <c r="J72" s="246"/>
      <c r="K72" s="246"/>
      <c r="L72" s="246"/>
      <c r="M72" s="246"/>
      <c r="N72" s="246">
        <v>51</v>
      </c>
      <c r="O72" s="246">
        <v>0</v>
      </c>
      <c r="P72" s="246">
        <v>0</v>
      </c>
      <c r="Q72" s="246">
        <v>0</v>
      </c>
      <c r="R72" s="238">
        <f t="shared" si="15"/>
        <v>51</v>
      </c>
      <c r="S72" s="239">
        <f>IFERROR((AVERAGE(F72:Q72)),0)</f>
        <v>12.75</v>
      </c>
      <c r="T72" s="240">
        <f>IFERROR((U72/S72),0)</f>
        <v>23.450980392156861</v>
      </c>
      <c r="U72" s="261">
        <f>SUM(E72-R72)</f>
        <v>299</v>
      </c>
      <c r="V72" s="248"/>
      <c r="W72" s="234"/>
    </row>
    <row r="73" spans="1:23" x14ac:dyDescent="0.2">
      <c r="A73" s="234">
        <v>100464</v>
      </c>
      <c r="B73" s="248">
        <v>2015</v>
      </c>
      <c r="C73" s="234" t="s">
        <v>110</v>
      </c>
      <c r="D73" s="235">
        <v>6.5</v>
      </c>
      <c r="E73" s="236">
        <v>364</v>
      </c>
      <c r="F73" s="246"/>
      <c r="G73" s="246"/>
      <c r="H73" s="246"/>
      <c r="I73" s="246"/>
      <c r="J73" s="246"/>
      <c r="K73" s="246"/>
      <c r="L73" s="246"/>
      <c r="M73" s="246"/>
      <c r="N73" s="246">
        <v>35</v>
      </c>
      <c r="O73" s="246">
        <v>0</v>
      </c>
      <c r="P73" s="246">
        <v>44</v>
      </c>
      <c r="Q73" s="246">
        <v>24</v>
      </c>
      <c r="R73" s="238">
        <f t="shared" si="15"/>
        <v>103</v>
      </c>
      <c r="S73" s="239">
        <f t="shared" si="16"/>
        <v>25.75</v>
      </c>
      <c r="T73" s="240">
        <f t="shared" si="17"/>
        <v>10.135922330097088</v>
      </c>
      <c r="U73" s="261">
        <f t="shared" si="18"/>
        <v>261</v>
      </c>
      <c r="V73" s="248">
        <v>2015</v>
      </c>
      <c r="W73" s="234" t="s">
        <v>110</v>
      </c>
    </row>
    <row r="74" spans="1:23" x14ac:dyDescent="0.2">
      <c r="A74" s="234">
        <v>100465</v>
      </c>
      <c r="B74" s="248">
        <v>2015</v>
      </c>
      <c r="C74" s="234" t="s">
        <v>135</v>
      </c>
      <c r="D74" s="235"/>
      <c r="E74" s="236">
        <v>189</v>
      </c>
      <c r="F74" s="246"/>
      <c r="G74" s="246"/>
      <c r="H74" s="246"/>
      <c r="I74" s="246"/>
      <c r="J74" s="246"/>
      <c r="K74" s="246"/>
      <c r="L74" s="246"/>
      <c r="M74" s="246"/>
      <c r="N74" s="246"/>
      <c r="O74" s="246">
        <v>0</v>
      </c>
      <c r="P74" s="246">
        <v>5</v>
      </c>
      <c r="Q74" s="246">
        <v>1</v>
      </c>
      <c r="R74" s="238">
        <f t="shared" si="15"/>
        <v>6</v>
      </c>
      <c r="S74" s="239">
        <f>IFERROR((AVERAGE(F74:Q74)),0)</f>
        <v>2</v>
      </c>
      <c r="T74" s="240"/>
      <c r="U74" s="261">
        <f t="shared" si="18"/>
        <v>183</v>
      </c>
      <c r="V74" s="248">
        <v>2015</v>
      </c>
      <c r="W74" s="234" t="s">
        <v>135</v>
      </c>
    </row>
    <row r="75" spans="1:23" x14ac:dyDescent="0.2">
      <c r="A75" s="234">
        <v>100463</v>
      </c>
      <c r="B75" s="248">
        <v>2015</v>
      </c>
      <c r="C75" s="234" t="s">
        <v>136</v>
      </c>
      <c r="D75" s="235"/>
      <c r="E75" s="236">
        <v>153</v>
      </c>
      <c r="F75" s="246"/>
      <c r="G75" s="246"/>
      <c r="H75" s="246"/>
      <c r="I75" s="246"/>
      <c r="J75" s="246"/>
      <c r="K75" s="246"/>
      <c r="L75" s="246"/>
      <c r="M75" s="246"/>
      <c r="N75" s="246"/>
      <c r="O75" s="246">
        <v>0</v>
      </c>
      <c r="P75" s="246">
        <v>0</v>
      </c>
      <c r="Q75" s="246">
        <v>0</v>
      </c>
      <c r="R75" s="238">
        <f t="shared" si="15"/>
        <v>0</v>
      </c>
      <c r="S75" s="239">
        <f>IFERROR((AVERAGE(F75:Q75)),0)</f>
        <v>0</v>
      </c>
      <c r="T75" s="240"/>
      <c r="U75" s="261">
        <f t="shared" si="18"/>
        <v>153</v>
      </c>
      <c r="V75" s="248">
        <v>2015</v>
      </c>
      <c r="W75" s="234" t="s">
        <v>136</v>
      </c>
    </row>
    <row r="76" spans="1:23" x14ac:dyDescent="0.2">
      <c r="A76" s="234">
        <v>97510</v>
      </c>
      <c r="B76" s="255">
        <v>2015</v>
      </c>
      <c r="C76" s="234" t="s">
        <v>23</v>
      </c>
      <c r="D76" s="256">
        <v>0</v>
      </c>
      <c r="E76" s="236">
        <v>0</v>
      </c>
      <c r="F76" s="246"/>
      <c r="G76" s="246"/>
      <c r="H76" s="246"/>
      <c r="I76" s="246"/>
      <c r="J76" s="246"/>
      <c r="K76" s="246"/>
      <c r="L76" s="246"/>
      <c r="M76" s="246"/>
      <c r="N76" s="246">
        <v>0</v>
      </c>
      <c r="O76" s="246">
        <v>0</v>
      </c>
      <c r="P76" s="246">
        <v>0</v>
      </c>
      <c r="Q76" s="246">
        <v>0</v>
      </c>
      <c r="R76" s="238">
        <f t="shared" si="15"/>
        <v>0</v>
      </c>
      <c r="S76" s="239">
        <f t="shared" si="16"/>
        <v>0</v>
      </c>
      <c r="T76" s="240">
        <f t="shared" si="17"/>
        <v>0</v>
      </c>
      <c r="U76" s="261">
        <f t="shared" si="18"/>
        <v>0</v>
      </c>
      <c r="V76" s="255">
        <v>2015</v>
      </c>
      <c r="W76" s="234" t="s">
        <v>23</v>
      </c>
    </row>
    <row r="77" spans="1:23" x14ac:dyDescent="0.2">
      <c r="A77" s="226"/>
      <c r="B77" s="269"/>
      <c r="C77" s="269"/>
      <c r="D77" s="270"/>
      <c r="E77" s="272"/>
      <c r="F77" s="272"/>
      <c r="G77" s="272"/>
      <c r="H77" s="272"/>
      <c r="I77" s="272"/>
      <c r="J77" s="272"/>
      <c r="K77" s="272"/>
      <c r="L77" s="272"/>
      <c r="M77" s="272"/>
      <c r="N77" s="272"/>
      <c r="O77" s="272"/>
      <c r="P77" s="272"/>
      <c r="Q77" s="272"/>
      <c r="R77" s="269"/>
      <c r="S77" s="270"/>
      <c r="T77" s="273"/>
      <c r="U77" s="274"/>
      <c r="V77" s="269"/>
      <c r="W77" s="269"/>
    </row>
    <row r="78" spans="1:23" x14ac:dyDescent="0.2">
      <c r="A78" s="234"/>
      <c r="B78" s="234">
        <v>2014</v>
      </c>
      <c r="C78" s="234"/>
      <c r="D78" s="262"/>
      <c r="E78" s="267">
        <f t="shared" ref="E78:R78" si="19">SUM(E63:E67)</f>
        <v>1413</v>
      </c>
      <c r="F78" s="267">
        <f t="shared" si="19"/>
        <v>0</v>
      </c>
      <c r="G78" s="267">
        <f t="shared" si="19"/>
        <v>0</v>
      </c>
      <c r="H78" s="267">
        <f t="shared" si="19"/>
        <v>0</v>
      </c>
      <c r="I78" s="267">
        <f t="shared" si="19"/>
        <v>0</v>
      </c>
      <c r="J78" s="267">
        <f t="shared" si="19"/>
        <v>1</v>
      </c>
      <c r="K78" s="267">
        <f t="shared" si="19"/>
        <v>22</v>
      </c>
      <c r="L78" s="267">
        <f t="shared" si="19"/>
        <v>0</v>
      </c>
      <c r="M78" s="267">
        <f t="shared" si="19"/>
        <v>0</v>
      </c>
      <c r="N78" s="267">
        <f t="shared" si="19"/>
        <v>187</v>
      </c>
      <c r="O78" s="267">
        <f t="shared" si="19"/>
        <v>0</v>
      </c>
      <c r="P78" s="267">
        <f t="shared" si="19"/>
        <v>0</v>
      </c>
      <c r="Q78" s="267">
        <f t="shared" si="19"/>
        <v>0</v>
      </c>
      <c r="R78" s="238">
        <f t="shared" si="19"/>
        <v>210</v>
      </c>
      <c r="S78" s="239">
        <f>IFERROR((AVERAGE(F78:Q78)),0)</f>
        <v>17.5</v>
      </c>
      <c r="T78" s="240">
        <f t="shared" si="17"/>
        <v>68.742857142857147</v>
      </c>
      <c r="U78" s="261">
        <f>SUM(E78-R78)</f>
        <v>1203</v>
      </c>
      <c r="V78" s="234">
        <v>2014</v>
      </c>
      <c r="W78" s="234"/>
    </row>
    <row r="79" spans="1:23" x14ac:dyDescent="0.2">
      <c r="A79" s="234"/>
      <c r="B79" s="234">
        <v>2015</v>
      </c>
      <c r="C79" s="234"/>
      <c r="D79" s="262"/>
      <c r="E79" s="267">
        <f t="shared" ref="E79:R79" si="20">SUM(E69:E76)</f>
        <v>1782</v>
      </c>
      <c r="F79" s="267">
        <f t="shared" si="20"/>
        <v>0</v>
      </c>
      <c r="G79" s="267">
        <f t="shared" si="20"/>
        <v>0</v>
      </c>
      <c r="H79" s="267">
        <f t="shared" si="20"/>
        <v>0</v>
      </c>
      <c r="I79" s="267">
        <f t="shared" si="20"/>
        <v>0</v>
      </c>
      <c r="J79" s="267">
        <f t="shared" si="20"/>
        <v>1</v>
      </c>
      <c r="K79" s="267">
        <f t="shared" si="20"/>
        <v>14</v>
      </c>
      <c r="L79" s="267">
        <f t="shared" si="20"/>
        <v>0</v>
      </c>
      <c r="M79" s="267">
        <f t="shared" si="20"/>
        <v>0</v>
      </c>
      <c r="N79" s="267">
        <f t="shared" si="20"/>
        <v>196</v>
      </c>
      <c r="O79" s="267">
        <f t="shared" si="20"/>
        <v>0</v>
      </c>
      <c r="P79" s="267">
        <f t="shared" si="20"/>
        <v>77</v>
      </c>
      <c r="Q79" s="267">
        <f t="shared" si="20"/>
        <v>56</v>
      </c>
      <c r="R79" s="238">
        <f t="shared" si="20"/>
        <v>344</v>
      </c>
      <c r="S79" s="239">
        <f>IFERROR((AVERAGE(F79:Q79)),0)</f>
        <v>28.666666666666668</v>
      </c>
      <c r="T79" s="240">
        <f t="shared" si="17"/>
        <v>50.162790697674417</v>
      </c>
      <c r="U79" s="261">
        <f>SUM(E79-R79)</f>
        <v>1438</v>
      </c>
      <c r="V79" s="234">
        <v>2015</v>
      </c>
      <c r="W79" s="234"/>
    </row>
    <row r="80" spans="1:23" x14ac:dyDescent="0.2">
      <c r="B80" s="266" t="s">
        <v>59</v>
      </c>
      <c r="C80" s="234"/>
      <c r="D80" s="234"/>
      <c r="E80" s="279">
        <f>SUM(E78:E79)</f>
        <v>3195</v>
      </c>
      <c r="F80" s="279">
        <f>SUM(F78:F79)</f>
        <v>0</v>
      </c>
      <c r="G80" s="279">
        <f t="shared" ref="G80:Q80" si="21">SUM(G78:G79)</f>
        <v>0</v>
      </c>
      <c r="H80" s="279">
        <f t="shared" si="21"/>
        <v>0</v>
      </c>
      <c r="I80" s="279">
        <f t="shared" si="21"/>
        <v>0</v>
      </c>
      <c r="J80" s="279">
        <f t="shared" si="21"/>
        <v>2</v>
      </c>
      <c r="K80" s="279">
        <f t="shared" si="21"/>
        <v>36</v>
      </c>
      <c r="L80" s="279">
        <f t="shared" si="21"/>
        <v>0</v>
      </c>
      <c r="M80" s="279">
        <f t="shared" si="21"/>
        <v>0</v>
      </c>
      <c r="N80" s="279">
        <f t="shared" si="21"/>
        <v>383</v>
      </c>
      <c r="O80" s="279">
        <f t="shared" si="21"/>
        <v>0</v>
      </c>
      <c r="P80" s="279">
        <f t="shared" si="21"/>
        <v>77</v>
      </c>
      <c r="Q80" s="279">
        <f t="shared" si="21"/>
        <v>56</v>
      </c>
      <c r="R80" s="234">
        <f>SUM(R78:R79)</f>
        <v>554</v>
      </c>
      <c r="S80" s="234">
        <f>SUM(S78:S79)</f>
        <v>46.166666666666671</v>
      </c>
      <c r="T80" s="234">
        <f>SUM(T78:T79)</f>
        <v>118.90564784053157</v>
      </c>
      <c r="U80" s="280">
        <f>SUM(U78:U79)</f>
        <v>2641</v>
      </c>
      <c r="V80" s="266" t="s">
        <v>59</v>
      </c>
      <c r="W80" s="234"/>
    </row>
    <row r="81" spans="1:23" x14ac:dyDescent="0.2">
      <c r="A81" s="226"/>
      <c r="B81" s="269"/>
      <c r="C81" s="269"/>
      <c r="D81" s="270"/>
      <c r="E81" s="272"/>
      <c r="F81" s="272"/>
      <c r="G81" s="272"/>
      <c r="H81" s="272"/>
      <c r="I81" s="272"/>
      <c r="J81" s="272"/>
      <c r="K81" s="272"/>
      <c r="L81" s="272"/>
      <c r="M81" s="272"/>
      <c r="N81" s="272"/>
      <c r="O81" s="272"/>
      <c r="P81" s="272"/>
      <c r="Q81" s="272"/>
      <c r="R81" s="269"/>
      <c r="S81" s="270"/>
      <c r="T81" s="273"/>
      <c r="U81" s="274"/>
      <c r="V81" s="269"/>
      <c r="W81" s="269"/>
    </row>
    <row r="83" spans="1:23" x14ac:dyDescent="0.2">
      <c r="A83" s="281"/>
      <c r="B83" s="282"/>
      <c r="C83" s="282"/>
      <c r="D83" s="283"/>
      <c r="E83" s="271"/>
      <c r="F83" s="271"/>
      <c r="G83" s="271"/>
      <c r="H83" s="271"/>
      <c r="I83" s="271"/>
      <c r="J83" s="271"/>
      <c r="K83" s="271"/>
      <c r="L83" s="271"/>
      <c r="M83" s="271"/>
      <c r="N83" s="271"/>
      <c r="O83" s="271"/>
      <c r="P83" s="271"/>
      <c r="Q83" s="271"/>
      <c r="R83" s="282"/>
      <c r="S83" s="283"/>
      <c r="T83" s="284"/>
      <c r="U83" s="282"/>
      <c r="V83" s="282"/>
      <c r="W83" s="282"/>
    </row>
    <row r="84" spans="1:23" ht="15.75" x14ac:dyDescent="0.25">
      <c r="B84" s="278" t="s">
        <v>137</v>
      </c>
      <c r="D84" s="275"/>
      <c r="E84" s="221"/>
      <c r="F84" s="221"/>
      <c r="G84" s="221"/>
      <c r="H84" s="221"/>
      <c r="I84" s="221"/>
      <c r="J84" s="221"/>
      <c r="K84" s="221"/>
      <c r="L84" s="221"/>
      <c r="M84" s="221"/>
      <c r="N84" s="221"/>
      <c r="O84" s="221"/>
      <c r="P84" s="221"/>
      <c r="Q84" s="221"/>
      <c r="S84" s="275"/>
      <c r="T84" s="277"/>
      <c r="V84" s="278" t="s">
        <v>137</v>
      </c>
    </row>
    <row r="85" spans="1:23" x14ac:dyDescent="0.2">
      <c r="A85" s="234"/>
      <c r="B85" s="233">
        <v>2012</v>
      </c>
      <c r="C85" s="234"/>
      <c r="D85" s="262"/>
      <c r="E85" s="263">
        <f t="shared" ref="E85:R85" si="22">E53</f>
        <v>304</v>
      </c>
      <c r="F85" s="263">
        <f t="shared" si="22"/>
        <v>45</v>
      </c>
      <c r="G85" s="263">
        <f t="shared" si="22"/>
        <v>28</v>
      </c>
      <c r="H85" s="263">
        <f t="shared" si="22"/>
        <v>21</v>
      </c>
      <c r="I85" s="263">
        <f t="shared" si="22"/>
        <v>43</v>
      </c>
      <c r="J85" s="263">
        <f t="shared" si="22"/>
        <v>43</v>
      </c>
      <c r="K85" s="263">
        <f t="shared" si="22"/>
        <v>16</v>
      </c>
      <c r="L85" s="263">
        <f t="shared" si="22"/>
        <v>15</v>
      </c>
      <c r="M85" s="263">
        <f t="shared" si="22"/>
        <v>15</v>
      </c>
      <c r="N85" s="263">
        <f t="shared" si="22"/>
        <v>23</v>
      </c>
      <c r="O85" s="263">
        <f t="shared" si="22"/>
        <v>28</v>
      </c>
      <c r="P85" s="263">
        <f t="shared" si="22"/>
        <v>22</v>
      </c>
      <c r="Q85" s="263">
        <f t="shared" si="22"/>
        <v>0</v>
      </c>
      <c r="R85" s="238">
        <f t="shared" si="22"/>
        <v>299</v>
      </c>
      <c r="S85" s="239">
        <f>AVERAGE(F85:Q85)</f>
        <v>24.916666666666668</v>
      </c>
      <c r="T85" s="240">
        <f>U85/S85</f>
        <v>0.20066889632107021</v>
      </c>
      <c r="U85" s="261">
        <f>SUM(E85-R85)</f>
        <v>5</v>
      </c>
      <c r="V85" s="233">
        <v>2012</v>
      </c>
      <c r="W85" s="234"/>
    </row>
    <row r="86" spans="1:23" x14ac:dyDescent="0.2">
      <c r="A86" s="234"/>
      <c r="B86" s="233">
        <v>2013</v>
      </c>
      <c r="C86" s="234"/>
      <c r="D86" s="262"/>
      <c r="E86" s="263">
        <f t="shared" ref="E86:R86" si="23">E54</f>
        <v>2192</v>
      </c>
      <c r="F86" s="263">
        <f t="shared" si="23"/>
        <v>232</v>
      </c>
      <c r="G86" s="263">
        <f t="shared" si="23"/>
        <v>169</v>
      </c>
      <c r="H86" s="263">
        <f t="shared" si="23"/>
        <v>151</v>
      </c>
      <c r="I86" s="263">
        <f t="shared" si="23"/>
        <v>241</v>
      </c>
      <c r="J86" s="263">
        <f t="shared" si="23"/>
        <v>172</v>
      </c>
      <c r="K86" s="263">
        <f t="shared" si="23"/>
        <v>221</v>
      </c>
      <c r="L86" s="263">
        <f t="shared" si="23"/>
        <v>215</v>
      </c>
      <c r="M86" s="263">
        <f t="shared" si="23"/>
        <v>162</v>
      </c>
      <c r="N86" s="263">
        <f t="shared" si="23"/>
        <v>169</v>
      </c>
      <c r="O86" s="263">
        <f t="shared" si="23"/>
        <v>97</v>
      </c>
      <c r="P86" s="263">
        <f t="shared" si="23"/>
        <v>47</v>
      </c>
      <c r="Q86" s="263">
        <f t="shared" si="23"/>
        <v>18</v>
      </c>
      <c r="R86" s="238">
        <f t="shared" si="23"/>
        <v>1894</v>
      </c>
      <c r="S86" s="264">
        <f>AVERAGE(F86:Q86)</f>
        <v>157.83333333333334</v>
      </c>
      <c r="T86" s="265">
        <f>U86/S86</f>
        <v>1.8880675818373811</v>
      </c>
      <c r="U86" s="261">
        <f>SUM(E86-R86)</f>
        <v>298</v>
      </c>
      <c r="V86" s="233">
        <v>2013</v>
      </c>
      <c r="W86" s="234"/>
    </row>
    <row r="87" spans="1:23" x14ac:dyDescent="0.2">
      <c r="A87" s="234"/>
      <c r="B87" s="233">
        <v>2014</v>
      </c>
      <c r="C87" s="234"/>
      <c r="D87" s="262"/>
      <c r="E87" s="263">
        <f t="shared" ref="E87:Q87" si="24">E78+E55</f>
        <v>5656</v>
      </c>
      <c r="F87" s="263">
        <f t="shared" si="24"/>
        <v>151</v>
      </c>
      <c r="G87" s="263">
        <f t="shared" si="24"/>
        <v>90</v>
      </c>
      <c r="H87" s="263">
        <f t="shared" si="24"/>
        <v>82</v>
      </c>
      <c r="I87" s="263">
        <f t="shared" si="24"/>
        <v>100</v>
      </c>
      <c r="J87" s="263">
        <f t="shared" si="24"/>
        <v>86</v>
      </c>
      <c r="K87" s="263">
        <f t="shared" si="24"/>
        <v>116</v>
      </c>
      <c r="L87" s="263">
        <f t="shared" si="24"/>
        <v>203</v>
      </c>
      <c r="M87" s="263">
        <f t="shared" si="24"/>
        <v>302</v>
      </c>
      <c r="N87" s="263">
        <f t="shared" si="24"/>
        <v>382</v>
      </c>
      <c r="O87" s="263">
        <f t="shared" si="24"/>
        <v>218</v>
      </c>
      <c r="P87" s="263">
        <f t="shared" si="24"/>
        <v>313</v>
      </c>
      <c r="Q87" s="263">
        <f t="shared" si="24"/>
        <v>331</v>
      </c>
      <c r="R87" s="238">
        <f>R55+R78</f>
        <v>2374</v>
      </c>
      <c r="S87" s="264">
        <f>AVERAGE(F87:Q87)</f>
        <v>197.83333333333334</v>
      </c>
      <c r="T87" s="265">
        <f>U87/S87</f>
        <v>16.589721988205561</v>
      </c>
      <c r="U87" s="261">
        <f>SUM(E87-R87)</f>
        <v>3282</v>
      </c>
      <c r="V87" s="233">
        <v>2014</v>
      </c>
      <c r="W87" s="234"/>
    </row>
    <row r="88" spans="1:23" x14ac:dyDescent="0.2">
      <c r="A88" s="234"/>
      <c r="B88" s="233">
        <v>2015</v>
      </c>
      <c r="C88" s="234"/>
      <c r="D88" s="262"/>
      <c r="E88" s="263">
        <f t="shared" ref="E88:Q88" si="25">E79+E56</f>
        <v>6200</v>
      </c>
      <c r="F88" s="263">
        <f t="shared" si="25"/>
        <v>2</v>
      </c>
      <c r="G88" s="263">
        <f t="shared" si="25"/>
        <v>47</v>
      </c>
      <c r="H88" s="263">
        <f t="shared" si="25"/>
        <v>56</v>
      </c>
      <c r="I88" s="263">
        <f t="shared" si="25"/>
        <v>99</v>
      </c>
      <c r="J88" s="263">
        <f t="shared" si="25"/>
        <v>91</v>
      </c>
      <c r="K88" s="263">
        <f t="shared" si="25"/>
        <v>79</v>
      </c>
      <c r="L88" s="263">
        <f t="shared" si="25"/>
        <v>85</v>
      </c>
      <c r="M88" s="263">
        <f t="shared" si="25"/>
        <v>197</v>
      </c>
      <c r="N88" s="263">
        <f t="shared" si="25"/>
        <v>309</v>
      </c>
      <c r="O88" s="263">
        <f t="shared" si="25"/>
        <v>105</v>
      </c>
      <c r="P88" s="263">
        <f t="shared" si="25"/>
        <v>200</v>
      </c>
      <c r="Q88" s="263">
        <f t="shared" si="25"/>
        <v>221</v>
      </c>
      <c r="R88" s="238">
        <f>R56+R79</f>
        <v>1956</v>
      </c>
      <c r="S88" s="264">
        <f>AVERAGE(F88:Q88)</f>
        <v>124.25</v>
      </c>
      <c r="T88" s="265">
        <f>U88/S88</f>
        <v>34.156941649899395</v>
      </c>
      <c r="U88" s="261">
        <f>SUM(E88-R88)</f>
        <v>4244</v>
      </c>
      <c r="V88" s="233">
        <v>2015</v>
      </c>
      <c r="W88" s="234"/>
    </row>
    <row r="89" spans="1:23" x14ac:dyDescent="0.2">
      <c r="A89" s="234"/>
      <c r="B89" s="266" t="s">
        <v>59</v>
      </c>
      <c r="C89" s="234"/>
      <c r="D89" s="262"/>
      <c r="E89" s="267">
        <f>SUM(E85:E88)</f>
        <v>14352</v>
      </c>
      <c r="F89" s="267">
        <f t="shared" ref="F89:Q89" si="26">SUM(F85:F88)</f>
        <v>430</v>
      </c>
      <c r="G89" s="267">
        <f t="shared" si="26"/>
        <v>334</v>
      </c>
      <c r="H89" s="267">
        <f t="shared" si="26"/>
        <v>310</v>
      </c>
      <c r="I89" s="267">
        <f t="shared" si="26"/>
        <v>483</v>
      </c>
      <c r="J89" s="267">
        <f t="shared" si="26"/>
        <v>392</v>
      </c>
      <c r="K89" s="267">
        <f t="shared" si="26"/>
        <v>432</v>
      </c>
      <c r="L89" s="267">
        <f t="shared" si="26"/>
        <v>518</v>
      </c>
      <c r="M89" s="267">
        <f t="shared" si="26"/>
        <v>676</v>
      </c>
      <c r="N89" s="267">
        <f t="shared" si="26"/>
        <v>883</v>
      </c>
      <c r="O89" s="267">
        <f t="shared" si="26"/>
        <v>448</v>
      </c>
      <c r="P89" s="267">
        <f t="shared" si="26"/>
        <v>582</v>
      </c>
      <c r="Q89" s="267">
        <f t="shared" si="26"/>
        <v>570</v>
      </c>
      <c r="R89" s="238">
        <f>SUM(R85:R88)</f>
        <v>6523</v>
      </c>
      <c r="S89" s="268">
        <f>SUM(S85:S88)</f>
        <v>504.83333333333337</v>
      </c>
      <c r="T89" s="240">
        <f>U89/S89</f>
        <v>15.508088478045558</v>
      </c>
      <c r="U89" s="261">
        <f>SUM(E89-R89)</f>
        <v>7829</v>
      </c>
      <c r="V89" s="266" t="s">
        <v>59</v>
      </c>
      <c r="W89" s="234"/>
    </row>
    <row r="90" spans="1:23" x14ac:dyDescent="0.2">
      <c r="A90" s="226"/>
      <c r="B90" s="269"/>
      <c r="C90" s="269"/>
      <c r="D90" s="270"/>
      <c r="E90" s="272"/>
      <c r="F90" s="272"/>
      <c r="G90" s="272"/>
      <c r="H90" s="272"/>
      <c r="I90" s="272"/>
      <c r="J90" s="272"/>
      <c r="K90" s="272"/>
      <c r="L90" s="272"/>
      <c r="M90" s="272"/>
      <c r="N90" s="272"/>
      <c r="O90" s="272"/>
      <c r="P90" s="272"/>
      <c r="Q90" s="272"/>
      <c r="R90" s="269"/>
      <c r="S90" s="270"/>
      <c r="T90" s="273"/>
      <c r="U90" s="274"/>
      <c r="V90" s="269"/>
      <c r="W90" s="269"/>
    </row>
    <row r="91" spans="1:23" ht="15.75" thickBot="1" x14ac:dyDescent="0.25">
      <c r="E91" s="221"/>
      <c r="F91" s="221"/>
      <c r="G91" s="221"/>
      <c r="H91" s="221"/>
      <c r="I91" s="221"/>
      <c r="J91" s="221"/>
      <c r="K91" s="221"/>
      <c r="L91" s="221"/>
      <c r="M91" s="221"/>
      <c r="N91" s="221"/>
      <c r="O91" s="221"/>
      <c r="P91" s="221"/>
      <c r="Q91" s="221"/>
      <c r="S91" s="275"/>
      <c r="T91" s="277"/>
      <c r="U91" s="285"/>
    </row>
    <row r="92" spans="1:23" ht="48" thickBot="1" x14ac:dyDescent="0.3">
      <c r="B92" s="286" t="s">
        <v>60</v>
      </c>
      <c r="C92" s="287"/>
      <c r="D92" s="287"/>
      <c r="E92" s="127" t="s">
        <v>138</v>
      </c>
      <c r="F92" s="452" t="s">
        <v>139</v>
      </c>
      <c r="G92" s="453"/>
      <c r="H92" s="453"/>
      <c r="I92" s="453"/>
      <c r="J92" s="453"/>
      <c r="K92" s="453"/>
      <c r="L92" s="453"/>
      <c r="M92" s="453"/>
      <c r="N92" s="453"/>
      <c r="O92" s="453"/>
      <c r="P92" s="453"/>
      <c r="Q92" s="453"/>
      <c r="R92" s="119" t="s">
        <v>63</v>
      </c>
      <c r="S92" s="288"/>
      <c r="T92" s="288"/>
      <c r="V92" s="286" t="s">
        <v>60</v>
      </c>
      <c r="W92" s="287"/>
    </row>
    <row r="93" spans="1:23" ht="15.75" x14ac:dyDescent="0.25">
      <c r="B93" s="289"/>
      <c r="C93" s="289"/>
      <c r="D93" s="289"/>
      <c r="E93" s="290"/>
      <c r="F93" s="291"/>
      <c r="G93" s="291"/>
      <c r="H93" s="291"/>
      <c r="I93" s="291"/>
      <c r="J93" s="291"/>
      <c r="K93" s="291"/>
      <c r="L93" s="291"/>
      <c r="M93" s="291"/>
      <c r="N93" s="291"/>
      <c r="O93" s="291"/>
      <c r="P93" s="291"/>
      <c r="Q93" s="292"/>
      <c r="R93" s="289"/>
      <c r="U93" s="288"/>
      <c r="V93" s="289"/>
      <c r="W93" s="289"/>
    </row>
    <row r="94" spans="1:23" x14ac:dyDescent="0.2">
      <c r="B94" s="234"/>
      <c r="C94" s="234"/>
      <c r="D94" s="234"/>
      <c r="E94" s="291"/>
      <c r="F94" s="236"/>
      <c r="G94" s="236"/>
      <c r="H94" s="236"/>
      <c r="I94" s="236"/>
      <c r="J94" s="236"/>
      <c r="K94" s="236"/>
      <c r="L94" s="236"/>
      <c r="M94" s="236"/>
      <c r="N94" s="236"/>
      <c r="O94" s="236"/>
      <c r="P94" s="236"/>
      <c r="Q94" s="293"/>
      <c r="R94" s="234"/>
      <c r="V94" s="234"/>
      <c r="W94" s="234"/>
    </row>
    <row r="95" spans="1:23" x14ac:dyDescent="0.2">
      <c r="B95" s="228"/>
      <c r="C95" s="228"/>
      <c r="D95" s="228"/>
      <c r="E95" s="229"/>
      <c r="F95" s="229"/>
      <c r="G95" s="229"/>
      <c r="H95" s="229"/>
      <c r="I95" s="229"/>
      <c r="J95" s="229"/>
      <c r="K95" s="229"/>
      <c r="L95" s="229"/>
      <c r="M95" s="229"/>
      <c r="N95" s="229"/>
      <c r="O95" s="229"/>
      <c r="P95" s="229"/>
      <c r="Q95" s="294"/>
      <c r="R95" s="228"/>
      <c r="V95" s="228"/>
      <c r="W95" s="228"/>
    </row>
    <row r="96" spans="1:23" x14ac:dyDescent="0.2">
      <c r="B96" s="234"/>
      <c r="C96" s="234"/>
      <c r="D96" s="234"/>
      <c r="E96" s="236"/>
      <c r="F96" s="236"/>
      <c r="G96" s="236"/>
      <c r="H96" s="236"/>
      <c r="I96" s="236"/>
      <c r="J96" s="236"/>
      <c r="K96" s="236"/>
      <c r="L96" s="236"/>
      <c r="M96" s="236"/>
      <c r="N96" s="236"/>
      <c r="O96" s="236"/>
      <c r="P96" s="236"/>
      <c r="Q96" s="293"/>
      <c r="R96" s="234"/>
      <c r="V96" s="234"/>
      <c r="W96" s="234"/>
    </row>
    <row r="97" spans="2:23" x14ac:dyDescent="0.2">
      <c r="B97" s="234"/>
      <c r="C97" s="234"/>
      <c r="D97" s="234"/>
      <c r="E97" s="236"/>
      <c r="F97" s="236"/>
      <c r="G97" s="236"/>
      <c r="H97" s="236"/>
      <c r="I97" s="236"/>
      <c r="J97" s="236"/>
      <c r="K97" s="236"/>
      <c r="L97" s="236"/>
      <c r="M97" s="236"/>
      <c r="N97" s="236"/>
      <c r="O97" s="236"/>
      <c r="P97" s="236"/>
      <c r="Q97" s="293"/>
      <c r="R97" s="234"/>
      <c r="V97" s="234"/>
      <c r="W97" s="234"/>
    </row>
    <row r="98" spans="2:23" x14ac:dyDescent="0.2">
      <c r="B98" s="282"/>
      <c r="C98" s="282"/>
      <c r="D98" s="282"/>
      <c r="E98" s="271"/>
      <c r="F98" s="271"/>
      <c r="G98" s="271"/>
      <c r="H98" s="271"/>
      <c r="I98" s="271"/>
      <c r="J98" s="271"/>
      <c r="K98" s="271"/>
      <c r="L98" s="271"/>
      <c r="M98" s="271"/>
      <c r="N98" s="271"/>
      <c r="O98" s="271"/>
      <c r="P98" s="271"/>
      <c r="Q98" s="271"/>
      <c r="R98" s="228"/>
      <c r="V98" s="282"/>
      <c r="W98" s="282"/>
    </row>
    <row r="99" spans="2:23" ht="15.75" thickBot="1" x14ac:dyDescent="0.25">
      <c r="E99" s="221"/>
      <c r="F99" s="221"/>
      <c r="G99" s="221"/>
      <c r="H99" s="221"/>
      <c r="I99" s="221"/>
      <c r="J99" s="221"/>
      <c r="K99" s="221"/>
      <c r="L99" s="221"/>
      <c r="M99" s="221"/>
      <c r="N99" s="221"/>
      <c r="O99" s="221"/>
      <c r="P99" s="221"/>
      <c r="Q99" s="221"/>
    </row>
    <row r="100" spans="2:23" ht="63.75" thickBot="1" x14ac:dyDescent="0.3">
      <c r="B100" s="454" t="s">
        <v>60</v>
      </c>
      <c r="C100" s="455"/>
      <c r="D100" s="456"/>
      <c r="E100" s="127" t="s">
        <v>64</v>
      </c>
      <c r="F100" s="452" t="s">
        <v>140</v>
      </c>
      <c r="G100" s="453"/>
      <c r="H100" s="453"/>
      <c r="I100" s="453"/>
      <c r="J100" s="453"/>
      <c r="K100" s="453"/>
      <c r="L100" s="453"/>
      <c r="M100" s="453"/>
      <c r="N100" s="453"/>
      <c r="O100" s="453"/>
      <c r="P100" s="453"/>
      <c r="Q100" s="457"/>
      <c r="R100" s="119" t="s">
        <v>66</v>
      </c>
    </row>
    <row r="101" spans="2:23" ht="15.75" x14ac:dyDescent="0.25">
      <c r="B101" s="289"/>
      <c r="C101" s="289"/>
      <c r="D101" s="289"/>
      <c r="E101" s="122"/>
      <c r="F101" s="291"/>
      <c r="G101" s="291"/>
      <c r="H101" s="291"/>
      <c r="I101" s="291"/>
      <c r="J101" s="291"/>
      <c r="K101" s="291"/>
      <c r="L101" s="291"/>
      <c r="M101" s="291"/>
      <c r="N101" s="291"/>
      <c r="O101" s="291"/>
      <c r="P101" s="291"/>
      <c r="Q101" s="291"/>
      <c r="R101" s="289"/>
      <c r="V101" s="289"/>
      <c r="W101" s="289"/>
    </row>
    <row r="102" spans="2:23" x14ac:dyDescent="0.2">
      <c r="B102" s="234"/>
      <c r="C102" s="234"/>
      <c r="D102" s="234"/>
      <c r="E102" s="291"/>
      <c r="F102" s="236"/>
      <c r="G102" s="236"/>
      <c r="H102" s="236"/>
      <c r="I102" s="236"/>
      <c r="J102" s="236"/>
      <c r="K102" s="236"/>
      <c r="L102" s="236"/>
      <c r="M102" s="236"/>
      <c r="N102" s="236"/>
      <c r="O102" s="236"/>
      <c r="P102" s="236"/>
      <c r="Q102" s="236"/>
      <c r="R102" s="234"/>
      <c r="V102" s="234"/>
      <c r="W102" s="234"/>
    </row>
    <row r="103" spans="2:23" x14ac:dyDescent="0.2">
      <c r="B103" s="228"/>
      <c r="C103" s="228"/>
      <c r="D103" s="228"/>
      <c r="E103" s="229"/>
      <c r="F103" s="229"/>
      <c r="G103" s="229"/>
      <c r="H103" s="229"/>
      <c r="I103" s="229"/>
      <c r="J103" s="229"/>
      <c r="K103" s="229"/>
      <c r="L103" s="229"/>
      <c r="M103" s="229"/>
      <c r="N103" s="229"/>
      <c r="O103" s="229"/>
      <c r="P103" s="229"/>
      <c r="Q103" s="229"/>
      <c r="R103" s="228"/>
      <c r="V103" s="228"/>
      <c r="W103" s="228"/>
    </row>
    <row r="104" spans="2:23" x14ac:dyDescent="0.2">
      <c r="B104" s="234"/>
      <c r="C104" s="234"/>
      <c r="D104" s="234"/>
      <c r="E104" s="236"/>
      <c r="F104" s="236"/>
      <c r="G104" s="236"/>
      <c r="H104" s="236"/>
      <c r="I104" s="236"/>
      <c r="J104" s="236"/>
      <c r="K104" s="236"/>
      <c r="L104" s="236"/>
      <c r="M104" s="236"/>
      <c r="N104" s="236"/>
      <c r="O104" s="236"/>
      <c r="P104" s="236"/>
      <c r="Q104" s="236"/>
      <c r="R104" s="234"/>
      <c r="V104" s="234"/>
      <c r="W104" s="234"/>
    </row>
    <row r="105" spans="2:23" x14ac:dyDescent="0.2">
      <c r="B105" s="234"/>
      <c r="C105" s="234"/>
      <c r="D105" s="234"/>
      <c r="E105" s="236"/>
      <c r="F105" s="236"/>
      <c r="G105" s="236"/>
      <c r="H105" s="236"/>
      <c r="I105" s="236"/>
      <c r="J105" s="236"/>
      <c r="K105" s="236"/>
      <c r="L105" s="236"/>
      <c r="M105" s="236"/>
      <c r="N105" s="236"/>
      <c r="O105" s="236"/>
      <c r="P105" s="236"/>
      <c r="Q105" s="236"/>
      <c r="R105" s="234"/>
      <c r="V105" s="234"/>
      <c r="W105" s="234"/>
    </row>
  </sheetData>
  <mergeCells count="3">
    <mergeCell ref="F92:Q92"/>
    <mergeCell ref="B100:D100"/>
    <mergeCell ref="F100:Q100"/>
  </mergeCells>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2009</vt:lpstr>
      <vt:lpstr>2010</vt:lpstr>
      <vt:lpstr>2011</vt:lpstr>
      <vt:lpstr>hp</vt:lpstr>
      <vt:lpstr>2013</vt:lpstr>
      <vt:lpstr>2014</vt:lpstr>
      <vt:lpstr>2015</vt:lpstr>
      <vt:lpstr>2015 Tasting Room and Bulk Wine</vt:lpstr>
      <vt:lpstr>2016</vt:lpstr>
      <vt:lpstr>2017</vt:lpstr>
      <vt:lpstr>2018</vt:lpstr>
      <vt:lpstr>2019</vt:lpstr>
      <vt:lpstr>2020</vt:lpstr>
      <vt:lpstr>2021</vt:lpstr>
      <vt:lpstr>2022</vt:lpstr>
      <vt:lpstr>'2010'!Print_Area</vt:lpstr>
      <vt:lpstr>'2019'!Print_Area</vt:lpstr>
      <vt:lpstr>'2022'!Print_Area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Ashton Lough</dc:creator>
  <cp:keywords/>
  <dc:description/>
  <cp:lastModifiedBy>Jason Stephens</cp:lastModifiedBy>
  <cp:revision/>
  <cp:lastPrinted>2022-08-09T18:33:01Z</cp:lastPrinted>
  <dcterms:created xsi:type="dcterms:W3CDTF">2007-08-31T21:08:41Z</dcterms:created>
  <dcterms:modified xsi:type="dcterms:W3CDTF">2022-08-09T18:33:18Z</dcterms:modified>
  <cp:category/>
  <cp:contentStatus/>
</cp:coreProperties>
</file>