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cuments\MMW\Wine\Pearmund Cellars\Crush\"/>
    </mc:Choice>
  </mc:AlternateContent>
  <xr:revisionPtr revIDLastSave="0" documentId="13_ncr:1_{4DFCEA3A-D115-425B-ABD2-4A81DFCF6A7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tal" sheetId="5" r:id="rId1"/>
    <sheet name="Pearmund" sheetId="1" r:id="rId2"/>
    <sheet name="Effingham" sheetId="2" r:id="rId3"/>
    <sheet name="Vint Hill" sheetId="3" r:id="rId4"/>
    <sheet name="Maybe" sheetId="4" r:id="rId5"/>
    <sheet name="Less So" sheetId="11" r:id="rId6"/>
    <sheet name="2021 Actuals" sheetId="10" r:id="rId7"/>
    <sheet name="Notes" sheetId="12" r:id="rId8"/>
  </sheets>
  <externalReferences>
    <externalReference r:id="rId9"/>
  </externalReferences>
  <definedNames>
    <definedName name="_xlnm._FilterDatabase" localSheetId="6" hidden="1">'2021 Actuals'!$A$1:$K$56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5" l="1"/>
  <c r="I27" i="5"/>
  <c r="L27" i="5" s="1"/>
  <c r="B27" i="5" s="1"/>
  <c r="I26" i="5"/>
  <c r="I25" i="5"/>
  <c r="M27" i="5"/>
  <c r="K27" i="5"/>
  <c r="J27" i="5"/>
  <c r="U29" i="3"/>
  <c r="P25" i="3"/>
  <c r="F25" i="3"/>
  <c r="E25" i="3"/>
  <c r="D25" i="3"/>
  <c r="C14" i="1"/>
  <c r="M8" i="5"/>
  <c r="K8" i="5"/>
  <c r="J8" i="5"/>
  <c r="I8" i="5"/>
  <c r="H8" i="5"/>
  <c r="G8" i="5"/>
  <c r="L8" i="5" s="1"/>
  <c r="B8" i="5" s="1"/>
  <c r="G9" i="5"/>
  <c r="G7" i="5"/>
  <c r="G6" i="5"/>
  <c r="G5" i="5"/>
  <c r="G4" i="5"/>
  <c r="D8" i="1"/>
  <c r="F8" i="1"/>
  <c r="P13" i="1"/>
  <c r="P10" i="1" s="1"/>
  <c r="Q10" i="1" s="1"/>
  <c r="M13" i="1"/>
  <c r="P11" i="1"/>
  <c r="Q11" i="1" s="1"/>
  <c r="L11" i="1"/>
  <c r="L10" i="1"/>
  <c r="P9" i="1"/>
  <c r="Q9" i="1" s="1"/>
  <c r="L9" i="1"/>
  <c r="P8" i="1"/>
  <c r="Q8" i="1" s="1"/>
  <c r="L8" i="1"/>
  <c r="P7" i="1"/>
  <c r="Q7" i="1" s="1"/>
  <c r="P6" i="1"/>
  <c r="Q6" i="1" s="1"/>
  <c r="L6" i="1"/>
  <c r="H13" i="5"/>
  <c r="H12" i="5"/>
  <c r="H9" i="5"/>
  <c r="H5" i="5"/>
  <c r="H4" i="5"/>
  <c r="Q11" i="2"/>
  <c r="Q10" i="2"/>
  <c r="P13" i="2"/>
  <c r="P9" i="2" s="1"/>
  <c r="Q9" i="2" s="1"/>
  <c r="D27" i="5" l="1"/>
  <c r="E27" i="5" s="1"/>
  <c r="C27" i="5"/>
  <c r="E8" i="5"/>
  <c r="C8" i="5"/>
  <c r="L13" i="1"/>
  <c r="P10" i="2"/>
  <c r="P7" i="2"/>
  <c r="Q7" i="2" s="1"/>
  <c r="P11" i="2"/>
  <c r="P8" i="2"/>
  <c r="Q8" i="2" s="1"/>
  <c r="P6" i="2"/>
  <c r="Q6" i="2" s="1"/>
  <c r="M13" i="2" l="1"/>
  <c r="L11" i="2"/>
  <c r="L10" i="2"/>
  <c r="L9" i="2"/>
  <c r="L8" i="2"/>
  <c r="L6" i="2"/>
  <c r="L13" i="2" s="1"/>
  <c r="H7" i="5" l="1"/>
  <c r="N9" i="3" l="1"/>
  <c r="C29" i="3" l="1"/>
  <c r="F28" i="3"/>
  <c r="E28" i="3"/>
  <c r="D28" i="3"/>
  <c r="F27" i="3"/>
  <c r="E27" i="3"/>
  <c r="D27" i="3"/>
  <c r="F26" i="3"/>
  <c r="E26" i="3"/>
  <c r="D26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C15" i="3"/>
  <c r="F13" i="3"/>
  <c r="E13" i="3"/>
  <c r="D13" i="3"/>
  <c r="F12" i="3"/>
  <c r="E12" i="3"/>
  <c r="D12" i="3"/>
  <c r="F11" i="3"/>
  <c r="E11" i="3"/>
  <c r="D11" i="3"/>
  <c r="F10" i="3"/>
  <c r="E10" i="3"/>
  <c r="D10" i="3"/>
  <c r="F7" i="3"/>
  <c r="E7" i="3"/>
  <c r="D7" i="3"/>
  <c r="F6" i="3"/>
  <c r="E6" i="3"/>
  <c r="D6" i="3"/>
  <c r="F5" i="3"/>
  <c r="E5" i="3"/>
  <c r="D5" i="3"/>
  <c r="F4" i="3"/>
  <c r="E4" i="3"/>
  <c r="D4" i="3"/>
  <c r="X15" i="5"/>
  <c r="W15" i="5"/>
  <c r="V15" i="5"/>
  <c r="U15" i="5"/>
  <c r="T15" i="5"/>
  <c r="S15" i="5"/>
  <c r="R15" i="5"/>
  <c r="Q15" i="5"/>
  <c r="P15" i="5"/>
  <c r="O15" i="5"/>
  <c r="K15" i="5"/>
  <c r="M14" i="5"/>
  <c r="K14" i="5"/>
  <c r="J14" i="5"/>
  <c r="I14" i="5"/>
  <c r="H14" i="5"/>
  <c r="G14" i="5"/>
  <c r="M13" i="5"/>
  <c r="N13" i="5" s="1"/>
  <c r="K13" i="5"/>
  <c r="J13" i="5"/>
  <c r="G13" i="5"/>
  <c r="M12" i="5"/>
  <c r="N12" i="5" s="1"/>
  <c r="K12" i="5"/>
  <c r="I12" i="5"/>
  <c r="L12" i="5" s="1"/>
  <c r="B12" i="5" s="1"/>
  <c r="E12" i="5" s="1"/>
  <c r="M11" i="5"/>
  <c r="K11" i="5"/>
  <c r="I11" i="5"/>
  <c r="H11" i="5"/>
  <c r="G11" i="5"/>
  <c r="M10" i="5"/>
  <c r="K10" i="5"/>
  <c r="J10" i="5"/>
  <c r="I10" i="5"/>
  <c r="M9" i="5"/>
  <c r="K9" i="5"/>
  <c r="J9" i="5"/>
  <c r="I9" i="5"/>
  <c r="M7" i="5"/>
  <c r="N7" i="5" s="1"/>
  <c r="K7" i="5"/>
  <c r="J7" i="5"/>
  <c r="I7" i="5"/>
  <c r="M6" i="5"/>
  <c r="N6" i="5" s="1"/>
  <c r="K6" i="5"/>
  <c r="J6" i="5"/>
  <c r="I6" i="5"/>
  <c r="H6" i="5"/>
  <c r="M5" i="5"/>
  <c r="N5" i="5" s="1"/>
  <c r="K5" i="5"/>
  <c r="J5" i="5"/>
  <c r="I5" i="5"/>
  <c r="M4" i="5"/>
  <c r="N4" i="5" s="1"/>
  <c r="K4" i="5"/>
  <c r="J4" i="5"/>
  <c r="I4" i="5"/>
  <c r="K33" i="5"/>
  <c r="K32" i="5"/>
  <c r="K29" i="5"/>
  <c r="K28" i="5"/>
  <c r="K26" i="5"/>
  <c r="K25" i="5"/>
  <c r="K24" i="5"/>
  <c r="K23" i="5"/>
  <c r="K22" i="5"/>
  <c r="K21" i="5"/>
  <c r="K20" i="5"/>
  <c r="K19" i="5"/>
  <c r="K18" i="5"/>
  <c r="K17" i="5"/>
  <c r="K16" i="5"/>
  <c r="C28" i="11"/>
  <c r="F27" i="11"/>
  <c r="E27" i="11"/>
  <c r="D27" i="11"/>
  <c r="F26" i="11"/>
  <c r="E26" i="11"/>
  <c r="D26" i="11"/>
  <c r="F23" i="11"/>
  <c r="E23" i="11"/>
  <c r="D23" i="11"/>
  <c r="F20" i="11"/>
  <c r="E20" i="11"/>
  <c r="D20" i="11"/>
  <c r="F19" i="11"/>
  <c r="E19" i="11"/>
  <c r="D19" i="11"/>
  <c r="F17" i="11"/>
  <c r="E17" i="11"/>
  <c r="D17" i="11"/>
  <c r="F16" i="11"/>
  <c r="F28" i="11" s="1"/>
  <c r="E16" i="11"/>
  <c r="E28" i="11" s="1"/>
  <c r="D16" i="11"/>
  <c r="D28" i="11" s="1"/>
  <c r="C14" i="11"/>
  <c r="C29" i="11" s="1"/>
  <c r="F12" i="11"/>
  <c r="E12" i="11"/>
  <c r="D12" i="11"/>
  <c r="F10" i="11"/>
  <c r="E10" i="11"/>
  <c r="D10" i="11"/>
  <c r="F9" i="11"/>
  <c r="E9" i="11"/>
  <c r="D9" i="11"/>
  <c r="F8" i="11"/>
  <c r="E8" i="11"/>
  <c r="D8" i="11"/>
  <c r="F6" i="11"/>
  <c r="E6" i="11"/>
  <c r="D6" i="11"/>
  <c r="F5" i="11"/>
  <c r="E5" i="11"/>
  <c r="D5" i="11"/>
  <c r="F4" i="11"/>
  <c r="F14" i="11" s="1"/>
  <c r="E4" i="11"/>
  <c r="E14" i="11" s="1"/>
  <c r="E29" i="11" s="1"/>
  <c r="D4" i="11"/>
  <c r="D14" i="11" s="1"/>
  <c r="D29" i="11" s="1"/>
  <c r="N15" i="5" l="1"/>
  <c r="M15" i="5"/>
  <c r="C30" i="3"/>
  <c r="D15" i="3"/>
  <c r="C12" i="5"/>
  <c r="L5" i="5"/>
  <c r="B5" i="5" s="1"/>
  <c r="D5" i="5" s="1"/>
  <c r="L7" i="5"/>
  <c r="B7" i="5" s="1"/>
  <c r="E7" i="5" s="1"/>
  <c r="L10" i="5"/>
  <c r="B10" i="5" s="1"/>
  <c r="E10" i="5" s="1"/>
  <c r="I15" i="5"/>
  <c r="J15" i="5"/>
  <c r="L11" i="5"/>
  <c r="B11" i="5" s="1"/>
  <c r="C11" i="5" s="1"/>
  <c r="L13" i="5"/>
  <c r="B13" i="5" s="1"/>
  <c r="C13" i="5" s="1"/>
  <c r="G15" i="5"/>
  <c r="L9" i="5"/>
  <c r="B9" i="5" s="1"/>
  <c r="C9" i="5" s="1"/>
  <c r="K30" i="5"/>
  <c r="H15" i="5"/>
  <c r="L6" i="5"/>
  <c r="B6" i="5" s="1"/>
  <c r="C6" i="5" s="1"/>
  <c r="L14" i="5"/>
  <c r="B14" i="5" s="1"/>
  <c r="E14" i="5" s="1"/>
  <c r="E15" i="3"/>
  <c r="D29" i="3"/>
  <c r="D30" i="3" s="1"/>
  <c r="F15" i="3"/>
  <c r="E29" i="3"/>
  <c r="E30" i="3" s="1"/>
  <c r="F29" i="3"/>
  <c r="L4" i="5"/>
  <c r="F29" i="11"/>
  <c r="E13" i="5" l="1"/>
  <c r="C7" i="5"/>
  <c r="E5" i="5"/>
  <c r="C14" i="5"/>
  <c r="E6" i="5"/>
  <c r="C10" i="5"/>
  <c r="F30" i="3"/>
  <c r="E9" i="5"/>
  <c r="C5" i="5"/>
  <c r="E11" i="5"/>
  <c r="L15" i="5"/>
  <c r="B4" i="5"/>
  <c r="D4" i="5" l="1"/>
  <c r="D15" i="5" s="1"/>
  <c r="B15" i="5"/>
  <c r="C4" i="5"/>
  <c r="C15" i="5" s="1"/>
  <c r="E4" i="5"/>
  <c r="E15" i="5" s="1"/>
  <c r="K49" i="10" l="1"/>
  <c r="J49" i="10"/>
  <c r="K41" i="10"/>
  <c r="J41" i="10"/>
  <c r="J38" i="10"/>
  <c r="K37" i="10"/>
  <c r="K51" i="10" s="1"/>
  <c r="J37" i="10"/>
  <c r="E36" i="10"/>
  <c r="E30" i="10"/>
  <c r="J21" i="10"/>
  <c r="J51" i="10" s="1"/>
  <c r="E15" i="10"/>
  <c r="E14" i="10"/>
  <c r="G10" i="10"/>
  <c r="E10" i="10"/>
  <c r="E9" i="10"/>
  <c r="E8" i="10"/>
  <c r="E51" i="10" s="1"/>
  <c r="F27" i="1"/>
  <c r="E27" i="1"/>
  <c r="D27" i="1"/>
  <c r="F27" i="2"/>
  <c r="E27" i="2"/>
  <c r="D27" i="2"/>
  <c r="I24" i="5"/>
  <c r="AE19" i="5"/>
  <c r="M18" i="5"/>
  <c r="M19" i="5"/>
  <c r="M20" i="5"/>
  <c r="M21" i="5"/>
  <c r="M22" i="5"/>
  <c r="M23" i="5"/>
  <c r="M24" i="5"/>
  <c r="M25" i="5"/>
  <c r="M26" i="5"/>
  <c r="M28" i="5"/>
  <c r="M29" i="5"/>
  <c r="M17" i="5"/>
  <c r="Z30" i="5"/>
  <c r="Z32" i="5" s="1"/>
  <c r="Y30" i="5" l="1"/>
  <c r="Y32" i="5" s="1"/>
  <c r="D69" i="5" l="1"/>
  <c r="D7" i="2" l="1"/>
  <c r="F7" i="2"/>
  <c r="F11" i="2" l="1"/>
  <c r="E11" i="2"/>
  <c r="D11" i="2"/>
  <c r="E28" i="1" l="1"/>
  <c r="E17" i="1"/>
  <c r="E18" i="1"/>
  <c r="E19" i="1"/>
  <c r="E20" i="1"/>
  <c r="E24" i="1"/>
  <c r="E16" i="1"/>
  <c r="G29" i="5" l="1"/>
  <c r="H29" i="5"/>
  <c r="N30" i="5" l="1"/>
  <c r="N32" i="5" l="1"/>
  <c r="F11" i="1"/>
  <c r="F12" i="1"/>
  <c r="F10" i="1" l="1"/>
  <c r="L29" i="5" l="1"/>
  <c r="B29" i="5" s="1"/>
  <c r="D29" i="5" l="1"/>
  <c r="E29" i="5" s="1"/>
  <c r="C29" i="5"/>
  <c r="D9" i="1"/>
  <c r="F9" i="1"/>
  <c r="F28" i="1"/>
  <c r="D28" i="1"/>
  <c r="F28" i="2" l="1"/>
  <c r="E28" i="2"/>
  <c r="D28" i="2"/>
  <c r="D24" i="1"/>
  <c r="F24" i="1"/>
  <c r="V30" i="5" l="1"/>
  <c r="W30" i="5"/>
  <c r="X30" i="5"/>
  <c r="W32" i="5" l="1"/>
  <c r="V32" i="5"/>
  <c r="X32" i="5"/>
  <c r="E4" i="1" l="1"/>
  <c r="E5" i="1"/>
  <c r="C55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3" i="5"/>
  <c r="H23" i="5"/>
  <c r="J23" i="5"/>
  <c r="G24" i="5"/>
  <c r="H24" i="5"/>
  <c r="J24" i="5"/>
  <c r="J26" i="5"/>
  <c r="H28" i="5"/>
  <c r="J28" i="5"/>
  <c r="C67" i="5"/>
  <c r="B55" i="5"/>
  <c r="B67" i="5"/>
  <c r="H29" i="1"/>
  <c r="O30" i="5"/>
  <c r="P30" i="5"/>
  <c r="Q30" i="5"/>
  <c r="R30" i="5"/>
  <c r="S30" i="5"/>
  <c r="T30" i="5"/>
  <c r="U30" i="5"/>
  <c r="D9" i="4"/>
  <c r="E9" i="4"/>
  <c r="F9" i="4"/>
  <c r="B33" i="5"/>
  <c r="E33" i="5" s="1"/>
  <c r="G28" i="4"/>
  <c r="G14" i="4"/>
  <c r="G29" i="4" s="1"/>
  <c r="C29" i="4"/>
  <c r="D29" i="4" s="1"/>
  <c r="D12" i="2"/>
  <c r="F5" i="2"/>
  <c r="F6" i="2"/>
  <c r="F8" i="2"/>
  <c r="F9" i="2"/>
  <c r="F10" i="2"/>
  <c r="F12" i="2"/>
  <c r="E5" i="2"/>
  <c r="E6" i="2"/>
  <c r="E8" i="2"/>
  <c r="E10" i="2"/>
  <c r="D5" i="2"/>
  <c r="D6" i="2"/>
  <c r="D8" i="2"/>
  <c r="D9" i="2"/>
  <c r="D10" i="2"/>
  <c r="F17" i="2"/>
  <c r="F19" i="2"/>
  <c r="F20" i="2"/>
  <c r="F23" i="2"/>
  <c r="F26" i="2"/>
  <c r="E17" i="2"/>
  <c r="E19" i="2"/>
  <c r="E20" i="2"/>
  <c r="E23" i="2"/>
  <c r="E26" i="2"/>
  <c r="D17" i="2"/>
  <c r="D19" i="2"/>
  <c r="D20" i="2"/>
  <c r="D23" i="2"/>
  <c r="D26" i="2"/>
  <c r="F17" i="4"/>
  <c r="F18" i="4"/>
  <c r="F19" i="4"/>
  <c r="F20" i="4"/>
  <c r="F23" i="4"/>
  <c r="E17" i="4"/>
  <c r="E18" i="4"/>
  <c r="E19" i="4"/>
  <c r="E20" i="4"/>
  <c r="E23" i="4"/>
  <c r="F12" i="4"/>
  <c r="E12" i="4"/>
  <c r="D12" i="4"/>
  <c r="F5" i="4"/>
  <c r="F7" i="4"/>
  <c r="F8" i="4"/>
  <c r="E5" i="4"/>
  <c r="E7" i="4"/>
  <c r="E8" i="4"/>
  <c r="D5" i="4"/>
  <c r="D7" i="4"/>
  <c r="D8" i="4"/>
  <c r="F4" i="4"/>
  <c r="E4" i="4"/>
  <c r="D4" i="4"/>
  <c r="D17" i="4"/>
  <c r="D18" i="4"/>
  <c r="D19" i="4"/>
  <c r="D20" i="4"/>
  <c r="D23" i="4"/>
  <c r="J22" i="5"/>
  <c r="J25" i="5"/>
  <c r="H22" i="5"/>
  <c r="H25" i="5"/>
  <c r="G25" i="5"/>
  <c r="F16" i="1"/>
  <c r="F17" i="1"/>
  <c r="F18" i="1"/>
  <c r="F19" i="1"/>
  <c r="F20" i="1"/>
  <c r="D16" i="1"/>
  <c r="D17" i="1"/>
  <c r="D18" i="1"/>
  <c r="D19" i="1"/>
  <c r="D20" i="1"/>
  <c r="D5" i="1"/>
  <c r="D4" i="1"/>
  <c r="D6" i="1"/>
  <c r="D7" i="1"/>
  <c r="F5" i="1"/>
  <c r="F6" i="1"/>
  <c r="F7" i="1"/>
  <c r="C29" i="1"/>
  <c r="F4" i="1"/>
  <c r="C29" i="2"/>
  <c r="F16" i="2"/>
  <c r="E16" i="2"/>
  <c r="D16" i="2"/>
  <c r="C14" i="2"/>
  <c r="F4" i="2"/>
  <c r="E4" i="2"/>
  <c r="D4" i="2"/>
  <c r="C28" i="4"/>
  <c r="F16" i="4"/>
  <c r="E16" i="4"/>
  <c r="D16" i="4"/>
  <c r="C14" i="4"/>
  <c r="L24" i="5" l="1"/>
  <c r="B24" i="5" s="1"/>
  <c r="C24" i="5" s="1"/>
  <c r="C63" i="5" s="1"/>
  <c r="L22" i="5"/>
  <c r="B22" i="5" s="1"/>
  <c r="D22" i="5" s="1"/>
  <c r="E22" i="5" s="1"/>
  <c r="L23" i="5"/>
  <c r="B23" i="5" s="1"/>
  <c r="C23" i="5" s="1"/>
  <c r="C62" i="5" s="1"/>
  <c r="C33" i="5"/>
  <c r="I30" i="5"/>
  <c r="J30" i="5"/>
  <c r="H30" i="5"/>
  <c r="G30" i="5"/>
  <c r="E14" i="4"/>
  <c r="F14" i="2"/>
  <c r="E14" i="2"/>
  <c r="D28" i="4"/>
  <c r="C30" i="2"/>
  <c r="D14" i="4"/>
  <c r="F28" i="4"/>
  <c r="E28" i="4"/>
  <c r="E29" i="4" s="1"/>
  <c r="F14" i="4"/>
  <c r="F29" i="4" s="1"/>
  <c r="F29" i="2"/>
  <c r="D14" i="2"/>
  <c r="D29" i="2"/>
  <c r="E29" i="2"/>
  <c r="P32" i="5"/>
  <c r="S32" i="5"/>
  <c r="L28" i="5"/>
  <c r="B66" i="5" s="1"/>
  <c r="L19" i="5"/>
  <c r="B58" i="5" s="1"/>
  <c r="B47" i="5"/>
  <c r="L26" i="5"/>
  <c r="B26" i="5" s="1"/>
  <c r="C26" i="5" s="1"/>
  <c r="C65" i="5" s="1"/>
  <c r="L21" i="5"/>
  <c r="B60" i="5" s="1"/>
  <c r="L17" i="5"/>
  <c r="U32" i="5"/>
  <c r="L20" i="5"/>
  <c r="B20" i="5" s="1"/>
  <c r="B44" i="5"/>
  <c r="L18" i="5"/>
  <c r="B18" i="5" s="1"/>
  <c r="D18" i="5" s="1"/>
  <c r="E18" i="5" s="1"/>
  <c r="B52" i="5"/>
  <c r="D29" i="1"/>
  <c r="L25" i="5"/>
  <c r="B25" i="5" s="1"/>
  <c r="D25" i="5" s="1"/>
  <c r="E25" i="5" s="1"/>
  <c r="O32" i="5"/>
  <c r="E29" i="1"/>
  <c r="C30" i="1"/>
  <c r="F29" i="1"/>
  <c r="T32" i="5"/>
  <c r="R32" i="5"/>
  <c r="Q32" i="5"/>
  <c r="F14" i="1"/>
  <c r="M30" i="5"/>
  <c r="D14" i="1"/>
  <c r="E14" i="1"/>
  <c r="B56" i="5" l="1"/>
  <c r="L30" i="5"/>
  <c r="B68" i="5" s="1"/>
  <c r="E30" i="2"/>
  <c r="F30" i="2"/>
  <c r="C22" i="5"/>
  <c r="C61" i="5" s="1"/>
  <c r="B61" i="5"/>
  <c r="H32" i="5"/>
  <c r="D30" i="2"/>
  <c r="B49" i="5"/>
  <c r="J32" i="5"/>
  <c r="D30" i="1"/>
  <c r="D23" i="5"/>
  <c r="E23" i="5" s="1"/>
  <c r="B28" i="5"/>
  <c r="C28" i="5" s="1"/>
  <c r="C66" i="5" s="1"/>
  <c r="B19" i="5"/>
  <c r="D19" i="5" s="1"/>
  <c r="E19" i="5" s="1"/>
  <c r="B63" i="5"/>
  <c r="B45" i="5"/>
  <c r="B59" i="5"/>
  <c r="D26" i="5"/>
  <c r="E26" i="5" s="1"/>
  <c r="B21" i="5"/>
  <c r="D21" i="5" s="1"/>
  <c r="E21" i="5" s="1"/>
  <c r="I32" i="5"/>
  <c r="B17" i="5"/>
  <c r="C17" i="5" s="1"/>
  <c r="C56" i="5" s="1"/>
  <c r="D24" i="5"/>
  <c r="E24" i="5" s="1"/>
  <c r="B30" i="5"/>
  <c r="D30" i="5" s="1"/>
  <c r="E30" i="5" s="1"/>
  <c r="B46" i="5"/>
  <c r="C44" i="5"/>
  <c r="B51" i="5"/>
  <c r="B57" i="5"/>
  <c r="C25" i="5"/>
  <c r="C64" i="5" s="1"/>
  <c r="B50" i="5"/>
  <c r="C18" i="5"/>
  <c r="C57" i="5" s="1"/>
  <c r="B62" i="5"/>
  <c r="B54" i="5"/>
  <c r="B65" i="5"/>
  <c r="C52" i="5"/>
  <c r="C48" i="5"/>
  <c r="B48" i="5"/>
  <c r="C49" i="5"/>
  <c r="C51" i="5"/>
  <c r="E30" i="1"/>
  <c r="B64" i="5"/>
  <c r="C50" i="5"/>
  <c r="D20" i="5"/>
  <c r="E20" i="5" s="1"/>
  <c r="C20" i="5"/>
  <c r="C59" i="5" s="1"/>
  <c r="G32" i="5"/>
  <c r="F30" i="1"/>
  <c r="M32" i="5"/>
  <c r="C45" i="5"/>
  <c r="C46" i="5"/>
  <c r="D28" i="5" l="1"/>
  <c r="E28" i="5" s="1"/>
  <c r="C19" i="5"/>
  <c r="C58" i="5" s="1"/>
  <c r="B32" i="5"/>
  <c r="C32" i="5" s="1"/>
  <c r="C69" i="5" s="1"/>
  <c r="D17" i="5"/>
  <c r="E17" i="5" s="1"/>
  <c r="C21" i="5"/>
  <c r="C60" i="5" s="1"/>
  <c r="C30" i="5"/>
  <c r="C68" i="5" s="1"/>
  <c r="D32" i="5"/>
  <c r="L32" i="5"/>
  <c r="B69" i="5" s="1"/>
  <c r="C47" i="5"/>
  <c r="C54" i="5" l="1"/>
  <c r="E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tc={C9D921A2-C160-4441-8C73-C7CD515558B0}</author>
    <author>tc={6A1BA7AF-1119-444B-B68B-5540F925DF0E}</author>
  </authors>
  <commentList>
    <comment ref="N23" authorId="0" shapeId="0" xr:uid="{C9D921A2-C160-4441-8C73-C7CD51555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1/t-bin</t>
      </text>
    </comment>
    <comment ref="N25" authorId="1" shapeId="0" xr:uid="{6A1BA7AF-1119-444B-B68B-5540F925DF0E}">
      <text>
        <t>[Threaded comment]
Your version of Excel allows you to read this threaded comment; however, any edits to it will get removed if the file is opened in a newer version of Excel. Learn more: https://go.microsoft.com/fwlink/?linkid=870924
Comment:
    1/ t-bin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Luther.Wiles</author>
    <author>Chris Pearmund</author>
  </authors>
  <commentList>
    <comment ref="C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Total for Cuvee Blanc Blend</t>
        </r>
      </text>
    </comment>
    <comment ref="I8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Cuvee</t>
        </r>
      </text>
    </comment>
    <comment ref="I1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Meritage</t>
        </r>
      </text>
    </comment>
    <comment ref="I1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Merlot</t>
        </r>
      </text>
    </comment>
  </commentList>
</comments>
</file>

<file path=xl/sharedStrings.xml><?xml version="1.0" encoding="utf-8"?>
<sst xmlns="http://schemas.openxmlformats.org/spreadsheetml/2006/main" count="723" uniqueCount="192">
  <si>
    <t>Pearmund</t>
  </si>
  <si>
    <t>Vint Hill</t>
  </si>
  <si>
    <t>Estate Chard</t>
  </si>
  <si>
    <t>Chardonnay</t>
  </si>
  <si>
    <t>Tons</t>
  </si>
  <si>
    <t>Gallons</t>
  </si>
  <si>
    <t>Barrels</t>
  </si>
  <si>
    <t>Cases</t>
  </si>
  <si>
    <t xml:space="preserve"> </t>
  </si>
  <si>
    <t>Viognier</t>
  </si>
  <si>
    <t>Whites</t>
  </si>
  <si>
    <t>Cab Franc</t>
  </si>
  <si>
    <t>Reds</t>
  </si>
  <si>
    <t>Cab Sauv</t>
  </si>
  <si>
    <t>Malbec</t>
  </si>
  <si>
    <t>Merlot</t>
  </si>
  <si>
    <t xml:space="preserve">PV </t>
  </si>
  <si>
    <t>Muscat</t>
  </si>
  <si>
    <t>Snort from Tannat</t>
  </si>
  <si>
    <t>Norton</t>
  </si>
  <si>
    <t>Syrah</t>
  </si>
  <si>
    <t>Chambourcin</t>
  </si>
  <si>
    <t>Tannat</t>
  </si>
  <si>
    <t>Riesling</t>
  </si>
  <si>
    <t>Petit Mansang</t>
  </si>
  <si>
    <t>Vidal</t>
  </si>
  <si>
    <t>Trammanitte</t>
  </si>
  <si>
    <t>Rose</t>
  </si>
  <si>
    <t>Pinot Gris</t>
  </si>
  <si>
    <t>Snort</t>
  </si>
  <si>
    <t>Crush</t>
  </si>
  <si>
    <t>VH</t>
  </si>
  <si>
    <t>Want</t>
  </si>
  <si>
    <t>Have</t>
  </si>
  <si>
    <t>MWV</t>
  </si>
  <si>
    <t>Saunders</t>
  </si>
  <si>
    <t xml:space="preserve">Viognier </t>
  </si>
  <si>
    <t>Traminette</t>
  </si>
  <si>
    <t>reds</t>
  </si>
  <si>
    <t>Total</t>
  </si>
  <si>
    <t>Target</t>
  </si>
  <si>
    <t>PC</t>
  </si>
  <si>
    <t>Grape</t>
  </si>
  <si>
    <t>Reality</t>
  </si>
  <si>
    <t>Petit Manseng</t>
  </si>
  <si>
    <t>Meritage</t>
  </si>
  <si>
    <t>Concentrate</t>
  </si>
  <si>
    <t xml:space="preserve">Rose </t>
  </si>
  <si>
    <t>Tourgia</t>
  </si>
  <si>
    <t>Need</t>
  </si>
  <si>
    <t>Ports</t>
  </si>
  <si>
    <t>1 VA</t>
  </si>
  <si>
    <t>2 CA</t>
  </si>
  <si>
    <t>3 VA</t>
  </si>
  <si>
    <t>5 CA</t>
  </si>
  <si>
    <t>BR</t>
  </si>
  <si>
    <t>Gallons of red</t>
  </si>
  <si>
    <t>50 tons of reds</t>
  </si>
  <si>
    <t>Sauv Blanc</t>
  </si>
  <si>
    <t>EF</t>
  </si>
  <si>
    <t>Effingham</t>
  </si>
  <si>
    <t>Kings Ranson</t>
  </si>
  <si>
    <t>Black Ops</t>
  </si>
  <si>
    <t>Ameritage</t>
  </si>
  <si>
    <t xml:space="preserve">  </t>
  </si>
  <si>
    <t xml:space="preserve"> Effingham</t>
  </si>
  <si>
    <t>South River</t>
  </si>
  <si>
    <t>Celebration</t>
  </si>
  <si>
    <t>Otium Cellars</t>
  </si>
  <si>
    <t xml:space="preserve">Diego </t>
  </si>
  <si>
    <t>pails</t>
  </si>
  <si>
    <t>Pails Concentrate (1 brix)</t>
  </si>
  <si>
    <t xml:space="preserve">         </t>
  </si>
  <si>
    <t>Reserve</t>
  </si>
  <si>
    <t>GSM</t>
  </si>
  <si>
    <t>Misty</t>
  </si>
  <si>
    <t>Pinot Noir</t>
  </si>
  <si>
    <t>Meriwether Vineyard</t>
  </si>
  <si>
    <t>Lot 1</t>
  </si>
  <si>
    <t>Lot 2</t>
  </si>
  <si>
    <t>Diego</t>
  </si>
  <si>
    <t>Varietal</t>
  </si>
  <si>
    <t>Amount</t>
  </si>
  <si>
    <t>Vineyard</t>
  </si>
  <si>
    <t>Date Received</t>
  </si>
  <si>
    <t>Zinfndel</t>
  </si>
  <si>
    <t>Lot 3</t>
  </si>
  <si>
    <t>Lot 4</t>
  </si>
  <si>
    <t>Tinta Amerelia</t>
  </si>
  <si>
    <t>Tourigan Nacional</t>
  </si>
  <si>
    <t>Lot 5</t>
  </si>
  <si>
    <t>Lot 6</t>
  </si>
  <si>
    <t>Lot 7</t>
  </si>
  <si>
    <t>Lot 8</t>
  </si>
  <si>
    <t>Lot 9</t>
  </si>
  <si>
    <t>Sauvignon Blanc</t>
  </si>
  <si>
    <t>gallons</t>
  </si>
  <si>
    <t>Lot 10</t>
  </si>
  <si>
    <t>Carriage House</t>
  </si>
  <si>
    <t>5 rivers</t>
  </si>
  <si>
    <t>LS</t>
  </si>
  <si>
    <t>MB</t>
  </si>
  <si>
    <t>Breaux</t>
  </si>
  <si>
    <t xml:space="preserve">Sangiovese </t>
  </si>
  <si>
    <t>Zinfandel</t>
  </si>
  <si>
    <t>Durif</t>
  </si>
  <si>
    <t>Sugar</t>
  </si>
  <si>
    <t>tons</t>
  </si>
  <si>
    <t xml:space="preserve">ton </t>
  </si>
  <si>
    <t>Lot 12</t>
  </si>
  <si>
    <t>Cabernet Sauvignon</t>
  </si>
  <si>
    <t>Lot 13</t>
  </si>
  <si>
    <t xml:space="preserve">Chardonnay </t>
  </si>
  <si>
    <t>Lot 14</t>
  </si>
  <si>
    <t>Lot 15</t>
  </si>
  <si>
    <t>SnowRidge</t>
  </si>
  <si>
    <t>Traminett/Vidal</t>
  </si>
  <si>
    <t>Lot 16</t>
  </si>
  <si>
    <t>Silver Creek</t>
  </si>
  <si>
    <t>Lot 17</t>
  </si>
  <si>
    <t>Lot 18</t>
  </si>
  <si>
    <t>2 Principals</t>
  </si>
  <si>
    <t>Petit Verdot</t>
  </si>
  <si>
    <t>Lot 19</t>
  </si>
  <si>
    <t>Point Breeze</t>
  </si>
  <si>
    <t>Lot 20</t>
  </si>
  <si>
    <t>Lot 21</t>
  </si>
  <si>
    <t>Lot 22</t>
  </si>
  <si>
    <t>Lot 23</t>
  </si>
  <si>
    <t>Lot 24</t>
  </si>
  <si>
    <t>Granite Heights</t>
  </si>
  <si>
    <t>Lot 25</t>
  </si>
  <si>
    <t>Lot 26</t>
  </si>
  <si>
    <t>Vio/Semillion</t>
  </si>
  <si>
    <t>Lot 27</t>
  </si>
  <si>
    <t>Lot 28</t>
  </si>
  <si>
    <t>Lot 29</t>
  </si>
  <si>
    <t>Lot 30</t>
  </si>
  <si>
    <t>Mourvedre</t>
  </si>
  <si>
    <t>Lot 31</t>
  </si>
  <si>
    <t>5 Rivers</t>
  </si>
  <si>
    <t>Lot 32</t>
  </si>
  <si>
    <t>Lot 33</t>
  </si>
  <si>
    <t>Lot 34</t>
  </si>
  <si>
    <t>Lot 35</t>
  </si>
  <si>
    <t>Lot 36</t>
  </si>
  <si>
    <t>Lot 37</t>
  </si>
  <si>
    <t>Quartz Creek</t>
  </si>
  <si>
    <t>Lot 38</t>
  </si>
  <si>
    <t>Lot 39</t>
  </si>
  <si>
    <t>Lot 40</t>
  </si>
  <si>
    <t>ton</t>
  </si>
  <si>
    <t>Lot 41</t>
  </si>
  <si>
    <t>Grenache</t>
  </si>
  <si>
    <t>Lot 42</t>
  </si>
  <si>
    <t>Horsefield Lane</t>
  </si>
  <si>
    <t>Vidal Blanc</t>
  </si>
  <si>
    <t>Lot 43</t>
  </si>
  <si>
    <t xml:space="preserve">Silver Creek </t>
  </si>
  <si>
    <t>Ties to concentrate orders</t>
  </si>
  <si>
    <t>We had 12 gallons of concentrate left over from Spring order</t>
  </si>
  <si>
    <t>Fleetwood</t>
  </si>
  <si>
    <t>330 Vio and 275 Muscat</t>
  </si>
  <si>
    <t>1 Ton Mourvedre and 2 tons Syrah</t>
  </si>
  <si>
    <t>Have requested up to 5 tons</t>
  </si>
  <si>
    <t>Use to backfill tannat or blends</t>
  </si>
  <si>
    <t>Rose Chambour</t>
  </si>
  <si>
    <t>Rose - Grenache</t>
  </si>
  <si>
    <t>Rose - Chambourcin</t>
  </si>
  <si>
    <t>Balance Used in celebration</t>
  </si>
  <si>
    <t>1.5 Brix/3Brix Chard</t>
  </si>
  <si>
    <t>1 Brix</t>
  </si>
  <si>
    <t>9/27/2021 Harvest last years - 4 tons</t>
  </si>
  <si>
    <t>SW</t>
  </si>
  <si>
    <t xml:space="preserve">450 cases - PM, </t>
  </si>
  <si>
    <t>Story</t>
  </si>
  <si>
    <t>Have 1 vintner who wants some</t>
  </si>
  <si>
    <t>Sauvingnon Blanc</t>
  </si>
  <si>
    <t>PM</t>
  </si>
  <si>
    <t>White Blend</t>
  </si>
  <si>
    <t>LY</t>
  </si>
  <si>
    <t>Viognier/Chard</t>
  </si>
  <si>
    <t>Target Cases</t>
  </si>
  <si>
    <t>Notes</t>
  </si>
  <si>
    <t>4 Vio, 0.5 Blend</t>
  </si>
  <si>
    <t>5 PM, 0.5 Blend</t>
  </si>
  <si>
    <t>Blend</t>
  </si>
  <si>
    <t>cs</t>
  </si>
  <si>
    <t>G</t>
  </si>
  <si>
    <t>S</t>
  </si>
  <si>
    <t>M</t>
  </si>
  <si>
    <t>Have 1 vintner that wants 25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</si>
</sst>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2060"/>
      <name val="Arial"/>
      <family val="2"/>
    </font>
    <font>
      <b/>
      <sz val="12"/>
      <color theme="4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4"/>
      <name val="Calibri"/>
      <family val="2"/>
      <scheme val="minor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/>
    <xf numFmtId="0" fontId="0" fillId="4" borderId="0" xfId="0" applyFill="1"/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6" fillId="2" borderId="0" xfId="0" applyFont="1" applyFill="1"/>
    <xf numFmtId="0" fontId="17" fillId="7" borderId="0" xfId="0" applyFont="1" applyFill="1"/>
    <xf numFmtId="0" fontId="17" fillId="6" borderId="0" xfId="0" applyFont="1" applyFill="1"/>
    <xf numFmtId="0" fontId="18" fillId="3" borderId="0" xfId="0" applyFont="1" applyFill="1"/>
    <xf numFmtId="0" fontId="16" fillId="0" borderId="0" xfId="0" applyFont="1"/>
    <xf numFmtId="0" fontId="20" fillId="0" borderId="0" xfId="0" applyFont="1"/>
    <xf numFmtId="0" fontId="20" fillId="2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 applyAlignment="1">
      <alignment horizontal="center"/>
    </xf>
    <xf numFmtId="1" fontId="20" fillId="0" borderId="0" xfId="0" applyNumberFormat="1" applyFont="1"/>
    <xf numFmtId="0" fontId="15" fillId="2" borderId="0" xfId="0" applyFont="1" applyFill="1"/>
    <xf numFmtId="0" fontId="25" fillId="0" borderId="0" xfId="0" applyFont="1"/>
    <xf numFmtId="0" fontId="25" fillId="2" borderId="0" xfId="0" applyFont="1" applyFill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0" fontId="27" fillId="2" borderId="0" xfId="0" applyFont="1" applyFill="1"/>
    <xf numFmtId="0" fontId="27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19" fillId="2" borderId="0" xfId="0" applyFont="1" applyFill="1"/>
    <xf numFmtId="0" fontId="18" fillId="0" borderId="0" xfId="0" applyFont="1"/>
    <xf numFmtId="0" fontId="19" fillId="0" borderId="0" xfId="0" applyFont="1" applyAlignment="1">
      <alignment horizontal="center"/>
    </xf>
    <xf numFmtId="0" fontId="28" fillId="0" borderId="0" xfId="0" applyFont="1"/>
    <xf numFmtId="1" fontId="28" fillId="0" borderId="0" xfId="0" applyNumberFormat="1" applyFont="1"/>
    <xf numFmtId="0" fontId="29" fillId="2" borderId="0" xfId="0" applyFont="1" applyFill="1"/>
    <xf numFmtId="0" fontId="24" fillId="0" borderId="0" xfId="0" applyFont="1"/>
    <xf numFmtId="0" fontId="23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5" fillId="4" borderId="0" xfId="0" applyFont="1" applyFill="1"/>
    <xf numFmtId="0" fontId="22" fillId="4" borderId="0" xfId="0" applyFont="1" applyFill="1"/>
    <xf numFmtId="0" fontId="35" fillId="0" borderId="0" xfId="0" applyFont="1"/>
    <xf numFmtId="0" fontId="36" fillId="0" borderId="0" xfId="1" applyFont="1" applyAlignment="1" applyProtection="1"/>
    <xf numFmtId="0" fontId="8" fillId="4" borderId="0" xfId="0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14" fontId="0" fillId="0" borderId="0" xfId="0" applyNumberFormat="1"/>
    <xf numFmtId="0" fontId="8" fillId="5" borderId="0" xfId="0" applyFont="1" applyFill="1"/>
    <xf numFmtId="0" fontId="3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16" fillId="8" borderId="0" xfId="0" applyFont="1" applyFill="1"/>
    <xf numFmtId="0" fontId="3" fillId="8" borderId="0" xfId="0" applyFont="1" applyFill="1"/>
    <xf numFmtId="0" fontId="15" fillId="0" borderId="0" xfId="0" quotePrefix="1" applyFont="1"/>
    <xf numFmtId="0" fontId="2" fillId="2" borderId="0" xfId="0" applyFont="1" applyFill="1"/>
    <xf numFmtId="0" fontId="2" fillId="9" borderId="0" xfId="0" applyFont="1" applyFill="1"/>
    <xf numFmtId="0" fontId="3" fillId="0" borderId="0" xfId="0" applyFont="1" applyAlignment="1">
      <alignment wrapText="1"/>
    </xf>
    <xf numFmtId="9" fontId="0" fillId="0" borderId="0" xfId="2" applyFont="1"/>
    <xf numFmtId="9" fontId="0" fillId="0" borderId="0" xfId="0" applyNumberFormat="1"/>
    <xf numFmtId="0" fontId="3" fillId="0" borderId="0" xfId="0" applyFont="1" applyFill="1" applyBorder="1"/>
    <xf numFmtId="0" fontId="0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/Downloads/2022%20Crush%20-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earmund"/>
      <sheetName val="Effingham"/>
      <sheetName val="Vint Hill"/>
      <sheetName val="Maybe"/>
      <sheetName val="Less So"/>
      <sheetName val="2021 Actuals"/>
    </sheetNames>
    <sheetDataSet>
      <sheetData sheetId="0"/>
      <sheetData sheetId="1">
        <row r="4">
          <cell r="C4">
            <v>6</v>
          </cell>
        </row>
        <row r="10">
          <cell r="C10">
            <v>0</v>
          </cell>
        </row>
        <row r="12">
          <cell r="C12">
            <v>7</v>
          </cell>
        </row>
        <row r="13">
          <cell r="C13" t="str">
            <v xml:space="preserve"> </v>
          </cell>
        </row>
      </sheetData>
      <sheetData sheetId="2">
        <row r="4">
          <cell r="C4">
            <v>5</v>
          </cell>
        </row>
        <row r="6">
          <cell r="C6">
            <v>0</v>
          </cell>
        </row>
        <row r="10">
          <cell r="C10">
            <v>0</v>
          </cell>
        </row>
        <row r="13">
          <cell r="C13" t="str">
            <v xml:space="preserve"> </v>
          </cell>
        </row>
      </sheetData>
      <sheetData sheetId="3">
        <row r="4">
          <cell r="C4">
            <v>2</v>
          </cell>
        </row>
        <row r="5">
          <cell r="C5">
            <v>2</v>
          </cell>
        </row>
        <row r="6">
          <cell r="C6">
            <v>0</v>
          </cell>
        </row>
        <row r="7">
          <cell r="C7">
            <v>2</v>
          </cell>
        </row>
        <row r="8">
          <cell r="C8" t="str">
            <v xml:space="preserve"> </v>
          </cell>
        </row>
        <row r="9">
          <cell r="C9" t="str">
            <v xml:space="preserve"> </v>
          </cell>
        </row>
        <row r="10">
          <cell r="C10">
            <v>0</v>
          </cell>
        </row>
        <row r="11">
          <cell r="C11">
            <v>2</v>
          </cell>
        </row>
        <row r="13">
          <cell r="C13">
            <v>2.5</v>
          </cell>
        </row>
      </sheetData>
      <sheetData sheetId="4"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2">
          <cell r="C12">
            <v>0</v>
          </cell>
        </row>
        <row r="13">
          <cell r="C13" t="str">
            <v xml:space="preserve"> </v>
          </cell>
        </row>
      </sheetData>
      <sheetData sheetId="5"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2">
          <cell r="C12">
            <v>0</v>
          </cell>
        </row>
        <row r="13">
          <cell r="C13" t="str">
            <v xml:space="preserve"> </v>
          </cell>
        </row>
        <row r="14">
          <cell r="C14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 t="str">
            <v xml:space="preserve"> </v>
          </cell>
        </row>
        <row r="19">
          <cell r="C19">
            <v>0</v>
          </cell>
        </row>
        <row r="20">
          <cell r="C20">
            <v>0</v>
          </cell>
        </row>
        <row r="22">
          <cell r="C22" t="str">
            <v xml:space="preserve"> </v>
          </cell>
        </row>
        <row r="23">
          <cell r="C23">
            <v>0</v>
          </cell>
        </row>
        <row r="26">
          <cell r="C26">
            <v>0</v>
          </cell>
        </row>
        <row r="27">
          <cell r="C27">
            <v>0</v>
          </cell>
        </row>
        <row r="29">
          <cell r="C29">
            <v>0</v>
          </cell>
        </row>
      </sheetData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an Smyth" id="{C6EBF54A-B28C-4B3F-8CC5-CE7D481F2DC0}" userId="9c527c4ea72c08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0-08-10T16:18:37.08" personId="{C6EBF54A-B28C-4B3F-8CC5-CE7D481F2DC0}" id="{C9D921A2-C160-4441-8C73-C7CD515558B0}">
    <text>1/t-bin</text>
  </threadedComment>
  <threadedComment ref="N25" dT="2020-08-10T16:18:50.43" personId="{C6EBF54A-B28C-4B3F-8CC5-CE7D481F2DC0}" id="{6A1BA7AF-1119-444B-B68B-5540F925DF0E}">
    <text>1/ t-bin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0"/>
  <sheetViews>
    <sheetView zoomScale="83" zoomScaleNormal="100" workbookViewId="0">
      <selection activeCell="X25" sqref="X25"/>
    </sheetView>
  </sheetViews>
  <sheetFormatPr defaultColWidth="8.77734375" defaultRowHeight="14.4" x14ac:dyDescent="0.3"/>
  <cols>
    <col min="1" max="1" width="16.5546875" style="15" customWidth="1"/>
    <col min="2" max="2" width="6.21875" style="15" customWidth="1"/>
    <col min="3" max="3" width="8.21875" style="15" customWidth="1"/>
    <col min="4" max="4" width="7.77734375" style="15" customWidth="1"/>
    <col min="5" max="5" width="8.21875" style="15" customWidth="1"/>
    <col min="6" max="6" width="6" style="15" customWidth="1"/>
    <col min="7" max="7" width="5.21875" style="15" customWidth="1"/>
    <col min="8" max="8" width="4.44140625" style="15" customWidth="1"/>
    <col min="9" max="9" width="4" style="15" customWidth="1"/>
    <col min="10" max="10" width="4.21875" style="15" customWidth="1"/>
    <col min="11" max="11" width="7.21875" style="15" customWidth="1"/>
    <col min="12" max="12" width="6.21875" style="15" customWidth="1"/>
    <col min="13" max="13" width="6.44140625" style="15" customWidth="1"/>
    <col min="14" max="14" width="14.33203125" style="15" customWidth="1"/>
    <col min="15" max="15" width="17.21875" style="15" customWidth="1"/>
    <col min="16" max="16" width="7.77734375" style="15" customWidth="1"/>
    <col min="17" max="17" width="5.6640625" style="15" customWidth="1"/>
    <col min="18" max="18" width="10" style="15" customWidth="1"/>
    <col min="19" max="19" width="12.109375" style="15" customWidth="1"/>
    <col min="20" max="20" width="6.77734375" style="15" customWidth="1"/>
    <col min="21" max="21" width="8.77734375" style="15"/>
    <col min="22" max="23" width="6.77734375" style="15" customWidth="1"/>
    <col min="24" max="24" width="6.33203125" style="15" customWidth="1"/>
    <col min="25" max="25" width="8.44140625" style="15" customWidth="1"/>
    <col min="26" max="16384" width="8.77734375" style="15"/>
  </cols>
  <sheetData>
    <row r="1" spans="1:29" x14ac:dyDescent="0.3">
      <c r="N1" s="59" t="s">
        <v>170</v>
      </c>
    </row>
    <row r="2" spans="1:29" ht="28.8" customHeight="1" x14ac:dyDescent="0.3">
      <c r="A2" s="16" t="s">
        <v>42</v>
      </c>
      <c r="B2" s="16" t="s">
        <v>4</v>
      </c>
      <c r="C2" s="16" t="s">
        <v>5</v>
      </c>
      <c r="D2" s="16" t="s">
        <v>6</v>
      </c>
      <c r="E2" s="16" t="s">
        <v>7</v>
      </c>
      <c r="F2" s="17"/>
      <c r="G2" s="18" t="s">
        <v>41</v>
      </c>
      <c r="H2" s="19" t="s">
        <v>59</v>
      </c>
      <c r="I2" s="20" t="s">
        <v>31</v>
      </c>
      <c r="J2" s="55" t="s">
        <v>101</v>
      </c>
      <c r="K2" s="61" t="s">
        <v>100</v>
      </c>
      <c r="L2" s="21" t="s">
        <v>32</v>
      </c>
      <c r="M2" s="21" t="s">
        <v>33</v>
      </c>
      <c r="N2" s="9" t="s">
        <v>71</v>
      </c>
      <c r="O2" s="9" t="s">
        <v>98</v>
      </c>
      <c r="P2" s="9" t="s">
        <v>102</v>
      </c>
      <c r="Q2" s="21" t="s">
        <v>34</v>
      </c>
      <c r="R2" s="65" t="s">
        <v>35</v>
      </c>
      <c r="S2" s="9" t="s">
        <v>66</v>
      </c>
      <c r="T2" s="31" t="s">
        <v>175</v>
      </c>
      <c r="U2" s="9" t="s">
        <v>8</v>
      </c>
      <c r="V2" s="9" t="s">
        <v>173</v>
      </c>
      <c r="W2" s="9" t="s">
        <v>65</v>
      </c>
      <c r="X2" s="66" t="s">
        <v>69</v>
      </c>
      <c r="Y2" s="9" t="s">
        <v>99</v>
      </c>
      <c r="Z2" s="70" t="s">
        <v>130</v>
      </c>
    </row>
    <row r="3" spans="1:29" x14ac:dyDescent="0.3">
      <c r="C3" s="22"/>
      <c r="D3" s="22" t="s">
        <v>8</v>
      </c>
      <c r="E3" s="22"/>
      <c r="F3" s="23" t="s">
        <v>8</v>
      </c>
      <c r="G3" s="24"/>
      <c r="H3" s="24"/>
      <c r="I3" s="24"/>
      <c r="J3" s="22"/>
      <c r="K3" s="22"/>
      <c r="L3" s="22"/>
      <c r="M3" s="22"/>
      <c r="N3" s="1"/>
      <c r="O3" s="1" t="s">
        <v>8</v>
      </c>
      <c r="P3" s="1" t="s">
        <v>8</v>
      </c>
      <c r="Q3" s="1"/>
      <c r="R3" s="1" t="s">
        <v>72</v>
      </c>
      <c r="S3" s="1" t="s">
        <v>8</v>
      </c>
      <c r="T3" s="56"/>
      <c r="U3" s="56"/>
      <c r="V3" s="56"/>
      <c r="W3" s="56"/>
      <c r="X3" s="57"/>
      <c r="Y3" s="56"/>
      <c r="Z3" s="56"/>
      <c r="AA3" s="56"/>
    </row>
    <row r="4" spans="1:29" x14ac:dyDescent="0.3">
      <c r="A4" s="15" t="s">
        <v>2</v>
      </c>
      <c r="B4" s="1">
        <f>L4</f>
        <v>13</v>
      </c>
      <c r="C4" s="1">
        <f t="shared" ref="C4:C14" si="0">B4*150</f>
        <v>1950</v>
      </c>
      <c r="D4" s="1">
        <f>B4*2.5</f>
        <v>32.5</v>
      </c>
      <c r="E4" s="2">
        <f>B4*63</f>
        <v>819</v>
      </c>
      <c r="F4" s="28"/>
      <c r="G4" s="1">
        <f>Pearmund!C4</f>
        <v>6</v>
      </c>
      <c r="H4" s="1">
        <f>Effingham!C4</f>
        <v>5</v>
      </c>
      <c r="I4" s="1">
        <f>'[1]Vint Hill'!C4</f>
        <v>2</v>
      </c>
      <c r="J4" s="24">
        <f>[1]Maybe!C4</f>
        <v>0</v>
      </c>
      <c r="K4" s="24">
        <f>'[1]Less So'!C4</f>
        <v>0</v>
      </c>
      <c r="L4" s="1">
        <f t="shared" ref="L4:L11" si="1">SUM(G4:K4)</f>
        <v>13</v>
      </c>
      <c r="M4" s="1">
        <f>SUM(O4:Z4)</f>
        <v>15</v>
      </c>
      <c r="N4" s="69">
        <f>((((M4*150)/100))*1.5*3)/6</f>
        <v>16.875</v>
      </c>
      <c r="O4" s="62"/>
      <c r="P4" s="62"/>
      <c r="Q4" s="62">
        <v>15</v>
      </c>
      <c r="R4" s="62"/>
      <c r="S4" s="62"/>
      <c r="T4" s="63"/>
      <c r="U4" s="63"/>
      <c r="V4" s="63"/>
      <c r="W4" s="63"/>
      <c r="X4" s="63"/>
      <c r="Y4"/>
      <c r="Z4"/>
      <c r="AA4"/>
    </row>
    <row r="5" spans="1:29" x14ac:dyDescent="0.3">
      <c r="A5" s="15" t="s">
        <v>36</v>
      </c>
      <c r="B5" s="1">
        <f t="shared" ref="B5:B14" si="2">L5</f>
        <v>14.5</v>
      </c>
      <c r="C5" s="1">
        <f>B5*150</f>
        <v>2175</v>
      </c>
      <c r="D5" s="1">
        <f>B5*2.5</f>
        <v>36.25</v>
      </c>
      <c r="E5" s="2">
        <f t="shared" ref="E5:E14" si="3">B5*63</f>
        <v>913.5</v>
      </c>
      <c r="F5" s="28"/>
      <c r="G5" s="1">
        <f>Pearmund!C5</f>
        <v>8</v>
      </c>
      <c r="H5" s="1">
        <f>Effingham!C5</f>
        <v>4.5</v>
      </c>
      <c r="I5" s="1">
        <f>'[1]Vint Hill'!C5</f>
        <v>2</v>
      </c>
      <c r="J5" s="24">
        <f>[1]Maybe!C5</f>
        <v>0</v>
      </c>
      <c r="K5" s="24">
        <f>'[1]Less So'!C5</f>
        <v>0</v>
      </c>
      <c r="L5" s="1">
        <f t="shared" si="1"/>
        <v>14.5</v>
      </c>
      <c r="M5" s="1">
        <f>SUM(O5:Z5)</f>
        <v>16</v>
      </c>
      <c r="N5" s="69">
        <f>((((M5*150)/100))*1.5*1.255)/6</f>
        <v>7.5299999999999985</v>
      </c>
      <c r="O5" s="62"/>
      <c r="P5" s="62"/>
      <c r="Q5" s="62"/>
      <c r="R5" s="62">
        <v>8</v>
      </c>
      <c r="S5" s="62">
        <v>4</v>
      </c>
      <c r="T5" s="63"/>
      <c r="U5" s="63"/>
      <c r="V5" s="63"/>
      <c r="W5" s="63"/>
      <c r="X5" s="63">
        <v>4</v>
      </c>
      <c r="Y5"/>
      <c r="Z5"/>
      <c r="AA5"/>
      <c r="AB5" s="67" t="s">
        <v>162</v>
      </c>
    </row>
    <row r="6" spans="1:29" x14ac:dyDescent="0.3">
      <c r="A6" s="15" t="s">
        <v>23</v>
      </c>
      <c r="B6" s="1">
        <f t="shared" si="2"/>
        <v>0</v>
      </c>
      <c r="C6" s="1">
        <f t="shared" si="0"/>
        <v>0</v>
      </c>
      <c r="D6" s="1">
        <v>0</v>
      </c>
      <c r="E6" s="2">
        <f t="shared" si="3"/>
        <v>0</v>
      </c>
      <c r="F6" s="28"/>
      <c r="G6" s="1">
        <f>Pearmund!C6</f>
        <v>0</v>
      </c>
      <c r="H6" s="1">
        <f>[1]Effingham!C6</f>
        <v>0</v>
      </c>
      <c r="I6" s="1">
        <f>'[1]Vint Hill'!C6</f>
        <v>0</v>
      </c>
      <c r="J6" s="24">
        <f>[1]Maybe!C6</f>
        <v>0</v>
      </c>
      <c r="K6" s="24">
        <f>'[1]Less So'!C6</f>
        <v>0</v>
      </c>
      <c r="L6" s="1">
        <f t="shared" si="1"/>
        <v>0</v>
      </c>
      <c r="M6" s="1">
        <f>SUM(O6:Z6)</f>
        <v>0</v>
      </c>
      <c r="N6" s="69">
        <f>((((M6*150)/100))*1.5*1.5)/6</f>
        <v>0</v>
      </c>
      <c r="O6" s="62"/>
      <c r="P6" s="63"/>
      <c r="Q6" s="62"/>
      <c r="R6" s="62"/>
      <c r="S6" s="63"/>
      <c r="T6" s="63"/>
      <c r="U6" s="63"/>
      <c r="V6" s="63"/>
      <c r="W6" s="63"/>
      <c r="X6" s="63"/>
      <c r="Y6"/>
      <c r="Z6"/>
      <c r="AA6"/>
    </row>
    <row r="7" spans="1:29" x14ac:dyDescent="0.3">
      <c r="A7" s="15" t="s">
        <v>24</v>
      </c>
      <c r="B7" s="1">
        <f t="shared" si="2"/>
        <v>17.5</v>
      </c>
      <c r="C7" s="1">
        <f t="shared" si="0"/>
        <v>2625</v>
      </c>
      <c r="D7" s="1">
        <v>0</v>
      </c>
      <c r="E7" s="2">
        <f t="shared" si="3"/>
        <v>1102.5</v>
      </c>
      <c r="F7" s="28"/>
      <c r="G7" s="1">
        <f>Pearmund!C7</f>
        <v>10</v>
      </c>
      <c r="H7" s="1">
        <f>Effingham!C7</f>
        <v>5.5</v>
      </c>
      <c r="I7" s="1">
        <f>'[1]Vint Hill'!C7</f>
        <v>2</v>
      </c>
      <c r="J7" s="24">
        <f>[1]Maybe!C7</f>
        <v>0</v>
      </c>
      <c r="K7" s="24">
        <f>'[1]Less So'!C7</f>
        <v>0</v>
      </c>
      <c r="L7" s="1">
        <f t="shared" si="1"/>
        <v>17.5</v>
      </c>
      <c r="M7" s="1">
        <f>SUM(O7:Z7)</f>
        <v>20.5</v>
      </c>
      <c r="N7" s="69">
        <f>((((M7*150)/100))*1.5*0)/6</f>
        <v>0</v>
      </c>
      <c r="O7" s="62"/>
      <c r="P7" s="62"/>
      <c r="Q7" s="62"/>
      <c r="R7" s="62">
        <v>11</v>
      </c>
      <c r="S7" s="62">
        <v>9</v>
      </c>
      <c r="T7" s="63">
        <v>0.5</v>
      </c>
      <c r="U7" s="63"/>
      <c r="V7" s="63"/>
      <c r="W7" s="63"/>
      <c r="X7" s="63"/>
      <c r="Y7"/>
      <c r="Z7"/>
      <c r="AA7"/>
      <c r="AB7" s="15" t="s">
        <v>172</v>
      </c>
      <c r="AC7" s="15" t="s">
        <v>8</v>
      </c>
    </row>
    <row r="8" spans="1:29" x14ac:dyDescent="0.3">
      <c r="A8" s="74" t="s">
        <v>25</v>
      </c>
      <c r="B8" s="1">
        <f t="shared" ref="B8" si="4">L8</f>
        <v>2.25</v>
      </c>
      <c r="C8" s="1">
        <f t="shared" ref="C8" si="5">B8*150</f>
        <v>337.5</v>
      </c>
      <c r="D8" s="1">
        <v>0</v>
      </c>
      <c r="E8" s="2">
        <f t="shared" ref="E8" si="6">B8*63</f>
        <v>141.75</v>
      </c>
      <c r="F8" s="28"/>
      <c r="G8" s="1">
        <f>Pearmund!C8</f>
        <v>1.25</v>
      </c>
      <c r="H8" s="1">
        <f>Effingham!C8</f>
        <v>1</v>
      </c>
      <c r="I8" s="1" t="str">
        <f>'[1]Vint Hill'!C8</f>
        <v xml:space="preserve"> </v>
      </c>
      <c r="J8" s="24">
        <f>[1]Maybe!C8</f>
        <v>0</v>
      </c>
      <c r="K8" s="24">
        <f>'[1]Less So'!C8</f>
        <v>0</v>
      </c>
      <c r="L8" s="1">
        <f t="shared" ref="L8" si="7">SUM(G8:K8)</f>
        <v>2.25</v>
      </c>
      <c r="M8" s="1">
        <f>SUM(O8:Z8)</f>
        <v>0</v>
      </c>
      <c r="N8" s="69">
        <v>2</v>
      </c>
      <c r="O8" s="62"/>
      <c r="P8" s="62"/>
      <c r="Q8" s="62"/>
      <c r="R8" s="62"/>
      <c r="S8" s="62"/>
      <c r="T8" s="63"/>
      <c r="U8" s="63"/>
      <c r="V8" s="63"/>
      <c r="W8" s="63"/>
      <c r="X8" s="63"/>
      <c r="Y8"/>
      <c r="Z8"/>
      <c r="AA8"/>
    </row>
    <row r="9" spans="1:29" x14ac:dyDescent="0.3">
      <c r="A9" s="15" t="s">
        <v>37</v>
      </c>
      <c r="B9" s="1">
        <f t="shared" si="2"/>
        <v>2</v>
      </c>
      <c r="C9" s="1">
        <f t="shared" si="0"/>
        <v>300</v>
      </c>
      <c r="D9" s="1">
        <v>0</v>
      </c>
      <c r="E9" s="2">
        <f t="shared" si="3"/>
        <v>126</v>
      </c>
      <c r="F9" s="28"/>
      <c r="G9" s="1">
        <f>Pearmund!C9</f>
        <v>1</v>
      </c>
      <c r="H9" s="1">
        <f>Effingham!C9</f>
        <v>1</v>
      </c>
      <c r="I9" s="1" t="str">
        <f>'[1]Vint Hill'!C8</f>
        <v xml:space="preserve"> </v>
      </c>
      <c r="J9" s="24">
        <f>[1]Maybe!C8</f>
        <v>0</v>
      </c>
      <c r="K9" s="24">
        <f>'[1]Less So'!C8</f>
        <v>0</v>
      </c>
      <c r="L9" s="1">
        <f t="shared" si="1"/>
        <v>2</v>
      </c>
      <c r="M9" s="1">
        <f>SUM(O9:Z9)</f>
        <v>5</v>
      </c>
      <c r="N9" s="69">
        <v>2</v>
      </c>
      <c r="O9" s="62"/>
      <c r="P9" s="62"/>
      <c r="Q9" s="62"/>
      <c r="R9" s="62">
        <v>5</v>
      </c>
      <c r="S9" s="62"/>
      <c r="T9" s="63"/>
      <c r="U9" s="63"/>
      <c r="V9" s="63" t="s">
        <v>8</v>
      </c>
      <c r="W9" s="63"/>
      <c r="X9" s="63"/>
      <c r="Y9"/>
      <c r="Z9"/>
      <c r="AA9"/>
    </row>
    <row r="10" spans="1:29" x14ac:dyDescent="0.3">
      <c r="A10" s="15" t="s">
        <v>67</v>
      </c>
      <c r="B10" s="1">
        <f t="shared" si="2"/>
        <v>0</v>
      </c>
      <c r="C10" s="1">
        <f t="shared" si="0"/>
        <v>0</v>
      </c>
      <c r="D10" s="1">
        <v>0</v>
      </c>
      <c r="E10" s="2">
        <f t="shared" si="3"/>
        <v>0</v>
      </c>
      <c r="F10" s="28"/>
      <c r="G10" s="1">
        <v>0</v>
      </c>
      <c r="H10" s="1">
        <v>0</v>
      </c>
      <c r="I10" s="1" t="str">
        <f>'[1]Vint Hill'!C9</f>
        <v xml:space="preserve"> </v>
      </c>
      <c r="J10" s="24">
        <f>[1]Maybe!C9</f>
        <v>0</v>
      </c>
      <c r="K10" s="24">
        <f>'[1]Less So'!C9</f>
        <v>0</v>
      </c>
      <c r="L10" s="1">
        <f t="shared" si="1"/>
        <v>0</v>
      </c>
      <c r="M10" s="1">
        <f>SUM(O10:Z10)</f>
        <v>3</v>
      </c>
      <c r="N10" s="1">
        <v>0</v>
      </c>
      <c r="O10" s="62"/>
      <c r="P10" s="62"/>
      <c r="Q10" s="62"/>
      <c r="R10" s="62"/>
      <c r="S10" s="62"/>
      <c r="T10" s="63"/>
      <c r="U10" s="63"/>
      <c r="V10" s="63"/>
      <c r="W10" s="63"/>
      <c r="X10" s="63">
        <v>3</v>
      </c>
      <c r="Y10"/>
      <c r="Z10"/>
      <c r="AA10"/>
    </row>
    <row r="11" spans="1:29" x14ac:dyDescent="0.3">
      <c r="A11" s="1" t="s">
        <v>28</v>
      </c>
      <c r="B11" s="1">
        <f t="shared" si="2"/>
        <v>0</v>
      </c>
      <c r="C11" s="1">
        <f t="shared" si="0"/>
        <v>0</v>
      </c>
      <c r="D11" s="1">
        <v>0</v>
      </c>
      <c r="E11" s="2">
        <f t="shared" si="3"/>
        <v>0</v>
      </c>
      <c r="F11" s="68" t="s">
        <v>8</v>
      </c>
      <c r="G11" s="1">
        <f>[1]Pearmund!C10</f>
        <v>0</v>
      </c>
      <c r="H11" s="1">
        <f>[1]Effingham!C10</f>
        <v>0</v>
      </c>
      <c r="I11" s="1">
        <f>'[1]Vint Hill'!C10</f>
        <v>0</v>
      </c>
      <c r="J11" s="24">
        <v>0</v>
      </c>
      <c r="K11" s="24">
        <f>'[1]Less So'!C10</f>
        <v>0</v>
      </c>
      <c r="L11" s="1">
        <f t="shared" si="1"/>
        <v>0</v>
      </c>
      <c r="M11" s="1">
        <f>SUM(O11:Z11)</f>
        <v>0</v>
      </c>
      <c r="N11" s="1">
        <v>0</v>
      </c>
      <c r="O11" s="62"/>
      <c r="P11" s="62"/>
      <c r="Q11" s="62"/>
      <c r="R11" s="62"/>
      <c r="S11" s="62"/>
      <c r="T11" s="63"/>
      <c r="U11" s="63"/>
      <c r="V11" s="63"/>
      <c r="W11" s="63"/>
      <c r="X11" s="63"/>
      <c r="Y11"/>
      <c r="Z11"/>
      <c r="AA11"/>
    </row>
    <row r="12" spans="1:29" x14ac:dyDescent="0.3">
      <c r="A12" s="15" t="s">
        <v>58</v>
      </c>
      <c r="B12" s="1">
        <f t="shared" si="2"/>
        <v>4.75</v>
      </c>
      <c r="C12" s="1">
        <f t="shared" si="0"/>
        <v>712.5</v>
      </c>
      <c r="D12" s="1">
        <v>0</v>
      </c>
      <c r="E12" s="2">
        <f t="shared" si="3"/>
        <v>299.25</v>
      </c>
      <c r="F12" s="68" t="s">
        <v>8</v>
      </c>
      <c r="G12" s="1">
        <v>1.75</v>
      </c>
      <c r="H12" s="1">
        <f>Effingham!C11</f>
        <v>1</v>
      </c>
      <c r="I12" s="1">
        <f>'[1]Vint Hill'!C11</f>
        <v>2</v>
      </c>
      <c r="J12" s="24">
        <v>0</v>
      </c>
      <c r="K12" s="24">
        <f>'[1]Less So'!C11</f>
        <v>0</v>
      </c>
      <c r="L12" s="1">
        <f>SUM(G12:K12)</f>
        <v>4.75</v>
      </c>
      <c r="M12" s="1">
        <f>SUM(O12:Z12)</f>
        <v>5.5</v>
      </c>
      <c r="N12" s="69">
        <f>((((M12*150)/100))*1.5*1.25)/6</f>
        <v>2.578125</v>
      </c>
      <c r="O12" s="62"/>
      <c r="P12" s="62"/>
      <c r="Q12" s="62"/>
      <c r="R12" s="62"/>
      <c r="S12" s="62"/>
      <c r="T12" s="63"/>
      <c r="U12" s="63"/>
      <c r="V12" s="63"/>
      <c r="W12" s="63"/>
      <c r="X12" s="63">
        <v>5.5</v>
      </c>
      <c r="Y12"/>
      <c r="Z12"/>
      <c r="AA12"/>
      <c r="AB12" s="15" t="s">
        <v>169</v>
      </c>
    </row>
    <row r="13" spans="1:29" x14ac:dyDescent="0.3">
      <c r="A13" s="15" t="s">
        <v>166</v>
      </c>
      <c r="B13" s="1">
        <f t="shared" si="2"/>
        <v>15</v>
      </c>
      <c r="C13" s="1">
        <f t="shared" si="0"/>
        <v>2250</v>
      </c>
      <c r="D13" s="1">
        <v>0</v>
      </c>
      <c r="E13" s="2">
        <f t="shared" si="3"/>
        <v>945</v>
      </c>
      <c r="F13" s="28"/>
      <c r="G13" s="1">
        <f>[1]Pearmund!C12</f>
        <v>7</v>
      </c>
      <c r="H13" s="1">
        <f>Effingham!C12</f>
        <v>8</v>
      </c>
      <c r="I13" s="1"/>
      <c r="J13" s="24">
        <f>[1]Maybe!C12</f>
        <v>0</v>
      </c>
      <c r="K13" s="24">
        <f>'[1]Less So'!C12</f>
        <v>0</v>
      </c>
      <c r="L13" s="1">
        <f>SUM(G13:K13)</f>
        <v>15</v>
      </c>
      <c r="M13" s="1">
        <f>SUM(O13:Z13)</f>
        <v>11</v>
      </c>
      <c r="N13" s="69">
        <f>((((M13*150)/100))*1.5*1.25)/6</f>
        <v>5.15625</v>
      </c>
      <c r="O13" s="62"/>
      <c r="P13" s="62"/>
      <c r="Q13" s="62"/>
      <c r="R13" s="62">
        <v>8</v>
      </c>
      <c r="S13" s="62"/>
      <c r="T13" s="63"/>
      <c r="U13" s="63"/>
      <c r="V13" s="63"/>
      <c r="W13" s="63">
        <v>3</v>
      </c>
      <c r="X13" s="63">
        <v>0</v>
      </c>
      <c r="Y13"/>
      <c r="Z13"/>
      <c r="AA13"/>
    </row>
    <row r="14" spans="1:29" x14ac:dyDescent="0.3">
      <c r="A14" s="1" t="s">
        <v>167</v>
      </c>
      <c r="B14" s="1">
        <f t="shared" si="2"/>
        <v>2.5</v>
      </c>
      <c r="C14" s="1">
        <f t="shared" si="0"/>
        <v>375</v>
      </c>
      <c r="D14" s="1">
        <v>2</v>
      </c>
      <c r="E14" s="2">
        <f t="shared" si="3"/>
        <v>157.5</v>
      </c>
      <c r="F14" s="68" t="s">
        <v>8</v>
      </c>
      <c r="G14" s="1" t="str">
        <f>[1]Pearmund!C13</f>
        <v xml:space="preserve"> </v>
      </c>
      <c r="H14" s="1" t="str">
        <f>[1]Effingham!C13</f>
        <v xml:space="preserve"> </v>
      </c>
      <c r="I14" s="1">
        <f>'[1]Vint Hill'!C13</f>
        <v>2.5</v>
      </c>
      <c r="J14" s="24" t="str">
        <f>[1]Maybe!C13</f>
        <v xml:space="preserve"> </v>
      </c>
      <c r="K14" s="24" t="str">
        <f>'[1]Less So'!C13</f>
        <v xml:space="preserve"> </v>
      </c>
      <c r="L14" s="1">
        <f>SUM(G14:K14)</f>
        <v>2.5</v>
      </c>
      <c r="M14" s="1">
        <f>SUM(O14:Z14)</f>
        <v>3</v>
      </c>
      <c r="N14" s="1">
        <v>0</v>
      </c>
      <c r="O14" s="62" t="s">
        <v>8</v>
      </c>
      <c r="P14" s="62"/>
      <c r="Q14" s="62"/>
      <c r="R14" s="62"/>
      <c r="S14" s="63" t="s">
        <v>8</v>
      </c>
      <c r="T14" s="63"/>
      <c r="U14" s="63"/>
      <c r="V14" s="63"/>
      <c r="W14" s="63"/>
      <c r="X14" s="63">
        <v>3</v>
      </c>
      <c r="Y14"/>
      <c r="Z14"/>
      <c r="AA14"/>
    </row>
    <row r="15" spans="1:29" x14ac:dyDescent="0.3">
      <c r="A15" s="29" t="s">
        <v>10</v>
      </c>
      <c r="B15" s="4">
        <f>SUM(B3:B14)</f>
        <v>71.5</v>
      </c>
      <c r="C15" s="4">
        <f>SUM(C3:C14)</f>
        <v>10725</v>
      </c>
      <c r="D15" s="4">
        <f>SUM(D3:D14)</f>
        <v>70.75</v>
      </c>
      <c r="E15" s="4">
        <f>SUM(E3:E14)</f>
        <v>4504.5</v>
      </c>
      <c r="F15" s="30"/>
      <c r="G15" s="29">
        <f t="shared" ref="G15:X15" si="8">SUM(G4:G14)</f>
        <v>35</v>
      </c>
      <c r="H15" s="29">
        <f t="shared" si="8"/>
        <v>26</v>
      </c>
      <c r="I15" s="29">
        <f t="shared" si="8"/>
        <v>10.5</v>
      </c>
      <c r="J15" s="29">
        <f t="shared" si="8"/>
        <v>0</v>
      </c>
      <c r="K15" s="31">
        <f>'[1]Less So'!C14</f>
        <v>0</v>
      </c>
      <c r="L15" s="9">
        <f t="shared" si="8"/>
        <v>71.5</v>
      </c>
      <c r="M15" s="9">
        <f>SUM(M4:M14)</f>
        <v>79</v>
      </c>
      <c r="N15" s="58">
        <f t="shared" si="8"/>
        <v>36.139375000000001</v>
      </c>
      <c r="O15" s="64">
        <f t="shared" si="8"/>
        <v>0</v>
      </c>
      <c r="P15" s="64">
        <f t="shared" si="8"/>
        <v>0</v>
      </c>
      <c r="Q15" s="64">
        <f t="shared" si="8"/>
        <v>15</v>
      </c>
      <c r="R15" s="64">
        <f t="shared" si="8"/>
        <v>32</v>
      </c>
      <c r="S15" s="64">
        <f t="shared" si="8"/>
        <v>13</v>
      </c>
      <c r="T15" s="64">
        <f t="shared" si="8"/>
        <v>0.5</v>
      </c>
      <c r="U15" s="64">
        <f t="shared" si="8"/>
        <v>0</v>
      </c>
      <c r="V15" s="64">
        <f t="shared" si="8"/>
        <v>0</v>
      </c>
      <c r="W15" s="64">
        <f t="shared" si="8"/>
        <v>3</v>
      </c>
      <c r="X15" s="64">
        <f t="shared" si="8"/>
        <v>15.5</v>
      </c>
      <c r="Y15"/>
      <c r="Z15"/>
      <c r="AA15"/>
    </row>
    <row r="16" spans="1:29" x14ac:dyDescent="0.3">
      <c r="B16" s="22" t="s">
        <v>8</v>
      </c>
      <c r="C16" s="22" t="s">
        <v>8</v>
      </c>
      <c r="D16" s="22" t="s">
        <v>8</v>
      </c>
      <c r="E16" s="27" t="s">
        <v>8</v>
      </c>
      <c r="F16" s="28"/>
      <c r="G16" s="22" t="s">
        <v>8</v>
      </c>
      <c r="H16" s="22" t="s">
        <v>8</v>
      </c>
      <c r="I16" s="1" t="s">
        <v>8</v>
      </c>
      <c r="J16" s="24" t="s">
        <v>8</v>
      </c>
      <c r="K16" s="24">
        <f>'[1]Less So'!C15</f>
        <v>0</v>
      </c>
      <c r="L16" s="22" t="s">
        <v>8</v>
      </c>
      <c r="M16" s="22" t="s">
        <v>8</v>
      </c>
      <c r="N16" s="1"/>
      <c r="O16" s="62"/>
      <c r="P16" s="62"/>
      <c r="Q16" s="62"/>
      <c r="R16" s="62"/>
      <c r="S16" s="62"/>
      <c r="T16" s="63"/>
      <c r="U16" s="63"/>
      <c r="V16" s="63"/>
      <c r="W16" s="63"/>
      <c r="X16" s="63" t="s">
        <v>8</v>
      </c>
      <c r="Y16"/>
      <c r="Z16"/>
      <c r="AA16"/>
    </row>
    <row r="17" spans="1:31" x14ac:dyDescent="0.3">
      <c r="A17" s="15" t="s">
        <v>11</v>
      </c>
      <c r="B17" s="22">
        <f>L17</f>
        <v>9</v>
      </c>
      <c r="C17" s="22">
        <f t="shared" ref="C17:C33" si="9">B17*150</f>
        <v>1350</v>
      </c>
      <c r="D17" s="22">
        <f t="shared" ref="D17:D30" si="10">B17*2.25</f>
        <v>20.25</v>
      </c>
      <c r="E17" s="27">
        <f>D17*28</f>
        <v>567</v>
      </c>
      <c r="F17" s="28"/>
      <c r="G17" s="22">
        <f>Pearmund!C16</f>
        <v>6</v>
      </c>
      <c r="H17" s="22">
        <f>Effingham!C16</f>
        <v>3</v>
      </c>
      <c r="I17" s="22">
        <f>'Vint Hill'!C16</f>
        <v>0</v>
      </c>
      <c r="J17" s="24">
        <f>Maybe!C16</f>
        <v>0</v>
      </c>
      <c r="K17" s="24">
        <f>'[1]Less So'!C16</f>
        <v>0</v>
      </c>
      <c r="L17" s="22">
        <f t="shared" ref="L17:L24" si="11">SUM(G17:K17)</f>
        <v>9</v>
      </c>
      <c r="M17" s="22">
        <f>SUM(O17:Z17)</f>
        <v>20</v>
      </c>
      <c r="N17" s="1">
        <v>5</v>
      </c>
      <c r="O17" s="62">
        <v>3</v>
      </c>
      <c r="P17" s="62" t="s">
        <v>8</v>
      </c>
      <c r="Q17" s="62"/>
      <c r="R17" s="62">
        <v>5</v>
      </c>
      <c r="S17" s="62"/>
      <c r="T17" s="63"/>
      <c r="U17" s="63"/>
      <c r="V17" s="63"/>
      <c r="W17" s="63"/>
      <c r="X17" s="63">
        <v>3</v>
      </c>
      <c r="Y17">
        <v>5</v>
      </c>
      <c r="Z17">
        <v>4</v>
      </c>
      <c r="AA17"/>
      <c r="AB17"/>
      <c r="AC17"/>
    </row>
    <row r="18" spans="1:31" x14ac:dyDescent="0.3">
      <c r="A18" s="15" t="s">
        <v>13</v>
      </c>
      <c r="B18" s="22">
        <f t="shared" ref="B18:B29" si="12">L18</f>
        <v>17</v>
      </c>
      <c r="C18" s="22">
        <f t="shared" si="9"/>
        <v>2550</v>
      </c>
      <c r="D18" s="22">
        <f t="shared" si="10"/>
        <v>38.25</v>
      </c>
      <c r="E18" s="27">
        <f>D18*28</f>
        <v>1071</v>
      </c>
      <c r="F18" s="28"/>
      <c r="G18" s="22">
        <f>Pearmund!C17</f>
        <v>9</v>
      </c>
      <c r="H18" s="22">
        <f>Effingham!C17</f>
        <v>4</v>
      </c>
      <c r="I18" s="22">
        <f>'Vint Hill'!C17</f>
        <v>4</v>
      </c>
      <c r="J18" s="24">
        <f>Maybe!C17</f>
        <v>0</v>
      </c>
      <c r="K18" s="24">
        <f>'[1]Less So'!C17</f>
        <v>0</v>
      </c>
      <c r="L18" s="22">
        <f t="shared" si="11"/>
        <v>17</v>
      </c>
      <c r="M18" s="22">
        <f>SUM(O18:Z18)</f>
        <v>34</v>
      </c>
      <c r="N18" s="1">
        <v>6</v>
      </c>
      <c r="O18" s="62" t="s">
        <v>8</v>
      </c>
      <c r="P18" s="62">
        <v>10</v>
      </c>
      <c r="Q18" s="62"/>
      <c r="R18" s="62">
        <v>10</v>
      </c>
      <c r="S18" s="62"/>
      <c r="T18" s="63" t="s">
        <v>8</v>
      </c>
      <c r="U18" s="63"/>
      <c r="V18" s="63">
        <v>4</v>
      </c>
      <c r="W18" s="63"/>
      <c r="X18" s="63">
        <v>10</v>
      </c>
      <c r="Y18"/>
      <c r="Z18"/>
      <c r="AA18"/>
      <c r="AB18"/>
      <c r="AC18"/>
    </row>
    <row r="19" spans="1:31" x14ac:dyDescent="0.3">
      <c r="A19" s="15" t="s">
        <v>14</v>
      </c>
      <c r="B19" s="22">
        <f t="shared" si="12"/>
        <v>4</v>
      </c>
      <c r="C19" s="22">
        <f t="shared" si="9"/>
        <v>600</v>
      </c>
      <c r="D19" s="22">
        <f t="shared" si="10"/>
        <v>9</v>
      </c>
      <c r="E19" s="27">
        <f>D19*28</f>
        <v>252</v>
      </c>
      <c r="F19" s="23" t="s">
        <v>8</v>
      </c>
      <c r="G19" s="22">
        <f>Pearmund!C18</f>
        <v>0</v>
      </c>
      <c r="H19" s="22" t="str">
        <f>Effingham!C18</f>
        <v xml:space="preserve"> </v>
      </c>
      <c r="I19" s="22">
        <f>'Vint Hill'!C18</f>
        <v>4</v>
      </c>
      <c r="J19" s="24">
        <f>Maybe!C18</f>
        <v>0</v>
      </c>
      <c r="K19" s="24" t="str">
        <f>'[1]Less So'!C18</f>
        <v xml:space="preserve"> </v>
      </c>
      <c r="L19" s="22">
        <f t="shared" si="11"/>
        <v>4</v>
      </c>
      <c r="M19" s="22">
        <f>SUM(O19:Z19)</f>
        <v>3</v>
      </c>
      <c r="N19" s="1">
        <v>0</v>
      </c>
      <c r="O19" s="62"/>
      <c r="P19" s="62"/>
      <c r="Q19" s="62"/>
      <c r="R19" s="62"/>
      <c r="S19" s="62"/>
      <c r="T19" s="63"/>
      <c r="U19" s="63"/>
      <c r="V19" s="63"/>
      <c r="W19" s="63"/>
      <c r="X19" s="63">
        <v>3</v>
      </c>
      <c r="Y19"/>
      <c r="Z19"/>
      <c r="AA19"/>
      <c r="AB19"/>
      <c r="AC19"/>
      <c r="AE19" s="15">
        <f>22*60</f>
        <v>1320</v>
      </c>
    </row>
    <row r="20" spans="1:31" x14ac:dyDescent="0.3">
      <c r="A20" s="15" t="s">
        <v>15</v>
      </c>
      <c r="B20" s="22">
        <f t="shared" si="12"/>
        <v>11</v>
      </c>
      <c r="C20" s="22">
        <f t="shared" si="9"/>
        <v>1650</v>
      </c>
      <c r="D20" s="22">
        <f t="shared" si="10"/>
        <v>24.75</v>
      </c>
      <c r="E20" s="27">
        <f>D20*28</f>
        <v>693</v>
      </c>
      <c r="F20" s="28"/>
      <c r="G20" s="22">
        <f>Pearmund!C19</f>
        <v>5</v>
      </c>
      <c r="H20" s="22">
        <f>Effingham!C19</f>
        <v>4</v>
      </c>
      <c r="I20" s="22">
        <f>'Vint Hill'!C19</f>
        <v>2</v>
      </c>
      <c r="J20" s="24">
        <f>Maybe!C19</f>
        <v>0</v>
      </c>
      <c r="K20" s="24">
        <f>'[1]Less So'!C19</f>
        <v>0</v>
      </c>
      <c r="L20" s="22">
        <f t="shared" si="11"/>
        <v>11</v>
      </c>
      <c r="M20" s="22">
        <f>SUM(O20:Z20)</f>
        <v>17</v>
      </c>
      <c r="N20" s="1">
        <v>5</v>
      </c>
      <c r="O20" s="62">
        <v>2</v>
      </c>
      <c r="P20" s="62"/>
      <c r="Q20" s="62"/>
      <c r="R20" s="62">
        <v>10</v>
      </c>
      <c r="S20" s="62"/>
      <c r="T20" s="63"/>
      <c r="U20" s="63" t="s">
        <v>8</v>
      </c>
      <c r="V20" s="63"/>
      <c r="W20" s="63"/>
      <c r="X20" s="63">
        <v>5</v>
      </c>
      <c r="Y20"/>
      <c r="Z20"/>
      <c r="AA20"/>
      <c r="AB20"/>
      <c r="AC20"/>
    </row>
    <row r="21" spans="1:31" x14ac:dyDescent="0.3">
      <c r="A21" s="15" t="s">
        <v>16</v>
      </c>
      <c r="B21" s="22">
        <f t="shared" si="12"/>
        <v>12</v>
      </c>
      <c r="C21" s="22">
        <f t="shared" si="9"/>
        <v>1800</v>
      </c>
      <c r="D21" s="22">
        <f t="shared" si="10"/>
        <v>27</v>
      </c>
      <c r="E21" s="27">
        <f t="shared" ref="E21:E29" si="13">D21*28</f>
        <v>756</v>
      </c>
      <c r="F21" s="28"/>
      <c r="G21" s="22">
        <f>Pearmund!C20</f>
        <v>5</v>
      </c>
      <c r="H21" s="22">
        <f>Effingham!C20</f>
        <v>4</v>
      </c>
      <c r="I21" s="22">
        <f>'Vint Hill'!C20</f>
        <v>3</v>
      </c>
      <c r="J21" s="24">
        <f>Maybe!C20</f>
        <v>0</v>
      </c>
      <c r="K21" s="24">
        <f>'[1]Less So'!C20</f>
        <v>0</v>
      </c>
      <c r="L21" s="22">
        <f t="shared" si="11"/>
        <v>12</v>
      </c>
      <c r="M21" s="22">
        <f>SUM(O21:Z21)</f>
        <v>17</v>
      </c>
      <c r="N21" s="1">
        <v>5</v>
      </c>
      <c r="O21" s="62">
        <v>3</v>
      </c>
      <c r="P21" s="62" t="s">
        <v>8</v>
      </c>
      <c r="Q21" s="62"/>
      <c r="R21" s="62">
        <v>9</v>
      </c>
      <c r="S21" s="62"/>
      <c r="T21" s="63"/>
      <c r="U21" s="63"/>
      <c r="V21" s="63"/>
      <c r="W21" s="63"/>
      <c r="X21" s="63">
        <v>0</v>
      </c>
      <c r="Y21">
        <v>3</v>
      </c>
      <c r="Z21">
        <v>2</v>
      </c>
      <c r="AA21"/>
      <c r="AB21"/>
      <c r="AC21"/>
    </row>
    <row r="22" spans="1:31" x14ac:dyDescent="0.3">
      <c r="A22" s="15" t="s">
        <v>103</v>
      </c>
      <c r="B22" s="22">
        <f t="shared" si="12"/>
        <v>2</v>
      </c>
      <c r="C22" s="22">
        <f t="shared" si="9"/>
        <v>300</v>
      </c>
      <c r="D22" s="22">
        <f t="shared" si="10"/>
        <v>4.5</v>
      </c>
      <c r="E22" s="27">
        <f t="shared" si="13"/>
        <v>126</v>
      </c>
      <c r="F22" s="28"/>
      <c r="G22" s="22">
        <v>0</v>
      </c>
      <c r="H22" s="22">
        <f>Effingham!C21</f>
        <v>0</v>
      </c>
      <c r="I22" s="22">
        <v>2</v>
      </c>
      <c r="J22" s="24">
        <f>Maybe!C21</f>
        <v>0</v>
      </c>
      <c r="K22" s="24">
        <f>'[1]Less So'!C21</f>
        <v>0</v>
      </c>
      <c r="L22" s="22">
        <f t="shared" si="11"/>
        <v>2</v>
      </c>
      <c r="M22" s="22">
        <f>SUM(O22:Z22)</f>
        <v>2</v>
      </c>
      <c r="N22" s="1"/>
      <c r="O22" s="62"/>
      <c r="P22" s="62"/>
      <c r="Q22" s="62"/>
      <c r="R22" s="62"/>
      <c r="S22" s="62"/>
      <c r="T22" s="63"/>
      <c r="U22" s="63"/>
      <c r="V22" s="63"/>
      <c r="W22" s="63"/>
      <c r="X22" s="63">
        <v>2</v>
      </c>
      <c r="Y22"/>
      <c r="Z22"/>
      <c r="AA22"/>
      <c r="AB22"/>
      <c r="AC22"/>
    </row>
    <row r="23" spans="1:31" x14ac:dyDescent="0.3">
      <c r="A23" s="15" t="s">
        <v>50</v>
      </c>
      <c r="B23" s="22">
        <f t="shared" si="12"/>
        <v>0</v>
      </c>
      <c r="C23" s="22">
        <f t="shared" si="9"/>
        <v>0</v>
      </c>
      <c r="D23" s="22">
        <f t="shared" si="10"/>
        <v>0</v>
      </c>
      <c r="E23" s="27">
        <f t="shared" si="13"/>
        <v>0</v>
      </c>
      <c r="F23" s="28"/>
      <c r="G23" s="22" t="str">
        <f>Pearmund!C22</f>
        <v xml:space="preserve"> </v>
      </c>
      <c r="H23" s="22" t="str">
        <f>Effingham!C22</f>
        <v xml:space="preserve"> </v>
      </c>
      <c r="I23" s="22">
        <v>0</v>
      </c>
      <c r="J23" s="24">
        <f>Maybe!C22</f>
        <v>0</v>
      </c>
      <c r="K23" s="24" t="str">
        <f>'[1]Less So'!C22</f>
        <v xml:space="preserve"> </v>
      </c>
      <c r="L23" s="22">
        <f t="shared" si="11"/>
        <v>0</v>
      </c>
      <c r="M23" s="22">
        <f>SUM(O23:Z23)</f>
        <v>2</v>
      </c>
      <c r="N23" s="1">
        <v>0</v>
      </c>
      <c r="O23" s="62"/>
      <c r="P23" s="62"/>
      <c r="Q23" s="62"/>
      <c r="R23" s="62"/>
      <c r="S23" s="62"/>
      <c r="T23" s="63"/>
      <c r="U23" s="63"/>
      <c r="V23" s="63"/>
      <c r="W23" s="63"/>
      <c r="X23" s="63">
        <v>2</v>
      </c>
      <c r="Y23"/>
      <c r="Z23"/>
      <c r="AA23"/>
      <c r="AB23"/>
      <c r="AC23"/>
    </row>
    <row r="24" spans="1:31" x14ac:dyDescent="0.3">
      <c r="A24" s="15" t="s">
        <v>104</v>
      </c>
      <c r="B24" s="22">
        <f t="shared" si="12"/>
        <v>2</v>
      </c>
      <c r="C24" s="22">
        <f t="shared" si="9"/>
        <v>300</v>
      </c>
      <c r="D24" s="22">
        <f t="shared" si="10"/>
        <v>4.5</v>
      </c>
      <c r="E24" s="27">
        <f t="shared" si="13"/>
        <v>126</v>
      </c>
      <c r="F24" s="23" t="s">
        <v>8</v>
      </c>
      <c r="G24" s="22" t="str">
        <f>Pearmund!C23</f>
        <v xml:space="preserve"> </v>
      </c>
      <c r="H24" s="22">
        <f>Effingham!C23</f>
        <v>0</v>
      </c>
      <c r="I24" s="22">
        <f>'Vint Hill'!C27</f>
        <v>2</v>
      </c>
      <c r="J24" s="24">
        <f>Maybe!C23</f>
        <v>0</v>
      </c>
      <c r="K24" s="24">
        <f>'[1]Less So'!C23</f>
        <v>0</v>
      </c>
      <c r="L24" s="22">
        <f t="shared" si="11"/>
        <v>2</v>
      </c>
      <c r="M24" s="22">
        <f>SUM(O24:Z24)</f>
        <v>2</v>
      </c>
      <c r="N24" s="1">
        <v>0</v>
      </c>
      <c r="O24" s="62"/>
      <c r="P24" s="62"/>
      <c r="Q24" s="62"/>
      <c r="R24" s="62"/>
      <c r="S24" s="62"/>
      <c r="T24" s="63"/>
      <c r="U24" s="63"/>
      <c r="V24" s="63"/>
      <c r="W24" s="63"/>
      <c r="X24" s="63">
        <v>2</v>
      </c>
      <c r="Y24"/>
      <c r="Z24"/>
      <c r="AA24"/>
      <c r="AB24"/>
      <c r="AC24"/>
    </row>
    <row r="25" spans="1:31" x14ac:dyDescent="0.3">
      <c r="A25" s="15" t="s">
        <v>153</v>
      </c>
      <c r="B25" s="22">
        <f t="shared" si="12"/>
        <v>3</v>
      </c>
      <c r="C25" s="22">
        <f>B25*150</f>
        <v>450</v>
      </c>
      <c r="D25" s="22">
        <f t="shared" si="10"/>
        <v>6.75</v>
      </c>
      <c r="E25" s="27">
        <f t="shared" si="13"/>
        <v>189</v>
      </c>
      <c r="F25" s="23" t="s">
        <v>8</v>
      </c>
      <c r="G25" s="22">
        <f>Pearmund!C24</f>
        <v>0</v>
      </c>
      <c r="H25" s="22">
        <f>Effingham!C24</f>
        <v>0</v>
      </c>
      <c r="I25" s="22">
        <f>'Vint Hill'!C24</f>
        <v>3</v>
      </c>
      <c r="J25" s="24">
        <f>Maybe!C24</f>
        <v>0</v>
      </c>
      <c r="K25" s="24">
        <f>'[1]Less So'!C24</f>
        <v>0</v>
      </c>
      <c r="L25" s="22">
        <f>SUM(G25:K25)</f>
        <v>3</v>
      </c>
      <c r="M25" s="22">
        <f>SUM(O25:Z25)</f>
        <v>3</v>
      </c>
      <c r="N25" s="1">
        <v>0</v>
      </c>
      <c r="O25" s="62"/>
      <c r="P25" s="62"/>
      <c r="Q25" s="62"/>
      <c r="R25" s="62"/>
      <c r="S25" s="62"/>
      <c r="T25" s="63"/>
      <c r="U25" s="63"/>
      <c r="V25" s="63"/>
      <c r="W25" s="63"/>
      <c r="X25" s="63">
        <v>3</v>
      </c>
      <c r="Y25"/>
      <c r="Z25"/>
      <c r="AA25"/>
      <c r="AB25"/>
      <c r="AC25"/>
    </row>
    <row r="26" spans="1:31" x14ac:dyDescent="0.3">
      <c r="A26" s="15" t="s">
        <v>20</v>
      </c>
      <c r="B26" s="22">
        <f t="shared" si="12"/>
        <v>2</v>
      </c>
      <c r="C26" s="22">
        <f>B26*150</f>
        <v>300</v>
      </c>
      <c r="D26" s="22">
        <f t="shared" si="10"/>
        <v>4.5</v>
      </c>
      <c r="E26" s="27">
        <f t="shared" si="13"/>
        <v>126</v>
      </c>
      <c r="F26" s="23"/>
      <c r="G26" s="22">
        <v>0</v>
      </c>
      <c r="H26" s="22">
        <v>0</v>
      </c>
      <c r="I26" s="22">
        <f>'Vint Hill'!C25</f>
        <v>2</v>
      </c>
      <c r="J26" s="24">
        <f>Maybe!C25</f>
        <v>0</v>
      </c>
      <c r="K26" s="24">
        <f>'[1]Less So'!C25</f>
        <v>0</v>
      </c>
      <c r="L26" s="22">
        <f>SUM(G26:K26)</f>
        <v>2</v>
      </c>
      <c r="M26" s="22">
        <f>SUM(O26:Z26)</f>
        <v>2</v>
      </c>
      <c r="N26" s="1">
        <v>0</v>
      </c>
      <c r="O26" s="62"/>
      <c r="P26" s="62"/>
      <c r="Q26" s="62"/>
      <c r="R26" s="62" t="s">
        <v>8</v>
      </c>
      <c r="S26" s="62"/>
      <c r="T26" s="63"/>
      <c r="U26" s="63"/>
      <c r="V26" s="63"/>
      <c r="W26" s="63"/>
      <c r="X26" s="63">
        <v>2</v>
      </c>
      <c r="Y26"/>
      <c r="Z26"/>
      <c r="AA26"/>
      <c r="AB26"/>
      <c r="AC26" t="s">
        <v>163</v>
      </c>
    </row>
    <row r="27" spans="1:31" x14ac:dyDescent="0.3">
      <c r="A27" s="74" t="s">
        <v>138</v>
      </c>
      <c r="B27" s="22">
        <f t="shared" ref="B27" si="14">L27</f>
        <v>1</v>
      </c>
      <c r="C27" s="22">
        <f>B27*150</f>
        <v>150</v>
      </c>
      <c r="D27" s="22">
        <f t="shared" ref="D27" si="15">B27*2.25</f>
        <v>2.25</v>
      </c>
      <c r="E27" s="27">
        <f t="shared" ref="E27" si="16">D27*28</f>
        <v>63</v>
      </c>
      <c r="F27" s="23"/>
      <c r="G27" s="22">
        <v>0</v>
      </c>
      <c r="H27" s="22">
        <v>0</v>
      </c>
      <c r="I27" s="22">
        <f>'Vint Hill'!C26</f>
        <v>1</v>
      </c>
      <c r="J27" s="24">
        <f>Maybe!C26</f>
        <v>0</v>
      </c>
      <c r="K27" s="24">
        <f>'[1]Less So'!C26</f>
        <v>0</v>
      </c>
      <c r="L27" s="22">
        <f>SUM(G27:K27)</f>
        <v>1</v>
      </c>
      <c r="M27" s="22">
        <f>SUM(O27:Z27)</f>
        <v>1</v>
      </c>
      <c r="N27" s="1">
        <v>0</v>
      </c>
      <c r="O27" s="62"/>
      <c r="P27" s="62"/>
      <c r="Q27" s="62"/>
      <c r="R27" s="62"/>
      <c r="S27" s="62"/>
      <c r="T27" s="63"/>
      <c r="U27" s="63"/>
      <c r="V27" s="63"/>
      <c r="W27" s="63"/>
      <c r="X27" s="63">
        <v>1</v>
      </c>
      <c r="Y27"/>
      <c r="Z27"/>
      <c r="AA27"/>
      <c r="AB27"/>
      <c r="AC27"/>
    </row>
    <row r="28" spans="1:31" x14ac:dyDescent="0.3">
      <c r="A28" t="s">
        <v>22</v>
      </c>
      <c r="B28" s="22">
        <f t="shared" si="12"/>
        <v>9</v>
      </c>
      <c r="C28" s="22">
        <f t="shared" si="9"/>
        <v>1350</v>
      </c>
      <c r="D28" s="22">
        <f t="shared" si="10"/>
        <v>20.25</v>
      </c>
      <c r="E28" s="27">
        <f t="shared" si="13"/>
        <v>567</v>
      </c>
      <c r="F28" s="28"/>
      <c r="G28" s="22">
        <v>0</v>
      </c>
      <c r="H28" s="22">
        <f>Effingham!C26</f>
        <v>7</v>
      </c>
      <c r="I28" s="22">
        <f>'Vint Hill'!C27</f>
        <v>2</v>
      </c>
      <c r="J28" s="24">
        <f>Maybe!C26</f>
        <v>0</v>
      </c>
      <c r="K28" s="24">
        <f>'[1]Less So'!C26</f>
        <v>0</v>
      </c>
      <c r="L28" s="22">
        <f>SUM(G28:K28)</f>
        <v>9</v>
      </c>
      <c r="M28" s="22">
        <f>SUM(O28:Z28)</f>
        <v>5</v>
      </c>
      <c r="N28" s="1">
        <v>0</v>
      </c>
      <c r="O28" s="62"/>
      <c r="P28" s="62"/>
      <c r="Q28" s="62"/>
      <c r="R28" s="62">
        <v>2</v>
      </c>
      <c r="S28" s="62"/>
      <c r="T28" s="63"/>
      <c r="U28" s="63"/>
      <c r="V28" s="63"/>
      <c r="W28" s="63"/>
      <c r="X28" s="63">
        <v>3</v>
      </c>
      <c r="Y28"/>
      <c r="Z28"/>
      <c r="AA28"/>
      <c r="AB28"/>
      <c r="AC28" t="s">
        <v>164</v>
      </c>
    </row>
    <row r="29" spans="1:31" x14ac:dyDescent="0.3">
      <c r="A29" s="15" t="s">
        <v>105</v>
      </c>
      <c r="B29" s="22">
        <f t="shared" si="12"/>
        <v>1</v>
      </c>
      <c r="C29" s="22">
        <f t="shared" si="9"/>
        <v>150</v>
      </c>
      <c r="D29" s="22">
        <f t="shared" si="10"/>
        <v>2.25</v>
      </c>
      <c r="E29" s="27">
        <f t="shared" si="13"/>
        <v>63</v>
      </c>
      <c r="F29" s="28"/>
      <c r="G29" s="22">
        <f>Pearmund!C28</f>
        <v>0</v>
      </c>
      <c r="H29" s="22">
        <f>Effingham!C28</f>
        <v>0</v>
      </c>
      <c r="I29" s="15">
        <v>1</v>
      </c>
      <c r="J29" s="24"/>
      <c r="K29" s="24">
        <f>'[1]Less So'!C27</f>
        <v>0</v>
      </c>
      <c r="L29" s="22">
        <f>SUM(G29:K29)</f>
        <v>1</v>
      </c>
      <c r="M29" s="22">
        <f>SUM(O29:Z29)</f>
        <v>3</v>
      </c>
      <c r="N29" s="1">
        <v>0</v>
      </c>
      <c r="O29" s="62"/>
      <c r="P29" s="62"/>
      <c r="Q29" s="62"/>
      <c r="R29" s="62"/>
      <c r="S29" s="62"/>
      <c r="T29" s="63"/>
      <c r="U29" s="63"/>
      <c r="V29" s="63"/>
      <c r="W29" s="63"/>
      <c r="X29" s="63">
        <v>3</v>
      </c>
      <c r="Y29"/>
      <c r="Z29"/>
      <c r="AA29"/>
      <c r="AB29"/>
      <c r="AC29" t="s">
        <v>165</v>
      </c>
    </row>
    <row r="30" spans="1:31" x14ac:dyDescent="0.3">
      <c r="A30" s="32" t="s">
        <v>38</v>
      </c>
      <c r="B30" s="32">
        <f>SUM(G30:K30)</f>
        <v>73</v>
      </c>
      <c r="C30" s="32">
        <f t="shared" si="9"/>
        <v>10950</v>
      </c>
      <c r="D30" s="32">
        <f t="shared" si="10"/>
        <v>164.25</v>
      </c>
      <c r="E30" s="33">
        <f>D30*28</f>
        <v>4599</v>
      </c>
      <c r="F30" s="34"/>
      <c r="G30" s="32">
        <f>SUM(G16:G29)</f>
        <v>25</v>
      </c>
      <c r="H30" s="32">
        <f t="shared" ref="H30:L30" si="17">SUM(H16:H29)</f>
        <v>22</v>
      </c>
      <c r="I30" s="32">
        <f t="shared" si="17"/>
        <v>26</v>
      </c>
      <c r="J30" s="32">
        <f t="shared" si="17"/>
        <v>0</v>
      </c>
      <c r="K30" s="32">
        <f t="shared" ref="K30" si="18">SUM(K16:K29)</f>
        <v>0</v>
      </c>
      <c r="L30" s="32">
        <f t="shared" si="17"/>
        <v>73</v>
      </c>
      <c r="M30" s="32">
        <f>SUM(M16:M29)</f>
        <v>111</v>
      </c>
      <c r="N30" s="35">
        <f t="shared" ref="N30:Z30" si="19">SUM(N16:N29)</f>
        <v>21</v>
      </c>
      <c r="O30" s="35">
        <f t="shared" si="19"/>
        <v>8</v>
      </c>
      <c r="P30" s="35">
        <f t="shared" si="19"/>
        <v>10</v>
      </c>
      <c r="Q30" s="35">
        <f t="shared" si="19"/>
        <v>0</v>
      </c>
      <c r="R30" s="35">
        <f t="shared" si="19"/>
        <v>36</v>
      </c>
      <c r="S30" s="35">
        <f t="shared" si="19"/>
        <v>0</v>
      </c>
      <c r="T30" s="35">
        <f t="shared" si="19"/>
        <v>0</v>
      </c>
      <c r="U30" s="35">
        <f t="shared" si="19"/>
        <v>0</v>
      </c>
      <c r="V30" s="35">
        <f t="shared" si="19"/>
        <v>4</v>
      </c>
      <c r="W30" s="35">
        <f t="shared" si="19"/>
        <v>0</v>
      </c>
      <c r="X30" s="35">
        <f t="shared" si="19"/>
        <v>39</v>
      </c>
      <c r="Y30" s="35">
        <f t="shared" si="19"/>
        <v>8</v>
      </c>
      <c r="Z30" s="35">
        <f t="shared" si="19"/>
        <v>6</v>
      </c>
    </row>
    <row r="31" spans="1:31" x14ac:dyDescent="0.3">
      <c r="A31" s="32"/>
      <c r="B31" s="32"/>
      <c r="C31" s="32"/>
      <c r="D31" s="32"/>
      <c r="E31" s="33"/>
      <c r="F31" s="34"/>
      <c r="G31" s="32"/>
      <c r="H31" s="32"/>
      <c r="I31" s="32"/>
      <c r="J31" s="32"/>
      <c r="K31" s="32"/>
      <c r="L31" s="32"/>
      <c r="M31" s="32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31" ht="15.6" x14ac:dyDescent="0.3">
      <c r="A32" s="36" t="s">
        <v>39</v>
      </c>
      <c r="B32" s="36">
        <f>SUM(G32:K32)</f>
        <v>144.5</v>
      </c>
      <c r="C32" s="36">
        <f t="shared" si="9"/>
        <v>21675</v>
      </c>
      <c r="D32" s="37">
        <f>SUM(D15+D30)</f>
        <v>235</v>
      </c>
      <c r="E32" s="37">
        <f>SUM(E4:E15)</f>
        <v>9009</v>
      </c>
      <c r="F32" s="38" t="s">
        <v>8</v>
      </c>
      <c r="G32" s="36">
        <f t="shared" ref="G32:Z32" si="20">SUM(G15+G30)</f>
        <v>60</v>
      </c>
      <c r="H32" s="36">
        <f>SUM(H15+H30)</f>
        <v>48</v>
      </c>
      <c r="I32" s="36">
        <f>SUM(I15+I30)</f>
        <v>36.5</v>
      </c>
      <c r="J32" s="36">
        <f t="shared" si="20"/>
        <v>0</v>
      </c>
      <c r="K32" s="39">
        <f>'[1]Less So'!C29</f>
        <v>0</v>
      </c>
      <c r="L32" s="36">
        <f t="shared" si="20"/>
        <v>144.5</v>
      </c>
      <c r="M32" s="36">
        <f t="shared" si="20"/>
        <v>190</v>
      </c>
      <c r="N32" s="40">
        <f t="shared" si="20"/>
        <v>57.139375000000001</v>
      </c>
      <c r="O32" s="40">
        <f t="shared" si="20"/>
        <v>8</v>
      </c>
      <c r="P32" s="40">
        <f t="shared" si="20"/>
        <v>10</v>
      </c>
      <c r="Q32" s="40">
        <f t="shared" si="20"/>
        <v>15</v>
      </c>
      <c r="R32" s="40">
        <f t="shared" si="20"/>
        <v>68</v>
      </c>
      <c r="S32" s="40">
        <f t="shared" si="20"/>
        <v>13</v>
      </c>
      <c r="T32" s="40">
        <f t="shared" si="20"/>
        <v>0.5</v>
      </c>
      <c r="U32" s="40">
        <f t="shared" si="20"/>
        <v>0</v>
      </c>
      <c r="V32" s="40">
        <f t="shared" si="20"/>
        <v>4</v>
      </c>
      <c r="W32" s="40">
        <f t="shared" si="20"/>
        <v>3</v>
      </c>
      <c r="X32" s="40">
        <f t="shared" si="20"/>
        <v>54.5</v>
      </c>
      <c r="Y32" s="40">
        <f t="shared" si="20"/>
        <v>8</v>
      </c>
      <c r="Z32" s="40">
        <f t="shared" si="20"/>
        <v>6</v>
      </c>
    </row>
    <row r="33" spans="1:24" ht="15.6" x14ac:dyDescent="0.3">
      <c r="A33" s="41" t="s">
        <v>40</v>
      </c>
      <c r="B33" s="41">
        <f>SUM(G33:K33)</f>
        <v>80</v>
      </c>
      <c r="C33" s="41">
        <f t="shared" si="9"/>
        <v>12000</v>
      </c>
      <c r="D33" s="41">
        <v>360</v>
      </c>
      <c r="E33" s="42">
        <f>B33*63</f>
        <v>5040</v>
      </c>
      <c r="F33" s="43"/>
      <c r="G33" s="41" t="s">
        <v>8</v>
      </c>
      <c r="H33" s="41" t="s">
        <v>8</v>
      </c>
      <c r="I33" s="41" t="s">
        <v>8</v>
      </c>
      <c r="J33" s="41">
        <v>80</v>
      </c>
      <c r="K33" s="24">
        <f>'[1]Less So'!C30</f>
        <v>0</v>
      </c>
      <c r="L33" s="41" t="s">
        <v>8</v>
      </c>
      <c r="M33" s="41" t="s">
        <v>8</v>
      </c>
      <c r="N33" s="41"/>
      <c r="X33" s="26"/>
    </row>
    <row r="34" spans="1:24" x14ac:dyDescent="0.3">
      <c r="I34" s="15" t="s">
        <v>8</v>
      </c>
      <c r="J34" s="15" t="s">
        <v>8</v>
      </c>
      <c r="P34" s="15" t="s">
        <v>8</v>
      </c>
      <c r="X34" s="26"/>
    </row>
    <row r="35" spans="1:24" x14ac:dyDescent="0.3">
      <c r="A35" s="22" t="s">
        <v>8</v>
      </c>
      <c r="B35" s="22" t="s">
        <v>8</v>
      </c>
      <c r="C35" s="22" t="s">
        <v>8</v>
      </c>
      <c r="D35" s="22" t="s">
        <v>8</v>
      </c>
      <c r="E35" s="22" t="s">
        <v>8</v>
      </c>
      <c r="F35" s="22" t="s">
        <v>8</v>
      </c>
      <c r="G35" s="22" t="s">
        <v>49</v>
      </c>
      <c r="I35" s="22" t="s">
        <v>41</v>
      </c>
      <c r="J35" s="15" t="s">
        <v>31</v>
      </c>
    </row>
    <row r="36" spans="1:24" x14ac:dyDescent="0.3">
      <c r="A36" s="15" t="s">
        <v>46</v>
      </c>
      <c r="B36" s="15" t="s">
        <v>41</v>
      </c>
      <c r="C36" s="15" t="s">
        <v>55</v>
      </c>
      <c r="D36" s="15" t="s">
        <v>31</v>
      </c>
      <c r="G36" s="44"/>
      <c r="H36" s="44"/>
      <c r="I36" s="44" t="s">
        <v>8</v>
      </c>
      <c r="J36" s="44" t="s">
        <v>8</v>
      </c>
      <c r="K36" s="44"/>
      <c r="L36" s="45"/>
      <c r="M36" s="45"/>
      <c r="N36" s="45"/>
      <c r="O36" s="45"/>
    </row>
    <row r="37" spans="1:24" x14ac:dyDescent="0.3">
      <c r="A37" s="15" t="s">
        <v>9</v>
      </c>
      <c r="B37" s="15" t="s">
        <v>8</v>
      </c>
      <c r="C37" s="15" t="s">
        <v>8</v>
      </c>
      <c r="D37" s="15" t="s">
        <v>8</v>
      </c>
      <c r="G37" s="44"/>
      <c r="H37" s="44"/>
      <c r="I37" s="44" t="s">
        <v>8</v>
      </c>
      <c r="J37" s="44" t="s">
        <v>8</v>
      </c>
      <c r="K37" s="44"/>
      <c r="L37" s="45"/>
      <c r="M37" s="45"/>
      <c r="N37" s="45"/>
      <c r="O37" s="45"/>
    </row>
    <row r="38" spans="1:24" x14ac:dyDescent="0.3">
      <c r="A38" s="15" t="s">
        <v>23</v>
      </c>
      <c r="B38" s="15" t="s">
        <v>8</v>
      </c>
      <c r="G38" s="44"/>
      <c r="H38" s="44"/>
      <c r="I38" s="44" t="s">
        <v>8</v>
      </c>
      <c r="J38" s="44" t="s">
        <v>8</v>
      </c>
      <c r="K38" s="44"/>
      <c r="L38" s="45"/>
      <c r="M38" s="45"/>
      <c r="N38" s="45"/>
      <c r="O38" s="45"/>
    </row>
    <row r="39" spans="1:24" x14ac:dyDescent="0.3">
      <c r="A39" s="15" t="s">
        <v>13</v>
      </c>
      <c r="B39" s="15" t="s">
        <v>8</v>
      </c>
      <c r="C39" s="15" t="s">
        <v>8</v>
      </c>
      <c r="D39" s="15" t="s">
        <v>8</v>
      </c>
      <c r="G39" s="44"/>
      <c r="H39" s="44"/>
      <c r="I39" s="44"/>
      <c r="J39" s="44"/>
      <c r="K39" s="44"/>
      <c r="L39" s="45"/>
      <c r="M39" s="45"/>
      <c r="N39" s="45"/>
      <c r="O39" s="45"/>
    </row>
    <row r="40" spans="1:24" x14ac:dyDescent="0.3">
      <c r="A40" s="15" t="s">
        <v>17</v>
      </c>
      <c r="B40" s="15" t="s">
        <v>8</v>
      </c>
      <c r="G40" s="44"/>
      <c r="H40" s="44"/>
      <c r="I40" s="44"/>
      <c r="J40" s="44"/>
      <c r="K40" s="44"/>
      <c r="L40" s="45"/>
      <c r="M40" s="45"/>
      <c r="N40" s="45"/>
      <c r="O40" s="45"/>
    </row>
    <row r="41" spans="1:24" x14ac:dyDescent="0.3">
      <c r="A41" s="15" t="s">
        <v>8</v>
      </c>
      <c r="G41" s="44"/>
      <c r="H41" s="44"/>
      <c r="I41" s="44" t="s">
        <v>8</v>
      </c>
      <c r="J41" s="44" t="s">
        <v>8</v>
      </c>
      <c r="K41" s="44"/>
      <c r="L41" s="45"/>
      <c r="M41" s="45"/>
      <c r="N41" s="45"/>
      <c r="O41" s="45"/>
    </row>
    <row r="42" spans="1:24" x14ac:dyDescent="0.3">
      <c r="A42" s="15" t="s">
        <v>42</v>
      </c>
      <c r="B42" s="15" t="s">
        <v>4</v>
      </c>
      <c r="C42" s="15" t="s">
        <v>5</v>
      </c>
      <c r="D42" t="s">
        <v>70</v>
      </c>
      <c r="G42" s="44"/>
      <c r="H42" s="44"/>
      <c r="I42" s="44" t="s">
        <v>8</v>
      </c>
      <c r="J42" s="44" t="s">
        <v>8</v>
      </c>
      <c r="K42" s="44"/>
      <c r="L42" s="45"/>
      <c r="M42" s="45"/>
      <c r="N42" s="45"/>
      <c r="O42" s="45"/>
    </row>
    <row r="43" spans="1:24" x14ac:dyDescent="0.3">
      <c r="D43" s="15" t="s">
        <v>41</v>
      </c>
      <c r="E43" s="15" t="s">
        <v>31</v>
      </c>
      <c r="F43" s="15" t="s">
        <v>59</v>
      </c>
      <c r="G43" s="44"/>
      <c r="H43" s="44"/>
      <c r="I43" s="44" t="s">
        <v>8</v>
      </c>
      <c r="J43" s="44"/>
      <c r="K43" s="44"/>
      <c r="L43" s="45"/>
      <c r="M43" s="45"/>
      <c r="N43" s="45"/>
      <c r="O43" s="45"/>
    </row>
    <row r="44" spans="1:24" x14ac:dyDescent="0.3">
      <c r="A44" s="15" t="s">
        <v>2</v>
      </c>
      <c r="B44" s="15">
        <f>L4</f>
        <v>13</v>
      </c>
      <c r="C44" s="15">
        <f>C4</f>
        <v>1950</v>
      </c>
      <c r="G44" s="44"/>
      <c r="H44" s="44"/>
      <c r="I44" s="44" t="s">
        <v>8</v>
      </c>
      <c r="J44" s="44" t="s">
        <v>8</v>
      </c>
      <c r="K44" s="44"/>
      <c r="L44" s="45"/>
      <c r="M44" s="45"/>
      <c r="N44" s="45"/>
      <c r="O44" s="45"/>
    </row>
    <row r="45" spans="1:24" x14ac:dyDescent="0.3">
      <c r="A45" s="15" t="s">
        <v>36</v>
      </c>
      <c r="B45" s="15">
        <f>L5</f>
        <v>14.5</v>
      </c>
      <c r="C45" s="15">
        <f>C5</f>
        <v>2175</v>
      </c>
      <c r="D45" s="15">
        <v>3</v>
      </c>
      <c r="G45" s="44"/>
      <c r="H45" s="44"/>
      <c r="I45" s="44" t="s">
        <v>8</v>
      </c>
      <c r="J45" s="44" t="s">
        <v>8</v>
      </c>
      <c r="K45" s="44"/>
      <c r="L45" s="45"/>
      <c r="M45" s="45"/>
      <c r="N45" s="45"/>
      <c r="O45" s="45"/>
    </row>
    <row r="46" spans="1:24" x14ac:dyDescent="0.3">
      <c r="A46" s="15" t="s">
        <v>23</v>
      </c>
      <c r="B46" s="15">
        <f>L6</f>
        <v>0</v>
      </c>
      <c r="C46" s="15">
        <f>C6</f>
        <v>0</v>
      </c>
      <c r="G46" s="44"/>
      <c r="H46" s="44"/>
      <c r="I46" s="44"/>
      <c r="J46" s="44" t="s">
        <v>8</v>
      </c>
      <c r="K46" s="44"/>
      <c r="L46" s="45"/>
      <c r="M46" s="45"/>
      <c r="N46" s="45"/>
      <c r="O46" s="45"/>
    </row>
    <row r="47" spans="1:24" x14ac:dyDescent="0.3">
      <c r="A47" s="15" t="s">
        <v>24</v>
      </c>
      <c r="B47" s="15">
        <f>L7</f>
        <v>17.5</v>
      </c>
      <c r="C47" s="15">
        <f>C7</f>
        <v>2625</v>
      </c>
      <c r="G47" s="44"/>
      <c r="H47" s="44"/>
      <c r="I47" s="44" t="s">
        <v>8</v>
      </c>
      <c r="J47" s="44" t="s">
        <v>8</v>
      </c>
      <c r="K47" s="44"/>
      <c r="L47" s="45"/>
      <c r="M47" s="45"/>
      <c r="N47" s="45"/>
      <c r="O47" s="45"/>
    </row>
    <row r="48" spans="1:24" x14ac:dyDescent="0.3">
      <c r="A48" s="15" t="s">
        <v>25</v>
      </c>
      <c r="B48" s="15">
        <f>L9</f>
        <v>2</v>
      </c>
      <c r="C48" s="15">
        <f>C9</f>
        <v>300</v>
      </c>
      <c r="G48" s="44"/>
      <c r="H48" s="44"/>
      <c r="I48" s="44" t="s">
        <v>8</v>
      </c>
      <c r="J48" s="44"/>
      <c r="K48" s="44"/>
      <c r="L48" s="45"/>
      <c r="M48" s="45"/>
      <c r="N48" s="45"/>
      <c r="O48" s="45"/>
    </row>
    <row r="49" spans="1:15" x14ac:dyDescent="0.3">
      <c r="A49" s="15" t="s">
        <v>37</v>
      </c>
      <c r="B49" s="15">
        <f>L10</f>
        <v>0</v>
      </c>
      <c r="C49" s="15">
        <f>C10</f>
        <v>0</v>
      </c>
      <c r="E49" s="46"/>
      <c r="F49" s="46"/>
      <c r="G49" s="25"/>
      <c r="H49" s="25"/>
      <c r="I49" s="56" t="s">
        <v>8</v>
      </c>
      <c r="J49" s="25"/>
      <c r="K49" s="25"/>
      <c r="L49" s="22"/>
      <c r="M49" s="22"/>
      <c r="N49" s="22"/>
      <c r="O49" s="22"/>
    </row>
    <row r="50" spans="1:15" x14ac:dyDescent="0.3">
      <c r="A50" s="15" t="s">
        <v>28</v>
      </c>
      <c r="B50" s="15">
        <f>L11</f>
        <v>0</v>
      </c>
      <c r="C50" s="15">
        <f>C11</f>
        <v>0</v>
      </c>
      <c r="G50" s="44"/>
      <c r="H50" s="44"/>
      <c r="I50" s="44" t="s">
        <v>8</v>
      </c>
      <c r="J50" s="44" t="s">
        <v>8</v>
      </c>
      <c r="K50" s="44"/>
      <c r="L50" s="45"/>
      <c r="M50" s="45"/>
      <c r="N50" s="45"/>
      <c r="O50" s="45"/>
    </row>
    <row r="51" spans="1:15" x14ac:dyDescent="0.3">
      <c r="A51" s="15" t="s">
        <v>17</v>
      </c>
      <c r="B51" s="15">
        <f>L12</f>
        <v>4.75</v>
      </c>
      <c r="C51" s="15">
        <f>C12</f>
        <v>712.5</v>
      </c>
      <c r="D51" s="15">
        <v>3</v>
      </c>
      <c r="G51" s="44"/>
      <c r="H51" s="44"/>
      <c r="I51" s="44" t="s">
        <v>8</v>
      </c>
      <c r="J51" s="44" t="s">
        <v>8</v>
      </c>
      <c r="K51" s="44"/>
      <c r="L51" s="45"/>
      <c r="M51" s="45"/>
      <c r="N51" s="45"/>
      <c r="O51" s="45"/>
    </row>
    <row r="52" spans="1:15" x14ac:dyDescent="0.3">
      <c r="A52" s="15" t="s">
        <v>47</v>
      </c>
      <c r="B52" s="15">
        <f>L13</f>
        <v>15</v>
      </c>
      <c r="C52" s="15">
        <f>C13</f>
        <v>2250</v>
      </c>
      <c r="G52" s="44"/>
      <c r="H52" s="44"/>
      <c r="I52" s="44" t="s">
        <v>8</v>
      </c>
      <c r="J52" s="44" t="s">
        <v>8</v>
      </c>
      <c r="K52" s="44"/>
      <c r="L52" s="45"/>
      <c r="M52" s="45"/>
      <c r="N52" s="45"/>
      <c r="O52" s="45"/>
    </row>
    <row r="53" spans="1:15" x14ac:dyDescent="0.3">
      <c r="A53" s="15" t="s">
        <v>8</v>
      </c>
      <c r="B53" s="15" t="s">
        <v>8</v>
      </c>
      <c r="C53" s="15" t="s">
        <v>8</v>
      </c>
      <c r="G53" s="44"/>
      <c r="H53" s="44"/>
      <c r="I53" s="44" t="s">
        <v>8</v>
      </c>
      <c r="J53" s="44"/>
      <c r="K53" s="44"/>
      <c r="L53" s="45"/>
      <c r="M53" s="45"/>
      <c r="N53" s="45"/>
      <c r="O53" s="45"/>
    </row>
    <row r="54" spans="1:15" x14ac:dyDescent="0.3">
      <c r="A54" s="46" t="s">
        <v>10</v>
      </c>
      <c r="B54" s="46">
        <f>L15</f>
        <v>71.5</v>
      </c>
      <c r="C54" s="46">
        <f>C15</f>
        <v>10725</v>
      </c>
      <c r="D54" s="46"/>
      <c r="G54" s="44"/>
      <c r="H54" s="44"/>
      <c r="I54" s="44" t="s">
        <v>8</v>
      </c>
      <c r="J54" s="44"/>
      <c r="K54" s="44"/>
      <c r="L54" s="45"/>
      <c r="M54" s="45"/>
      <c r="N54" s="45"/>
      <c r="O54" s="45"/>
    </row>
    <row r="55" spans="1:15" x14ac:dyDescent="0.3">
      <c r="B55" s="15" t="str">
        <f>L16</f>
        <v xml:space="preserve"> </v>
      </c>
      <c r="C55" s="15" t="str">
        <f>C16</f>
        <v xml:space="preserve"> </v>
      </c>
      <c r="G55" s="44"/>
      <c r="H55" s="44"/>
      <c r="I55" s="44" t="s">
        <v>64</v>
      </c>
      <c r="J55" s="44"/>
      <c r="K55" s="44"/>
      <c r="L55" s="45"/>
      <c r="M55" s="45"/>
      <c r="N55" s="45"/>
      <c r="O55" s="45"/>
    </row>
    <row r="56" spans="1:15" x14ac:dyDescent="0.3">
      <c r="A56" s="15" t="s">
        <v>11</v>
      </c>
      <c r="B56" s="15">
        <f>L17</f>
        <v>9</v>
      </c>
      <c r="C56" s="15">
        <f>C17</f>
        <v>1350</v>
      </c>
      <c r="D56" s="15">
        <v>8</v>
      </c>
      <c r="G56" s="44"/>
      <c r="H56" s="44"/>
      <c r="I56" s="44" t="s">
        <v>8</v>
      </c>
      <c r="J56" s="44"/>
      <c r="K56" s="44"/>
      <c r="L56" s="45"/>
      <c r="M56" s="45"/>
      <c r="N56" s="45"/>
      <c r="O56" s="45"/>
    </row>
    <row r="57" spans="1:15" x14ac:dyDescent="0.3">
      <c r="A57" s="15" t="s">
        <v>13</v>
      </c>
      <c r="B57" s="15">
        <f>L18</f>
        <v>17</v>
      </c>
      <c r="C57" s="15">
        <f>C18</f>
        <v>2550</v>
      </c>
      <c r="D57" s="15">
        <v>8</v>
      </c>
      <c r="G57" s="44"/>
      <c r="H57" s="44"/>
      <c r="I57" s="44" t="s">
        <v>8</v>
      </c>
      <c r="J57" s="44"/>
      <c r="K57" s="44"/>
      <c r="L57" s="45"/>
      <c r="M57" s="45"/>
      <c r="N57" s="45"/>
      <c r="O57" s="45"/>
    </row>
    <row r="58" spans="1:15" x14ac:dyDescent="0.3">
      <c r="A58" s="15" t="s">
        <v>14</v>
      </c>
      <c r="B58" s="15">
        <f>L19</f>
        <v>4</v>
      </c>
      <c r="C58" s="15">
        <f>C19</f>
        <v>600</v>
      </c>
      <c r="G58" s="44"/>
      <c r="H58" s="44"/>
      <c r="I58" s="44" t="s">
        <v>8</v>
      </c>
      <c r="J58" s="44"/>
      <c r="K58" s="44"/>
      <c r="L58" s="45"/>
      <c r="M58" s="45"/>
      <c r="N58" s="45"/>
      <c r="O58" s="45"/>
    </row>
    <row r="59" spans="1:15" x14ac:dyDescent="0.3">
      <c r="A59" s="15" t="s">
        <v>15</v>
      </c>
      <c r="B59" s="15">
        <f>L20</f>
        <v>11</v>
      </c>
      <c r="C59" s="15">
        <f>C20</f>
        <v>1650</v>
      </c>
      <c r="D59" s="15">
        <v>8</v>
      </c>
      <c r="G59" s="44" t="s">
        <v>8</v>
      </c>
      <c r="H59" s="44"/>
      <c r="I59" s="44" t="s">
        <v>8</v>
      </c>
      <c r="J59" s="44" t="s">
        <v>8</v>
      </c>
      <c r="K59" s="44"/>
      <c r="L59" s="45"/>
      <c r="M59" s="45"/>
      <c r="N59" s="45"/>
      <c r="O59" s="45"/>
    </row>
    <row r="60" spans="1:15" x14ac:dyDescent="0.3">
      <c r="A60" s="15" t="s">
        <v>16</v>
      </c>
      <c r="B60" s="15">
        <f>L21</f>
        <v>12</v>
      </c>
      <c r="C60" s="15">
        <f>C21</f>
        <v>1800</v>
      </c>
      <c r="D60">
        <v>6</v>
      </c>
      <c r="G60" s="44" t="s">
        <v>8</v>
      </c>
      <c r="H60" s="44"/>
      <c r="I60" s="44" t="s">
        <v>8</v>
      </c>
      <c r="J60" s="44"/>
      <c r="K60" s="44"/>
      <c r="L60" s="45"/>
      <c r="M60" s="45"/>
      <c r="N60" s="45"/>
      <c r="O60" s="45"/>
    </row>
    <row r="61" spans="1:15" x14ac:dyDescent="0.3">
      <c r="A61" s="15" t="s">
        <v>17</v>
      </c>
      <c r="B61" s="15">
        <f>L22</f>
        <v>2</v>
      </c>
      <c r="C61" s="15">
        <f>C22</f>
        <v>300</v>
      </c>
      <c r="G61" s="44" t="s">
        <v>8</v>
      </c>
      <c r="H61" s="44"/>
      <c r="I61" s="44"/>
      <c r="J61" s="44"/>
      <c r="K61" s="44"/>
      <c r="L61" s="44"/>
      <c r="M61" s="45"/>
      <c r="N61" s="45"/>
      <c r="O61" s="44"/>
    </row>
    <row r="62" spans="1:15" x14ac:dyDescent="0.3">
      <c r="A62" s="15" t="s">
        <v>18</v>
      </c>
      <c r="B62" s="15">
        <f>L23</f>
        <v>0</v>
      </c>
      <c r="C62" s="15">
        <f>C23</f>
        <v>0</v>
      </c>
      <c r="D62" t="s">
        <v>8</v>
      </c>
      <c r="E62" s="15">
        <v>4</v>
      </c>
      <c r="G62" s="44" t="s">
        <v>8</v>
      </c>
      <c r="H62" s="44"/>
      <c r="I62" s="44"/>
      <c r="J62" s="44"/>
      <c r="K62" s="44"/>
      <c r="L62" s="47"/>
      <c r="M62" s="45"/>
      <c r="N62" s="45"/>
      <c r="O62" s="47"/>
    </row>
    <row r="63" spans="1:15" x14ac:dyDescent="0.3">
      <c r="A63" s="15" t="s">
        <v>19</v>
      </c>
      <c r="B63" s="15">
        <f>L24</f>
        <v>2</v>
      </c>
      <c r="C63" s="15">
        <f>C24</f>
        <v>300</v>
      </c>
      <c r="G63" s="44" t="s">
        <v>8</v>
      </c>
      <c r="H63" s="44"/>
      <c r="I63" s="44"/>
      <c r="J63" s="44"/>
      <c r="K63" s="44"/>
      <c r="L63" s="47"/>
      <c r="M63" s="45"/>
      <c r="N63" s="45"/>
      <c r="O63" s="47"/>
    </row>
    <row r="64" spans="1:15" x14ac:dyDescent="0.3">
      <c r="A64" s="15" t="s">
        <v>20</v>
      </c>
      <c r="B64" s="15">
        <f>L25</f>
        <v>3</v>
      </c>
      <c r="C64" s="15">
        <f>C25</f>
        <v>450</v>
      </c>
      <c r="G64" s="44" t="s">
        <v>8</v>
      </c>
      <c r="H64" s="44"/>
      <c r="I64" s="44"/>
      <c r="J64" s="44"/>
      <c r="K64" s="44"/>
      <c r="L64" s="44"/>
      <c r="M64" s="45"/>
      <c r="N64" s="45"/>
      <c r="O64" s="44"/>
    </row>
    <row r="65" spans="1:15" x14ac:dyDescent="0.3">
      <c r="A65" s="15" t="s">
        <v>21</v>
      </c>
      <c r="B65" s="15">
        <f>L26</f>
        <v>2</v>
      </c>
      <c r="C65" s="15">
        <f>C26</f>
        <v>300</v>
      </c>
      <c r="G65" s="44"/>
      <c r="H65" s="44"/>
      <c r="I65" s="44"/>
      <c r="J65" s="44"/>
      <c r="K65" s="44"/>
      <c r="L65" s="44"/>
      <c r="M65" s="45"/>
      <c r="N65" s="45"/>
      <c r="O65" s="44"/>
    </row>
    <row r="66" spans="1:15" x14ac:dyDescent="0.3">
      <c r="A66" s="15" t="s">
        <v>22</v>
      </c>
      <c r="B66" s="15">
        <f t="shared" ref="B66:B68" si="21">L28</f>
        <v>9</v>
      </c>
      <c r="C66" s="15">
        <f t="shared" ref="C66:C68" si="22">C28</f>
        <v>1350</v>
      </c>
      <c r="G66" s="44" t="s">
        <v>8</v>
      </c>
      <c r="H66" s="44"/>
      <c r="I66" s="44" t="s">
        <v>8</v>
      </c>
      <c r="J66" s="44" t="s">
        <v>8</v>
      </c>
      <c r="K66" s="44"/>
      <c r="L66" s="44"/>
      <c r="M66" s="45"/>
      <c r="N66" s="45"/>
      <c r="O66" s="44"/>
    </row>
    <row r="67" spans="1:15" x14ac:dyDescent="0.3">
      <c r="A67" s="15" t="s">
        <v>48</v>
      </c>
      <c r="B67" s="15">
        <f t="shared" si="21"/>
        <v>1</v>
      </c>
      <c r="C67" s="15">
        <f t="shared" si="22"/>
        <v>150</v>
      </c>
      <c r="G67" s="44"/>
      <c r="H67" s="44"/>
      <c r="I67" s="44" t="s">
        <v>8</v>
      </c>
      <c r="J67" s="44" t="s">
        <v>8</v>
      </c>
      <c r="K67" s="44"/>
      <c r="L67" s="44"/>
      <c r="M67" s="45"/>
      <c r="N67" s="45"/>
      <c r="O67" s="44"/>
    </row>
    <row r="68" spans="1:15" x14ac:dyDescent="0.3">
      <c r="A68" s="48" t="s">
        <v>12</v>
      </c>
      <c r="B68" s="48">
        <f t="shared" si="21"/>
        <v>73</v>
      </c>
      <c r="C68" s="48">
        <f t="shared" si="22"/>
        <v>10950</v>
      </c>
      <c r="G68" s="44"/>
      <c r="H68" s="44"/>
      <c r="I68" s="44" t="s">
        <v>8</v>
      </c>
      <c r="J68" s="44"/>
      <c r="K68" s="44"/>
      <c r="L68" s="44"/>
      <c r="M68" s="44"/>
      <c r="N68" s="44"/>
      <c r="O68" s="44"/>
    </row>
    <row r="69" spans="1:15" ht="15.6" x14ac:dyDescent="0.3">
      <c r="A69" s="49" t="s">
        <v>39</v>
      </c>
      <c r="B69" s="49">
        <f t="shared" ref="B69" si="23">L32</f>
        <v>144.5</v>
      </c>
      <c r="C69" s="49">
        <f t="shared" ref="C69" si="24">C32</f>
        <v>21675</v>
      </c>
      <c r="D69" s="15">
        <f>SUM(D45:D68)</f>
        <v>36</v>
      </c>
      <c r="G69" s="44"/>
      <c r="H69" s="44"/>
      <c r="I69" s="44" t="s">
        <v>8</v>
      </c>
      <c r="J69" s="44" t="s">
        <v>8</v>
      </c>
      <c r="K69" s="44"/>
      <c r="L69" s="44"/>
      <c r="M69" s="44"/>
      <c r="N69" s="44"/>
      <c r="O69" s="44"/>
    </row>
    <row r="70" spans="1:15" ht="15.6" x14ac:dyDescent="0.3">
      <c r="A70" s="46"/>
      <c r="B70" s="15" t="s">
        <v>8</v>
      </c>
      <c r="C70" s="15" t="s">
        <v>8</v>
      </c>
      <c r="G70" s="44"/>
      <c r="H70" s="44"/>
      <c r="I70" s="44" t="s">
        <v>8</v>
      </c>
      <c r="J70" s="44"/>
      <c r="K70" s="44"/>
      <c r="L70" s="50"/>
      <c r="M70" s="50"/>
      <c r="N70" s="50"/>
      <c r="O70" s="44"/>
    </row>
    <row r="71" spans="1:15" x14ac:dyDescent="0.3">
      <c r="G71" s="44"/>
      <c r="H71" s="44"/>
      <c r="I71" s="44"/>
      <c r="J71" s="44"/>
      <c r="K71" s="44"/>
      <c r="L71" s="47"/>
      <c r="M71" s="47"/>
      <c r="N71" s="47"/>
      <c r="O71" s="44"/>
    </row>
    <row r="72" spans="1:15" ht="15.6" x14ac:dyDescent="0.3">
      <c r="G72" s="44"/>
      <c r="H72" s="44"/>
      <c r="I72" s="44"/>
      <c r="J72" s="44"/>
      <c r="K72" s="44"/>
      <c r="L72" s="44"/>
      <c r="M72" s="50"/>
      <c r="N72" s="50"/>
      <c r="O72" s="44"/>
    </row>
    <row r="73" spans="1:15" x14ac:dyDescent="0.3">
      <c r="G73" s="44"/>
      <c r="H73" s="44"/>
      <c r="I73" s="44"/>
      <c r="J73" s="44"/>
      <c r="K73" s="44"/>
      <c r="L73" s="44"/>
      <c r="M73" s="44"/>
      <c r="N73" s="44"/>
      <c r="O73" s="44"/>
    </row>
    <row r="74" spans="1:15" x14ac:dyDescent="0.3">
      <c r="G74" s="44"/>
      <c r="H74" s="44"/>
      <c r="I74" s="44"/>
      <c r="J74" s="44"/>
      <c r="K74" s="44"/>
      <c r="L74" s="44"/>
      <c r="M74" s="44"/>
      <c r="N74" s="44"/>
      <c r="O74" s="44"/>
    </row>
    <row r="75" spans="1:15" x14ac:dyDescent="0.3">
      <c r="G75" s="44"/>
    </row>
    <row r="80" spans="1:15" x14ac:dyDescent="0.3">
      <c r="G80" s="44"/>
    </row>
    <row r="86" spans="1:2" x14ac:dyDescent="0.3">
      <c r="B86" s="51"/>
    </row>
    <row r="90" spans="1:2" x14ac:dyDescent="0.3">
      <c r="B90" s="52"/>
    </row>
    <row r="91" spans="1:2" x14ac:dyDescent="0.3">
      <c r="B91" s="53"/>
    </row>
    <row r="93" spans="1:2" x14ac:dyDescent="0.3">
      <c r="A93" s="54"/>
    </row>
    <row r="101" spans="2:4" x14ac:dyDescent="0.3">
      <c r="B101" s="44"/>
      <c r="C101" s="44"/>
      <c r="D101" s="44"/>
    </row>
    <row r="370" spans="17:17" x14ac:dyDescent="0.3">
      <c r="Q370" s="15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R30"/>
  <sheetViews>
    <sheetView zoomScale="129" workbookViewId="0">
      <selection activeCell="I12" sqref="I12"/>
    </sheetView>
  </sheetViews>
  <sheetFormatPr defaultRowHeight="14.4" x14ac:dyDescent="0.3"/>
  <cols>
    <col min="2" max="2" width="21.88671875" customWidth="1"/>
    <col min="11" max="11" width="15.21875" customWidth="1"/>
  </cols>
  <sheetData>
    <row r="1" spans="1:18" ht="18" x14ac:dyDescent="0.35">
      <c r="A1" s="8" t="s">
        <v>0</v>
      </c>
      <c r="B1" s="8"/>
      <c r="C1" s="8">
        <v>2022</v>
      </c>
      <c r="D1" s="8" t="s">
        <v>30</v>
      </c>
      <c r="E1" s="8"/>
      <c r="F1" s="8"/>
      <c r="G1" s="8"/>
      <c r="H1" s="8"/>
      <c r="I1" s="8"/>
      <c r="J1" s="8"/>
    </row>
    <row r="3" spans="1:18" x14ac:dyDescent="0.3">
      <c r="C3" s="3" t="s">
        <v>4</v>
      </c>
      <c r="D3" s="3" t="s">
        <v>5</v>
      </c>
      <c r="E3" s="3" t="s">
        <v>6</v>
      </c>
      <c r="F3" s="3" t="s">
        <v>7</v>
      </c>
      <c r="H3" s="9" t="s">
        <v>8</v>
      </c>
    </row>
    <row r="4" spans="1:18" x14ac:dyDescent="0.3">
      <c r="B4" t="s">
        <v>3</v>
      </c>
      <c r="C4" s="1">
        <v>6</v>
      </c>
      <c r="D4" s="1">
        <f>C4*150</f>
        <v>900</v>
      </c>
      <c r="E4" s="1">
        <f>C4*2.5</f>
        <v>15</v>
      </c>
      <c r="F4" s="2">
        <f>C4*63</f>
        <v>378</v>
      </c>
      <c r="H4" t="s">
        <v>8</v>
      </c>
      <c r="K4" t="s">
        <v>179</v>
      </c>
      <c r="L4" t="s">
        <v>180</v>
      </c>
      <c r="M4" t="s">
        <v>40</v>
      </c>
      <c r="O4" t="s">
        <v>182</v>
      </c>
      <c r="Q4" t="s">
        <v>4</v>
      </c>
    </row>
    <row r="5" spans="1:18" x14ac:dyDescent="0.3">
      <c r="B5" t="s">
        <v>9</v>
      </c>
      <c r="C5">
        <v>8</v>
      </c>
      <c r="D5" s="1">
        <f>C5*150</f>
        <v>1200</v>
      </c>
      <c r="E5" s="1">
        <f>C5*2.5</f>
        <v>20</v>
      </c>
      <c r="F5" s="2">
        <f>C5*63</f>
        <v>504</v>
      </c>
      <c r="H5" t="s">
        <v>8</v>
      </c>
    </row>
    <row r="6" spans="1:18" x14ac:dyDescent="0.3">
      <c r="B6" t="s">
        <v>23</v>
      </c>
      <c r="C6">
        <v>0</v>
      </c>
      <c r="D6" s="1">
        <f>C6*150</f>
        <v>0</v>
      </c>
      <c r="E6" s="1">
        <v>0</v>
      </c>
      <c r="F6" s="2">
        <f>C6*63</f>
        <v>0</v>
      </c>
      <c r="K6" t="s">
        <v>25</v>
      </c>
      <c r="L6" s="71">
        <f>550/1320</f>
        <v>0.41666666666666669</v>
      </c>
      <c r="M6">
        <v>0.25</v>
      </c>
      <c r="P6">
        <f>M6*$P$13</f>
        <v>178.5</v>
      </c>
      <c r="Q6">
        <f>P6/150</f>
        <v>1.19</v>
      </c>
      <c r="R6">
        <v>1.25</v>
      </c>
    </row>
    <row r="7" spans="1:18" x14ac:dyDescent="0.3">
      <c r="B7" t="s">
        <v>24</v>
      </c>
      <c r="C7">
        <v>10</v>
      </c>
      <c r="D7" s="1">
        <f>C7*150</f>
        <v>1500</v>
      </c>
      <c r="E7" s="1">
        <v>0</v>
      </c>
      <c r="F7" s="2">
        <f>C7*63</f>
        <v>630</v>
      </c>
      <c r="I7" t="s">
        <v>174</v>
      </c>
      <c r="K7" t="s">
        <v>178</v>
      </c>
      <c r="M7">
        <v>0.1</v>
      </c>
      <c r="P7">
        <f>M7*$P$13</f>
        <v>71.400000000000006</v>
      </c>
      <c r="Q7">
        <f>P7/150</f>
        <v>0.47600000000000003</v>
      </c>
      <c r="R7">
        <v>0.5</v>
      </c>
    </row>
    <row r="8" spans="1:18" x14ac:dyDescent="0.3">
      <c r="B8" t="s">
        <v>25</v>
      </c>
      <c r="C8">
        <v>1.25</v>
      </c>
      <c r="D8" s="1">
        <f>C8*150</f>
        <v>187.5</v>
      </c>
      <c r="E8" s="1"/>
      <c r="F8" s="2">
        <f>C8*63</f>
        <v>78.75</v>
      </c>
      <c r="K8" t="s">
        <v>37</v>
      </c>
      <c r="L8" s="71">
        <f>275/1320</f>
        <v>0.20833333333333334</v>
      </c>
      <c r="M8">
        <v>0.2</v>
      </c>
      <c r="P8">
        <f t="shared" ref="P8:P11" si="0">M8*$P$13</f>
        <v>142.80000000000001</v>
      </c>
      <c r="Q8">
        <f>P8/150</f>
        <v>0.95200000000000007</v>
      </c>
      <c r="R8">
        <v>1</v>
      </c>
    </row>
    <row r="9" spans="1:18" x14ac:dyDescent="0.3">
      <c r="B9" t="s">
        <v>37</v>
      </c>
      <c r="C9">
        <v>1</v>
      </c>
      <c r="D9" s="1">
        <f>C9*150</f>
        <v>150</v>
      </c>
      <c r="E9" s="1">
        <v>0</v>
      </c>
      <c r="F9" s="2">
        <f>C9*63</f>
        <v>63</v>
      </c>
      <c r="K9" t="s">
        <v>181</v>
      </c>
      <c r="L9" s="71">
        <f>280/1320</f>
        <v>0.21212121212121213</v>
      </c>
      <c r="M9">
        <v>0.15</v>
      </c>
      <c r="P9">
        <f t="shared" si="0"/>
        <v>107.1</v>
      </c>
      <c r="Q9">
        <f>P9/150</f>
        <v>0.71399999999999997</v>
      </c>
      <c r="R9">
        <v>1</v>
      </c>
    </row>
    <row r="10" spans="1:18" x14ac:dyDescent="0.3">
      <c r="B10" t="s">
        <v>28</v>
      </c>
      <c r="C10">
        <v>0</v>
      </c>
      <c r="D10" s="1" t="s">
        <v>8</v>
      </c>
      <c r="E10" s="1" t="s">
        <v>8</v>
      </c>
      <c r="F10" s="2">
        <f t="shared" ref="F10:F12" si="1">C10*63</f>
        <v>0</v>
      </c>
      <c r="K10" t="s">
        <v>17</v>
      </c>
      <c r="L10" s="71">
        <f>120/1320</f>
        <v>9.0909090909090912E-2</v>
      </c>
      <c r="M10">
        <v>0.1</v>
      </c>
      <c r="P10">
        <f t="shared" si="0"/>
        <v>71.400000000000006</v>
      </c>
      <c r="Q10">
        <f>P10/150</f>
        <v>0.47600000000000003</v>
      </c>
      <c r="R10">
        <v>0.5</v>
      </c>
    </row>
    <row r="11" spans="1:18" x14ac:dyDescent="0.3">
      <c r="B11" t="s">
        <v>58</v>
      </c>
      <c r="C11">
        <v>1</v>
      </c>
      <c r="D11" s="1" t="s">
        <v>8</v>
      </c>
      <c r="E11" s="1" t="s">
        <v>8</v>
      </c>
      <c r="F11" s="2">
        <f t="shared" si="1"/>
        <v>63</v>
      </c>
      <c r="K11" t="s">
        <v>177</v>
      </c>
      <c r="L11" s="71">
        <f>90/1320</f>
        <v>6.8181818181818177E-2</v>
      </c>
      <c r="M11">
        <v>0.2</v>
      </c>
      <c r="P11">
        <f t="shared" si="0"/>
        <v>142.80000000000001</v>
      </c>
      <c r="Q11">
        <f>P11/150</f>
        <v>0.95200000000000007</v>
      </c>
      <c r="R11">
        <v>1</v>
      </c>
    </row>
    <row r="12" spans="1:18" x14ac:dyDescent="0.3">
      <c r="B12" t="s">
        <v>27</v>
      </c>
      <c r="C12">
        <v>7</v>
      </c>
      <c r="D12" t="s">
        <v>8</v>
      </c>
      <c r="E12" t="s">
        <v>8</v>
      </c>
      <c r="F12" s="2">
        <f t="shared" si="1"/>
        <v>441</v>
      </c>
    </row>
    <row r="13" spans="1:18" x14ac:dyDescent="0.3">
      <c r="C13" s="4" t="s">
        <v>8</v>
      </c>
      <c r="D13" s="1" t="s">
        <v>8</v>
      </c>
      <c r="E13">
        <v>75</v>
      </c>
      <c r="L13" s="72">
        <f>SUM(L6:L12)</f>
        <v>0.99621212121212133</v>
      </c>
      <c r="M13">
        <f>SUM(M6:M12)</f>
        <v>1</v>
      </c>
      <c r="O13">
        <v>300</v>
      </c>
      <c r="P13">
        <f>2.38*O13</f>
        <v>714</v>
      </c>
    </row>
    <row r="14" spans="1:18" ht="15.6" x14ac:dyDescent="0.3">
      <c r="B14" s="5" t="s">
        <v>10</v>
      </c>
      <c r="C14" s="13">
        <f>SUM(C4:C13)</f>
        <v>34.25</v>
      </c>
      <c r="D14" s="13">
        <f>SUM(D4:D13)</f>
        <v>3937.5</v>
      </c>
      <c r="E14" s="13">
        <f>SUM(E4:E12)</f>
        <v>35</v>
      </c>
      <c r="F14" s="13">
        <f>SUM(F4:F13)</f>
        <v>2157.75</v>
      </c>
      <c r="H14" t="s">
        <v>8</v>
      </c>
    </row>
    <row r="15" spans="1:18" x14ac:dyDescent="0.3">
      <c r="B15" t="s">
        <v>8</v>
      </c>
      <c r="G15" s="7"/>
    </row>
    <row r="16" spans="1:18" x14ac:dyDescent="0.3">
      <c r="B16" t="s">
        <v>11</v>
      </c>
      <c r="C16">
        <v>6</v>
      </c>
      <c r="D16" s="1">
        <f t="shared" ref="D16:D28" si="2">C16*150</f>
        <v>900</v>
      </c>
      <c r="E16" s="1">
        <f>C16*2.2</f>
        <v>13.200000000000001</v>
      </c>
      <c r="F16" s="2">
        <f t="shared" ref="F16:F28" si="3">C16*63</f>
        <v>378</v>
      </c>
    </row>
    <row r="17" spans="2:11" x14ac:dyDescent="0.3">
      <c r="B17" t="s">
        <v>13</v>
      </c>
      <c r="C17">
        <v>9</v>
      </c>
      <c r="D17" s="1">
        <f t="shared" si="2"/>
        <v>1350</v>
      </c>
      <c r="E17" s="1">
        <f t="shared" ref="E17:E24" si="4">C17*2.2</f>
        <v>19.8</v>
      </c>
      <c r="F17" s="2">
        <f t="shared" si="3"/>
        <v>567</v>
      </c>
    </row>
    <row r="18" spans="2:11" x14ac:dyDescent="0.3">
      <c r="B18" t="s">
        <v>14</v>
      </c>
      <c r="C18">
        <v>0</v>
      </c>
      <c r="D18" s="1">
        <f t="shared" si="2"/>
        <v>0</v>
      </c>
      <c r="E18" s="1">
        <f t="shared" si="4"/>
        <v>0</v>
      </c>
      <c r="F18" s="2">
        <f t="shared" si="3"/>
        <v>0</v>
      </c>
    </row>
    <row r="19" spans="2:11" x14ac:dyDescent="0.3">
      <c r="B19" t="s">
        <v>15</v>
      </c>
      <c r="C19">
        <v>5</v>
      </c>
      <c r="D19" s="1">
        <f t="shared" si="2"/>
        <v>750</v>
      </c>
      <c r="E19" s="1">
        <f t="shared" si="4"/>
        <v>11</v>
      </c>
      <c r="F19" s="2">
        <f t="shared" si="3"/>
        <v>315</v>
      </c>
    </row>
    <row r="20" spans="2:11" x14ac:dyDescent="0.3">
      <c r="B20" t="s">
        <v>16</v>
      </c>
      <c r="C20">
        <v>5</v>
      </c>
      <c r="D20" s="1">
        <f t="shared" si="2"/>
        <v>750</v>
      </c>
      <c r="E20" s="1">
        <f t="shared" si="4"/>
        <v>11</v>
      </c>
      <c r="F20" s="2">
        <f t="shared" si="3"/>
        <v>315</v>
      </c>
    </row>
    <row r="21" spans="2:11" x14ac:dyDescent="0.3">
      <c r="B21" t="s">
        <v>17</v>
      </c>
      <c r="C21" t="s">
        <v>8</v>
      </c>
      <c r="D21" s="1"/>
      <c r="E21" s="1" t="s">
        <v>8</v>
      </c>
      <c r="F21" s="2"/>
    </row>
    <row r="22" spans="2:11" x14ac:dyDescent="0.3">
      <c r="B22" t="s">
        <v>29</v>
      </c>
      <c r="C22" t="s">
        <v>8</v>
      </c>
      <c r="D22" s="1"/>
      <c r="E22" s="1" t="s">
        <v>8</v>
      </c>
      <c r="F22" s="2"/>
    </row>
    <row r="23" spans="2:11" x14ac:dyDescent="0.3">
      <c r="B23" t="s">
        <v>19</v>
      </c>
      <c r="C23" t="s">
        <v>8</v>
      </c>
      <c r="D23" s="1"/>
      <c r="E23" s="1" t="s">
        <v>8</v>
      </c>
      <c r="F23" s="2"/>
    </row>
    <row r="24" spans="2:11" x14ac:dyDescent="0.3">
      <c r="B24" t="s">
        <v>63</v>
      </c>
      <c r="C24">
        <v>0</v>
      </c>
      <c r="D24" s="1">
        <f t="shared" si="2"/>
        <v>0</v>
      </c>
      <c r="E24" s="1">
        <f t="shared" si="4"/>
        <v>0</v>
      </c>
      <c r="F24" s="2">
        <f t="shared" si="3"/>
        <v>0</v>
      </c>
      <c r="G24" t="s">
        <v>8</v>
      </c>
    </row>
    <row r="25" spans="2:11" x14ac:dyDescent="0.3">
      <c r="B25" t="s">
        <v>21</v>
      </c>
      <c r="C25" t="s">
        <v>8</v>
      </c>
      <c r="D25" s="1" t="s">
        <v>8</v>
      </c>
      <c r="E25" s="1" t="s">
        <v>8</v>
      </c>
      <c r="F25" s="2" t="s">
        <v>8</v>
      </c>
    </row>
    <row r="26" spans="2:11" x14ac:dyDescent="0.3">
      <c r="B26" t="s">
        <v>22</v>
      </c>
      <c r="C26" t="s">
        <v>8</v>
      </c>
      <c r="D26" s="1" t="s">
        <v>8</v>
      </c>
      <c r="E26" s="1" t="s">
        <v>8</v>
      </c>
      <c r="F26" s="2" t="s">
        <v>8</v>
      </c>
    </row>
    <row r="27" spans="2:11" x14ac:dyDescent="0.3">
      <c r="B27" t="s">
        <v>105</v>
      </c>
      <c r="C27">
        <v>1</v>
      </c>
      <c r="D27" s="1">
        <f t="shared" ref="D27" si="5">C27*150</f>
        <v>150</v>
      </c>
      <c r="E27" s="1">
        <f t="shared" ref="E27" si="6">C27*2.2</f>
        <v>2.2000000000000002</v>
      </c>
      <c r="F27" s="2">
        <f t="shared" ref="F27" si="7">C27*63</f>
        <v>63</v>
      </c>
    </row>
    <row r="28" spans="2:11" x14ac:dyDescent="0.3">
      <c r="B28" t="s">
        <v>62</v>
      </c>
      <c r="C28">
        <v>0</v>
      </c>
      <c r="D28" s="1">
        <f t="shared" si="2"/>
        <v>0</v>
      </c>
      <c r="E28" s="1">
        <f>C28*2.2</f>
        <v>0</v>
      </c>
      <c r="F28" s="2">
        <f t="shared" si="3"/>
        <v>0</v>
      </c>
    </row>
    <row r="29" spans="2:11" ht="15.6" x14ac:dyDescent="0.3">
      <c r="B29" s="6" t="s">
        <v>12</v>
      </c>
      <c r="C29" s="6">
        <f>SUM(C16:C28)</f>
        <v>26</v>
      </c>
      <c r="D29" s="6">
        <f>SUM(D16:D28)</f>
        <v>3900</v>
      </c>
      <c r="E29" s="6">
        <f>SUM(E16:E24)</f>
        <v>55</v>
      </c>
      <c r="F29" s="6">
        <f>SUM(F16:F28)</f>
        <v>1638</v>
      </c>
      <c r="H29">
        <f>112*70</f>
        <v>7840</v>
      </c>
      <c r="I29" t="s">
        <v>56</v>
      </c>
      <c r="K29" t="s">
        <v>57</v>
      </c>
    </row>
    <row r="30" spans="2:11" ht="15.6" x14ac:dyDescent="0.3">
      <c r="B30" s="11" t="s">
        <v>39</v>
      </c>
      <c r="C30" s="11">
        <f>SUM(C14+C29)</f>
        <v>60.25</v>
      </c>
      <c r="D30" s="11">
        <f>SUM(D14+D29)</f>
        <v>7837.5</v>
      </c>
      <c r="E30" s="11">
        <f>SUM(E14+E29)</f>
        <v>90</v>
      </c>
      <c r="F30" s="11">
        <f>SUM(F14+F29)</f>
        <v>3795.75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33"/>
  <sheetViews>
    <sheetView workbookViewId="0">
      <selection activeCell="H14" sqref="H14"/>
    </sheetView>
  </sheetViews>
  <sheetFormatPr defaultRowHeight="14.4" x14ac:dyDescent="0.3"/>
  <cols>
    <col min="2" max="2" width="13.21875" customWidth="1"/>
    <col min="11" max="11" width="13.77734375" customWidth="1"/>
    <col min="12" max="12" width="14.21875" customWidth="1"/>
  </cols>
  <sheetData>
    <row r="1" spans="1:18" ht="18" x14ac:dyDescent="0.35">
      <c r="A1" s="8" t="s">
        <v>60</v>
      </c>
      <c r="B1" s="8"/>
      <c r="C1" s="8">
        <v>2022</v>
      </c>
      <c r="D1" s="8" t="s">
        <v>30</v>
      </c>
      <c r="E1" s="8"/>
      <c r="F1" s="8"/>
      <c r="G1" s="8"/>
      <c r="H1" s="8"/>
      <c r="I1" s="8"/>
    </row>
    <row r="3" spans="1:18" x14ac:dyDescent="0.3">
      <c r="C3" s="3" t="s">
        <v>4</v>
      </c>
      <c r="D3" s="3" t="s">
        <v>5</v>
      </c>
      <c r="E3" s="3" t="s">
        <v>6</v>
      </c>
      <c r="F3" s="3" t="s">
        <v>7</v>
      </c>
      <c r="H3" s="73" t="s">
        <v>183</v>
      </c>
    </row>
    <row r="4" spans="1:18" x14ac:dyDescent="0.3">
      <c r="B4" t="s">
        <v>3</v>
      </c>
      <c r="C4" s="1">
        <v>5</v>
      </c>
      <c r="D4" s="1">
        <f>C4*150</f>
        <v>750</v>
      </c>
      <c r="E4" s="1">
        <f>C4*2.5</f>
        <v>12.5</v>
      </c>
      <c r="F4" s="2">
        <f>C4*63</f>
        <v>315</v>
      </c>
      <c r="K4" t="s">
        <v>179</v>
      </c>
      <c r="L4" t="s">
        <v>180</v>
      </c>
      <c r="M4" t="s">
        <v>40</v>
      </c>
      <c r="O4" t="s">
        <v>182</v>
      </c>
      <c r="Q4" t="s">
        <v>4</v>
      </c>
    </row>
    <row r="5" spans="1:18" x14ac:dyDescent="0.3">
      <c r="B5" t="s">
        <v>9</v>
      </c>
      <c r="C5">
        <v>4.5</v>
      </c>
      <c r="D5" s="1">
        <f t="shared" ref="D5:D12" si="0">C5*150</f>
        <v>675</v>
      </c>
      <c r="E5" s="1">
        <f t="shared" ref="E5:E11" si="1">C5*2.5</f>
        <v>11.25</v>
      </c>
      <c r="F5" s="2">
        <f t="shared" ref="F5:F12" si="2">C5*63</f>
        <v>283.5</v>
      </c>
      <c r="H5" t="s">
        <v>184</v>
      </c>
    </row>
    <row r="6" spans="1:18" x14ac:dyDescent="0.3">
      <c r="B6" t="s">
        <v>23</v>
      </c>
      <c r="C6">
        <v>0</v>
      </c>
      <c r="D6" s="1">
        <f t="shared" si="0"/>
        <v>0</v>
      </c>
      <c r="E6" s="1">
        <f t="shared" si="1"/>
        <v>0</v>
      </c>
      <c r="F6" s="2">
        <f t="shared" si="2"/>
        <v>0</v>
      </c>
      <c r="K6" t="s">
        <v>25</v>
      </c>
      <c r="L6" s="71">
        <f>550/1320</f>
        <v>0.41666666666666669</v>
      </c>
      <c r="M6">
        <v>0.25</v>
      </c>
      <c r="P6">
        <f>M6*$P$13</f>
        <v>133.28</v>
      </c>
      <c r="Q6">
        <f>P6/150</f>
        <v>0.88853333333333329</v>
      </c>
      <c r="R6">
        <v>1</v>
      </c>
    </row>
    <row r="7" spans="1:18" x14ac:dyDescent="0.3">
      <c r="B7" t="s">
        <v>24</v>
      </c>
      <c r="C7">
        <v>5.5</v>
      </c>
      <c r="D7" s="1">
        <f t="shared" si="0"/>
        <v>825</v>
      </c>
      <c r="E7" t="s">
        <v>8</v>
      </c>
      <c r="F7" s="2">
        <f t="shared" si="2"/>
        <v>346.5</v>
      </c>
      <c r="H7" t="s">
        <v>185</v>
      </c>
      <c r="K7" t="s">
        <v>178</v>
      </c>
      <c r="M7">
        <v>0.1</v>
      </c>
      <c r="P7">
        <f>M7*$P$13</f>
        <v>53.312000000000005</v>
      </c>
      <c r="Q7">
        <f>P7/150</f>
        <v>0.35541333333333336</v>
      </c>
      <c r="R7">
        <v>0.5</v>
      </c>
    </row>
    <row r="8" spans="1:18" x14ac:dyDescent="0.3">
      <c r="B8" t="s">
        <v>25</v>
      </c>
      <c r="C8">
        <v>1</v>
      </c>
      <c r="D8" s="1">
        <f t="shared" si="0"/>
        <v>150</v>
      </c>
      <c r="E8" s="1">
        <f t="shared" si="1"/>
        <v>2.5</v>
      </c>
      <c r="F8" s="2">
        <f t="shared" si="2"/>
        <v>63</v>
      </c>
      <c r="H8" t="s">
        <v>186</v>
      </c>
      <c r="K8" t="s">
        <v>37</v>
      </c>
      <c r="L8" s="71">
        <f>275/1320</f>
        <v>0.20833333333333334</v>
      </c>
      <c r="M8">
        <v>0.2</v>
      </c>
      <c r="P8">
        <f t="shared" ref="P8:P11" si="3">M8*$P$13</f>
        <v>106.62400000000001</v>
      </c>
      <c r="Q8">
        <f>P8/150</f>
        <v>0.71082666666666672</v>
      </c>
      <c r="R8">
        <v>1</v>
      </c>
    </row>
    <row r="9" spans="1:18" x14ac:dyDescent="0.3">
      <c r="B9" t="s">
        <v>37</v>
      </c>
      <c r="C9">
        <v>1</v>
      </c>
      <c r="D9" s="1">
        <f t="shared" si="0"/>
        <v>150</v>
      </c>
      <c r="E9" s="1">
        <v>0</v>
      </c>
      <c r="F9" s="2">
        <f t="shared" si="2"/>
        <v>63</v>
      </c>
      <c r="H9" t="s">
        <v>186</v>
      </c>
      <c r="K9" t="s">
        <v>181</v>
      </c>
      <c r="L9" s="71">
        <f>280/1320</f>
        <v>0.21212121212121213</v>
      </c>
      <c r="M9">
        <v>0.15</v>
      </c>
      <c r="P9">
        <f t="shared" si="3"/>
        <v>79.968000000000004</v>
      </c>
      <c r="Q9">
        <f>P9/150</f>
        <v>0.53312000000000004</v>
      </c>
      <c r="R9">
        <v>0.5</v>
      </c>
    </row>
    <row r="10" spans="1:18" x14ac:dyDescent="0.3">
      <c r="B10" t="s">
        <v>28</v>
      </c>
      <c r="C10">
        <v>0</v>
      </c>
      <c r="D10" s="1">
        <f t="shared" si="0"/>
        <v>0</v>
      </c>
      <c r="E10" s="1">
        <f t="shared" si="1"/>
        <v>0</v>
      </c>
      <c r="F10" s="2">
        <f t="shared" si="2"/>
        <v>0</v>
      </c>
      <c r="K10" t="s">
        <v>17</v>
      </c>
      <c r="L10" s="71">
        <f>120/1320</f>
        <v>9.0909090909090912E-2</v>
      </c>
      <c r="M10">
        <v>0.1</v>
      </c>
      <c r="P10">
        <f t="shared" si="3"/>
        <v>53.312000000000005</v>
      </c>
      <c r="Q10">
        <f>P10/150</f>
        <v>0.35541333333333336</v>
      </c>
      <c r="R10">
        <v>0.5</v>
      </c>
    </row>
    <row r="11" spans="1:18" x14ac:dyDescent="0.3">
      <c r="B11" t="s">
        <v>58</v>
      </c>
      <c r="C11">
        <v>1</v>
      </c>
      <c r="D11" s="1">
        <f t="shared" si="0"/>
        <v>150</v>
      </c>
      <c r="E11" s="1">
        <f t="shared" si="1"/>
        <v>2.5</v>
      </c>
      <c r="F11" s="2">
        <f t="shared" si="2"/>
        <v>63</v>
      </c>
      <c r="H11" t="s">
        <v>186</v>
      </c>
      <c r="K11" t="s">
        <v>177</v>
      </c>
      <c r="L11" s="71">
        <f>90/1320</f>
        <v>6.8181818181818177E-2</v>
      </c>
      <c r="M11">
        <v>0.2</v>
      </c>
      <c r="P11">
        <f t="shared" si="3"/>
        <v>106.62400000000001</v>
      </c>
      <c r="Q11">
        <f>P11/150</f>
        <v>0.71082666666666672</v>
      </c>
      <c r="R11">
        <v>1</v>
      </c>
    </row>
    <row r="12" spans="1:18" x14ac:dyDescent="0.3">
      <c r="B12" t="s">
        <v>27</v>
      </c>
      <c r="C12">
        <v>8</v>
      </c>
      <c r="D12" s="1">
        <f t="shared" si="0"/>
        <v>1200</v>
      </c>
      <c r="E12" s="1">
        <v>0</v>
      </c>
      <c r="F12" s="2">
        <f t="shared" si="2"/>
        <v>504</v>
      </c>
    </row>
    <row r="13" spans="1:18" x14ac:dyDescent="0.3">
      <c r="C13" s="4" t="s">
        <v>8</v>
      </c>
      <c r="L13" s="72">
        <f>SUM(L6:L12)</f>
        <v>0.99621212121212133</v>
      </c>
      <c r="M13">
        <f>SUM(M6:M12)</f>
        <v>1</v>
      </c>
      <c r="O13">
        <v>224</v>
      </c>
      <c r="P13">
        <f>2.38*O13</f>
        <v>533.12</v>
      </c>
    </row>
    <row r="14" spans="1:18" ht="15.6" x14ac:dyDescent="0.3">
      <c r="B14" s="5" t="s">
        <v>10</v>
      </c>
      <c r="C14" s="13">
        <f>SUM(C4:C13)</f>
        <v>26</v>
      </c>
      <c r="D14" s="13">
        <f>SUM(D4:D13)</f>
        <v>3900</v>
      </c>
      <c r="E14" s="13">
        <f>SUM(E4:E13)</f>
        <v>28.75</v>
      </c>
      <c r="F14" s="13">
        <f>SUM(F4:F13)</f>
        <v>1638</v>
      </c>
      <c r="G14" s="7"/>
    </row>
    <row r="15" spans="1:18" x14ac:dyDescent="0.3">
      <c r="B15" t="s">
        <v>8</v>
      </c>
    </row>
    <row r="16" spans="1:18" x14ac:dyDescent="0.3">
      <c r="B16" t="s">
        <v>11</v>
      </c>
      <c r="C16" s="1">
        <v>3</v>
      </c>
      <c r="D16" s="1">
        <f>C16*150</f>
        <v>450</v>
      </c>
      <c r="E16" s="1">
        <f>C16*2.5</f>
        <v>7.5</v>
      </c>
      <c r="F16" s="2">
        <f>C16*63</f>
        <v>189</v>
      </c>
    </row>
    <row r="17" spans="2:7" x14ac:dyDescent="0.3">
      <c r="B17" t="s">
        <v>13</v>
      </c>
      <c r="C17">
        <v>4</v>
      </c>
      <c r="D17" s="1">
        <f t="shared" ref="D17:D28" si="4">C17*150</f>
        <v>600</v>
      </c>
      <c r="E17" s="1">
        <f t="shared" ref="E17:E28" si="5">C17*2.5</f>
        <v>10</v>
      </c>
      <c r="F17" s="2">
        <f t="shared" ref="F17:F28" si="6">C17*63</f>
        <v>252</v>
      </c>
    </row>
    <row r="18" spans="2:7" x14ac:dyDescent="0.3">
      <c r="B18" t="s">
        <v>14</v>
      </c>
      <c r="C18" t="s">
        <v>8</v>
      </c>
      <c r="D18" s="1" t="s">
        <v>8</v>
      </c>
      <c r="E18" s="1" t="s">
        <v>8</v>
      </c>
      <c r="F18" s="2" t="s">
        <v>8</v>
      </c>
      <c r="G18" t="s">
        <v>8</v>
      </c>
    </row>
    <row r="19" spans="2:7" x14ac:dyDescent="0.3">
      <c r="B19" t="s">
        <v>15</v>
      </c>
      <c r="C19">
        <v>4</v>
      </c>
      <c r="D19" s="1">
        <f t="shared" si="4"/>
        <v>600</v>
      </c>
      <c r="E19" s="1">
        <f t="shared" si="5"/>
        <v>10</v>
      </c>
      <c r="F19" s="2">
        <f t="shared" si="6"/>
        <v>252</v>
      </c>
    </row>
    <row r="20" spans="2:7" x14ac:dyDescent="0.3">
      <c r="B20" t="s">
        <v>16</v>
      </c>
      <c r="C20">
        <v>4</v>
      </c>
      <c r="D20" s="1">
        <f t="shared" si="4"/>
        <v>600</v>
      </c>
      <c r="E20" s="1">
        <f t="shared" si="5"/>
        <v>10</v>
      </c>
      <c r="F20" s="2">
        <f t="shared" si="6"/>
        <v>252</v>
      </c>
    </row>
    <row r="21" spans="2:7" x14ac:dyDescent="0.3">
      <c r="B21" t="s">
        <v>17</v>
      </c>
      <c r="D21" s="1" t="s">
        <v>8</v>
      </c>
      <c r="E21" s="1" t="s">
        <v>8</v>
      </c>
      <c r="F21" s="2" t="s">
        <v>8</v>
      </c>
    </row>
    <row r="22" spans="2:7" x14ac:dyDescent="0.3">
      <c r="B22" t="s">
        <v>29</v>
      </c>
      <c r="C22" t="s">
        <v>8</v>
      </c>
      <c r="D22" s="1" t="s">
        <v>8</v>
      </c>
      <c r="E22" s="1" t="s">
        <v>8</v>
      </c>
      <c r="F22" s="2" t="s">
        <v>8</v>
      </c>
    </row>
    <row r="23" spans="2:7" x14ac:dyDescent="0.3">
      <c r="B23" t="s">
        <v>73</v>
      </c>
      <c r="C23">
        <v>0</v>
      </c>
      <c r="D23" s="1">
        <f t="shared" si="4"/>
        <v>0</v>
      </c>
      <c r="E23" s="1">
        <f t="shared" si="5"/>
        <v>0</v>
      </c>
      <c r="F23" s="2">
        <f t="shared" si="6"/>
        <v>0</v>
      </c>
    </row>
    <row r="24" spans="2:7" x14ac:dyDescent="0.3">
      <c r="B24" t="s">
        <v>8</v>
      </c>
      <c r="D24" s="1" t="s">
        <v>8</v>
      </c>
      <c r="E24" s="1" t="s">
        <v>8</v>
      </c>
      <c r="F24" s="2" t="s">
        <v>8</v>
      </c>
    </row>
    <row r="25" spans="2:7" x14ac:dyDescent="0.3">
      <c r="B25" t="s">
        <v>21</v>
      </c>
      <c r="C25" t="s">
        <v>8</v>
      </c>
      <c r="D25" s="1" t="s">
        <v>8</v>
      </c>
      <c r="E25" s="1" t="s">
        <v>8</v>
      </c>
      <c r="F25" s="2" t="s">
        <v>8</v>
      </c>
    </row>
    <row r="26" spans="2:7" x14ac:dyDescent="0.3">
      <c r="B26" t="s">
        <v>22</v>
      </c>
      <c r="C26">
        <v>7</v>
      </c>
      <c r="D26" s="1">
        <f t="shared" si="4"/>
        <v>1050</v>
      </c>
      <c r="E26" s="1">
        <f t="shared" si="5"/>
        <v>17.5</v>
      </c>
      <c r="F26" s="2">
        <f t="shared" si="6"/>
        <v>441</v>
      </c>
    </row>
    <row r="27" spans="2:7" x14ac:dyDescent="0.3">
      <c r="B27" t="s">
        <v>105</v>
      </c>
      <c r="C27">
        <v>1</v>
      </c>
      <c r="D27" s="1">
        <f t="shared" ref="D27" si="7">C27*150</f>
        <v>150</v>
      </c>
      <c r="E27" s="1">
        <f t="shared" ref="E27" si="8">C27*2.5</f>
        <v>2.5</v>
      </c>
      <c r="F27" s="2">
        <f t="shared" ref="F27" si="9">C27*63</f>
        <v>63</v>
      </c>
    </row>
    <row r="28" spans="2:7" x14ac:dyDescent="0.3">
      <c r="B28" t="s">
        <v>61</v>
      </c>
      <c r="C28">
        <v>0</v>
      </c>
      <c r="D28" s="1">
        <f t="shared" si="4"/>
        <v>0</v>
      </c>
      <c r="E28" s="1">
        <f t="shared" si="5"/>
        <v>0</v>
      </c>
      <c r="F28" s="2">
        <f t="shared" si="6"/>
        <v>0</v>
      </c>
    </row>
    <row r="29" spans="2:7" ht="15.6" x14ac:dyDescent="0.3">
      <c r="B29" s="6" t="s">
        <v>12</v>
      </c>
      <c r="C29" s="6">
        <f>SUM(C16:C28)</f>
        <v>23</v>
      </c>
      <c r="D29" s="6">
        <f>SUM(D16:D28)</f>
        <v>3450</v>
      </c>
      <c r="E29" s="6">
        <f>SUM(E16:E28)</f>
        <v>57.5</v>
      </c>
      <c r="F29" s="6">
        <f>SUM(F16:F28)</f>
        <v>1449</v>
      </c>
    </row>
    <row r="30" spans="2:7" ht="15.6" x14ac:dyDescent="0.3">
      <c r="B30" s="11" t="s">
        <v>39</v>
      </c>
      <c r="C30" s="11">
        <f>SUM(C14+C29)</f>
        <v>49</v>
      </c>
      <c r="D30" s="11">
        <f>SUM(D14+D29)</f>
        <v>7350</v>
      </c>
      <c r="E30" s="11">
        <f>SUM(E14+E29)</f>
        <v>86.25</v>
      </c>
      <c r="F30" s="11">
        <f>SUM(F14+F29)</f>
        <v>3087</v>
      </c>
    </row>
    <row r="32" spans="2:7" x14ac:dyDescent="0.3">
      <c r="C32" t="s">
        <v>8</v>
      </c>
      <c r="D32" t="s">
        <v>8</v>
      </c>
    </row>
    <row r="33" spans="3:3" x14ac:dyDescent="0.3">
      <c r="C33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U30"/>
  <sheetViews>
    <sheetView tabSelected="1" workbookViewId="0">
      <selection activeCell="H14" sqref="H14"/>
    </sheetView>
  </sheetViews>
  <sheetFormatPr defaultRowHeight="14.4" x14ac:dyDescent="0.3"/>
  <cols>
    <col min="2" max="2" width="13.5546875" customWidth="1"/>
  </cols>
  <sheetData>
    <row r="1" spans="1:14" ht="18" x14ac:dyDescent="0.35">
      <c r="A1" s="8" t="s">
        <v>1</v>
      </c>
      <c r="B1" s="8"/>
      <c r="C1" s="8">
        <v>2021</v>
      </c>
      <c r="D1" s="8" t="s">
        <v>30</v>
      </c>
      <c r="E1" s="8"/>
      <c r="F1" s="8"/>
      <c r="G1" s="8"/>
      <c r="H1" s="8"/>
      <c r="I1" s="8"/>
    </row>
    <row r="3" spans="1:14" x14ac:dyDescent="0.3">
      <c r="C3" s="3" t="s">
        <v>4</v>
      </c>
      <c r="D3" s="3" t="s">
        <v>5</v>
      </c>
      <c r="E3" s="3" t="s">
        <v>6</v>
      </c>
      <c r="F3" s="3" t="s">
        <v>7</v>
      </c>
    </row>
    <row r="4" spans="1:14" x14ac:dyDescent="0.3">
      <c r="B4" t="s">
        <v>3</v>
      </c>
      <c r="C4">
        <v>2</v>
      </c>
      <c r="D4" s="1">
        <f>C4*150</f>
        <v>300</v>
      </c>
      <c r="E4" s="1">
        <f>C4*2.5</f>
        <v>5</v>
      </c>
      <c r="F4" s="2">
        <f>C4*63</f>
        <v>126</v>
      </c>
      <c r="H4" t="s">
        <v>51</v>
      </c>
      <c r="I4" t="s">
        <v>52</v>
      </c>
    </row>
    <row r="5" spans="1:14" x14ac:dyDescent="0.3">
      <c r="B5" t="s">
        <v>9</v>
      </c>
      <c r="C5">
        <v>2</v>
      </c>
      <c r="D5" s="1">
        <f>C5*150</f>
        <v>300</v>
      </c>
      <c r="E5" s="1">
        <f t="shared" ref="E5:E13" si="0">C5*2.5</f>
        <v>5</v>
      </c>
      <c r="F5" s="2">
        <f t="shared" ref="F5:F13" si="1">C5*63</f>
        <v>126</v>
      </c>
      <c r="H5" t="s">
        <v>51</v>
      </c>
    </row>
    <row r="6" spans="1:14" x14ac:dyDescent="0.3">
      <c r="B6" t="s">
        <v>23</v>
      </c>
      <c r="C6">
        <v>0</v>
      </c>
      <c r="D6" s="1">
        <f>C6*150</f>
        <v>0</v>
      </c>
      <c r="E6" s="1">
        <f t="shared" si="0"/>
        <v>0</v>
      </c>
      <c r="F6" s="2">
        <f t="shared" si="1"/>
        <v>0</v>
      </c>
    </row>
    <row r="7" spans="1:14" x14ac:dyDescent="0.3">
      <c r="B7" t="s">
        <v>24</v>
      </c>
      <c r="C7">
        <v>2</v>
      </c>
      <c r="D7" s="1">
        <f>C7*150</f>
        <v>300</v>
      </c>
      <c r="E7" s="1">
        <f t="shared" si="0"/>
        <v>5</v>
      </c>
      <c r="F7" s="2">
        <f t="shared" si="1"/>
        <v>126</v>
      </c>
      <c r="H7" t="s">
        <v>176</v>
      </c>
    </row>
    <row r="8" spans="1:14" x14ac:dyDescent="0.3">
      <c r="B8" t="s">
        <v>25</v>
      </c>
      <c r="C8" t="s">
        <v>8</v>
      </c>
      <c r="D8" s="1" t="s">
        <v>8</v>
      </c>
      <c r="E8" s="1" t="s">
        <v>8</v>
      </c>
      <c r="F8" s="2" t="s">
        <v>8</v>
      </c>
    </row>
    <row r="9" spans="1:14" x14ac:dyDescent="0.3">
      <c r="B9" t="s">
        <v>75</v>
      </c>
      <c r="C9" t="s">
        <v>8</v>
      </c>
      <c r="D9" s="1" t="s">
        <v>8</v>
      </c>
      <c r="E9" s="1" t="s">
        <v>8</v>
      </c>
      <c r="F9" s="2" t="s">
        <v>8</v>
      </c>
      <c r="N9">
        <f>36*70</f>
        <v>2520</v>
      </c>
    </row>
    <row r="10" spans="1:14" x14ac:dyDescent="0.3">
      <c r="B10" t="s">
        <v>28</v>
      </c>
      <c r="C10">
        <v>0</v>
      </c>
      <c r="D10" s="1">
        <f>C10*150</f>
        <v>0</v>
      </c>
      <c r="E10" s="1">
        <f t="shared" si="0"/>
        <v>0</v>
      </c>
      <c r="F10" s="2">
        <f t="shared" si="1"/>
        <v>0</v>
      </c>
    </row>
    <row r="11" spans="1:14" x14ac:dyDescent="0.3">
      <c r="B11" t="s">
        <v>58</v>
      </c>
      <c r="C11">
        <v>2</v>
      </c>
      <c r="D11" s="1">
        <f>C11*150</f>
        <v>300</v>
      </c>
      <c r="E11" s="1">
        <f t="shared" si="0"/>
        <v>5</v>
      </c>
      <c r="F11" s="2">
        <f t="shared" si="1"/>
        <v>126</v>
      </c>
    </row>
    <row r="12" spans="1:14" x14ac:dyDescent="0.3">
      <c r="B12" t="s">
        <v>168</v>
      </c>
      <c r="C12">
        <v>0</v>
      </c>
      <c r="D12" s="1">
        <f>C12*150</f>
        <v>0</v>
      </c>
      <c r="E12" s="1">
        <f t="shared" si="0"/>
        <v>0</v>
      </c>
      <c r="F12" s="2">
        <f t="shared" si="1"/>
        <v>0</v>
      </c>
    </row>
    <row r="13" spans="1:14" x14ac:dyDescent="0.3">
      <c r="B13" t="s">
        <v>167</v>
      </c>
      <c r="C13">
        <v>3</v>
      </c>
      <c r="D13" s="1">
        <f>C13*150</f>
        <v>450</v>
      </c>
      <c r="E13" s="1">
        <f t="shared" si="0"/>
        <v>7.5</v>
      </c>
      <c r="F13" s="2">
        <f t="shared" si="1"/>
        <v>189</v>
      </c>
      <c r="H13" t="s">
        <v>191</v>
      </c>
    </row>
    <row r="14" spans="1:14" x14ac:dyDescent="0.3">
      <c r="C14" s="4" t="s">
        <v>8</v>
      </c>
    </row>
    <row r="15" spans="1:14" ht="15.6" x14ac:dyDescent="0.3">
      <c r="B15" s="5" t="s">
        <v>10</v>
      </c>
      <c r="C15" s="13">
        <f>SUM(C4:C14)</f>
        <v>11</v>
      </c>
      <c r="D15" s="13">
        <f>SUM(D4:D14)</f>
        <v>1650</v>
      </c>
      <c r="E15" s="13">
        <f>SUM(E4:E14)</f>
        <v>27.5</v>
      </c>
      <c r="F15" s="13">
        <f>SUM(F4:F14)</f>
        <v>693</v>
      </c>
      <c r="G15" s="7"/>
    </row>
    <row r="16" spans="1:14" x14ac:dyDescent="0.3">
      <c r="B16" t="s">
        <v>8</v>
      </c>
    </row>
    <row r="17" spans="2:21" x14ac:dyDescent="0.3">
      <c r="B17" t="s">
        <v>11</v>
      </c>
      <c r="C17">
        <v>4</v>
      </c>
      <c r="D17" s="1">
        <f>C17*150</f>
        <v>600</v>
      </c>
      <c r="E17" s="1">
        <f>C17*2.5</f>
        <v>10</v>
      </c>
      <c r="F17" s="2">
        <f>C17*63</f>
        <v>252</v>
      </c>
    </row>
    <row r="18" spans="2:21" x14ac:dyDescent="0.3">
      <c r="B18" t="s">
        <v>13</v>
      </c>
      <c r="C18">
        <v>4</v>
      </c>
      <c r="D18" s="1">
        <f t="shared" ref="D18:D28" si="2">C18*150</f>
        <v>600</v>
      </c>
      <c r="E18" s="1">
        <f t="shared" ref="E18:E28" si="3">C18*2.5</f>
        <v>10</v>
      </c>
      <c r="F18" s="2">
        <f t="shared" ref="F18:F28" si="4">C18*63</f>
        <v>252</v>
      </c>
      <c r="G18" t="s">
        <v>8</v>
      </c>
      <c r="H18" t="s">
        <v>53</v>
      </c>
      <c r="I18" t="s">
        <v>54</v>
      </c>
    </row>
    <row r="19" spans="2:21" x14ac:dyDescent="0.3">
      <c r="B19" t="s">
        <v>14</v>
      </c>
      <c r="C19">
        <v>2</v>
      </c>
      <c r="D19" s="1">
        <f t="shared" si="2"/>
        <v>300</v>
      </c>
      <c r="E19" s="1">
        <f t="shared" si="3"/>
        <v>5</v>
      </c>
      <c r="F19" s="2">
        <f t="shared" si="4"/>
        <v>126</v>
      </c>
    </row>
    <row r="20" spans="2:21" x14ac:dyDescent="0.3">
      <c r="B20" t="s">
        <v>15</v>
      </c>
      <c r="C20">
        <v>3</v>
      </c>
      <c r="D20" s="1">
        <f t="shared" si="2"/>
        <v>450</v>
      </c>
      <c r="E20" s="1">
        <f t="shared" si="3"/>
        <v>7.5</v>
      </c>
      <c r="F20" s="2">
        <f t="shared" si="4"/>
        <v>189</v>
      </c>
    </row>
    <row r="21" spans="2:21" x14ac:dyDescent="0.3">
      <c r="B21" t="s">
        <v>16</v>
      </c>
      <c r="C21">
        <v>3</v>
      </c>
      <c r="D21" s="1">
        <f t="shared" si="2"/>
        <v>450</v>
      </c>
      <c r="E21" s="1">
        <f t="shared" si="3"/>
        <v>7.5</v>
      </c>
      <c r="F21" s="2">
        <f t="shared" si="4"/>
        <v>189</v>
      </c>
    </row>
    <row r="22" spans="2:21" x14ac:dyDescent="0.3">
      <c r="B22" t="s">
        <v>17</v>
      </c>
      <c r="C22">
        <v>0</v>
      </c>
      <c r="D22" s="1">
        <f t="shared" si="2"/>
        <v>0</v>
      </c>
      <c r="E22" s="1">
        <f t="shared" si="3"/>
        <v>0</v>
      </c>
      <c r="F22" s="2">
        <f t="shared" si="4"/>
        <v>0</v>
      </c>
    </row>
    <row r="23" spans="2:21" x14ac:dyDescent="0.3">
      <c r="B23" t="s">
        <v>29</v>
      </c>
      <c r="C23">
        <v>3</v>
      </c>
      <c r="D23" s="1">
        <f t="shared" si="2"/>
        <v>450</v>
      </c>
      <c r="E23" s="1">
        <f t="shared" si="3"/>
        <v>7.5</v>
      </c>
      <c r="F23" s="2">
        <f t="shared" si="4"/>
        <v>189</v>
      </c>
    </row>
    <row r="24" spans="2:21" x14ac:dyDescent="0.3">
      <c r="B24" t="s">
        <v>153</v>
      </c>
      <c r="C24">
        <v>3</v>
      </c>
      <c r="D24" s="1">
        <f t="shared" si="2"/>
        <v>450</v>
      </c>
      <c r="E24" s="1">
        <f t="shared" si="3"/>
        <v>7.5</v>
      </c>
      <c r="F24" s="2">
        <f t="shared" si="4"/>
        <v>189</v>
      </c>
      <c r="N24" t="s">
        <v>153</v>
      </c>
      <c r="P24">
        <v>75</v>
      </c>
      <c r="Q24" t="s">
        <v>187</v>
      </c>
    </row>
    <row r="25" spans="2:21" x14ac:dyDescent="0.3">
      <c r="B25" t="s">
        <v>20</v>
      </c>
      <c r="C25">
        <v>2</v>
      </c>
      <c r="D25" s="1">
        <f t="shared" ref="D25" si="5">C25*150</f>
        <v>300</v>
      </c>
      <c r="E25" s="1">
        <f t="shared" ref="E25" si="6">C25*2.5</f>
        <v>5</v>
      </c>
      <c r="F25" s="2">
        <f t="shared" ref="F25" si="7">C25*63</f>
        <v>126</v>
      </c>
      <c r="H25" t="s">
        <v>8</v>
      </c>
      <c r="N25" t="s">
        <v>74</v>
      </c>
      <c r="P25">
        <f>150</f>
        <v>150</v>
      </c>
      <c r="Q25" t="s">
        <v>187</v>
      </c>
      <c r="S25" t="s">
        <v>188</v>
      </c>
      <c r="T25">
        <v>3</v>
      </c>
      <c r="U25">
        <v>180</v>
      </c>
    </row>
    <row r="26" spans="2:21" x14ac:dyDescent="0.3">
      <c r="B26" t="s">
        <v>138</v>
      </c>
      <c r="C26">
        <v>1</v>
      </c>
      <c r="D26" s="1">
        <f t="shared" si="2"/>
        <v>150</v>
      </c>
      <c r="E26" s="1">
        <f t="shared" si="3"/>
        <v>2.5</v>
      </c>
      <c r="F26" s="2">
        <f t="shared" si="4"/>
        <v>63</v>
      </c>
      <c r="H26" t="s">
        <v>8</v>
      </c>
      <c r="S26" t="s">
        <v>189</v>
      </c>
      <c r="T26">
        <v>1</v>
      </c>
      <c r="U26">
        <v>60</v>
      </c>
    </row>
    <row r="27" spans="2:21" x14ac:dyDescent="0.3">
      <c r="B27" t="s">
        <v>22</v>
      </c>
      <c r="C27">
        <v>2</v>
      </c>
      <c r="D27" s="1">
        <f t="shared" si="2"/>
        <v>300</v>
      </c>
      <c r="E27" s="1">
        <f t="shared" si="3"/>
        <v>5</v>
      </c>
      <c r="F27" s="2">
        <f t="shared" si="4"/>
        <v>126</v>
      </c>
      <c r="S27" t="s">
        <v>190</v>
      </c>
      <c r="T27">
        <v>1</v>
      </c>
      <c r="U27">
        <v>60</v>
      </c>
    </row>
    <row r="28" spans="2:21" x14ac:dyDescent="0.3">
      <c r="B28" t="s">
        <v>104</v>
      </c>
      <c r="C28">
        <v>2</v>
      </c>
      <c r="D28" s="1">
        <f t="shared" si="2"/>
        <v>300</v>
      </c>
      <c r="E28" s="1">
        <f t="shared" si="3"/>
        <v>5</v>
      </c>
      <c r="F28" s="2">
        <f t="shared" si="4"/>
        <v>126</v>
      </c>
    </row>
    <row r="29" spans="2:21" ht="15.6" x14ac:dyDescent="0.3">
      <c r="B29" s="6" t="s">
        <v>12</v>
      </c>
      <c r="C29" s="6">
        <f>SUM(C17:C28)</f>
        <v>29</v>
      </c>
      <c r="D29" s="6">
        <f>SUM(D17:D28)</f>
        <v>4350</v>
      </c>
      <c r="E29" s="6">
        <f>SUM(E17:E28)</f>
        <v>72.5</v>
      </c>
      <c r="F29" s="6">
        <f>SUM(F17:F28)</f>
        <v>1827</v>
      </c>
      <c r="U29">
        <f>SUM(U25:U28)</f>
        <v>300</v>
      </c>
    </row>
    <row r="30" spans="2:21" ht="15.6" x14ac:dyDescent="0.3">
      <c r="B30" s="11" t="s">
        <v>39</v>
      </c>
      <c r="C30" s="11">
        <f>SUM(C15+C29)</f>
        <v>40</v>
      </c>
      <c r="D30" s="11">
        <f>SUM(D15+D29)</f>
        <v>6000</v>
      </c>
      <c r="E30" s="11">
        <f>SUM(E15+E29)</f>
        <v>100</v>
      </c>
      <c r="F30" s="11">
        <f>SUM(F15+F29)</f>
        <v>2520</v>
      </c>
      <c r="G30" s="1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29"/>
  <sheetViews>
    <sheetView topLeftCell="A16" workbookViewId="0">
      <selection activeCell="O14" sqref="O14"/>
    </sheetView>
  </sheetViews>
  <sheetFormatPr defaultRowHeight="14.4" x14ac:dyDescent="0.3"/>
  <cols>
    <col min="2" max="2" width="13.5546875" customWidth="1"/>
  </cols>
  <sheetData>
    <row r="1" spans="1:13" ht="18" x14ac:dyDescent="0.35">
      <c r="A1" s="8" t="s">
        <v>68</v>
      </c>
      <c r="B1" s="8"/>
      <c r="C1" s="8"/>
      <c r="D1" s="8">
        <v>2020</v>
      </c>
      <c r="E1" s="8" t="s">
        <v>30</v>
      </c>
      <c r="F1" s="8"/>
      <c r="G1" s="8"/>
      <c r="H1" s="8"/>
      <c r="I1" s="8"/>
      <c r="J1" s="8"/>
      <c r="K1" s="8"/>
      <c r="L1" s="8"/>
      <c r="M1" s="7"/>
    </row>
    <row r="2" spans="1:13" x14ac:dyDescent="0.3">
      <c r="A2" s="14"/>
      <c r="G2" t="s">
        <v>8</v>
      </c>
    </row>
    <row r="3" spans="1:13" x14ac:dyDescent="0.3">
      <c r="C3" s="3" t="s">
        <v>4</v>
      </c>
      <c r="D3" s="3" t="s">
        <v>5</v>
      </c>
      <c r="E3" s="3" t="s">
        <v>6</v>
      </c>
      <c r="F3" s="3" t="s">
        <v>7</v>
      </c>
      <c r="G3" s="9" t="s">
        <v>43</v>
      </c>
      <c r="I3" s="9" t="s">
        <v>8</v>
      </c>
    </row>
    <row r="4" spans="1:13" x14ac:dyDescent="0.3">
      <c r="B4" t="s">
        <v>3</v>
      </c>
      <c r="C4" s="1">
        <v>0</v>
      </c>
      <c r="D4" s="1">
        <f>C4*150</f>
        <v>0</v>
      </c>
      <c r="E4" s="1">
        <f>C4*2.5</f>
        <v>0</v>
      </c>
      <c r="F4" s="2">
        <f>C4*63</f>
        <v>0</v>
      </c>
      <c r="G4">
        <v>0</v>
      </c>
      <c r="I4" s="10">
        <v>550</v>
      </c>
    </row>
    <row r="5" spans="1:13" x14ac:dyDescent="0.3">
      <c r="B5" t="s">
        <v>9</v>
      </c>
      <c r="C5">
        <v>0</v>
      </c>
      <c r="D5" s="1">
        <f t="shared" ref="D5:D12" si="0">C5*150</f>
        <v>0</v>
      </c>
      <c r="E5" s="1">
        <f t="shared" ref="E5:E12" si="1">C5*2.5</f>
        <v>0</v>
      </c>
      <c r="F5" s="2">
        <f t="shared" ref="F5:F12" si="2">C5*63</f>
        <v>0</v>
      </c>
      <c r="G5">
        <v>0</v>
      </c>
      <c r="I5" s="10">
        <v>550</v>
      </c>
    </row>
    <row r="6" spans="1:13" x14ac:dyDescent="0.3">
      <c r="B6" t="s">
        <v>23</v>
      </c>
      <c r="C6">
        <v>0</v>
      </c>
      <c r="D6" s="1" t="s">
        <v>8</v>
      </c>
      <c r="E6" s="1" t="s">
        <v>8</v>
      </c>
      <c r="F6" s="2" t="s">
        <v>8</v>
      </c>
      <c r="I6" s="10"/>
    </row>
    <row r="7" spans="1:13" x14ac:dyDescent="0.3">
      <c r="B7" t="s">
        <v>44</v>
      </c>
      <c r="C7">
        <v>0</v>
      </c>
      <c r="D7" s="1">
        <f t="shared" si="0"/>
        <v>0</v>
      </c>
      <c r="E7" s="1">
        <f t="shared" si="1"/>
        <v>0</v>
      </c>
      <c r="F7" s="2">
        <f t="shared" si="2"/>
        <v>0</v>
      </c>
      <c r="G7">
        <v>0</v>
      </c>
      <c r="I7" s="10">
        <v>500</v>
      </c>
    </row>
    <row r="8" spans="1:13" x14ac:dyDescent="0.3">
      <c r="B8" t="s">
        <v>25</v>
      </c>
      <c r="C8">
        <v>0</v>
      </c>
      <c r="D8" s="1">
        <f t="shared" si="0"/>
        <v>0</v>
      </c>
      <c r="E8" s="1">
        <f t="shared" si="1"/>
        <v>0</v>
      </c>
      <c r="F8" s="2">
        <f t="shared" si="2"/>
        <v>0</v>
      </c>
      <c r="G8">
        <v>0</v>
      </c>
      <c r="I8" s="10">
        <v>300</v>
      </c>
    </row>
    <row r="9" spans="1:13" x14ac:dyDescent="0.3">
      <c r="B9" t="s">
        <v>26</v>
      </c>
      <c r="C9">
        <v>0</v>
      </c>
      <c r="D9" s="1">
        <f t="shared" si="0"/>
        <v>0</v>
      </c>
      <c r="E9" s="1">
        <f t="shared" si="1"/>
        <v>0</v>
      </c>
      <c r="F9" s="2">
        <f t="shared" si="2"/>
        <v>0</v>
      </c>
      <c r="I9" s="10">
        <v>300</v>
      </c>
    </row>
    <row r="10" spans="1:13" x14ac:dyDescent="0.3">
      <c r="B10" t="s">
        <v>28</v>
      </c>
      <c r="D10" s="1" t="s">
        <v>8</v>
      </c>
      <c r="E10" s="1" t="s">
        <v>8</v>
      </c>
      <c r="F10" s="2" t="s">
        <v>8</v>
      </c>
      <c r="I10" s="10"/>
    </row>
    <row r="11" spans="1:13" x14ac:dyDescent="0.3">
      <c r="B11" t="s">
        <v>58</v>
      </c>
      <c r="D11" s="1" t="s">
        <v>8</v>
      </c>
      <c r="E11" s="1" t="s">
        <v>8</v>
      </c>
      <c r="F11" s="2" t="s">
        <v>8</v>
      </c>
      <c r="I11" s="10"/>
    </row>
    <row r="12" spans="1:13" x14ac:dyDescent="0.3">
      <c r="B12" t="s">
        <v>27</v>
      </c>
      <c r="C12">
        <v>0</v>
      </c>
      <c r="D12" s="1">
        <f t="shared" si="0"/>
        <v>0</v>
      </c>
      <c r="E12" s="1">
        <f t="shared" si="1"/>
        <v>0</v>
      </c>
      <c r="F12" s="2">
        <f t="shared" si="2"/>
        <v>0</v>
      </c>
      <c r="G12">
        <v>0</v>
      </c>
      <c r="I12" s="10">
        <v>300</v>
      </c>
    </row>
    <row r="13" spans="1:13" x14ac:dyDescent="0.3">
      <c r="C13" s="4" t="s">
        <v>8</v>
      </c>
      <c r="I13" s="10"/>
    </row>
    <row r="14" spans="1:13" ht="15.6" x14ac:dyDescent="0.3">
      <c r="A14" s="7"/>
      <c r="B14" s="5" t="s">
        <v>10</v>
      </c>
      <c r="C14" s="13">
        <f>SUM(C4:C13)</f>
        <v>0</v>
      </c>
      <c r="D14" s="13">
        <f>SUM(D4:D13)</f>
        <v>0</v>
      </c>
      <c r="E14" s="13">
        <f>SUM(E4:E13)</f>
        <v>0</v>
      </c>
      <c r="F14" s="13">
        <f>SUM(F4:F13)</f>
        <v>0</v>
      </c>
      <c r="G14" s="13">
        <f>SUM(G4:G13)</f>
        <v>0</v>
      </c>
      <c r="I14" s="10"/>
    </row>
    <row r="15" spans="1:13" x14ac:dyDescent="0.3">
      <c r="B15" t="s">
        <v>8</v>
      </c>
      <c r="I15" s="10"/>
    </row>
    <row r="16" spans="1:13" x14ac:dyDescent="0.3">
      <c r="B16" t="s">
        <v>11</v>
      </c>
      <c r="C16" s="1">
        <v>0</v>
      </c>
      <c r="D16" s="1">
        <f>C16*150</f>
        <v>0</v>
      </c>
      <c r="E16" s="1">
        <f>C16*2.5</f>
        <v>0</v>
      </c>
      <c r="F16" s="2">
        <f>C16*63</f>
        <v>0</v>
      </c>
      <c r="G16">
        <v>0</v>
      </c>
      <c r="I16" s="10">
        <v>600</v>
      </c>
    </row>
    <row r="17" spans="2:10" x14ac:dyDescent="0.3">
      <c r="B17" t="s">
        <v>13</v>
      </c>
      <c r="C17">
        <v>0</v>
      </c>
      <c r="D17" s="1">
        <f t="shared" ref="D17:D23" si="3">C17*150</f>
        <v>0</v>
      </c>
      <c r="E17" s="1">
        <f t="shared" ref="E17:E23" si="4">C17*2.5</f>
        <v>0</v>
      </c>
      <c r="F17" s="2">
        <f t="shared" ref="F17:F23" si="5">C17*63</f>
        <v>0</v>
      </c>
      <c r="G17">
        <v>0</v>
      </c>
      <c r="I17" s="10">
        <v>600</v>
      </c>
    </row>
    <row r="18" spans="2:10" x14ac:dyDescent="0.3">
      <c r="B18" t="s">
        <v>14</v>
      </c>
      <c r="C18">
        <v>0</v>
      </c>
      <c r="D18" s="1">
        <f t="shared" si="3"/>
        <v>0</v>
      </c>
      <c r="E18" s="1">
        <f t="shared" si="4"/>
        <v>0</v>
      </c>
      <c r="F18" s="2">
        <f t="shared" si="5"/>
        <v>0</v>
      </c>
      <c r="H18" t="s">
        <v>45</v>
      </c>
      <c r="I18" s="10">
        <v>0</v>
      </c>
    </row>
    <row r="19" spans="2:10" x14ac:dyDescent="0.3">
      <c r="B19" t="s">
        <v>15</v>
      </c>
      <c r="C19">
        <v>0</v>
      </c>
      <c r="D19" s="1">
        <f t="shared" si="3"/>
        <v>0</v>
      </c>
      <c r="E19" s="1">
        <f t="shared" si="4"/>
        <v>0</v>
      </c>
      <c r="F19" s="2">
        <f t="shared" si="5"/>
        <v>0</v>
      </c>
      <c r="G19">
        <v>0</v>
      </c>
      <c r="H19" t="s">
        <v>45</v>
      </c>
      <c r="I19" s="10">
        <v>0</v>
      </c>
    </row>
    <row r="20" spans="2:10" x14ac:dyDescent="0.3">
      <c r="B20" t="s">
        <v>16</v>
      </c>
      <c r="C20">
        <v>0</v>
      </c>
      <c r="D20" s="1">
        <f t="shared" si="3"/>
        <v>0</v>
      </c>
      <c r="E20" s="1">
        <f t="shared" si="4"/>
        <v>0</v>
      </c>
      <c r="F20" s="2">
        <f t="shared" si="5"/>
        <v>0</v>
      </c>
      <c r="G20">
        <v>0</v>
      </c>
      <c r="I20" s="10">
        <v>400</v>
      </c>
    </row>
    <row r="21" spans="2:10" x14ac:dyDescent="0.3">
      <c r="B21" t="s">
        <v>17</v>
      </c>
      <c r="D21" s="1" t="s">
        <v>8</v>
      </c>
      <c r="E21" s="1" t="s">
        <v>8</v>
      </c>
      <c r="F21" s="2" t="s">
        <v>8</v>
      </c>
      <c r="I21" s="10"/>
    </row>
    <row r="22" spans="2:10" x14ac:dyDescent="0.3">
      <c r="B22" t="s">
        <v>29</v>
      </c>
      <c r="D22" s="1" t="s">
        <v>8</v>
      </c>
      <c r="E22" s="1" t="s">
        <v>8</v>
      </c>
      <c r="F22" s="2" t="s">
        <v>8</v>
      </c>
      <c r="I22" s="10"/>
    </row>
    <row r="23" spans="2:10" x14ac:dyDescent="0.3">
      <c r="B23" t="s">
        <v>19</v>
      </c>
      <c r="C23">
        <v>0</v>
      </c>
      <c r="D23" s="1">
        <f t="shared" si="3"/>
        <v>0</v>
      </c>
      <c r="E23" s="1">
        <f t="shared" si="4"/>
        <v>0</v>
      </c>
      <c r="F23" s="2">
        <f t="shared" si="5"/>
        <v>0</v>
      </c>
      <c r="G23">
        <v>0</v>
      </c>
      <c r="I23" s="10">
        <v>300</v>
      </c>
    </row>
    <row r="24" spans="2:10" x14ac:dyDescent="0.3">
      <c r="B24" t="s">
        <v>20</v>
      </c>
      <c r="C24">
        <v>0</v>
      </c>
    </row>
    <row r="25" spans="2:10" x14ac:dyDescent="0.3">
      <c r="B25" t="s">
        <v>21</v>
      </c>
      <c r="C25">
        <v>0</v>
      </c>
    </row>
    <row r="26" spans="2:10" x14ac:dyDescent="0.3">
      <c r="B26" t="s">
        <v>22</v>
      </c>
      <c r="C26">
        <v>0</v>
      </c>
    </row>
    <row r="27" spans="2:10" x14ac:dyDescent="0.3">
      <c r="B27" t="s">
        <v>45</v>
      </c>
      <c r="I27" t="s">
        <v>8</v>
      </c>
      <c r="J27">
        <v>600</v>
      </c>
    </row>
    <row r="28" spans="2:10" ht="15.6" x14ac:dyDescent="0.3">
      <c r="B28" s="6" t="s">
        <v>12</v>
      </c>
      <c r="C28" s="6">
        <f>SUM(C16:C27)</f>
        <v>0</v>
      </c>
      <c r="D28" s="6">
        <f>SUM(D16:D27)</f>
        <v>0</v>
      </c>
      <c r="E28" s="6">
        <f>SUM(E16:E27)</f>
        <v>0</v>
      </c>
      <c r="F28" s="6">
        <f>SUM(F16:F27)</f>
        <v>0</v>
      </c>
      <c r="G28" s="6">
        <f>SUM(G16:G27)</f>
        <v>0</v>
      </c>
    </row>
    <row r="29" spans="2:10" ht="15.6" x14ac:dyDescent="0.3">
      <c r="B29" s="11" t="s">
        <v>39</v>
      </c>
      <c r="C29" s="11">
        <f>SUM(H29:K29)</f>
        <v>0</v>
      </c>
      <c r="D29" s="11">
        <f>C29*150</f>
        <v>0</v>
      </c>
      <c r="E29" s="12">
        <f>SUM(E14+E28)</f>
        <v>0</v>
      </c>
      <c r="F29" s="12">
        <f>SUM(F4:F14)</f>
        <v>0</v>
      </c>
      <c r="G29" s="12">
        <f>SUM(G4:G14)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F5E9-4AA4-4D94-8ABA-DB31131E98B9}">
  <dimension ref="A1:G29"/>
  <sheetViews>
    <sheetView topLeftCell="A20" workbookViewId="0">
      <selection activeCell="H33" sqref="H33"/>
    </sheetView>
  </sheetViews>
  <sheetFormatPr defaultRowHeight="14.4" x14ac:dyDescent="0.3"/>
  <sheetData>
    <row r="1" spans="1:6" x14ac:dyDescent="0.3">
      <c r="A1" t="s">
        <v>161</v>
      </c>
      <c r="C1">
        <v>2018</v>
      </c>
      <c r="D1" t="s">
        <v>30</v>
      </c>
    </row>
    <row r="3" spans="1:6" x14ac:dyDescent="0.3">
      <c r="C3" t="s">
        <v>4</v>
      </c>
      <c r="D3" t="s">
        <v>5</v>
      </c>
      <c r="E3" t="s">
        <v>6</v>
      </c>
      <c r="F3" t="s">
        <v>7</v>
      </c>
    </row>
    <row r="4" spans="1:6" x14ac:dyDescent="0.3">
      <c r="B4" t="s">
        <v>3</v>
      </c>
      <c r="C4">
        <v>0</v>
      </c>
      <c r="D4">
        <f>C4*150</f>
        <v>0</v>
      </c>
      <c r="E4">
        <f>C4*2.5</f>
        <v>0</v>
      </c>
      <c r="F4">
        <f>C4*63</f>
        <v>0</v>
      </c>
    </row>
    <row r="5" spans="1:6" x14ac:dyDescent="0.3">
      <c r="B5" t="s">
        <v>9</v>
      </c>
      <c r="C5">
        <v>0</v>
      </c>
      <c r="D5">
        <f t="shared" ref="D5:D12" si="0">C5*150</f>
        <v>0</v>
      </c>
      <c r="E5">
        <f t="shared" ref="E5:E12" si="1">C5*2.5</f>
        <v>0</v>
      </c>
      <c r="F5">
        <f t="shared" ref="F5:F12" si="2">C5*63</f>
        <v>0</v>
      </c>
    </row>
    <row r="6" spans="1:6" x14ac:dyDescent="0.3">
      <c r="B6" t="s">
        <v>23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3">
      <c r="B7" t="s">
        <v>24</v>
      </c>
      <c r="D7" t="s">
        <v>8</v>
      </c>
      <c r="E7" t="s">
        <v>8</v>
      </c>
      <c r="F7" t="s">
        <v>8</v>
      </c>
    </row>
    <row r="8" spans="1:6" x14ac:dyDescent="0.3">
      <c r="B8" t="s">
        <v>25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3">
      <c r="B9" t="s">
        <v>26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3">
      <c r="B10" t="s">
        <v>28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3">
      <c r="B11" t="s">
        <v>58</v>
      </c>
      <c r="D11" t="s">
        <v>8</v>
      </c>
      <c r="E11" t="s">
        <v>8</v>
      </c>
      <c r="F11" t="s">
        <v>8</v>
      </c>
    </row>
    <row r="12" spans="1:6" x14ac:dyDescent="0.3">
      <c r="B12" t="s">
        <v>27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3">
      <c r="C13" t="s">
        <v>8</v>
      </c>
    </row>
    <row r="14" spans="1:6" x14ac:dyDescent="0.3">
      <c r="B14" t="s">
        <v>10</v>
      </c>
      <c r="C14">
        <f>SUM(C4:C13)</f>
        <v>0</v>
      </c>
      <c r="D14">
        <f>SUM(D4:D13)</f>
        <v>0</v>
      </c>
      <c r="E14">
        <f>SUM(E4:E13)</f>
        <v>0</v>
      </c>
      <c r="F14">
        <f>SUM(F4:F13)</f>
        <v>0</v>
      </c>
    </row>
    <row r="15" spans="1:6" x14ac:dyDescent="0.3">
      <c r="B15" t="s">
        <v>8</v>
      </c>
    </row>
    <row r="16" spans="1:6" x14ac:dyDescent="0.3">
      <c r="B16" t="s">
        <v>11</v>
      </c>
      <c r="C16">
        <v>0</v>
      </c>
      <c r="D16">
        <f>C16*150</f>
        <v>0</v>
      </c>
      <c r="E16">
        <f>C16*2.5</f>
        <v>0</v>
      </c>
      <c r="F16">
        <f>C16*63</f>
        <v>0</v>
      </c>
    </row>
    <row r="17" spans="2:7" x14ac:dyDescent="0.3">
      <c r="B17" t="s">
        <v>13</v>
      </c>
      <c r="C17">
        <v>0</v>
      </c>
      <c r="D17">
        <f t="shared" ref="D17:D27" si="3">C17*150</f>
        <v>0</v>
      </c>
      <c r="E17">
        <f t="shared" ref="E17:E27" si="4">C17*2.5</f>
        <v>0</v>
      </c>
      <c r="F17">
        <f t="shared" ref="F17:F27" si="5">C17*63</f>
        <v>0</v>
      </c>
    </row>
    <row r="18" spans="2:7" x14ac:dyDescent="0.3">
      <c r="B18" t="s">
        <v>14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2:7" x14ac:dyDescent="0.3">
      <c r="B19" t="s">
        <v>15</v>
      </c>
      <c r="C19">
        <v>0</v>
      </c>
      <c r="D19">
        <f t="shared" si="3"/>
        <v>0</v>
      </c>
      <c r="E19">
        <f t="shared" si="4"/>
        <v>0</v>
      </c>
      <c r="F19">
        <f t="shared" si="5"/>
        <v>0</v>
      </c>
    </row>
    <row r="20" spans="2:7" x14ac:dyDescent="0.3">
      <c r="B20" t="s">
        <v>16</v>
      </c>
      <c r="C20">
        <v>0</v>
      </c>
      <c r="D20">
        <f t="shared" si="3"/>
        <v>0</v>
      </c>
      <c r="E20">
        <f t="shared" si="4"/>
        <v>0</v>
      </c>
      <c r="F20">
        <f t="shared" si="5"/>
        <v>0</v>
      </c>
    </row>
    <row r="21" spans="2:7" x14ac:dyDescent="0.3">
      <c r="B21" t="s">
        <v>17</v>
      </c>
      <c r="D21" t="s">
        <v>8</v>
      </c>
      <c r="E21" t="s">
        <v>8</v>
      </c>
      <c r="F21" t="s">
        <v>8</v>
      </c>
    </row>
    <row r="22" spans="2:7" x14ac:dyDescent="0.3">
      <c r="B22" t="s">
        <v>29</v>
      </c>
      <c r="C22" t="s">
        <v>8</v>
      </c>
      <c r="D22" t="s">
        <v>8</v>
      </c>
      <c r="E22" t="s">
        <v>8</v>
      </c>
      <c r="F22" t="s">
        <v>8</v>
      </c>
    </row>
    <row r="23" spans="2:7" x14ac:dyDescent="0.3">
      <c r="B23" t="s">
        <v>19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</row>
    <row r="24" spans="2:7" x14ac:dyDescent="0.3">
      <c r="B24" t="s">
        <v>20</v>
      </c>
      <c r="D24" t="s">
        <v>8</v>
      </c>
      <c r="E24" t="s">
        <v>8</v>
      </c>
      <c r="F24" t="s">
        <v>8</v>
      </c>
    </row>
    <row r="25" spans="2:7" x14ac:dyDescent="0.3">
      <c r="B25" t="s">
        <v>21</v>
      </c>
      <c r="D25" t="s">
        <v>8</v>
      </c>
      <c r="E25" t="s">
        <v>8</v>
      </c>
      <c r="F25" t="s">
        <v>8</v>
      </c>
    </row>
    <row r="26" spans="2:7" x14ac:dyDescent="0.3">
      <c r="B26" t="s">
        <v>22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</row>
    <row r="27" spans="2:7" x14ac:dyDescent="0.3">
      <c r="B27" t="s">
        <v>61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</row>
    <row r="28" spans="2:7" x14ac:dyDescent="0.3">
      <c r="B28" t="s">
        <v>12</v>
      </c>
      <c r="C28">
        <f>SUM(C16:C27)</f>
        <v>0</v>
      </c>
      <c r="D28">
        <f>SUM(D16:D27)</f>
        <v>0</v>
      </c>
      <c r="E28">
        <f>SUM(E16:E27)</f>
        <v>0</v>
      </c>
      <c r="F28">
        <f>SUM(F16:F27)</f>
        <v>0</v>
      </c>
    </row>
    <row r="29" spans="2:7" x14ac:dyDescent="0.3">
      <c r="B29" t="s">
        <v>39</v>
      </c>
      <c r="C29">
        <f>SUM(C14+C28)</f>
        <v>0</v>
      </c>
      <c r="D29">
        <f>SUM(D14+D28)</f>
        <v>0</v>
      </c>
      <c r="E29">
        <f>SUM(E14+E28)</f>
        <v>0</v>
      </c>
      <c r="F29">
        <f>SUM(F14+F28)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A7DF-7D1F-4023-9C0F-C1FF1551CFAC}">
  <sheetPr filterMode="1"/>
  <dimension ref="A1:M64"/>
  <sheetViews>
    <sheetView zoomScale="135" workbookViewId="0">
      <selection activeCell="E66" sqref="E66"/>
    </sheetView>
  </sheetViews>
  <sheetFormatPr defaultRowHeight="14.4" x14ac:dyDescent="0.3"/>
  <cols>
    <col min="1" max="1" width="12.88671875" customWidth="1"/>
    <col min="3" max="4" width="22.109375" customWidth="1"/>
  </cols>
  <sheetData>
    <row r="1" spans="1:11" x14ac:dyDescent="0.3">
      <c r="A1" t="s">
        <v>84</v>
      </c>
      <c r="C1" t="s">
        <v>83</v>
      </c>
      <c r="D1" t="s">
        <v>81</v>
      </c>
      <c r="E1" t="s">
        <v>82</v>
      </c>
      <c r="J1" t="s">
        <v>46</v>
      </c>
      <c r="K1" t="s">
        <v>106</v>
      </c>
    </row>
    <row r="2" spans="1:11" hidden="1" x14ac:dyDescent="0.3">
      <c r="A2" s="60">
        <v>44444</v>
      </c>
      <c r="B2" t="s">
        <v>78</v>
      </c>
      <c r="C2" t="s">
        <v>77</v>
      </c>
      <c r="D2" t="s">
        <v>3</v>
      </c>
      <c r="E2">
        <v>9.25</v>
      </c>
      <c r="F2" t="s">
        <v>4</v>
      </c>
      <c r="J2">
        <v>0</v>
      </c>
      <c r="K2">
        <v>0</v>
      </c>
    </row>
    <row r="3" spans="1:11" hidden="1" x14ac:dyDescent="0.3">
      <c r="A3" s="60">
        <v>44445</v>
      </c>
      <c r="B3" t="s">
        <v>79</v>
      </c>
      <c r="C3" t="s">
        <v>80</v>
      </c>
      <c r="D3" t="s">
        <v>85</v>
      </c>
      <c r="E3">
        <v>1</v>
      </c>
      <c r="F3" t="s">
        <v>4</v>
      </c>
      <c r="J3">
        <v>0</v>
      </c>
      <c r="K3">
        <v>0</v>
      </c>
    </row>
    <row r="4" spans="1:11" hidden="1" x14ac:dyDescent="0.3">
      <c r="A4" s="60">
        <v>44445</v>
      </c>
      <c r="B4" t="s">
        <v>86</v>
      </c>
      <c r="C4" t="s">
        <v>80</v>
      </c>
      <c r="D4" t="s">
        <v>20</v>
      </c>
      <c r="E4">
        <v>3</v>
      </c>
      <c r="F4" t="s">
        <v>4</v>
      </c>
      <c r="J4">
        <v>0</v>
      </c>
      <c r="K4">
        <v>0</v>
      </c>
    </row>
    <row r="5" spans="1:11" hidden="1" x14ac:dyDescent="0.3">
      <c r="A5" s="60">
        <v>44445</v>
      </c>
      <c r="B5" t="s">
        <v>87</v>
      </c>
      <c r="C5" t="s">
        <v>80</v>
      </c>
      <c r="D5" t="s">
        <v>76</v>
      </c>
      <c r="E5">
        <v>3</v>
      </c>
      <c r="F5" t="s">
        <v>4</v>
      </c>
      <c r="J5">
        <v>0</v>
      </c>
      <c r="K5">
        <v>0</v>
      </c>
    </row>
    <row r="6" spans="1:11" hidden="1" x14ac:dyDescent="0.3">
      <c r="A6" s="60">
        <v>44445</v>
      </c>
      <c r="B6" t="s">
        <v>90</v>
      </c>
      <c r="C6" t="s">
        <v>80</v>
      </c>
      <c r="D6" t="s">
        <v>88</v>
      </c>
      <c r="E6">
        <v>3</v>
      </c>
      <c r="F6" t="s">
        <v>4</v>
      </c>
      <c r="J6">
        <v>0</v>
      </c>
      <c r="K6">
        <v>0</v>
      </c>
    </row>
    <row r="7" spans="1:11" hidden="1" x14ac:dyDescent="0.3">
      <c r="A7" s="60">
        <v>44445</v>
      </c>
      <c r="B7" t="s">
        <v>91</v>
      </c>
      <c r="C7" t="s">
        <v>80</v>
      </c>
      <c r="D7" t="s">
        <v>89</v>
      </c>
      <c r="E7">
        <v>3</v>
      </c>
      <c r="F7" t="s">
        <v>4</v>
      </c>
      <c r="J7">
        <v>0</v>
      </c>
      <c r="K7">
        <v>0</v>
      </c>
    </row>
    <row r="8" spans="1:11" hidden="1" x14ac:dyDescent="0.3">
      <c r="A8" s="60">
        <v>44445</v>
      </c>
      <c r="B8" t="s">
        <v>92</v>
      </c>
      <c r="C8" t="s">
        <v>80</v>
      </c>
      <c r="D8" t="s">
        <v>9</v>
      </c>
      <c r="E8" s="44">
        <f>G8/150</f>
        <v>3.6666666666666665</v>
      </c>
      <c r="F8" t="s">
        <v>4</v>
      </c>
      <c r="G8">
        <v>550</v>
      </c>
      <c r="H8" t="s">
        <v>96</v>
      </c>
      <c r="J8">
        <v>0</v>
      </c>
      <c r="K8">
        <v>0</v>
      </c>
    </row>
    <row r="9" spans="1:11" hidden="1" x14ac:dyDescent="0.3">
      <c r="A9" s="60">
        <v>44445</v>
      </c>
      <c r="B9" t="s">
        <v>93</v>
      </c>
      <c r="C9" t="s">
        <v>80</v>
      </c>
      <c r="D9" t="s">
        <v>17</v>
      </c>
      <c r="E9" s="44">
        <f>G9/150</f>
        <v>1.8333333333333333</v>
      </c>
      <c r="F9" t="s">
        <v>4</v>
      </c>
      <c r="G9">
        <v>275</v>
      </c>
      <c r="H9" t="s">
        <v>96</v>
      </c>
      <c r="J9">
        <v>0</v>
      </c>
      <c r="K9">
        <v>90</v>
      </c>
    </row>
    <row r="10" spans="1:11" hidden="1" x14ac:dyDescent="0.3">
      <c r="A10" s="60">
        <v>44445</v>
      </c>
      <c r="B10" t="s">
        <v>94</v>
      </c>
      <c r="C10" t="s">
        <v>80</v>
      </c>
      <c r="D10" t="s">
        <v>95</v>
      </c>
      <c r="E10" s="44">
        <f>G10/150</f>
        <v>5.5</v>
      </c>
      <c r="F10" t="s">
        <v>4</v>
      </c>
      <c r="G10">
        <f>275*3</f>
        <v>825</v>
      </c>
      <c r="H10" t="s">
        <v>96</v>
      </c>
      <c r="J10">
        <v>0</v>
      </c>
      <c r="K10">
        <v>0</v>
      </c>
    </row>
    <row r="11" spans="1:11" hidden="1" x14ac:dyDescent="0.3">
      <c r="A11" s="60">
        <v>44445</v>
      </c>
      <c r="B11" t="s">
        <v>97</v>
      </c>
      <c r="C11" t="s">
        <v>60</v>
      </c>
      <c r="D11" t="s">
        <v>21</v>
      </c>
      <c r="E11">
        <v>2.2999999999999998</v>
      </c>
      <c r="F11" t="s">
        <v>107</v>
      </c>
      <c r="J11">
        <v>12</v>
      </c>
      <c r="K11">
        <v>0</v>
      </c>
    </row>
    <row r="12" spans="1:11" hidden="1" x14ac:dyDescent="0.3">
      <c r="A12" s="60">
        <v>44452</v>
      </c>
      <c r="B12" t="s">
        <v>94</v>
      </c>
      <c r="C12" t="s">
        <v>80</v>
      </c>
      <c r="D12" t="s">
        <v>20</v>
      </c>
      <c r="E12">
        <v>1</v>
      </c>
      <c r="F12" t="s">
        <v>108</v>
      </c>
      <c r="J12">
        <v>0</v>
      </c>
      <c r="K12">
        <v>0</v>
      </c>
    </row>
    <row r="13" spans="1:11" hidden="1" x14ac:dyDescent="0.3">
      <c r="A13" s="60">
        <v>44452</v>
      </c>
      <c r="B13" t="s">
        <v>109</v>
      </c>
      <c r="C13" t="s">
        <v>80</v>
      </c>
      <c r="D13" t="s">
        <v>110</v>
      </c>
      <c r="E13">
        <v>10</v>
      </c>
      <c r="F13" t="s">
        <v>107</v>
      </c>
      <c r="G13">
        <v>507</v>
      </c>
      <c r="J13">
        <v>0</v>
      </c>
      <c r="K13">
        <v>0</v>
      </c>
    </row>
    <row r="14" spans="1:11" hidden="1" x14ac:dyDescent="0.3">
      <c r="A14" s="60">
        <v>44452</v>
      </c>
      <c r="B14" t="s">
        <v>111</v>
      </c>
      <c r="C14" t="s">
        <v>80</v>
      </c>
      <c r="D14" t="s">
        <v>112</v>
      </c>
      <c r="E14" s="44">
        <f>G14/150</f>
        <v>3.38</v>
      </c>
      <c r="F14" t="s">
        <v>107</v>
      </c>
      <c r="G14">
        <v>507</v>
      </c>
      <c r="J14">
        <v>0</v>
      </c>
      <c r="K14">
        <v>0</v>
      </c>
    </row>
    <row r="15" spans="1:11" hidden="1" x14ac:dyDescent="0.3">
      <c r="A15" s="60">
        <v>44452</v>
      </c>
      <c r="B15" t="s">
        <v>113</v>
      </c>
      <c r="C15" t="s">
        <v>80</v>
      </c>
      <c r="D15" t="s">
        <v>9</v>
      </c>
      <c r="E15" s="44">
        <f>G15/150</f>
        <v>1.7666666666666666</v>
      </c>
      <c r="F15" t="s">
        <v>107</v>
      </c>
      <c r="G15">
        <v>265</v>
      </c>
      <c r="J15">
        <v>9</v>
      </c>
      <c r="K15">
        <v>0</v>
      </c>
    </row>
    <row r="16" spans="1:11" hidden="1" x14ac:dyDescent="0.3">
      <c r="A16" s="60">
        <v>44453</v>
      </c>
      <c r="B16" t="s">
        <v>114</v>
      </c>
      <c r="C16" t="s">
        <v>115</v>
      </c>
      <c r="D16" t="s">
        <v>116</v>
      </c>
      <c r="E16">
        <v>4.5999999999999996</v>
      </c>
      <c r="F16" t="s">
        <v>107</v>
      </c>
      <c r="G16" t="s">
        <v>8</v>
      </c>
      <c r="J16">
        <v>6</v>
      </c>
      <c r="K16">
        <v>0</v>
      </c>
    </row>
    <row r="17" spans="1:11" hidden="1" x14ac:dyDescent="0.3">
      <c r="A17" t="s">
        <v>8</v>
      </c>
    </row>
    <row r="18" spans="1:11" hidden="1" x14ac:dyDescent="0.3">
      <c r="A18" s="60">
        <v>44455</v>
      </c>
      <c r="B18" t="s">
        <v>117</v>
      </c>
      <c r="C18" t="s">
        <v>118</v>
      </c>
      <c r="D18" t="s">
        <v>9</v>
      </c>
      <c r="E18">
        <v>4.5</v>
      </c>
      <c r="F18" t="s">
        <v>107</v>
      </c>
      <c r="J18">
        <v>12</v>
      </c>
      <c r="K18">
        <v>0</v>
      </c>
    </row>
    <row r="19" spans="1:11" hidden="1" x14ac:dyDescent="0.3">
      <c r="A19" s="60">
        <v>44455</v>
      </c>
      <c r="B19" t="s">
        <v>119</v>
      </c>
      <c r="C19" t="s">
        <v>66</v>
      </c>
      <c r="D19" t="s">
        <v>9</v>
      </c>
      <c r="E19">
        <v>3.5</v>
      </c>
      <c r="F19" t="s">
        <v>107</v>
      </c>
      <c r="J19">
        <v>54</v>
      </c>
      <c r="K19">
        <v>0</v>
      </c>
    </row>
    <row r="20" spans="1:11" hidden="1" x14ac:dyDescent="0.3">
      <c r="A20" s="60">
        <v>44456</v>
      </c>
      <c r="B20" t="s">
        <v>120</v>
      </c>
      <c r="C20" t="s">
        <v>121</v>
      </c>
      <c r="D20" t="s">
        <v>122</v>
      </c>
      <c r="E20">
        <v>4.3499999999999996</v>
      </c>
      <c r="F20" t="s">
        <v>107</v>
      </c>
      <c r="J20">
        <v>60</v>
      </c>
      <c r="K20">
        <v>0</v>
      </c>
    </row>
    <row r="21" spans="1:11" hidden="1" x14ac:dyDescent="0.3">
      <c r="A21" s="60">
        <v>44459</v>
      </c>
      <c r="B21" t="s">
        <v>123</v>
      </c>
      <c r="C21" t="s">
        <v>124</v>
      </c>
      <c r="D21" t="s">
        <v>15</v>
      </c>
      <c r="E21">
        <v>12.398</v>
      </c>
      <c r="F21" t="s">
        <v>107</v>
      </c>
      <c r="J21">
        <f>12*7.5</f>
        <v>90</v>
      </c>
      <c r="K21">
        <v>0</v>
      </c>
    </row>
    <row r="22" spans="1:11" hidden="1" x14ac:dyDescent="0.3">
      <c r="A22" s="60">
        <v>44463</v>
      </c>
      <c r="B22" t="s">
        <v>125</v>
      </c>
      <c r="C22" t="s">
        <v>77</v>
      </c>
      <c r="D22" t="s">
        <v>3</v>
      </c>
      <c r="E22">
        <v>4.7</v>
      </c>
      <c r="F22" t="s">
        <v>107</v>
      </c>
      <c r="G22" t="s">
        <v>8</v>
      </c>
      <c r="J22">
        <v>66</v>
      </c>
      <c r="K22">
        <v>155</v>
      </c>
    </row>
    <row r="23" spans="1:11" hidden="1" x14ac:dyDescent="0.3">
      <c r="A23" s="60">
        <v>44466</v>
      </c>
      <c r="B23" t="s">
        <v>126</v>
      </c>
      <c r="C23" t="s">
        <v>66</v>
      </c>
      <c r="D23" t="s">
        <v>44</v>
      </c>
      <c r="E23">
        <v>9.25</v>
      </c>
      <c r="F23" t="s">
        <v>107</v>
      </c>
    </row>
    <row r="24" spans="1:11" x14ac:dyDescent="0.3">
      <c r="A24" s="60">
        <v>44466</v>
      </c>
      <c r="B24" t="s">
        <v>127</v>
      </c>
      <c r="C24" t="s">
        <v>98</v>
      </c>
      <c r="D24" t="s">
        <v>11</v>
      </c>
      <c r="E24">
        <v>1.7</v>
      </c>
      <c r="F24" t="s">
        <v>107</v>
      </c>
      <c r="J24">
        <v>12</v>
      </c>
      <c r="K24">
        <v>60</v>
      </c>
    </row>
    <row r="25" spans="1:11" hidden="1" x14ac:dyDescent="0.3">
      <c r="A25" s="60">
        <v>44467</v>
      </c>
      <c r="B25" t="s">
        <v>128</v>
      </c>
      <c r="C25" t="s">
        <v>118</v>
      </c>
      <c r="D25" t="s">
        <v>21</v>
      </c>
      <c r="E25">
        <v>9.1199999999999992</v>
      </c>
      <c r="F25" t="s">
        <v>107</v>
      </c>
      <c r="J25">
        <v>30</v>
      </c>
      <c r="K25">
        <v>0</v>
      </c>
    </row>
    <row r="26" spans="1:11" hidden="1" x14ac:dyDescent="0.3"/>
    <row r="27" spans="1:11" hidden="1" x14ac:dyDescent="0.3">
      <c r="A27" s="60">
        <v>44473</v>
      </c>
      <c r="B27" t="s">
        <v>129</v>
      </c>
      <c r="C27" t="s">
        <v>130</v>
      </c>
      <c r="D27" t="s">
        <v>122</v>
      </c>
      <c r="E27">
        <v>1</v>
      </c>
      <c r="F27" t="s">
        <v>107</v>
      </c>
      <c r="J27">
        <v>6</v>
      </c>
      <c r="K27">
        <v>0</v>
      </c>
    </row>
    <row r="28" spans="1:11" hidden="1" x14ac:dyDescent="0.3">
      <c r="A28" s="60">
        <v>44474</v>
      </c>
      <c r="B28" t="s">
        <v>131</v>
      </c>
      <c r="C28" t="s">
        <v>118</v>
      </c>
      <c r="D28" t="s">
        <v>44</v>
      </c>
      <c r="E28">
        <v>6.59</v>
      </c>
      <c r="F28" t="s">
        <v>107</v>
      </c>
      <c r="J28">
        <v>12</v>
      </c>
      <c r="K28">
        <v>0</v>
      </c>
    </row>
    <row r="29" spans="1:11" hidden="1" x14ac:dyDescent="0.3"/>
    <row r="30" spans="1:11" hidden="1" x14ac:dyDescent="0.3">
      <c r="A30" s="60">
        <v>44473</v>
      </c>
      <c r="B30" t="s">
        <v>132</v>
      </c>
      <c r="C30" t="s">
        <v>80</v>
      </c>
      <c r="D30" t="s">
        <v>133</v>
      </c>
      <c r="E30" s="44">
        <f>G30/150</f>
        <v>1.8333333333333333</v>
      </c>
      <c r="F30" t="s">
        <v>4</v>
      </c>
      <c r="G30">
        <v>275</v>
      </c>
      <c r="H30" t="s">
        <v>96</v>
      </c>
      <c r="J30">
        <v>0</v>
      </c>
      <c r="K30">
        <v>0</v>
      </c>
    </row>
    <row r="31" spans="1:11" hidden="1" x14ac:dyDescent="0.3"/>
    <row r="32" spans="1:11" hidden="1" x14ac:dyDescent="0.3">
      <c r="A32" s="60">
        <v>44474</v>
      </c>
      <c r="B32" t="s">
        <v>134</v>
      </c>
      <c r="C32" t="s">
        <v>80</v>
      </c>
      <c r="D32" t="s">
        <v>22</v>
      </c>
      <c r="E32">
        <v>7</v>
      </c>
      <c r="F32" t="s">
        <v>107</v>
      </c>
      <c r="J32">
        <v>0</v>
      </c>
      <c r="K32">
        <v>0</v>
      </c>
    </row>
    <row r="33" spans="1:13" hidden="1" x14ac:dyDescent="0.3">
      <c r="A33" s="60">
        <v>44474</v>
      </c>
      <c r="B33" t="s">
        <v>135</v>
      </c>
      <c r="C33" t="s">
        <v>80</v>
      </c>
      <c r="D33" t="s">
        <v>105</v>
      </c>
      <c r="E33">
        <v>2</v>
      </c>
      <c r="F33" t="s">
        <v>107</v>
      </c>
      <c r="J33">
        <v>0</v>
      </c>
      <c r="K33">
        <v>0</v>
      </c>
    </row>
    <row r="34" spans="1:13" hidden="1" x14ac:dyDescent="0.3">
      <c r="A34" s="60">
        <v>44474</v>
      </c>
      <c r="B34" t="s">
        <v>136</v>
      </c>
      <c r="C34" t="s">
        <v>80</v>
      </c>
      <c r="D34" t="s">
        <v>14</v>
      </c>
      <c r="E34">
        <v>1</v>
      </c>
      <c r="F34" t="s">
        <v>107</v>
      </c>
      <c r="J34">
        <v>0</v>
      </c>
      <c r="K34">
        <v>0</v>
      </c>
      <c r="M34" t="s">
        <v>8</v>
      </c>
    </row>
    <row r="35" spans="1:13" hidden="1" x14ac:dyDescent="0.3">
      <c r="A35" s="60">
        <v>44474</v>
      </c>
      <c r="B35" t="s">
        <v>137</v>
      </c>
      <c r="C35" t="s">
        <v>80</v>
      </c>
      <c r="D35" t="s">
        <v>138</v>
      </c>
      <c r="E35">
        <v>3</v>
      </c>
      <c r="F35" t="s">
        <v>107</v>
      </c>
      <c r="J35">
        <v>18</v>
      </c>
      <c r="K35">
        <v>0</v>
      </c>
    </row>
    <row r="36" spans="1:13" x14ac:dyDescent="0.3">
      <c r="A36" s="60">
        <v>44475</v>
      </c>
      <c r="B36" t="s">
        <v>139</v>
      </c>
      <c r="C36" t="s">
        <v>140</v>
      </c>
      <c r="D36" t="s">
        <v>11</v>
      </c>
      <c r="E36">
        <f>4365/2000</f>
        <v>2.1825000000000001</v>
      </c>
      <c r="F36" t="s">
        <v>107</v>
      </c>
      <c r="J36">
        <v>24</v>
      </c>
      <c r="K36">
        <v>0</v>
      </c>
    </row>
    <row r="37" spans="1:13" hidden="1" x14ac:dyDescent="0.3">
      <c r="A37" s="60">
        <v>44475</v>
      </c>
      <c r="B37" t="s">
        <v>141</v>
      </c>
      <c r="C37" t="s">
        <v>118</v>
      </c>
      <c r="D37" t="s">
        <v>15</v>
      </c>
      <c r="E37">
        <v>8.3000000000000007</v>
      </c>
      <c r="F37" t="s">
        <v>107</v>
      </c>
      <c r="J37">
        <f>9*8</f>
        <v>72</v>
      </c>
      <c r="K37">
        <f>8 * (45)</f>
        <v>360</v>
      </c>
      <c r="M37" t="s">
        <v>8</v>
      </c>
    </row>
    <row r="38" spans="1:13" x14ac:dyDescent="0.3">
      <c r="A38" s="60">
        <v>44475</v>
      </c>
      <c r="B38" t="s">
        <v>142</v>
      </c>
      <c r="C38" t="s">
        <v>118</v>
      </c>
      <c r="D38" t="s">
        <v>11</v>
      </c>
      <c r="E38">
        <v>5.27</v>
      </c>
      <c r="F38" t="s">
        <v>107</v>
      </c>
      <c r="J38">
        <f>(12*3)+ (9*1)</f>
        <v>45</v>
      </c>
      <c r="K38">
        <v>0</v>
      </c>
    </row>
    <row r="39" spans="1:13" hidden="1" x14ac:dyDescent="0.3">
      <c r="A39" s="60">
        <v>44477</v>
      </c>
      <c r="B39" t="s">
        <v>143</v>
      </c>
      <c r="C39" t="s">
        <v>118</v>
      </c>
      <c r="D39" t="s">
        <v>122</v>
      </c>
      <c r="E39">
        <v>8.23</v>
      </c>
      <c r="F39" t="s">
        <v>107</v>
      </c>
      <c r="J39">
        <v>60</v>
      </c>
      <c r="K39">
        <v>0</v>
      </c>
    </row>
    <row r="40" spans="1:13" x14ac:dyDescent="0.3">
      <c r="A40" s="60">
        <v>44477</v>
      </c>
      <c r="B40" t="s">
        <v>144</v>
      </c>
      <c r="C40" t="s">
        <v>130</v>
      </c>
      <c r="D40" t="s">
        <v>11</v>
      </c>
      <c r="E40">
        <v>2.87</v>
      </c>
      <c r="F40" t="s">
        <v>107</v>
      </c>
      <c r="J40">
        <v>18</v>
      </c>
      <c r="K40">
        <v>0</v>
      </c>
    </row>
    <row r="41" spans="1:13" x14ac:dyDescent="0.3">
      <c r="A41" s="60">
        <v>44483</v>
      </c>
      <c r="B41" t="s">
        <v>145</v>
      </c>
      <c r="C41" t="s">
        <v>118</v>
      </c>
      <c r="D41" t="s">
        <v>11</v>
      </c>
      <c r="E41">
        <v>4.63</v>
      </c>
      <c r="F41" t="s">
        <v>107</v>
      </c>
      <c r="J41">
        <f>7*9</f>
        <v>63</v>
      </c>
      <c r="K41">
        <f>210</f>
        <v>210</v>
      </c>
    </row>
    <row r="42" spans="1:13" hidden="1" x14ac:dyDescent="0.3">
      <c r="A42" s="60">
        <v>44483</v>
      </c>
      <c r="B42" t="s">
        <v>146</v>
      </c>
      <c r="C42" t="s">
        <v>147</v>
      </c>
      <c r="D42" t="s">
        <v>122</v>
      </c>
      <c r="E42">
        <v>3.68</v>
      </c>
      <c r="F42" t="s">
        <v>107</v>
      </c>
      <c r="J42">
        <v>0</v>
      </c>
      <c r="K42">
        <v>0</v>
      </c>
    </row>
    <row r="43" spans="1:13" x14ac:dyDescent="0.3">
      <c r="A43" s="60">
        <v>44484</v>
      </c>
      <c r="B43" t="s">
        <v>148</v>
      </c>
      <c r="C43" t="s">
        <v>80</v>
      </c>
      <c r="D43" t="s">
        <v>11</v>
      </c>
      <c r="E43">
        <v>4</v>
      </c>
      <c r="F43" t="s">
        <v>107</v>
      </c>
      <c r="J43">
        <v>0</v>
      </c>
      <c r="K43">
        <v>0</v>
      </c>
    </row>
    <row r="44" spans="1:13" hidden="1" x14ac:dyDescent="0.3">
      <c r="A44" s="60">
        <v>44484</v>
      </c>
      <c r="B44" t="s">
        <v>149</v>
      </c>
      <c r="C44" t="s">
        <v>80</v>
      </c>
      <c r="D44" t="s">
        <v>13</v>
      </c>
      <c r="E44">
        <v>1</v>
      </c>
      <c r="F44" t="s">
        <v>108</v>
      </c>
      <c r="J44">
        <v>0</v>
      </c>
      <c r="K44">
        <v>0</v>
      </c>
    </row>
    <row r="45" spans="1:13" hidden="1" x14ac:dyDescent="0.3">
      <c r="A45" s="60">
        <v>44484</v>
      </c>
      <c r="B45" t="s">
        <v>150</v>
      </c>
      <c r="C45" t="s">
        <v>80</v>
      </c>
      <c r="D45" t="s">
        <v>22</v>
      </c>
      <c r="E45">
        <v>1</v>
      </c>
      <c r="F45" t="s">
        <v>151</v>
      </c>
      <c r="J45">
        <v>0</v>
      </c>
      <c r="K45">
        <v>0</v>
      </c>
    </row>
    <row r="46" spans="1:13" hidden="1" x14ac:dyDescent="0.3">
      <c r="A46" s="60">
        <v>44484</v>
      </c>
      <c r="B46" t="s">
        <v>152</v>
      </c>
      <c r="C46" t="s">
        <v>80</v>
      </c>
      <c r="D46" t="s">
        <v>153</v>
      </c>
      <c r="E46">
        <v>0.5</v>
      </c>
      <c r="F46" t="s">
        <v>151</v>
      </c>
      <c r="J46">
        <v>0</v>
      </c>
      <c r="K46">
        <v>0</v>
      </c>
    </row>
    <row r="47" spans="1:13" hidden="1" x14ac:dyDescent="0.3"/>
    <row r="48" spans="1:13" hidden="1" x14ac:dyDescent="0.3">
      <c r="A48" s="60">
        <v>44487</v>
      </c>
      <c r="B48" t="s">
        <v>154</v>
      </c>
      <c r="C48" t="s">
        <v>155</v>
      </c>
      <c r="D48" t="s">
        <v>156</v>
      </c>
      <c r="E48">
        <v>1.75</v>
      </c>
      <c r="F48" t="s">
        <v>107</v>
      </c>
      <c r="J48">
        <v>0</v>
      </c>
      <c r="K48">
        <v>50</v>
      </c>
    </row>
    <row r="49" spans="1:11" hidden="1" x14ac:dyDescent="0.3">
      <c r="A49" s="60">
        <v>44489</v>
      </c>
      <c r="B49" t="s">
        <v>157</v>
      </c>
      <c r="C49" t="s">
        <v>158</v>
      </c>
      <c r="D49" t="s">
        <v>13</v>
      </c>
      <c r="E49">
        <v>8.52</v>
      </c>
      <c r="F49" t="s">
        <v>107</v>
      </c>
      <c r="J49">
        <f>9*9</f>
        <v>81</v>
      </c>
      <c r="K49">
        <f>30*9</f>
        <v>270</v>
      </c>
    </row>
    <row r="50" spans="1:11" hidden="1" x14ac:dyDescent="0.3"/>
    <row r="51" spans="1:11" hidden="1" x14ac:dyDescent="0.3">
      <c r="D51" t="s">
        <v>39</v>
      </c>
      <c r="E51">
        <f>SUM(E2:E49)</f>
        <v>180.17050000000003</v>
      </c>
      <c r="J51">
        <f>SUM(J2:J49)</f>
        <v>750</v>
      </c>
      <c r="K51">
        <f>SUM(K2:K49)</f>
        <v>1195</v>
      </c>
    </row>
    <row r="52" spans="1:11" hidden="1" x14ac:dyDescent="0.3"/>
    <row r="53" spans="1:11" hidden="1" x14ac:dyDescent="0.3"/>
    <row r="54" spans="1:11" hidden="1" x14ac:dyDescent="0.3"/>
    <row r="55" spans="1:11" hidden="1" x14ac:dyDescent="0.3">
      <c r="J55">
        <v>738</v>
      </c>
      <c r="K55" t="s">
        <v>159</v>
      </c>
    </row>
    <row r="56" spans="1:11" hidden="1" x14ac:dyDescent="0.3">
      <c r="J56" t="s">
        <v>160</v>
      </c>
    </row>
    <row r="64" spans="1:11" x14ac:dyDescent="0.3">
      <c r="E64" t="s">
        <v>8</v>
      </c>
    </row>
  </sheetData>
  <autoFilter ref="A1:K56" xr:uid="{3021A7DF-7D1F-4023-9C0F-C1FF1551CFAC}">
    <filterColumn colId="3">
      <filters>
        <filter val="Cab Franc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315-71DE-458E-A95B-CFAD25DA328A}">
  <dimension ref="B3:F3"/>
  <sheetViews>
    <sheetView workbookViewId="0">
      <selection activeCell="B7" sqref="B7"/>
    </sheetView>
  </sheetViews>
  <sheetFormatPr defaultRowHeight="14.4" x14ac:dyDescent="0.3"/>
  <sheetData>
    <row r="3" spans="2:6" x14ac:dyDescent="0.3">
      <c r="B3">
        <v>1.5</v>
      </c>
      <c r="C3" t="s">
        <v>5</v>
      </c>
      <c r="D3">
        <v>100</v>
      </c>
      <c r="E3" t="s">
        <v>5</v>
      </c>
      <c r="F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Pearmund</vt:lpstr>
      <vt:lpstr>Effingham</vt:lpstr>
      <vt:lpstr>Vint Hill</vt:lpstr>
      <vt:lpstr>Maybe</vt:lpstr>
      <vt:lpstr>Less So</vt:lpstr>
      <vt:lpstr>2021 Actuals</vt:lpstr>
      <vt:lpstr>Notes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Pearmund</dc:creator>
  <cp:lastModifiedBy>MMW</cp:lastModifiedBy>
  <dcterms:created xsi:type="dcterms:W3CDTF">2010-03-01T20:36:56Z</dcterms:created>
  <dcterms:modified xsi:type="dcterms:W3CDTF">2022-08-19T15:22:31Z</dcterms:modified>
</cp:coreProperties>
</file>