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codeName="ThisWorkbook"/>
  <mc:AlternateContent xmlns:mc="http://schemas.openxmlformats.org/markup-compatibility/2006">
    <mc:Choice Requires="x15">
      <x15ac:absPath xmlns:x15ac="http://schemas.microsoft.com/office/spreadsheetml/2010/11/ac" url="C:\Users\nedpe\Desktop\WINDOW WORLD DOCS\"/>
    </mc:Choice>
  </mc:AlternateContent>
  <xr:revisionPtr revIDLastSave="0" documentId="13_ncr:1_{564314EB-BC45-46FB-8A08-B78565AD2B66}" xr6:coauthVersionLast="47" xr6:coauthVersionMax="47" xr10:uidLastSave="{00000000-0000-0000-0000-000000000000}"/>
  <bookViews>
    <workbookView xWindow="972" yWindow="1044" windowWidth="21600" windowHeight="11232" tabRatio="733" activeTab="2" xr2:uid="{00000000-000D-0000-FFFF-FFFF00000000}"/>
  </bookViews>
  <sheets>
    <sheet name="Contract" sheetId="2" r:id="rId1"/>
    <sheet name="Warranty" sheetId="4" r:id="rId2"/>
    <sheet name="Order Form" sheetId="5" r:id="rId3"/>
    <sheet name="Maintenance Agreement " sheetId="6" r:id="rId4"/>
    <sheet name="Finance Options" sheetId="7" r:id="rId5"/>
    <sheet name="Contractors License" sheetId="8" r:id="rId6"/>
    <sheet name="COI" sheetId="9" r:id="rId7"/>
  </sheets>
  <definedNames>
    <definedName name="_2Excel_BuiltIn_Print_Area_1">Contract!$C:$V</definedName>
    <definedName name="_3Excel_BuiltIn_Print_Area_3" localSheetId="2">'Order Form'!$A$1:$AM$60</definedName>
    <definedName name="Address">Contract!$F$10</definedName>
    <definedName name="AdministrativeFee">Contract!$T$74</definedName>
    <definedName name="AlumStuccoRemovalRange" localSheetId="2">'Order Form'!$AP$31:$AP$54</definedName>
    <definedName name="AmtFinanced">Contract!$T$78</definedName>
    <definedName name="ArgonGasQty">Contract!$M$16</definedName>
    <definedName name="BalanceToCollect">Contract!$T$77</definedName>
    <definedName name="BayWindowQty">Contract!$M$53</definedName>
    <definedName name="BeigeColor" localSheetId="2">'Order Form'!$C$138</definedName>
    <definedName name="BeigeColorQty">Contract!$M$19</definedName>
    <definedName name="CapTrim" localSheetId="2">'Order Form'!$C$152</definedName>
    <definedName name="CasementAwning1" localSheetId="2">'Order Form'!$C$164</definedName>
    <definedName name="CasementAwning2" localSheetId="2">'Order Form'!$C$165</definedName>
    <definedName name="CasementAwning3" localSheetId="2">'Order Form'!$C$166</definedName>
    <definedName name="CasementAwningAll" localSheetId="2">'Order Form'!$C$167</definedName>
    <definedName name="CasementAwningQty">Contract!$C$23</definedName>
    <definedName name="CellPhone">Contract!$S$11</definedName>
    <definedName name="City">Contract!$F$11</definedName>
    <definedName name="ColonialContouredGridsQty">Contract!$M$31</definedName>
    <definedName name="ColorRange" localSheetId="2">'Order Form'!$E$31:$E$54</definedName>
    <definedName name="CustId">Contract!$K$10</definedName>
    <definedName name="CustName">Contract!$F$9</definedName>
    <definedName name="CustomJambQty">Contract!$M$47</definedName>
    <definedName name="CustomTrim" localSheetId="2">'Order Form'!$C$151</definedName>
    <definedName name="CustomTrimQty">Contract!$M$49</definedName>
    <definedName name="DoorGridRange" localSheetId="2">'Order Form'!$AW$31:$AW$54</definedName>
    <definedName name="DoorLe" localSheetId="2">'Order Form'!$C$157</definedName>
    <definedName name="DoorLee" localSheetId="2">'Order Form'!$C$158</definedName>
    <definedName name="DoorLeeRange" localSheetId="2">'Order Form'!$AV$31:$AV$54</definedName>
    <definedName name="DoorLeRange" localSheetId="2">'Order Form'!$AU$31:$AU$54</definedName>
    <definedName name="DoubleHung4000Price">Contract!$H$16</definedName>
    <definedName name="DoubleHung4000Qty">Contract!$C$16</definedName>
    <definedName name="DoubleHung6000Price">Contract!$H$15</definedName>
    <definedName name="DoubleHung6000Qty">Contract!$C$15</definedName>
    <definedName name="DoubleLocksQty">Contract!$M$15</definedName>
    <definedName name="EmailAddress">Contract!$J$9</definedName>
    <definedName name="EnergyStarQty">Contract!$M$37</definedName>
    <definedName name="EnergyStarTGQty">Contract!$M$38</definedName>
    <definedName name="EnergyStarTKQty">Contract!$M$39</definedName>
    <definedName name="ESQty">Contract!$Y$37</definedName>
    <definedName name="ESVPArgonQty">Contract!$Y$38</definedName>
    <definedName name="ESVPQty">Contract!$Y$39</definedName>
    <definedName name="ExteriorCappingQty">Contract!$M$48</definedName>
    <definedName name="ExternalColorQty">Contract!$M$32</definedName>
    <definedName name="FinishAndTrim" localSheetId="2">'Order Form'!$C$153</definedName>
    <definedName name="FoamInsulationWrapQty">Contract!$M$17</definedName>
    <definedName name="FullScreen" localSheetId="2">'Order Form'!$C$137</definedName>
    <definedName name="FullScreenPrice">Contract!$T$14</definedName>
    <definedName name="FullScreenQty">Contract!$M$14</definedName>
    <definedName name="FullScreenRange" localSheetId="2">'Order Form'!$AA$31:$AA$54</definedName>
    <definedName name="GlassOptionLe" localSheetId="2">'Order Form'!$C$141</definedName>
    <definedName name="GlassOptionLee" localSheetId="2">'Order Form'!$C$140</definedName>
    <definedName name="GlassOptionRange" localSheetId="2">'Order Form'!$P$31:$P$54</definedName>
    <definedName name="GridsDoor" localSheetId="2">'Order Form'!$C$160</definedName>
    <definedName name="GridsPatioDoorQty">Contract!$C$52</definedName>
    <definedName name="GridStyleRange" localSheetId="2">'Order Form'!$R$31:$R$54</definedName>
    <definedName name="GridsWindow" localSheetId="2">'Order Form'!$C$142</definedName>
    <definedName name="HalfScreenQty">Contract!$M$13</definedName>
    <definedName name="HomePhone">Contract!$S$9</definedName>
    <definedName name="InstallExtCappingPrice">Contract!$T$49</definedName>
    <definedName name="JobAmount">Contract!$T$76</definedName>
    <definedName name="LifetimeGlassWarrantyQty">Contract!$M$27</definedName>
    <definedName name="MiscLabor1Desc">Contract!$O$55</definedName>
    <definedName name="MiscLabor1Price">Contract!$T$55</definedName>
    <definedName name="MiscLabor1Qty">Contract!$M$54</definedName>
    <definedName name="MiscLabor3Desc">Contract!$O$60</definedName>
    <definedName name="MiscLabor3Price">Contract!$T$60</definedName>
    <definedName name="MiscLabor3Qty">Contract!$M$60</definedName>
    <definedName name="MiscPatioDoorDesc">Contract!$E$60</definedName>
    <definedName name="MiscPatioDoorPrice">Contract!$H$60</definedName>
    <definedName name="MiscPatioDoorQty">Contract!$C$60</definedName>
    <definedName name="Model0201" localSheetId="2">'Order Form'!$C$66</definedName>
    <definedName name="Model0202" localSheetId="2">'Order Form'!$C$67</definedName>
    <definedName name="Model0203" localSheetId="2">'Order Form'!$C$68</definedName>
    <definedName name="Model0204" localSheetId="2">'Order Form'!$C$69</definedName>
    <definedName name="Model0209" localSheetId="2">'Order Form'!$C$70</definedName>
    <definedName name="Model0401" localSheetId="2">'Order Form'!$C$71</definedName>
    <definedName name="Model0402" localSheetId="2">'Order Form'!$C$72</definedName>
    <definedName name="Model0403" localSheetId="2">'Order Form'!$C$73</definedName>
    <definedName name="Model0404" localSheetId="2">'Order Form'!$C$74</definedName>
    <definedName name="Model0409" localSheetId="2">'Order Form'!$C$75</definedName>
    <definedName name="Model0501" localSheetId="2">'Order Form'!$C$76</definedName>
    <definedName name="Model0502" localSheetId="2">'Order Form'!$C$77</definedName>
    <definedName name="Model0503" localSheetId="2">'Order Form'!$C$78</definedName>
    <definedName name="Model0504" localSheetId="2">'Order Form'!$C$79</definedName>
    <definedName name="Model0509" localSheetId="2">'Order Form'!$C$80</definedName>
    <definedName name="Model0522" localSheetId="2">'Order Form'!$C$81</definedName>
    <definedName name="Model0523" localSheetId="2">'Order Form'!$C$82</definedName>
    <definedName name="Model0529" localSheetId="2">'Order Form'!$C$83</definedName>
    <definedName name="Model0601" localSheetId="2">'Order Form'!$C$84</definedName>
    <definedName name="Model0602" localSheetId="2">'Order Form'!$C$85</definedName>
    <definedName name="Model0603" localSheetId="2">'Order Form'!$C$86</definedName>
    <definedName name="Model0609" localSheetId="2">'Order Form'!$C$87</definedName>
    <definedName name="Model0614" localSheetId="2">'Order Form'!$C$88</definedName>
    <definedName name="Model0901" localSheetId="2">'Order Form'!$C$89</definedName>
    <definedName name="Model0902" localSheetId="2">'Order Form'!$C$90</definedName>
    <definedName name="Model0903" localSheetId="2">'Order Form'!$C$91</definedName>
    <definedName name="Model0909" localSheetId="2">'Order Form'!$C$92</definedName>
    <definedName name="Model0914" localSheetId="2">'Order Form'!$C$93</definedName>
    <definedName name="Model0951" localSheetId="2">'Order Form'!$C$94</definedName>
    <definedName name="Model0952" localSheetId="2">'Order Form'!$C$95</definedName>
    <definedName name="Model0954" localSheetId="2">'Order Form'!$C$96</definedName>
    <definedName name="Model0955" localSheetId="2">'Order Form'!$C$97</definedName>
    <definedName name="Model0970" localSheetId="2">'Order Form'!$C$98</definedName>
    <definedName name="Model0971" localSheetId="2">'Order Form'!$C$99</definedName>
    <definedName name="Model0972" localSheetId="2">'Order Form'!$C$100</definedName>
    <definedName name="Model0973" localSheetId="2">'Order Form'!$C$101</definedName>
    <definedName name="Model0979" localSheetId="2">'Order Form'!$C$102</definedName>
    <definedName name="Model6105" localSheetId="2">'Order Form'!$C$103</definedName>
    <definedName name="Model6106" localSheetId="2">'Order Form'!$C$104</definedName>
    <definedName name="Model6108" localSheetId="2">'Order Form'!$C$105</definedName>
    <definedName name="Model6109" localSheetId="2">'Order Form'!$C$106</definedName>
    <definedName name="Model6112" localSheetId="2">'Order Form'!$C$107</definedName>
    <definedName name="Model6122" localSheetId="2">'Order Form'!$C$108</definedName>
    <definedName name="ModelRange" localSheetId="2">'Order Form'!$D$31:$D$54</definedName>
    <definedName name="ModelS105" localSheetId="2">'Order Form'!$C$109</definedName>
    <definedName name="ModelS110" localSheetId="2">'Order Form'!$C$110</definedName>
    <definedName name="ModelS111" localSheetId="2">'Order Form'!$C$111</definedName>
    <definedName name="ModelS112" localSheetId="2">'Order Form'!$C$112</definedName>
    <definedName name="ModelS113" localSheetId="2">'Order Form'!$C$113</definedName>
    <definedName name="ModelS114" localSheetId="2">'Order Form'!$C$114</definedName>
    <definedName name="ModelS115" localSheetId="2">'Order Form'!$C$115</definedName>
    <definedName name="ModelS116" localSheetId="2">'Order Form'!$C$116</definedName>
    <definedName name="ModelS117" localSheetId="2">'Order Form'!$C$117</definedName>
    <definedName name="ModelS118" localSheetId="2">'Order Form'!$C$118</definedName>
    <definedName name="ModelS119" localSheetId="2">'Order Form'!$C$119</definedName>
    <definedName name="ModelS120" localSheetId="2">'Order Form'!$C$120</definedName>
    <definedName name="ModelS121" localSheetId="2">'Order Form'!$C$121</definedName>
    <definedName name="ModelS122" localSheetId="2">'Order Form'!$C$122</definedName>
    <definedName name="ModelS123" localSheetId="2">'Order Form'!$C$123</definedName>
    <definedName name="ModelS124" localSheetId="2">'Order Form'!$C$124</definedName>
    <definedName name="ModelS125" localSheetId="2">'Order Form'!$C$125</definedName>
    <definedName name="ModelS126" localSheetId="2">'Order Form'!$C$126</definedName>
    <definedName name="ModelS127" localSheetId="2">'Order Form'!$C$127</definedName>
    <definedName name="ModelS128" localSheetId="2">'Order Form'!$C$128</definedName>
    <definedName name="ModelS129" localSheetId="2">'Order Form'!$C$129</definedName>
    <definedName name="ModelS130" localSheetId="2">'Order Form'!$C$130</definedName>
    <definedName name="ModelS131" localSheetId="2">'Order Form'!$C$131</definedName>
    <definedName name="ModelS132" localSheetId="2">'Order Form'!$C$132</definedName>
    <definedName name="ModelS133" localSheetId="2">'Order Form'!$C$133</definedName>
    <definedName name="ModelS140" localSheetId="2">'Order Form'!$C$134</definedName>
    <definedName name="ModelS144" localSheetId="2">'Order Form'!$C$135</definedName>
    <definedName name="ModelS146" localSheetId="2">'Order Form'!$C$136</definedName>
    <definedName name="Mullion" localSheetId="2">'Order Form'!$C$170</definedName>
    <definedName name="MullionQty">Contract!$M$45</definedName>
    <definedName name="MullTypeRange" localSheetId="2">'Order Form'!$M$31:$M$54</definedName>
    <definedName name="NumWins">Contract!$Y$36</definedName>
    <definedName name="NumWinsRange" localSheetId="2">'Order Form'!$C$31:$C$54</definedName>
    <definedName name="ObscureBottomRange" localSheetId="2">'Order Form'!$X$31:$X$54</definedName>
    <definedName name="ObscureFullRange" localSheetId="2">'Order Form'!$U$31:$W$54</definedName>
    <definedName name="ObscureGlass" localSheetId="2">'Order Form'!$C$143</definedName>
    <definedName name="ObscureGlassQty">Contract!$M$24</definedName>
    <definedName name="Option1Desc">Contract!$O$31</definedName>
    <definedName name="Option1Price">Contract!$T$32</definedName>
    <definedName name="Option1Qty">Contract!$M$33</definedName>
    <definedName name="Option2Desc">Contract!$O$34</definedName>
    <definedName name="Option2Price">Contract!$T$34</definedName>
    <definedName name="Option2Qty">Contract!$M$34</definedName>
    <definedName name="Oriel" localSheetId="2">'Order Form'!$C$154</definedName>
    <definedName name="OrielCottageQty">Contract!$M$30</definedName>
    <definedName name="OrielDimRange" localSheetId="2">'Order Form'!$AB$31:$AB$54</definedName>
    <definedName name="PatioDoor06Qty">Contract!$C$43</definedName>
    <definedName name="PatioDoor08Qty">Contract!$C$44</definedName>
    <definedName name="PatioDoor09Qty">Contract!$C$45</definedName>
    <definedName name="PatioDoor12Qty">Contract!$C$46</definedName>
    <definedName name="PictureWindow" localSheetId="2">'Order Form'!$C$161</definedName>
    <definedName name="PictureWindowPrice">Contract!$H$20</definedName>
    <definedName name="PictureWindowQty">Contract!$C$20</definedName>
    <definedName name="_xlnm.Print_Area" localSheetId="0">Contract!$A$1:$X$113</definedName>
    <definedName name="_xlnm.Print_Area" localSheetId="2">'Order Form'!$B$2:$AL$60</definedName>
    <definedName name="RegularMull" localSheetId="2">'Order Form'!$C$171</definedName>
    <definedName name="RemovalTypeRange" localSheetId="2">'Order Form'!$AH$31:$AJ$54</definedName>
    <definedName name="RemoveAlum" localSheetId="2">'Order Form'!$C$146</definedName>
    <definedName name="RemoveAlumStucco" localSheetId="2">'Order Form'!$C$148</definedName>
    <definedName name="RemoveAlumStuccoQty">Contract!$M$43</definedName>
    <definedName name="RemoveAlumWindowQty">Contract!$M$41</definedName>
    <definedName name="RemoveSteel" localSheetId="2">'Order Form'!$C$147</definedName>
    <definedName name="RemoveSteelStucco" localSheetId="2">'Order Form'!$C$149</definedName>
    <definedName name="RemoveSteelStuccoQty">Contract!$M$44</definedName>
    <definedName name="RemoveSteelWindowQty">Contract!$M$42</definedName>
    <definedName name="RemoveStorm" localSheetId="2">'Order Form'!$C$145</definedName>
    <definedName name="RepairSillQty">Contract!$M$51</definedName>
    <definedName name="ScreenTypeFull" localSheetId="2">'Order Form'!$C$144</definedName>
    <definedName name="SecondStoryQty">Contract!$M$52</definedName>
    <definedName name="Series6000UpchargeQty">Contract!$C$24</definedName>
    <definedName name="Series6000Upsell" localSheetId="2">'Order Form'!$C$168</definedName>
    <definedName name="ShuttersQty">Contract!$C$37</definedName>
    <definedName name="SolarZoneLeDoorQty">Contract!$C$49</definedName>
    <definedName name="SolarZoneLeeDoorQty">Contract!$C$51</definedName>
    <definedName name="SolarZoneLeeQty">Contract!$M$22</definedName>
    <definedName name="SolarZoneLeQty">Contract!$M$21</definedName>
    <definedName name="SpecialShapeOperatingSash" localSheetId="2">'Order Form'!$C$169</definedName>
    <definedName name="SpecialtyWindow1Desc">Contract!$E$31</definedName>
    <definedName name="SpecialtyWindow1Price">Contract!$H$31</definedName>
    <definedName name="SpecialtyWindow1Qty">Contract!$C$31</definedName>
    <definedName name="SpecialtyWindowQty1">Contract!$C$31</definedName>
    <definedName name="State">Contract!$H$11</definedName>
    <definedName name="SteelStuccoRemovalRange" localSheetId="2">'Order Form'!$AQ$31:$AQ$54</definedName>
    <definedName name="StructuralMullQty">Contract!$M$46</definedName>
    <definedName name="TemperedGlassQty">Contract!$M$23</definedName>
    <definedName name="TG2EnergyStarQty">Contract!$L$37</definedName>
    <definedName name="ThreeLiteSlider" localSheetId="2">'Order Form'!$C$163</definedName>
    <definedName name="ThreeLiteSliderPrice">Contract!$H$22</definedName>
    <definedName name="ThreeLiteSliderQty">Contract!$C$22</definedName>
    <definedName name="TrimRange" localSheetId="2">'Order Form'!$AG$31:$AG$54</definedName>
    <definedName name="TwoLiteSlider" localSheetId="2">'Order Form'!$C$162</definedName>
    <definedName name="TwoLiteSliderPrice">Contract!$H$21</definedName>
    <definedName name="TwoLiteSliderQty">Contract!$C$21</definedName>
    <definedName name="ValuePlusQty">Contract!$M$36</definedName>
    <definedName name="VinylTrim" localSheetId="2">'Order Form'!$C$150</definedName>
    <definedName name="WindowGrid" localSheetId="2">'Order Form'!$C$159</definedName>
    <definedName name="WindowGridRange" localSheetId="2">'Order Form'!$AT$31:$AT$54</definedName>
    <definedName name="WindowLe" localSheetId="2">'Order Form'!$C$155</definedName>
    <definedName name="WindowLee" localSheetId="2">'Order Form'!$C$156</definedName>
    <definedName name="WindowLeeRange" localSheetId="2">'Order Form'!$AS$31:$AS$54</definedName>
    <definedName name="WindowLeRange" localSheetId="2">'Order Form'!$AR$31:$AR$54</definedName>
    <definedName name="WoodGrain" localSheetId="2">'Order Form'!$C$139</definedName>
    <definedName name="WoodGrainQty">Contract!$M$20</definedName>
    <definedName name="WoodgrainRange" localSheetId="2">'Order Form'!$G$31:$G$54</definedName>
    <definedName name="WorkPhone">Contract!$S$10</definedName>
    <definedName name="YearBuilt">Contract!$G$40</definedName>
    <definedName name="Zip">Contract!$L$11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58" i="2" l="1"/>
  <c r="V57" i="2"/>
  <c r="V56" i="2"/>
  <c r="V55" i="2"/>
  <c r="V54" i="2"/>
  <c r="V53" i="2"/>
  <c r="V52" i="2"/>
  <c r="V51" i="2"/>
  <c r="V50" i="2"/>
  <c r="V49" i="2"/>
  <c r="V48" i="2"/>
  <c r="V47" i="2"/>
  <c r="V23" i="2" l="1"/>
  <c r="M21" i="2"/>
  <c r="V21" i="2" l="1"/>
  <c r="V38" i="2"/>
  <c r="J59" i="2"/>
  <c r="J58" i="2"/>
  <c r="J57" i="2"/>
  <c r="J56" i="2"/>
  <c r="J55" i="2"/>
  <c r="J54" i="2"/>
  <c r="J53" i="2"/>
  <c r="J52" i="2"/>
  <c r="J51" i="2"/>
  <c r="J50" i="2"/>
  <c r="J49" i="2"/>
  <c r="Y38" i="2" l="1"/>
  <c r="V26" i="2" l="1"/>
  <c r="V29" i="2" l="1"/>
  <c r="V28" i="2"/>
  <c r="V27" i="2"/>
  <c r="V24" i="2"/>
  <c r="V20" i="2"/>
  <c r="V19" i="2"/>
  <c r="V32" i="2"/>
  <c r="AG14" i="5" l="1"/>
  <c r="AG13" i="5"/>
  <c r="I6" i="6"/>
  <c r="Y36" i="2"/>
  <c r="C8" i="6" s="1"/>
  <c r="M17" i="2" l="1"/>
  <c r="V17" i="2" s="1"/>
  <c r="M16" i="2" l="1"/>
  <c r="Y39" i="2"/>
  <c r="Y37" i="2"/>
  <c r="M22" i="2" l="1"/>
  <c r="M13" i="2"/>
  <c r="M18" i="2"/>
  <c r="M25" i="2"/>
  <c r="M15" i="2"/>
  <c r="J48" i="2"/>
  <c r="J46" i="2"/>
  <c r="V39" i="2" l="1"/>
  <c r="V46" i="2" l="1"/>
  <c r="V45" i="2"/>
  <c r="V44" i="2"/>
  <c r="V43" i="2"/>
  <c r="V42" i="2"/>
  <c r="V41" i="2"/>
  <c r="V37" i="2"/>
  <c r="V36" i="2"/>
  <c r="V34" i="2"/>
  <c r="V33" i="2"/>
  <c r="V14" i="2"/>
  <c r="J31" i="2"/>
  <c r="J30" i="2"/>
  <c r="J29" i="2"/>
  <c r="J28" i="2"/>
  <c r="J26" i="2"/>
  <c r="J25" i="2"/>
  <c r="J24" i="2"/>
  <c r="J23" i="2"/>
  <c r="J22" i="2"/>
  <c r="J21" i="2"/>
  <c r="J20" i="2"/>
  <c r="J16" i="2"/>
  <c r="J15" i="2"/>
  <c r="T84" i="2" l="1"/>
  <c r="T87" i="2"/>
  <c r="V31" i="2" l="1"/>
  <c r="J44" i="2"/>
  <c r="J45" i="2"/>
  <c r="J47" i="2"/>
  <c r="J60" i="2"/>
  <c r="J43" i="2"/>
  <c r="J27" i="2"/>
  <c r="J32" i="2"/>
  <c r="T73" i="2" s="1"/>
  <c r="J37" i="6" l="1"/>
  <c r="E37" i="6"/>
  <c r="J7" i="6"/>
  <c r="G6" i="6"/>
  <c r="AB9" i="5"/>
  <c r="H7" i="6" l="1"/>
  <c r="F7" i="6"/>
  <c r="B7" i="6"/>
  <c r="C6" i="6"/>
  <c r="AK15" i="5"/>
  <c r="AD15" i="5"/>
  <c r="S15" i="5"/>
  <c r="S13" i="5"/>
  <c r="M31" i="5" l="1"/>
  <c r="P31" i="5"/>
  <c r="AS31" i="5" s="1"/>
  <c r="AC31" i="5"/>
  <c r="AP31" i="5"/>
  <c r="AQ31" i="5"/>
  <c r="AT31" i="5"/>
  <c r="AW31" i="5"/>
  <c r="E32" i="5"/>
  <c r="M32" i="5"/>
  <c r="P32" i="5"/>
  <c r="AS32" i="5" s="1"/>
  <c r="AC32" i="5"/>
  <c r="AF32" i="5"/>
  <c r="AG32" i="5"/>
  <c r="AH32" i="5"/>
  <c r="AK32" i="5"/>
  <c r="AT32" i="5"/>
  <c r="AW32" i="5"/>
  <c r="E33" i="5"/>
  <c r="M33" i="5"/>
  <c r="P33" i="5"/>
  <c r="AS33" i="5" s="1"/>
  <c r="AC33" i="5"/>
  <c r="AF33" i="5"/>
  <c r="AG33" i="5"/>
  <c r="AH33" i="5"/>
  <c r="AK33" i="5"/>
  <c r="AT33" i="5"/>
  <c r="AW33" i="5"/>
  <c r="E34" i="5"/>
  <c r="M34" i="5"/>
  <c r="P34" i="5"/>
  <c r="AS34" i="5" s="1"/>
  <c r="AC34" i="5"/>
  <c r="AF34" i="5"/>
  <c r="AG34" i="5"/>
  <c r="AH34" i="5"/>
  <c r="AK34" i="5"/>
  <c r="AT34" i="5"/>
  <c r="AW34" i="5"/>
  <c r="E35" i="5"/>
  <c r="M35" i="5"/>
  <c r="P35" i="5"/>
  <c r="AS35" i="5" s="1"/>
  <c r="AC35" i="5"/>
  <c r="AF35" i="5"/>
  <c r="AG35" i="5"/>
  <c r="AH35" i="5"/>
  <c r="AQ35" i="5" s="1"/>
  <c r="AK35" i="5"/>
  <c r="AT35" i="5"/>
  <c r="AW35" i="5"/>
  <c r="E36" i="5"/>
  <c r="M36" i="5"/>
  <c r="P36" i="5"/>
  <c r="AS36" i="5" s="1"/>
  <c r="AC36" i="5"/>
  <c r="AF36" i="5"/>
  <c r="AG36" i="5"/>
  <c r="AH36" i="5"/>
  <c r="AK36" i="5"/>
  <c r="AT36" i="5"/>
  <c r="AW36" i="5"/>
  <c r="E37" i="5"/>
  <c r="M37" i="5"/>
  <c r="P37" i="5"/>
  <c r="AS37" i="5" s="1"/>
  <c r="AC37" i="5"/>
  <c r="AF37" i="5"/>
  <c r="AG37" i="5"/>
  <c r="AH37" i="5"/>
  <c r="AK37" i="5"/>
  <c r="AT37" i="5"/>
  <c r="AW37" i="5"/>
  <c r="E38" i="5"/>
  <c r="M38" i="5"/>
  <c r="P38" i="5"/>
  <c r="AS38" i="5" s="1"/>
  <c r="AC38" i="5"/>
  <c r="AF38" i="5"/>
  <c r="AG38" i="5"/>
  <c r="AH38" i="5"/>
  <c r="AK38" i="5"/>
  <c r="AT38" i="5"/>
  <c r="AW38" i="5"/>
  <c r="E39" i="5"/>
  <c r="M39" i="5"/>
  <c r="P39" i="5"/>
  <c r="AS39" i="5" s="1"/>
  <c r="AC39" i="5"/>
  <c r="AF39" i="5"/>
  <c r="AG39" i="5"/>
  <c r="AH39" i="5"/>
  <c r="AK39" i="5"/>
  <c r="AT39" i="5"/>
  <c r="AW39" i="5"/>
  <c r="E40" i="5"/>
  <c r="M40" i="5"/>
  <c r="P40" i="5"/>
  <c r="AS40" i="5" s="1"/>
  <c r="AC40" i="5"/>
  <c r="AF40" i="5"/>
  <c r="AG40" i="5"/>
  <c r="AH40" i="5"/>
  <c r="AK40" i="5"/>
  <c r="AT40" i="5"/>
  <c r="AW40" i="5"/>
  <c r="E41" i="5"/>
  <c r="M41" i="5"/>
  <c r="P41" i="5"/>
  <c r="AS41" i="5" s="1"/>
  <c r="AC41" i="5"/>
  <c r="AF41" i="5"/>
  <c r="AG41" i="5"/>
  <c r="AH41" i="5"/>
  <c r="AK41" i="5"/>
  <c r="AT41" i="5"/>
  <c r="AW41" i="5"/>
  <c r="E42" i="5"/>
  <c r="M42" i="5"/>
  <c r="P42" i="5"/>
  <c r="AS42" i="5" s="1"/>
  <c r="AC42" i="5"/>
  <c r="AF42" i="5"/>
  <c r="AG42" i="5"/>
  <c r="AH42" i="5"/>
  <c r="AK42" i="5"/>
  <c r="AT42" i="5"/>
  <c r="AW42" i="5"/>
  <c r="E43" i="5"/>
  <c r="M43" i="5"/>
  <c r="P43" i="5"/>
  <c r="AS43" i="5" s="1"/>
  <c r="AC43" i="5"/>
  <c r="AF43" i="5"/>
  <c r="AG43" i="5"/>
  <c r="AH43" i="5"/>
  <c r="AK43" i="5"/>
  <c r="AT43" i="5"/>
  <c r="AW43" i="5"/>
  <c r="E44" i="5"/>
  <c r="M44" i="5"/>
  <c r="P44" i="5"/>
  <c r="AS44" i="5" s="1"/>
  <c r="AC44" i="5"/>
  <c r="AF44" i="5"/>
  <c r="AG44" i="5"/>
  <c r="AH44" i="5"/>
  <c r="AK44" i="5"/>
  <c r="AT44" i="5"/>
  <c r="AW44" i="5"/>
  <c r="E45" i="5"/>
  <c r="M45" i="5"/>
  <c r="P45" i="5"/>
  <c r="AS45" i="5" s="1"/>
  <c r="AC45" i="5"/>
  <c r="AF45" i="5"/>
  <c r="AG45" i="5"/>
  <c r="AH45" i="5"/>
  <c r="AK45" i="5"/>
  <c r="AT45" i="5"/>
  <c r="AW45" i="5"/>
  <c r="E46" i="5"/>
  <c r="M46" i="5"/>
  <c r="P46" i="5"/>
  <c r="AS46" i="5" s="1"/>
  <c r="AC46" i="5"/>
  <c r="AF46" i="5"/>
  <c r="AG46" i="5"/>
  <c r="AH46" i="5"/>
  <c r="AK46" i="5"/>
  <c r="AT46" i="5"/>
  <c r="AW46" i="5"/>
  <c r="E47" i="5"/>
  <c r="M47" i="5"/>
  <c r="P47" i="5"/>
  <c r="AS47" i="5" s="1"/>
  <c r="AC47" i="5"/>
  <c r="AF47" i="5"/>
  <c r="AG47" i="5"/>
  <c r="AH47" i="5"/>
  <c r="AK47" i="5"/>
  <c r="AT47" i="5"/>
  <c r="AW47" i="5"/>
  <c r="E48" i="5"/>
  <c r="M48" i="5"/>
  <c r="P48" i="5"/>
  <c r="AS48" i="5" s="1"/>
  <c r="AC48" i="5"/>
  <c r="AF48" i="5"/>
  <c r="AG48" i="5"/>
  <c r="AH48" i="5"/>
  <c r="AK48" i="5"/>
  <c r="AT48" i="5"/>
  <c r="AW48" i="5"/>
  <c r="E49" i="5"/>
  <c r="M49" i="5"/>
  <c r="P49" i="5"/>
  <c r="AS49" i="5" s="1"/>
  <c r="AC49" i="5"/>
  <c r="AF49" i="5"/>
  <c r="AG49" i="5"/>
  <c r="AH49" i="5"/>
  <c r="AK49" i="5"/>
  <c r="AT49" i="5"/>
  <c r="AW49" i="5"/>
  <c r="E50" i="5"/>
  <c r="M50" i="5"/>
  <c r="P50" i="5"/>
  <c r="AS50" i="5" s="1"/>
  <c r="AC50" i="5"/>
  <c r="AF50" i="5"/>
  <c r="AG50" i="5"/>
  <c r="AH50" i="5"/>
  <c r="AK50" i="5"/>
  <c r="AT50" i="5"/>
  <c r="AW50" i="5"/>
  <c r="E51" i="5"/>
  <c r="M51" i="5"/>
  <c r="P51" i="5"/>
  <c r="AS51" i="5" s="1"/>
  <c r="AC51" i="5"/>
  <c r="AF51" i="5"/>
  <c r="AG51" i="5"/>
  <c r="AH51" i="5"/>
  <c r="AK51" i="5"/>
  <c r="AT51" i="5"/>
  <c r="AW51" i="5"/>
  <c r="E52" i="5"/>
  <c r="M52" i="5"/>
  <c r="P52" i="5"/>
  <c r="AS52" i="5" s="1"/>
  <c r="AC52" i="5"/>
  <c r="AF52" i="5"/>
  <c r="AG52" i="5"/>
  <c r="AH52" i="5"/>
  <c r="AK52" i="5"/>
  <c r="AT52" i="5"/>
  <c r="AW52" i="5"/>
  <c r="E53" i="5"/>
  <c r="M53" i="5"/>
  <c r="P53" i="5"/>
  <c r="AS53" i="5" s="1"/>
  <c r="AC53" i="5"/>
  <c r="AF53" i="5"/>
  <c r="AG53" i="5"/>
  <c r="AH53" i="5"/>
  <c r="AK53" i="5"/>
  <c r="AT53" i="5"/>
  <c r="AW53" i="5"/>
  <c r="E54" i="5"/>
  <c r="M54" i="5"/>
  <c r="P54" i="5"/>
  <c r="AS54" i="5" s="1"/>
  <c r="AC54" i="5"/>
  <c r="AF54" i="5"/>
  <c r="AG54" i="5"/>
  <c r="AH54" i="5"/>
  <c r="AK54" i="5"/>
  <c r="AT54" i="5"/>
  <c r="AW54" i="5"/>
  <c r="R55" i="5"/>
  <c r="C66" i="5"/>
  <c r="C67" i="5"/>
  <c r="C68" i="5"/>
  <c r="C69" i="5"/>
  <c r="C70" i="5"/>
  <c r="C71" i="5"/>
  <c r="C72" i="5"/>
  <c r="C73" i="5"/>
  <c r="C74" i="5"/>
  <c r="C75" i="5"/>
  <c r="C76" i="5"/>
  <c r="C77" i="5"/>
  <c r="C78" i="5"/>
  <c r="C79" i="5"/>
  <c r="C80" i="5"/>
  <c r="C81" i="5"/>
  <c r="C82" i="5"/>
  <c r="C83" i="5"/>
  <c r="C84" i="5"/>
  <c r="C85" i="5"/>
  <c r="C86" i="5"/>
  <c r="C87" i="5"/>
  <c r="C88" i="5"/>
  <c r="C89" i="5"/>
  <c r="C90" i="5"/>
  <c r="C91" i="5"/>
  <c r="C92" i="5"/>
  <c r="C93" i="5"/>
  <c r="C94" i="5"/>
  <c r="C95" i="5"/>
  <c r="C96" i="5"/>
  <c r="C97" i="5"/>
  <c r="C98" i="5"/>
  <c r="C99" i="5"/>
  <c r="C100" i="5"/>
  <c r="C101" i="5"/>
  <c r="C102" i="5"/>
  <c r="C103" i="5"/>
  <c r="C104" i="5"/>
  <c r="C105" i="5"/>
  <c r="C106" i="5"/>
  <c r="C107" i="5"/>
  <c r="C108" i="5"/>
  <c r="C109" i="5"/>
  <c r="C110" i="5"/>
  <c r="C111" i="5"/>
  <c r="C112" i="5"/>
  <c r="C113" i="5"/>
  <c r="C114" i="5"/>
  <c r="C115" i="5"/>
  <c r="C116" i="5"/>
  <c r="C117" i="5"/>
  <c r="C118" i="5"/>
  <c r="C119" i="5"/>
  <c r="C120" i="5"/>
  <c r="C121" i="5"/>
  <c r="C122" i="5"/>
  <c r="C123" i="5"/>
  <c r="C124" i="5"/>
  <c r="C125" i="5"/>
  <c r="C126" i="5"/>
  <c r="C127" i="5"/>
  <c r="C128" i="5"/>
  <c r="C129" i="5"/>
  <c r="C130" i="5"/>
  <c r="C131" i="5"/>
  <c r="C132" i="5"/>
  <c r="C133" i="5"/>
  <c r="C134" i="5"/>
  <c r="C135" i="5"/>
  <c r="C136" i="5"/>
  <c r="C137" i="5"/>
  <c r="C139" i="5"/>
  <c r="C142" i="5"/>
  <c r="C143" i="5"/>
  <c r="C144" i="5"/>
  <c r="C154" i="5"/>
  <c r="H84" i="2"/>
  <c r="AQ32" i="5" l="1"/>
  <c r="AP47" i="5"/>
  <c r="AP46" i="5"/>
  <c r="AQ46" i="5"/>
  <c r="AQ45" i="5"/>
  <c r="AQ43" i="5"/>
  <c r="AQ41" i="5"/>
  <c r="AP40" i="5"/>
  <c r="AQ39" i="5"/>
  <c r="C145" i="5"/>
  <c r="AQ37" i="5"/>
  <c r="C159" i="5"/>
  <c r="AP54" i="5"/>
  <c r="AP53" i="5"/>
  <c r="AQ52" i="5"/>
  <c r="AP50" i="5"/>
  <c r="AV47" i="5"/>
  <c r="C160" i="5"/>
  <c r="C152" i="5"/>
  <c r="C170" i="5"/>
  <c r="AP35" i="5"/>
  <c r="AP34" i="5"/>
  <c r="AP33" i="5"/>
  <c r="C151" i="5"/>
  <c r="AP49" i="5"/>
  <c r="AQ42" i="5"/>
  <c r="AQ38" i="5"/>
  <c r="AR31" i="5"/>
  <c r="AR47" i="5"/>
  <c r="C164" i="5"/>
  <c r="C138" i="5"/>
  <c r="AR35" i="5"/>
  <c r="C150" i="5"/>
  <c r="AQ47" i="5"/>
  <c r="AP41" i="5"/>
  <c r="C147" i="5"/>
  <c r="AQ51" i="5"/>
  <c r="AQ49" i="5"/>
  <c r="AP48" i="5"/>
  <c r="AP42" i="5"/>
  <c r="AQ40" i="5"/>
  <c r="C153" i="5"/>
  <c r="C146" i="5"/>
  <c r="AP43" i="5"/>
  <c r="AP39" i="5"/>
  <c r="AR36" i="5"/>
  <c r="C165" i="5"/>
  <c r="C168" i="5"/>
  <c r="AQ53" i="5"/>
  <c r="AP51" i="5"/>
  <c r="AQ44" i="5"/>
  <c r="AP37" i="5"/>
  <c r="AQ33" i="5"/>
  <c r="AQ54" i="5"/>
  <c r="AP52" i="5"/>
  <c r="AQ50" i="5"/>
  <c r="AQ48" i="5"/>
  <c r="AP38" i="5"/>
  <c r="AQ36" i="5"/>
  <c r="AQ34" i="5"/>
  <c r="AR32" i="5"/>
  <c r="C169" i="5"/>
  <c r="C166" i="5"/>
  <c r="C161" i="5"/>
  <c r="C162" i="5"/>
  <c r="C163" i="5"/>
  <c r="AR46" i="5"/>
  <c r="AR45" i="5"/>
  <c r="AV43" i="5"/>
  <c r="AV31" i="5"/>
  <c r="AR48" i="5"/>
  <c r="AR38" i="5"/>
  <c r="AV45" i="5"/>
  <c r="AP45" i="5"/>
  <c r="AP44" i="5"/>
  <c r="AV36" i="5"/>
  <c r="AP36" i="5"/>
  <c r="AV32" i="5"/>
  <c r="AP32" i="5"/>
  <c r="AV54" i="5"/>
  <c r="AV34" i="5"/>
  <c r="AV39" i="5"/>
  <c r="AV52" i="5"/>
  <c r="AV38" i="5"/>
  <c r="AV35" i="5"/>
  <c r="AV48" i="5"/>
  <c r="AV46" i="5"/>
  <c r="AV44" i="5"/>
  <c r="C156" i="5"/>
  <c r="AR54" i="5"/>
  <c r="AV53" i="5"/>
  <c r="AV49" i="5"/>
  <c r="AR49" i="5"/>
  <c r="AR42" i="5"/>
  <c r="AR34" i="5"/>
  <c r="AR53" i="5"/>
  <c r="AR52" i="5"/>
  <c r="AR51" i="5"/>
  <c r="AV50" i="5"/>
  <c r="AR44" i="5"/>
  <c r="AR43" i="5"/>
  <c r="AV41" i="5"/>
  <c r="AV40" i="5"/>
  <c r="AR39" i="5"/>
  <c r="AR37" i="5"/>
  <c r="AV33" i="5"/>
  <c r="AR33" i="5"/>
  <c r="C141" i="5"/>
  <c r="AU54" i="5"/>
  <c r="AU53" i="5"/>
  <c r="AU52" i="5"/>
  <c r="AU51" i="5"/>
  <c r="AU50" i="5"/>
  <c r="AU49" i="5"/>
  <c r="AU48" i="5"/>
  <c r="AU47" i="5"/>
  <c r="AU46" i="5"/>
  <c r="AU45" i="5"/>
  <c r="AU44" i="5"/>
  <c r="AU43" i="5"/>
  <c r="AU42" i="5"/>
  <c r="AU41" i="5"/>
  <c r="AU40" i="5"/>
  <c r="AU39" i="5"/>
  <c r="AU38" i="5"/>
  <c r="AU37" i="5"/>
  <c r="AU36" i="5"/>
  <c r="AU35" i="5"/>
  <c r="AU34" i="5"/>
  <c r="AU33" i="5"/>
  <c r="AU32" i="5"/>
  <c r="AU31" i="5"/>
  <c r="AV42" i="5"/>
  <c r="AR41" i="5"/>
  <c r="AR40" i="5"/>
  <c r="AV37" i="5"/>
  <c r="C140" i="5"/>
  <c r="AV51" i="5"/>
  <c r="AR50" i="5"/>
  <c r="C167" i="5" l="1"/>
  <c r="C149" i="5"/>
  <c r="C157" i="5"/>
  <c r="C148" i="5"/>
  <c r="C155" i="5"/>
  <c r="C158" i="5"/>
  <c r="T76" i="2"/>
  <c r="B12" i="7" s="1"/>
  <c r="B8" i="7" l="1"/>
  <c r="B19" i="7"/>
  <c r="B16" i="7"/>
  <c r="T77" i="2"/>
  <c r="T78" i="2" s="1"/>
</calcChain>
</file>

<file path=xl/sharedStrings.xml><?xml version="1.0" encoding="utf-8"?>
<sst xmlns="http://schemas.openxmlformats.org/spreadsheetml/2006/main" count="463" uniqueCount="379">
  <si>
    <t>Window and Patio Door Contract</t>
  </si>
  <si>
    <t>8405 Airline Hwy, Baton Rouge, LA 70815</t>
  </si>
  <si>
    <t>New Orleans</t>
  </si>
  <si>
    <t>8814 Veterans Blvd, Metairie, LA 70003</t>
  </si>
  <si>
    <t>Name:</t>
  </si>
  <si>
    <t>Address:</t>
  </si>
  <si>
    <t>Customer ID #:</t>
  </si>
  <si>
    <t>City:</t>
  </si>
  <si>
    <t>State:</t>
  </si>
  <si>
    <t>Zip Code:</t>
  </si>
  <si>
    <t xml:space="preserve"> </t>
  </si>
  <si>
    <t>Windows</t>
  </si>
  <si>
    <t>Options</t>
  </si>
  <si>
    <t>Double Hung</t>
  </si>
  <si>
    <t xml:space="preserve"> Series                                    Model #</t>
  </si>
  <si>
    <t xml:space="preserve"> Argon Gas</t>
  </si>
  <si>
    <t xml:space="preserve"> Foam Insulation Wrap</t>
  </si>
  <si>
    <t xml:space="preserve"> Wood Grain - Inside Surface</t>
  </si>
  <si>
    <t>Other Styles</t>
  </si>
  <si>
    <t xml:space="preserve"> Tempered Glass Sq Ft.</t>
  </si>
  <si>
    <t xml:space="preserve"> Casement / Awning</t>
  </si>
  <si>
    <t xml:space="preserve"> Lifetime Glass Break Warranty</t>
  </si>
  <si>
    <t xml:space="preserve"> Oriel/Cottage Style 60/40</t>
  </si>
  <si>
    <t>Specialty Windows</t>
  </si>
  <si>
    <t>Value Plus Package</t>
  </si>
  <si>
    <t>Additional Labor Charges</t>
  </si>
  <si>
    <t xml:space="preserve"> Remove Steel Window</t>
  </si>
  <si>
    <t xml:space="preserve"> Remove Aluminum In Stucco</t>
  </si>
  <si>
    <t xml:space="preserve"> Structural Mullion for multi-unit</t>
  </si>
  <si>
    <t>DOORS</t>
  </si>
  <si>
    <t xml:space="preserve"> Install Exterior Capping</t>
  </si>
  <si>
    <t xml:space="preserve"> Repair Sill OR Jamb</t>
  </si>
  <si>
    <t xml:space="preserve"> Install Mullion for multi-unit</t>
  </si>
  <si>
    <t xml:space="preserve"> 2nd Story Charge</t>
  </si>
  <si>
    <t xml:space="preserve"> Bay Window Finish &amp; Trim</t>
  </si>
  <si>
    <r>
      <t xml:space="preserve">   </t>
    </r>
    <r>
      <rPr>
        <b/>
        <u/>
        <sz val="10"/>
        <rFont val="Arial"/>
        <family val="2"/>
      </rPr>
      <t>No extra work if not in writing!</t>
    </r>
  </si>
  <si>
    <t xml:space="preserve">   Customer Agrees to the terms of payment as follows:</t>
  </si>
  <si>
    <t>Total List Price  $</t>
  </si>
  <si>
    <t>Total Amount  $</t>
  </si>
  <si>
    <t>CK #</t>
  </si>
  <si>
    <t>Custom Order Deposit 50%  $</t>
  </si>
  <si>
    <t>Balance Paid to Installer upon Completion  $</t>
  </si>
  <si>
    <t>Amt Financed  $</t>
  </si>
  <si>
    <t xml:space="preserve">VISA         AMEX         M/C         DISC #                        </t>
  </si>
  <si>
    <t xml:space="preserve">   Exp. Date</t>
  </si>
  <si>
    <t xml:space="preserve">  Sec. Code</t>
  </si>
  <si>
    <t xml:space="preserve">Emp. #    </t>
  </si>
  <si>
    <t xml:space="preserve">    Estimator</t>
  </si>
  <si>
    <t xml:space="preserve">    Date     </t>
  </si>
  <si>
    <t>Owner</t>
  </si>
  <si>
    <t>Date</t>
  </si>
  <si>
    <t>Window World of Baton Rouge, LLC d/b/a Window World, World of Windows</t>
  </si>
  <si>
    <r>
      <t xml:space="preserve"> SolarZone </t>
    </r>
    <r>
      <rPr>
        <b/>
        <i/>
        <sz val="10"/>
        <rFont val="Arial"/>
        <family val="2"/>
      </rPr>
      <t xml:space="preserve">Elite </t>
    </r>
    <r>
      <rPr>
        <b/>
        <sz val="10"/>
        <rFont val="Arial"/>
        <family val="2"/>
      </rPr>
      <t>Low-E-Glass</t>
    </r>
  </si>
  <si>
    <t>Email:</t>
  </si>
  <si>
    <t>Vinyl Rolling Door 6'     6406     (2p)</t>
  </si>
  <si>
    <t>Vinyl Rolling Door 8'     6408     (2p)</t>
  </si>
  <si>
    <t>Vinyl Rolling Door 9'     6409     (3p)</t>
  </si>
  <si>
    <t>Vinyl Rolling Door 12'   6412     (4p)</t>
  </si>
  <si>
    <t>Contribute to St. Jude  $</t>
  </si>
  <si>
    <t>5" Rail (per panel)</t>
  </si>
  <si>
    <t>7" Rail / French (per panel)</t>
  </si>
  <si>
    <t>8' Height (per panel)</t>
  </si>
  <si>
    <t>Colonial Grids (per panel)</t>
  </si>
  <si>
    <t>Incl.</t>
  </si>
  <si>
    <t xml:space="preserve"> Obscure Glass ( Rain / Std. )</t>
  </si>
  <si>
    <t xml:space="preserve">Baton Rouge </t>
  </si>
  <si>
    <t>Window World agrees to install windows and doors as noted above and on the attached order form and to perform other services as specified above for the price quoted on this form.  No other promises, expressed or implied, are made except those expressed in writing on this agreement.
If Window World seeks legal counsel to enforce obligations under this contract, Customer agrees to pay reasonable attorneys fees and costs.</t>
  </si>
  <si>
    <t xml:space="preserve"> Picture Window         </t>
  </si>
  <si>
    <t xml:space="preserve"> 2 Lite Slider</t>
  </si>
  <si>
    <t xml:space="preserve"> 3 Lite Slider</t>
  </si>
  <si>
    <t>QTY</t>
  </si>
  <si>
    <t>AMT</t>
  </si>
  <si>
    <t>TOTAL</t>
  </si>
  <si>
    <t>Specialty  Window Options</t>
  </si>
  <si>
    <t>All Inclusive Transferable Lifetime Warranty</t>
  </si>
  <si>
    <t xml:space="preserve"> Double Locks ( &gt; 29" wide)</t>
  </si>
  <si>
    <t>Primary #:</t>
  </si>
  <si>
    <t>Secondary #:</t>
  </si>
  <si>
    <t>Lafayette</t>
  </si>
  <si>
    <t>3148 Ambassador Caffery Pkwy, Suite 4, Lafayette, LA 70506</t>
  </si>
  <si>
    <t>______________________________</t>
  </si>
  <si>
    <t xml:space="preserve"> Remove Storm Window</t>
  </si>
  <si>
    <t>WAIVER OF MAINTENANCE AGREEMENT</t>
  </si>
  <si>
    <t xml:space="preserve"> Maintenance Agreement</t>
  </si>
  <si>
    <t>Installation Warranty</t>
  </si>
  <si>
    <t>Complete Job?</t>
  </si>
  <si>
    <t xml:space="preserve"> Clear Story </t>
  </si>
  <si>
    <t xml:space="preserve"> Window Removal</t>
  </si>
  <si>
    <t>$25 / Ft</t>
  </si>
  <si>
    <t xml:space="preserve"> Nail Fin</t>
  </si>
  <si>
    <r>
      <rPr>
        <b/>
        <sz val="10.5"/>
        <rFont val="Arial"/>
        <family val="2"/>
      </rPr>
      <t xml:space="preserve">NOTICE OF CANCELLATION </t>
    </r>
    <r>
      <rPr>
        <sz val="10.5"/>
        <rFont val="Arial"/>
        <family val="2"/>
      </rPr>
      <t xml:space="preserve">
</t>
    </r>
    <r>
      <rPr>
        <sz val="8.5"/>
        <rFont val="Arial"/>
        <family val="2"/>
      </rPr>
      <t>You the buyer may cancel this transaction at any time prior to midnight of the third business day after the date of this  transaction.  Notice of cancellation must be in writing postmarked no later than midnight of the following third business day.</t>
    </r>
    <r>
      <rPr>
        <sz val="8"/>
        <rFont val="Arial"/>
        <family val="2"/>
      </rPr>
      <t xml:space="preserve">
</t>
    </r>
    <r>
      <rPr>
        <sz val="10.5"/>
        <rFont val="Arial"/>
        <family val="2"/>
      </rPr>
      <t xml:space="preserve">
</t>
    </r>
    <r>
      <rPr>
        <b/>
        <sz val="10.5"/>
        <rFont val="Arial"/>
        <family val="2"/>
      </rPr>
      <t>INITIALS:  _______</t>
    </r>
    <r>
      <rPr>
        <sz val="10.5"/>
        <rFont val="Arial"/>
        <family val="2"/>
      </rPr>
      <t xml:space="preserve">
</t>
    </r>
  </si>
  <si>
    <t xml:space="preserve"> SolarZone Low-E-Glass </t>
  </si>
  <si>
    <t>Energy Star Pkg</t>
  </si>
  <si>
    <t>$7/Sq.ft</t>
  </si>
  <si>
    <t xml:space="preserve">                                   
     Our windows carry the Good Housekeeping  
           seal of approval, and carry an AMMA Gold label 
          certification, ensuring our window system is of   
highest quality. All of our windows have double strength
and DP rated glass. </t>
  </si>
  <si>
    <t>Remaining # of Windows?</t>
  </si>
  <si>
    <t>SolarZone Low-E &amp; Argon (per panel)</t>
  </si>
  <si>
    <r>
      <t xml:space="preserve">SolarZone Low-E </t>
    </r>
    <r>
      <rPr>
        <i/>
        <sz val="10"/>
        <rFont val="Arial"/>
        <family val="2"/>
      </rPr>
      <t>Elite</t>
    </r>
    <r>
      <rPr>
        <sz val="10"/>
        <rFont val="Arial"/>
        <family val="2"/>
      </rPr>
      <t xml:space="preserve"> (per panel)</t>
    </r>
  </si>
  <si>
    <t xml:space="preserve"> Install Vinyl Int/Ext Trim</t>
  </si>
  <si>
    <r>
      <t xml:space="preserve">THIS IS A CUSTOM ORDER NOT FOR RESALE!
</t>
    </r>
    <r>
      <rPr>
        <sz val="7.5"/>
        <rFont val="Arial"/>
        <family val="2"/>
      </rPr>
      <t xml:space="preserve">. Windows that are unclaimed after 12 months will be deemed abandoned and will remain property of Window World. </t>
    </r>
  </si>
  <si>
    <t xml:space="preserve"> Extruded Aluminum Half Screen</t>
  </si>
  <si>
    <t xml:space="preserve"> Extruded Aluminum Full Screen</t>
  </si>
  <si>
    <t xml:space="preserve"> J-Channel</t>
  </si>
  <si>
    <t>(Steel Reinforced White Windows)</t>
  </si>
  <si>
    <t xml:space="preserve"> Flat / Contoured Grids</t>
  </si>
  <si>
    <t>Vinyl Patio Door Trim</t>
  </si>
  <si>
    <t>Form # LC-WC-1102</t>
  </si>
  <si>
    <t>Mullion</t>
  </si>
  <si>
    <t>SpecialShapeOperatingSash</t>
  </si>
  <si>
    <t>Series6000Upsell</t>
  </si>
  <si>
    <t>CasementAwningAll</t>
  </si>
  <si>
    <t>CasementAwning3</t>
  </si>
  <si>
    <t>CasementAwning2</t>
  </si>
  <si>
    <t>CasementAwning1</t>
  </si>
  <si>
    <t>ThreeLiteSlider</t>
  </si>
  <si>
    <t>TwoLiteSlider</t>
  </si>
  <si>
    <t>PictureWindow</t>
  </si>
  <si>
    <t>GridsDoor</t>
  </si>
  <si>
    <t>WindowGrid</t>
  </si>
  <si>
    <t>DoorLEE</t>
  </si>
  <si>
    <t>DoorLE</t>
  </si>
  <si>
    <t>WindowLEE</t>
  </si>
  <si>
    <t>WindowLE</t>
  </si>
  <si>
    <t>Oriel</t>
  </si>
  <si>
    <t>FinishAndTrim</t>
  </si>
  <si>
    <t>CapTrim</t>
  </si>
  <si>
    <t>CustomTrim</t>
  </si>
  <si>
    <t>VinylTrim</t>
  </si>
  <si>
    <t>RemoveSteelStucco</t>
  </si>
  <si>
    <t>RemoveAlumStucco</t>
  </si>
  <si>
    <t>Remove Steel</t>
  </si>
  <si>
    <t>RemoveAlum</t>
  </si>
  <si>
    <t>RemoveStorm</t>
  </si>
  <si>
    <t>ScreenTypeFull</t>
  </si>
  <si>
    <t>ObscureGlass</t>
  </si>
  <si>
    <t>GridsWindow</t>
  </si>
  <si>
    <t>GlassOptionLE</t>
  </si>
  <si>
    <t>GlassOptionLEE</t>
  </si>
  <si>
    <t>WoodGrain</t>
  </si>
  <si>
    <t>BeigeColor</t>
  </si>
  <si>
    <t>FullScreen</t>
  </si>
  <si>
    <t>ModelS146</t>
  </si>
  <si>
    <t>ModelS144</t>
  </si>
  <si>
    <t>ModelS140</t>
  </si>
  <si>
    <t>ModelS133</t>
  </si>
  <si>
    <t>ModelS132</t>
  </si>
  <si>
    <t>ModelS131</t>
  </si>
  <si>
    <t>ModelS130</t>
  </si>
  <si>
    <t>ModelS129</t>
  </si>
  <si>
    <t>ModelS128</t>
  </si>
  <si>
    <t>ModelS127</t>
  </si>
  <si>
    <t>ModelS126</t>
  </si>
  <si>
    <t>ModelS125</t>
  </si>
  <si>
    <t>ModelS124</t>
  </si>
  <si>
    <t>ModelS123</t>
  </si>
  <si>
    <t>ModelS122</t>
  </si>
  <si>
    <t>ModelS121</t>
  </si>
  <si>
    <t>ModelS120</t>
  </si>
  <si>
    <t>ModelS119</t>
  </si>
  <si>
    <t>ModelS118</t>
  </si>
  <si>
    <t>ModelS117</t>
  </si>
  <si>
    <t>ModelS116</t>
  </si>
  <si>
    <t>ModelS115</t>
  </si>
  <si>
    <t>ModelS114</t>
  </si>
  <si>
    <t>ModelS113</t>
  </si>
  <si>
    <t>ModelS112</t>
  </si>
  <si>
    <t>ModelS111</t>
  </si>
  <si>
    <t>ModelS110</t>
  </si>
  <si>
    <t>ModelS105</t>
  </si>
  <si>
    <t>Model6122</t>
  </si>
  <si>
    <t>Model6112</t>
  </si>
  <si>
    <t>Model6109</t>
  </si>
  <si>
    <t>Model6108</t>
  </si>
  <si>
    <t>Model6106</t>
  </si>
  <si>
    <t>Model6105</t>
  </si>
  <si>
    <t>Model0979</t>
  </si>
  <si>
    <t>Model0973</t>
  </si>
  <si>
    <t>Model0972</t>
  </si>
  <si>
    <t>Model0971</t>
  </si>
  <si>
    <t>Model0970</t>
  </si>
  <si>
    <t>Model0955</t>
  </si>
  <si>
    <t>Model0954</t>
  </si>
  <si>
    <t>Model0952</t>
  </si>
  <si>
    <t>Model0951</t>
  </si>
  <si>
    <t>Model0914</t>
  </si>
  <si>
    <t>Model0909</t>
  </si>
  <si>
    <t>Model0903</t>
  </si>
  <si>
    <t>Model0902</t>
  </si>
  <si>
    <t>Model0901</t>
  </si>
  <si>
    <t>Model0614</t>
  </si>
  <si>
    <t>Model0609</t>
  </si>
  <si>
    <t>Model0603</t>
  </si>
  <si>
    <t>Model0602</t>
  </si>
  <si>
    <t>Model0601</t>
  </si>
  <si>
    <t>Model0529</t>
  </si>
  <si>
    <t>Model0523</t>
  </si>
  <si>
    <t>Model0522</t>
  </si>
  <si>
    <t>Model0509</t>
  </si>
  <si>
    <t>Model0504</t>
  </si>
  <si>
    <t>Model0503</t>
  </si>
  <si>
    <t>Model0502</t>
  </si>
  <si>
    <t>Model0501</t>
  </si>
  <si>
    <t>Model0409</t>
  </si>
  <si>
    <t>Model0404</t>
  </si>
  <si>
    <t>Model0403</t>
  </si>
  <si>
    <t>Model0402</t>
  </si>
  <si>
    <t>Model0401</t>
  </si>
  <si>
    <t>Model0209</t>
  </si>
  <si>
    <t>Model0204</t>
  </si>
  <si>
    <t>Model0203</t>
  </si>
  <si>
    <t>Model0202</t>
  </si>
  <si>
    <t>Model0201</t>
  </si>
  <si>
    <t>PAGE 1 OF</t>
  </si>
  <si>
    <t>White Copy - Original        Yellow Copy - Estimator        Pink Copy - Customer</t>
  </si>
  <si>
    <t>DATE</t>
  </si>
  <si>
    <t>OWNER</t>
  </si>
  <si>
    <t>each and every window is removed, installed, trimmed, accessorized, and warranted.</t>
  </si>
  <si>
    <t>term, and drawing on this page to my full and complete understanding including how</t>
  </si>
  <si>
    <t>I certify the salesperson has explained and identified each and every abbreviation,</t>
  </si>
  <si>
    <t>x</t>
  </si>
  <si>
    <t>.</t>
  </si>
  <si>
    <t>LE</t>
  </si>
  <si>
    <t>MULL UNIT CONSISTING OF</t>
  </si>
  <si>
    <t>FW</t>
  </si>
  <si>
    <t>BG</t>
  </si>
  <si>
    <t>WOOD</t>
  </si>
  <si>
    <t>WH</t>
  </si>
  <si>
    <t>EXT</t>
  </si>
  <si>
    <t>STORM</t>
  </si>
  <si>
    <t>F&amp;T</t>
  </si>
  <si>
    <t>STUCCO</t>
  </si>
  <si>
    <t>CH</t>
  </si>
  <si>
    <t>No</t>
  </si>
  <si>
    <t>OUT</t>
  </si>
  <si>
    <t>STEEL</t>
  </si>
  <si>
    <t>CAP</t>
  </si>
  <si>
    <t>ALUM</t>
  </si>
  <si>
    <t>DO</t>
  </si>
  <si>
    <t>Yes</t>
  </si>
  <si>
    <t>IN</t>
  </si>
  <si>
    <t>VINYL</t>
  </si>
  <si>
    <t>BRICK</t>
  </si>
  <si>
    <t>LO</t>
  </si>
  <si>
    <t>GRID</t>
  </si>
  <si>
    <t>LEE</t>
  </si>
  <si>
    <t>Repair</t>
  </si>
  <si>
    <t>Install</t>
  </si>
  <si>
    <t>Remove</t>
  </si>
  <si>
    <t>Trim</t>
  </si>
  <si>
    <t>Ext.</t>
  </si>
  <si>
    <t>EXP</t>
  </si>
  <si>
    <t>FLASH</t>
  </si>
  <si>
    <t>DIM</t>
  </si>
  <si>
    <t>SCREEN</t>
  </si>
  <si>
    <t>FULL</t>
  </si>
  <si>
    <t>PATTERN</t>
  </si>
  <si>
    <t>STYLE</t>
  </si>
  <si>
    <t>GLASS</t>
  </si>
  <si>
    <t>OPTION</t>
  </si>
  <si>
    <t>HINGE</t>
  </si>
  <si>
    <t>NUMBER</t>
  </si>
  <si>
    <t>TYPE</t>
  </si>
  <si>
    <t>LEG HEIGHT</t>
  </si>
  <si>
    <t>HEIGHT</t>
  </si>
  <si>
    <t>X</t>
  </si>
  <si>
    <t>WIDTH</t>
  </si>
  <si>
    <t>COLOR</t>
  </si>
  <si>
    <t>DOOR</t>
  </si>
  <si>
    <t>WINDOW</t>
  </si>
  <si>
    <t>SILL</t>
  </si>
  <si>
    <t xml:space="preserve">  TYPE</t>
  </si>
  <si>
    <t>FOAM</t>
  </si>
  <si>
    <t>HDR</t>
  </si>
  <si>
    <t>ORIEL</t>
  </si>
  <si>
    <t>OBSC</t>
  </si>
  <si>
    <t xml:space="preserve">     GRID OPTIONS</t>
  </si>
  <si>
    <t>MFG SIZE</t>
  </si>
  <si>
    <t>MODEL</t>
  </si>
  <si>
    <t>Phone:</t>
  </si>
  <si>
    <t xml:space="preserve"> Estimator:</t>
  </si>
  <si>
    <t xml:space="preserve">       Zip</t>
  </si>
  <si>
    <t xml:space="preserve">           City</t>
  </si>
  <si>
    <t xml:space="preserve">   Address</t>
  </si>
  <si>
    <t xml:space="preserve"> Customer:</t>
  </si>
  <si>
    <t>ORDER DATE:</t>
  </si>
  <si>
    <t>ACCT #</t>
  </si>
  <si>
    <t xml:space="preserve"> PO#</t>
  </si>
  <si>
    <t xml:space="preserve">WW Representative                                Date                                                      </t>
  </si>
  <si>
    <t xml:space="preserve">Customer Signature </t>
  </si>
  <si>
    <t>CVS:</t>
  </si>
  <si>
    <t>Exp:</t>
  </si>
  <si>
    <t>CC#:</t>
  </si>
  <si>
    <t>or I authorise Window World to run the following credit card</t>
  </si>
  <si>
    <t>Check #</t>
  </si>
  <si>
    <t>Amount:</t>
  </si>
  <si>
    <r>
      <t>6)</t>
    </r>
    <r>
      <rPr>
        <sz val="7"/>
        <color indexed="8"/>
        <rFont val="Times New Roman"/>
        <family val="1"/>
      </rPr>
      <t xml:space="preserve">       </t>
    </r>
    <r>
      <rPr>
        <sz val="10.5"/>
        <color indexed="8"/>
        <rFont val="Calibri"/>
        <family val="2"/>
      </rPr>
      <t xml:space="preserve">Any work done by a non-certified Window World installer voids any warranty and/or agreements. </t>
    </r>
  </si>
  <si>
    <r>
      <t>5)</t>
    </r>
    <r>
      <rPr>
        <sz val="7"/>
        <color indexed="8"/>
        <rFont val="Times New Roman"/>
        <family val="1"/>
      </rPr>
      <t xml:space="preserve">       </t>
    </r>
    <r>
      <rPr>
        <sz val="10.5"/>
        <color indexed="8"/>
        <rFont val="Calibri"/>
        <family val="2"/>
      </rPr>
      <t>Act of God Exclusion: The service provider shall not be liable for damages resulting from flooding, earthquakes, hurricanes, or any other acts of God.</t>
    </r>
  </si>
  <si>
    <r>
      <t>4)</t>
    </r>
    <r>
      <rPr>
        <sz val="7"/>
        <color indexed="8"/>
        <rFont val="Times New Roman"/>
        <family val="1"/>
      </rPr>
      <t xml:space="preserve">       </t>
    </r>
    <r>
      <rPr>
        <sz val="10.5"/>
        <color indexed="8"/>
        <rFont val="Calibri"/>
        <family val="2"/>
      </rPr>
      <t>Access: The owner will clear all obstructions from the area of the window(s) requiring service.</t>
    </r>
  </si>
  <si>
    <r>
      <t>3)</t>
    </r>
    <r>
      <rPr>
        <sz val="7"/>
        <color indexed="8"/>
        <rFont val="Times New Roman"/>
        <family val="1"/>
      </rPr>
      <t xml:space="preserve">       </t>
    </r>
    <r>
      <rPr>
        <sz val="10.5"/>
        <color indexed="8"/>
        <rFont val="Calibri"/>
        <family val="2"/>
      </rPr>
      <t>Owner’s Obligation for Window Maintenance: The owner must promptly notify the service provider of any known defects, problems, or complaints.</t>
    </r>
  </si>
  <si>
    <r>
      <t>2)</t>
    </r>
    <r>
      <rPr>
        <sz val="7"/>
        <color indexed="8"/>
        <rFont val="Times New Roman"/>
        <family val="1"/>
      </rPr>
      <t xml:space="preserve">       </t>
    </r>
    <r>
      <rPr>
        <sz val="10.5"/>
        <color indexed="8"/>
        <rFont val="Calibri"/>
        <family val="2"/>
      </rPr>
      <t>Provisions of Services: The owner and service provider have agreed that the services are provided on an as-requested basis to fulfill Window World’s responsibility to maintain the aesthetics and seal of the window.</t>
    </r>
  </si>
  <si>
    <r>
      <t>1)</t>
    </r>
    <r>
      <rPr>
        <sz val="7"/>
        <color indexed="8"/>
        <rFont val="Times New Roman"/>
        <family val="1"/>
      </rPr>
      <t xml:space="preserve">       </t>
    </r>
    <r>
      <rPr>
        <sz val="10.5"/>
        <color indexed="8"/>
        <rFont val="Calibri"/>
        <family val="2"/>
      </rPr>
      <t>Pricing: The cost will be tiered based upon the following criteria (please circle):</t>
    </r>
  </si>
  <si>
    <t>WINDOW WORLD MAINTENANCE TERMS AND CONDITIONS</t>
  </si>
  <si>
    <r>
      <t>·</t>
    </r>
    <r>
      <rPr>
        <sz val="7"/>
        <color indexed="8"/>
        <rFont val="Times New Roman"/>
        <family val="1"/>
      </rPr>
      <t xml:space="preserve">         </t>
    </r>
    <r>
      <rPr>
        <sz val="10.5"/>
        <color indexed="8"/>
        <rFont val="Calibri"/>
        <family val="2"/>
      </rPr>
      <t>Provide summary of work performed.</t>
    </r>
  </si>
  <si>
    <r>
      <t xml:space="preserve">              ·</t>
    </r>
    <r>
      <rPr>
        <sz val="7"/>
        <color indexed="8"/>
        <rFont val="Times New Roman"/>
        <family val="1"/>
      </rPr>
      <t xml:space="preserve">         </t>
    </r>
    <r>
      <rPr>
        <sz val="10.5"/>
        <color indexed="8"/>
        <rFont val="Calibri"/>
        <family val="2"/>
      </rPr>
      <t xml:space="preserve">Upon request, assess/maintain operational components of windows. Includes lubricating balances, inspecting weep holes for proper drainage, examining windows for glazing integrity, and checking locks, bulb seals, weather-stripping and vent locks. </t>
    </r>
  </si>
  <si>
    <r>
      <t>·</t>
    </r>
    <r>
      <rPr>
        <sz val="7"/>
        <color indexed="8"/>
        <rFont val="Times New Roman"/>
        <family val="1"/>
      </rPr>
      <t xml:space="preserve">         </t>
    </r>
    <r>
      <rPr>
        <sz val="10.5"/>
        <color indexed="8"/>
        <rFont val="Calibri"/>
        <family val="2"/>
      </rPr>
      <t>Replace screen fabric as needed.</t>
    </r>
  </si>
  <si>
    <r>
      <t>·</t>
    </r>
    <r>
      <rPr>
        <sz val="7"/>
        <color indexed="8"/>
        <rFont val="Times New Roman"/>
        <family val="1"/>
      </rPr>
      <t xml:space="preserve">         </t>
    </r>
    <r>
      <rPr>
        <sz val="10.5"/>
        <color indexed="8"/>
        <rFont val="Calibri"/>
        <family val="2"/>
      </rPr>
      <t>Re-seal windows as needed, including resetting windows and repairing trim/caulk if required.</t>
    </r>
  </si>
  <si>
    <t>Maintenance Includes:</t>
  </si>
  <si>
    <t xml:space="preserve">The service provider, Window World Maintenance Division, agrees to provide maintenance on windows purchased from Window World for seven (7) years from date of completion of the original installation of your Window World windows.  Service activities will be performed in accordance with the terms and conditions below.  Maintenance agreements purchased after the windows have been installed and outside of the original two (2) year labor warranty will be effective from the purchase date of the maintenance agreement and in effect for five (5) years. </t>
  </si>
  <si>
    <t># of Windows:</t>
  </si>
  <si>
    <t>Zip:</t>
  </si>
  <si>
    <t>Phone #:</t>
  </si>
  <si>
    <t>Customer ID:</t>
  </si>
  <si>
    <t>Customer Name:</t>
  </si>
  <si>
    <t>MAINTENANCE AGREEMENT</t>
  </si>
  <si>
    <t>LA</t>
  </si>
  <si>
    <r>
      <rPr>
        <b/>
        <sz val="8"/>
        <rFont val="Arial"/>
        <family val="2"/>
      </rPr>
      <t>The buyer is responsible for:</t>
    </r>
    <r>
      <rPr>
        <sz val="8"/>
        <rFont val="Arial"/>
        <family val="2"/>
      </rPr>
      <t xml:space="preserve">
- Securing permits, unless noted on the contract. 
- Removal and re-installation of any existing security system, burglar bars, A/C units, window coverings, and/or obstructions prior to installation. 
Additional charges for removing items are at the following rates: A/C Unit-$50; Curtains/Blinds-$25/Window; Furniture-$10/Item; Shutters-$50 each.
</t>
    </r>
    <r>
      <rPr>
        <b/>
        <sz val="8"/>
        <rFont val="Arial"/>
        <family val="2"/>
      </rPr>
      <t xml:space="preserve">
</t>
    </r>
    <r>
      <rPr>
        <b/>
        <sz val="10.5"/>
        <color theme="1"/>
        <rFont val="Arial"/>
        <family val="2"/>
      </rPr>
      <t>INITIALS:</t>
    </r>
    <r>
      <rPr>
        <b/>
        <sz val="8"/>
        <color theme="1"/>
        <rFont val="Arial"/>
        <family val="2"/>
      </rPr>
      <t xml:space="preserve"> __________</t>
    </r>
  </si>
  <si>
    <t>N</t>
  </si>
  <si>
    <t>Y</t>
  </si>
  <si>
    <t>Locations:</t>
  </si>
  <si>
    <t>Integrated Mini Blinds</t>
  </si>
  <si>
    <r>
      <t>·</t>
    </r>
    <r>
      <rPr>
        <sz val="7"/>
        <color indexed="8"/>
        <rFont val="Times New Roman"/>
        <family val="1"/>
      </rPr>
      <t xml:space="preserve">         </t>
    </r>
    <r>
      <rPr>
        <sz val="10.5"/>
        <color indexed="8"/>
        <rFont val="Calibri"/>
        <family val="2"/>
      </rPr>
      <t>Priority service scheduling.</t>
    </r>
  </si>
  <si>
    <t>Sales Tax (MS Only - 7%)  $</t>
  </si>
  <si>
    <t>The fee for the service provided under this agreement shall be $________. Payment is due upon signing. This service is for residential properties only and excludes all commercial properties. The undersigned owner acknowledges and agrees that the information above is correct and complete.</t>
  </si>
  <si>
    <t>Administrative &amp; Setup Fee $ 150  $</t>
  </si>
  <si>
    <r>
      <t xml:space="preserve">          ·</t>
    </r>
    <r>
      <rPr>
        <sz val="7"/>
        <color indexed="8"/>
        <rFont val="Times New Roman"/>
        <family val="1"/>
      </rPr>
      <t xml:space="preserve">         </t>
    </r>
    <r>
      <rPr>
        <b/>
        <sz val="10.5"/>
        <color indexed="8"/>
        <rFont val="Calibri"/>
        <family val="2"/>
      </rPr>
      <t>$295 for up to 14 windows ordered</t>
    </r>
  </si>
  <si>
    <r>
      <t xml:space="preserve">          ·</t>
    </r>
    <r>
      <rPr>
        <sz val="7"/>
        <color indexed="8"/>
        <rFont val="Times New Roman"/>
        <family val="1"/>
      </rPr>
      <t xml:space="preserve">         </t>
    </r>
    <r>
      <rPr>
        <b/>
        <sz val="10.5"/>
        <color indexed="8"/>
        <rFont val="Calibri"/>
        <family val="2"/>
      </rPr>
      <t>$395 for 15-28 windows ordered</t>
    </r>
  </si>
  <si>
    <r>
      <t xml:space="preserve">          ·</t>
    </r>
    <r>
      <rPr>
        <sz val="7"/>
        <color indexed="8"/>
        <rFont val="Times New Roman"/>
        <family val="1"/>
      </rPr>
      <t xml:space="preserve">         </t>
    </r>
    <r>
      <rPr>
        <b/>
        <sz val="10.5"/>
        <color indexed="8"/>
        <rFont val="Calibri"/>
        <family val="2"/>
      </rPr>
      <t>$495 for 29-42 windows ordered</t>
    </r>
  </si>
  <si>
    <t>Revised: 08/11/2022</t>
  </si>
  <si>
    <t>3001-FE</t>
  </si>
  <si>
    <t xml:space="preserve"> 4000  DH Foam Enhanced </t>
  </si>
  <si>
    <t xml:space="preserve"> 4000  DH Fusion Weld</t>
  </si>
  <si>
    <t xml:space="preserve"> Double Casement </t>
  </si>
  <si>
    <t>_______________________________</t>
  </si>
  <si>
    <t xml:space="preserve"> Foam Enhanced Upcharge - Add</t>
  </si>
  <si>
    <t xml:space="preserve">TK2 Plus Elite- Energy Star Most </t>
  </si>
  <si>
    <t xml:space="preserve"> Special Shape Trim </t>
  </si>
  <si>
    <t>Initials:</t>
  </si>
  <si>
    <t>PRE 1978 BUILT HOMES (Federal Lead Containment Law)</t>
  </si>
  <si>
    <t>My home was built in the year:</t>
  </si>
  <si>
    <t>Window World Financing</t>
  </si>
  <si>
    <t>**Monthly payments rounded up**</t>
  </si>
  <si>
    <t>Monthly Payment</t>
  </si>
  <si>
    <t>Plan Options</t>
  </si>
  <si>
    <t>7.99% for 60 Equal Monthly Payments</t>
  </si>
  <si>
    <r>
      <t>9.99% for 120 Equal Monthly Payments (</t>
    </r>
    <r>
      <rPr>
        <b/>
        <sz val="14"/>
        <color rgb="FFFF0000"/>
        <rFont val="Arial"/>
        <family val="2"/>
      </rPr>
      <t>$10,000 Minimum</t>
    </r>
    <r>
      <rPr>
        <b/>
        <sz val="14"/>
        <rFont val="Arial"/>
        <family val="2"/>
      </rPr>
      <t>)</t>
    </r>
  </si>
  <si>
    <t>Scan Me to Get Pre Approved Now!</t>
  </si>
  <si>
    <t>Beige/ Clay (per panel)</t>
  </si>
  <si>
    <r>
      <t>Exterior Color</t>
    </r>
    <r>
      <rPr>
        <sz val="8"/>
        <rFont val="Arial"/>
        <family val="2"/>
      </rPr>
      <t xml:space="preserve"> (Exterior Surface Only)</t>
    </r>
  </si>
  <si>
    <r>
      <t xml:space="preserve"> Exterior Color  </t>
    </r>
    <r>
      <rPr>
        <sz val="8"/>
        <rFont val="Arial"/>
        <family val="2"/>
      </rPr>
      <t>(Exterior Surface Only)</t>
    </r>
  </si>
  <si>
    <t xml:space="preserve"> Beige / Clay Color</t>
  </si>
  <si>
    <r>
      <t xml:space="preserve">15 Months, Interest Free                                            </t>
    </r>
    <r>
      <rPr>
        <b/>
        <sz val="10"/>
        <rFont val="Arial"/>
        <family val="2"/>
      </rPr>
      <t>(Pay in full within 15 months, no interest due)</t>
    </r>
  </si>
  <si>
    <r>
      <t xml:space="preserve">TK2 Plus- </t>
    </r>
    <r>
      <rPr>
        <i/>
        <sz val="10"/>
        <rFont val="Arial"/>
        <family val="2"/>
      </rPr>
      <t>Elite</t>
    </r>
    <r>
      <rPr>
        <sz val="10"/>
        <rFont val="Arial"/>
        <family val="2"/>
      </rPr>
      <t xml:space="preserve"> (per panel)</t>
    </r>
  </si>
  <si>
    <t xml:space="preserve">TG2 PriME Elite- Energy Star Most </t>
  </si>
  <si>
    <r>
      <t>TG2 PriME</t>
    </r>
    <r>
      <rPr>
        <i/>
        <sz val="10"/>
        <rFont val="Arial"/>
        <family val="2"/>
      </rPr>
      <t>-Elite</t>
    </r>
    <r>
      <rPr>
        <sz val="10"/>
        <rFont val="Arial"/>
        <family val="2"/>
      </rPr>
      <t xml:space="preserve"> (per panel)</t>
    </r>
  </si>
  <si>
    <r>
      <t xml:space="preserve"> </t>
    </r>
    <r>
      <rPr>
        <sz val="10"/>
        <rFont val="Arial"/>
        <family val="2"/>
      </rPr>
      <t>Krypton Gas</t>
    </r>
    <r>
      <rPr>
        <b/>
        <sz val="10"/>
        <rFont val="Arial"/>
        <family val="2"/>
      </rPr>
      <t xml:space="preserve"> </t>
    </r>
    <r>
      <rPr>
        <sz val="10"/>
        <rFont val="Arial"/>
        <family val="2"/>
      </rPr>
      <t>(TK2 Plus Elite)</t>
    </r>
  </si>
  <si>
    <t xml:space="preserve"> Single Hung Special Shape W/ </t>
  </si>
  <si>
    <t>Operating Sash</t>
  </si>
  <si>
    <t xml:space="preserve">INT </t>
  </si>
  <si>
    <t xml:space="preserve">COLOR </t>
  </si>
  <si>
    <t xml:space="preserve">EXT </t>
  </si>
  <si>
    <t xml:space="preserve">CUSTOM </t>
  </si>
  <si>
    <t xml:space="preserve">RADIUS </t>
  </si>
  <si>
    <t xml:space="preserve">FOAM </t>
  </si>
  <si>
    <t xml:space="preserve">ENHANCED </t>
  </si>
  <si>
    <t xml:space="preserve">FULL- BSO </t>
  </si>
  <si>
    <t xml:space="preserve">TEMP </t>
  </si>
  <si>
    <t xml:space="preserve">FUL-BSO </t>
  </si>
  <si>
    <t xml:space="preserve">NAIL FIN </t>
  </si>
  <si>
    <t xml:space="preserve">NO J </t>
  </si>
  <si>
    <t xml:space="preserve">WITH J </t>
  </si>
  <si>
    <r>
      <t xml:space="preserve">18 Months, Interest Free                                 </t>
    </r>
    <r>
      <rPr>
        <b/>
        <sz val="10"/>
        <rFont val="Arial"/>
        <family val="2"/>
      </rPr>
      <t xml:space="preserve">       (Pay in full within 18 months, no interest due)</t>
    </r>
  </si>
  <si>
    <t xml:space="preserve"> Header Flashing </t>
  </si>
  <si>
    <t>Revised 11/07/2024</t>
  </si>
  <si>
    <t xml:space="preserve"> Standard Cutback </t>
  </si>
  <si>
    <t xml:space="preserve"> Wood Casing Cutback </t>
  </si>
  <si>
    <t>INCL</t>
  </si>
  <si>
    <t>Heath Manuel  225-472-3007</t>
  </si>
  <si>
    <t>Ned Pearson</t>
  </si>
  <si>
    <t>225-328-2500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</si>
</sst>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6" formatCode="&quot;$&quot;#,##0_);[Red]\(&quot;$&quot;#,##0\)"/>
    <numFmt numFmtId="42" formatCode="_(&quot;$&quot;* #,##0_);_(&quot;$&quot;* \(#,##0\);_(&quot;$&quot;* &quot;-&quot;_);_(@_)"/>
    <numFmt numFmtId="44" formatCode="_(&quot;$&quot;* #,##0.00_);_(&quot;$&quot;* \(#,##0.00\);_(&quot;$&quot;* &quot;-&quot;??_);_(@_)"/>
    <numFmt numFmtId="164" formatCode="\$#,##0"/>
    <numFmt numFmtId="165" formatCode="[&lt;=9999999]###\-####;\(###&quot;) &quot;###\-####"/>
    <numFmt numFmtId="166" formatCode="\$#,##0.00"/>
    <numFmt numFmtId="167" formatCode="mm/dd/yy"/>
    <numFmt numFmtId="168" formatCode="0###"/>
    <numFmt numFmtId="169" formatCode="_([$$-409]* #,##0.00_);_([$$-409]* \(#,##0.00\);_([$$-409]* &quot;-&quot;??_);_(@_)"/>
    <numFmt numFmtId="170" formatCode="m/d/yy;@"/>
    <numFmt numFmtId="171" formatCode="0;\-0;;@"/>
    <numFmt numFmtId="172" formatCode="000"/>
  </numFmts>
  <fonts count="59">
    <font>
      <sz val="10"/>
      <name val="Arial"/>
      <family val="2"/>
    </font>
    <font>
      <sz val="10"/>
      <name val="Arial"/>
      <family val="2"/>
    </font>
    <font>
      <sz val="8"/>
      <name val="Arial"/>
      <family val="2"/>
    </font>
    <font>
      <sz val="9"/>
      <name val="Arial"/>
      <family val="2"/>
    </font>
    <font>
      <sz val="32"/>
      <name val="Arial"/>
      <family val="2"/>
    </font>
    <font>
      <b/>
      <sz val="16"/>
      <name val="Arial"/>
      <family val="2"/>
    </font>
    <font>
      <b/>
      <i/>
      <sz val="11"/>
      <name val="Arial"/>
      <family val="2"/>
    </font>
    <font>
      <sz val="10"/>
      <name val="Script"/>
      <family val="4"/>
    </font>
    <font>
      <b/>
      <sz val="8"/>
      <name val="Arial"/>
      <family val="2"/>
    </font>
    <font>
      <i/>
      <sz val="8"/>
      <name val="Arial"/>
      <family val="2"/>
    </font>
    <font>
      <b/>
      <i/>
      <sz val="8"/>
      <name val="Arial"/>
      <family val="2"/>
    </font>
    <font>
      <sz val="11"/>
      <name val="Arial"/>
      <family val="2"/>
    </font>
    <font>
      <u/>
      <sz val="10"/>
      <color indexed="12"/>
      <name val="Arial"/>
      <family val="2"/>
    </font>
    <font>
      <b/>
      <sz val="12"/>
      <name val="Arial"/>
      <family val="2"/>
    </font>
    <font>
      <b/>
      <u/>
      <sz val="12"/>
      <name val="Arial"/>
      <family val="2"/>
    </font>
    <font>
      <b/>
      <sz val="11"/>
      <name val="Arial"/>
      <family val="2"/>
    </font>
    <font>
      <b/>
      <u/>
      <sz val="9"/>
      <name val="Arial"/>
      <family val="2"/>
    </font>
    <font>
      <b/>
      <sz val="10"/>
      <name val="Arial"/>
      <family val="2"/>
    </font>
    <font>
      <i/>
      <sz val="10"/>
      <name val="Arial"/>
      <family val="2"/>
    </font>
    <font>
      <sz val="11"/>
      <color indexed="20"/>
      <name val="Calibri"/>
      <family val="2"/>
    </font>
    <font>
      <b/>
      <i/>
      <sz val="9"/>
      <name val="Arial"/>
      <family val="2"/>
    </font>
    <font>
      <b/>
      <i/>
      <sz val="10"/>
      <name val="Arial"/>
      <family val="2"/>
    </font>
    <font>
      <b/>
      <u/>
      <sz val="10"/>
      <name val="Arial"/>
      <family val="2"/>
    </font>
    <font>
      <b/>
      <u/>
      <sz val="11"/>
      <name val="Arial"/>
      <family val="2"/>
    </font>
    <font>
      <sz val="6"/>
      <name val="Arial"/>
      <family val="2"/>
    </font>
    <font>
      <sz val="10"/>
      <name val="Arial"/>
      <family val="2"/>
    </font>
    <font>
      <sz val="8.75"/>
      <name val="Arial"/>
      <family val="2"/>
    </font>
    <font>
      <sz val="10.5"/>
      <name val="Arial"/>
      <family val="2"/>
    </font>
    <font>
      <b/>
      <i/>
      <sz val="12"/>
      <name val="Arial"/>
      <family val="2"/>
    </font>
    <font>
      <b/>
      <sz val="9"/>
      <name val="Arial"/>
      <family val="2"/>
    </font>
    <font>
      <sz val="36"/>
      <name val="Brush Script MT"/>
      <family val="4"/>
    </font>
    <font>
      <sz val="7.5"/>
      <name val="Arial"/>
      <family val="2"/>
    </font>
    <font>
      <b/>
      <sz val="10.5"/>
      <name val="Arial"/>
      <family val="2"/>
    </font>
    <font>
      <sz val="8.5"/>
      <name val="Arial"/>
      <family val="2"/>
    </font>
    <font>
      <sz val="10"/>
      <color theme="0"/>
      <name val="Arial"/>
      <family val="2"/>
    </font>
    <font>
      <b/>
      <sz val="14"/>
      <name val="Arial"/>
      <family val="2"/>
    </font>
    <font>
      <b/>
      <sz val="6"/>
      <name val="Arial"/>
      <family val="2"/>
    </font>
    <font>
      <b/>
      <sz val="36"/>
      <name val="Arial"/>
      <family val="2"/>
    </font>
    <font>
      <sz val="11"/>
      <name val="Times New Roman"/>
      <family val="1"/>
    </font>
    <font>
      <b/>
      <sz val="7"/>
      <name val="Arial"/>
      <family val="2"/>
    </font>
    <font>
      <sz val="7"/>
      <name val="Arial"/>
      <family val="2"/>
    </font>
    <font>
      <b/>
      <sz val="13"/>
      <name val="Arial"/>
      <family val="2"/>
    </font>
    <font>
      <sz val="5"/>
      <name val="Arial"/>
      <family val="2"/>
    </font>
    <font>
      <u/>
      <sz val="7"/>
      <name val="Arial"/>
      <family val="2"/>
    </font>
    <font>
      <u/>
      <sz val="9"/>
      <name val="Arial"/>
      <family val="2"/>
    </font>
    <font>
      <b/>
      <sz val="12"/>
      <name val="Times New Roman"/>
      <family val="1"/>
    </font>
    <font>
      <sz val="8"/>
      <color theme="1"/>
      <name val="Calibri"/>
      <family val="2"/>
      <scheme val="minor"/>
    </font>
    <font>
      <sz val="10.5"/>
      <color theme="1"/>
      <name val="Calibri"/>
      <family val="2"/>
      <scheme val="minor"/>
    </font>
    <font>
      <sz val="7"/>
      <color indexed="8"/>
      <name val="Times New Roman"/>
      <family val="1"/>
    </font>
    <font>
      <sz val="10.5"/>
      <color indexed="8"/>
      <name val="Calibri"/>
      <family val="2"/>
    </font>
    <font>
      <sz val="10.5"/>
      <color theme="1"/>
      <name val="Symbol"/>
      <family val="1"/>
      <charset val="2"/>
    </font>
    <font>
      <b/>
      <sz val="10.5"/>
      <color indexed="8"/>
      <name val="Calibri"/>
      <family val="2"/>
    </font>
    <font>
      <b/>
      <sz val="14"/>
      <color theme="1"/>
      <name val="Calibri"/>
      <family val="2"/>
      <scheme val="minor"/>
    </font>
    <font>
      <b/>
      <sz val="10.5"/>
      <color theme="1"/>
      <name val="Arial"/>
      <family val="2"/>
    </font>
    <font>
      <b/>
      <sz val="8"/>
      <color theme="1"/>
      <name val="Arial"/>
      <family val="2"/>
    </font>
    <font>
      <b/>
      <sz val="24"/>
      <name val="Arial"/>
      <family val="2"/>
    </font>
    <font>
      <b/>
      <sz val="18"/>
      <name val="Arial"/>
      <family val="2"/>
    </font>
    <font>
      <b/>
      <sz val="14"/>
      <color rgb="FFFF0000"/>
      <name val="Arial"/>
      <family val="2"/>
    </font>
    <font>
      <b/>
      <sz val="14"/>
      <color rgb="FF0045C0"/>
      <name val="Arial"/>
      <family val="2"/>
    </font>
  </fonts>
  <fills count="6">
    <fill>
      <patternFill patternType="none"/>
    </fill>
    <fill>
      <patternFill patternType="gray125"/>
    </fill>
    <fill>
      <patternFill patternType="solid">
        <fgColor indexed="45"/>
        <bgColor indexed="29"/>
      </patternFill>
    </fill>
    <fill>
      <patternFill patternType="solid">
        <fgColor indexed="8"/>
        <bgColor indexed="58"/>
      </patternFill>
    </fill>
    <fill>
      <patternFill patternType="solid">
        <fgColor indexed="9"/>
        <bgColor indexed="26"/>
      </patternFill>
    </fill>
    <fill>
      <patternFill patternType="solid">
        <fgColor rgb="FFFFFF00"/>
        <bgColor indexed="64"/>
      </patternFill>
    </fill>
  </fills>
  <borders count="73">
    <border>
      <left/>
      <right/>
      <top/>
      <bottom/>
      <diagonal/>
    </border>
    <border>
      <left/>
      <right/>
      <top/>
      <bottom style="thin">
        <color indexed="8"/>
      </bottom>
      <diagonal/>
    </border>
    <border>
      <left/>
      <right/>
      <top style="thin">
        <color indexed="8"/>
      </top>
      <bottom style="thin">
        <color indexed="8"/>
      </bottom>
      <diagonal/>
    </border>
    <border>
      <left/>
      <right/>
      <top style="thin">
        <color indexed="8"/>
      </top>
      <bottom/>
      <diagonal/>
    </border>
    <border>
      <left/>
      <right/>
      <top/>
      <bottom style="thin">
        <color indexed="64"/>
      </bottom>
      <diagonal/>
    </border>
    <border>
      <left/>
      <right/>
      <top style="medium">
        <color indexed="64"/>
      </top>
      <bottom style="medium">
        <color indexed="64"/>
      </bottom>
      <diagonal/>
    </border>
    <border>
      <left/>
      <right/>
      <top/>
      <bottom style="medium">
        <color indexed="64"/>
      </bottom>
      <diagonal/>
    </border>
    <border>
      <left/>
      <right style="medium">
        <color indexed="64"/>
      </right>
      <top/>
      <bottom/>
      <diagonal/>
    </border>
    <border>
      <left style="medium">
        <color indexed="64"/>
      </left>
      <right/>
      <top/>
      <bottom/>
      <diagonal/>
    </border>
    <border>
      <left style="medium">
        <color indexed="64"/>
      </left>
      <right/>
      <top/>
      <bottom style="medium">
        <color indexed="64"/>
      </bottom>
      <diagonal/>
    </border>
    <border>
      <left/>
      <right/>
      <top style="thin">
        <color indexed="8"/>
      </top>
      <bottom style="thin">
        <color indexed="64"/>
      </bottom>
      <diagonal/>
    </border>
    <border>
      <left style="medium">
        <color indexed="64"/>
      </left>
      <right/>
      <top style="medium">
        <color indexed="64"/>
      </top>
      <bottom/>
      <diagonal/>
    </border>
    <border>
      <left/>
      <right style="medium">
        <color indexed="64"/>
      </right>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8"/>
      </top>
      <bottom style="thin">
        <color indexed="8"/>
      </bottom>
      <diagonal/>
    </border>
    <border>
      <left/>
      <right/>
      <top style="medium">
        <color indexed="8"/>
      </top>
      <bottom/>
      <diagonal/>
    </border>
    <border>
      <left style="medium">
        <color indexed="8"/>
      </left>
      <right style="medium">
        <color indexed="8"/>
      </right>
      <top style="thin">
        <color indexed="8"/>
      </top>
      <bottom style="medium">
        <color indexed="8"/>
      </bottom>
      <diagonal/>
    </border>
    <border>
      <left/>
      <right/>
      <top/>
      <bottom style="medium">
        <color indexed="8"/>
      </bottom>
      <diagonal/>
    </border>
    <border>
      <left style="medium">
        <color indexed="8"/>
      </left>
      <right/>
      <top/>
      <bottom style="medium">
        <color indexed="8"/>
      </bottom>
      <diagonal/>
    </border>
    <border>
      <left style="medium">
        <color indexed="8"/>
      </left>
      <right style="medium">
        <color indexed="8"/>
      </right>
      <top/>
      <bottom style="medium">
        <color indexed="8"/>
      </bottom>
      <diagonal/>
    </border>
    <border>
      <left style="medium">
        <color indexed="8"/>
      </left>
      <right/>
      <top style="thin">
        <color indexed="8"/>
      </top>
      <bottom/>
      <diagonal/>
    </border>
    <border>
      <left style="thin">
        <color indexed="8"/>
      </left>
      <right style="medium">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medium">
        <color indexed="8"/>
      </left>
      <right/>
      <top style="thin">
        <color indexed="8"/>
      </top>
      <bottom style="thin">
        <color indexed="8"/>
      </bottom>
      <diagonal/>
    </border>
    <border>
      <left style="thin">
        <color indexed="8"/>
      </left>
      <right/>
      <top/>
      <bottom style="thin">
        <color indexed="8"/>
      </bottom>
      <diagonal/>
    </border>
    <border>
      <left style="thin">
        <color indexed="8"/>
      </left>
      <right style="thin">
        <color indexed="8"/>
      </right>
      <top/>
      <bottom style="thin">
        <color indexed="8"/>
      </bottom>
      <diagonal/>
    </border>
    <border>
      <left style="thin">
        <color indexed="8"/>
      </left>
      <right/>
      <top style="thin">
        <color indexed="8"/>
      </top>
      <bottom style="thin">
        <color indexed="8"/>
      </bottom>
      <diagonal/>
    </border>
    <border>
      <left style="thin">
        <color indexed="8"/>
      </left>
      <right style="thin">
        <color indexed="8"/>
      </right>
      <top style="thin">
        <color indexed="8"/>
      </top>
      <bottom/>
      <diagonal/>
    </border>
    <border>
      <left style="medium">
        <color indexed="8"/>
      </left>
      <right style="thin">
        <color indexed="8"/>
      </right>
      <top style="thin">
        <color indexed="8"/>
      </top>
      <bottom style="thin">
        <color indexed="8"/>
      </bottom>
      <diagonal/>
    </border>
    <border>
      <left style="thin">
        <color indexed="8"/>
      </left>
      <right style="medium">
        <color indexed="8"/>
      </right>
      <top/>
      <bottom style="thin">
        <color indexed="8"/>
      </bottom>
      <diagonal/>
    </border>
    <border>
      <left style="medium">
        <color indexed="8"/>
      </left>
      <right style="thin">
        <color indexed="8"/>
      </right>
      <top/>
      <bottom style="thin">
        <color indexed="8"/>
      </bottom>
      <diagonal/>
    </border>
    <border>
      <left/>
      <right style="thin">
        <color indexed="8"/>
      </right>
      <top/>
      <bottom style="thin">
        <color indexed="8"/>
      </bottom>
      <diagonal/>
    </border>
    <border>
      <left style="thin">
        <color indexed="8"/>
      </left>
      <right style="medium">
        <color indexed="8"/>
      </right>
      <top style="medium">
        <color indexed="8"/>
      </top>
      <bottom/>
      <diagonal/>
    </border>
    <border>
      <left style="thin">
        <color indexed="8"/>
      </left>
      <right style="thin">
        <color indexed="8"/>
      </right>
      <top style="medium">
        <color indexed="8"/>
      </top>
      <bottom/>
      <diagonal/>
    </border>
    <border>
      <left style="thin">
        <color indexed="8"/>
      </left>
      <right/>
      <top style="medium">
        <color indexed="8"/>
      </top>
      <bottom/>
      <diagonal/>
    </border>
    <border>
      <left style="medium">
        <color indexed="8"/>
      </left>
      <right style="thin">
        <color indexed="8"/>
      </right>
      <top style="medium">
        <color indexed="8"/>
      </top>
      <bottom/>
      <diagonal/>
    </border>
    <border>
      <left style="thin">
        <color indexed="8"/>
      </left>
      <right/>
      <top/>
      <bottom/>
      <diagonal/>
    </border>
    <border>
      <left style="thin">
        <color indexed="8"/>
      </left>
      <right style="thin">
        <color indexed="8"/>
      </right>
      <top/>
      <bottom/>
      <diagonal/>
    </border>
    <border>
      <left/>
      <right style="thin">
        <color indexed="8"/>
      </right>
      <top/>
      <bottom/>
      <diagonal/>
    </border>
    <border>
      <left/>
      <right style="thin">
        <color indexed="8"/>
      </right>
      <top style="medium">
        <color indexed="8"/>
      </top>
      <bottom/>
      <diagonal/>
    </border>
    <border>
      <left/>
      <right style="double">
        <color indexed="8"/>
      </right>
      <top/>
      <bottom style="double">
        <color indexed="8"/>
      </bottom>
      <diagonal/>
    </border>
    <border>
      <left/>
      <right/>
      <top/>
      <bottom style="double">
        <color indexed="8"/>
      </bottom>
      <diagonal/>
    </border>
    <border>
      <left style="double">
        <color indexed="8"/>
      </left>
      <right/>
      <top/>
      <bottom style="double">
        <color indexed="8"/>
      </bottom>
      <diagonal/>
    </border>
    <border>
      <left/>
      <right style="medium">
        <color indexed="8"/>
      </right>
      <top/>
      <bottom style="medium">
        <color indexed="8"/>
      </bottom>
      <diagonal/>
    </border>
    <border>
      <left/>
      <right style="double">
        <color indexed="8"/>
      </right>
      <top style="double">
        <color indexed="8"/>
      </top>
      <bottom style="thin">
        <color indexed="8"/>
      </bottom>
      <diagonal/>
    </border>
    <border>
      <left style="double">
        <color indexed="8"/>
      </left>
      <right/>
      <top/>
      <bottom/>
      <diagonal/>
    </border>
    <border>
      <left style="medium">
        <color indexed="8"/>
      </left>
      <right style="medium">
        <color indexed="8"/>
      </right>
      <top style="medium">
        <color indexed="8"/>
      </top>
      <bottom/>
      <diagonal/>
    </border>
    <border>
      <left/>
      <right/>
      <top style="double">
        <color indexed="8"/>
      </top>
      <bottom/>
      <diagonal/>
    </border>
    <border>
      <left style="double">
        <color indexed="8"/>
      </left>
      <right/>
      <top style="double">
        <color indexed="8"/>
      </top>
      <bottom/>
      <diagonal/>
    </border>
    <border>
      <left/>
      <right/>
      <top style="thin">
        <color indexed="8"/>
      </top>
      <bottom style="double">
        <color indexed="8"/>
      </bottom>
      <diagonal/>
    </border>
    <border>
      <left style="double">
        <color indexed="8"/>
      </left>
      <right/>
      <top style="thin">
        <color indexed="8"/>
      </top>
      <bottom style="double">
        <color indexed="8"/>
      </bottom>
      <diagonal/>
    </border>
    <border>
      <left/>
      <right style="double">
        <color indexed="8"/>
      </right>
      <top/>
      <bottom style="thin">
        <color indexed="8"/>
      </bottom>
      <diagonal/>
    </border>
    <border>
      <left style="double">
        <color indexed="8"/>
      </left>
      <right/>
      <top/>
      <bottom style="thin">
        <color indexed="8"/>
      </bottom>
      <diagonal/>
    </border>
    <border>
      <left/>
      <right style="double">
        <color indexed="8"/>
      </right>
      <top style="thin">
        <color indexed="8"/>
      </top>
      <bottom style="thin">
        <color indexed="8"/>
      </bottom>
      <diagonal/>
    </border>
    <border>
      <left/>
      <right style="double">
        <color indexed="8"/>
      </right>
      <top/>
      <bottom/>
      <diagonal/>
    </border>
    <border>
      <left/>
      <right style="double">
        <color indexed="8"/>
      </right>
      <top style="double">
        <color indexed="8"/>
      </top>
      <bottom/>
      <diagonal/>
    </border>
    <border>
      <left style="double">
        <color indexed="64"/>
      </left>
      <right/>
      <top/>
      <bottom/>
      <diagonal/>
    </border>
    <border>
      <left style="double">
        <color indexed="8"/>
      </left>
      <right style="double">
        <color indexed="8"/>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ck">
        <color rgb="FFFFFF00"/>
      </right>
      <top/>
      <bottom/>
      <diagonal/>
    </border>
    <border>
      <left/>
      <right/>
      <top style="thick">
        <color rgb="FFFFFF00"/>
      </top>
      <bottom/>
      <diagonal/>
    </border>
    <border>
      <left/>
      <right style="thick">
        <color rgb="FFFFFF00"/>
      </right>
      <top style="thick">
        <color rgb="FFFFFF00"/>
      </top>
      <bottom/>
      <diagonal/>
    </border>
    <border>
      <left/>
      <right style="thick">
        <color rgb="FFFFFF00"/>
      </right>
      <top/>
      <bottom/>
      <diagonal/>
    </border>
    <border>
      <left style="thick">
        <color rgb="FFFFFF00"/>
      </left>
      <right/>
      <top style="thick">
        <color rgb="FFFFFF00"/>
      </top>
      <bottom/>
      <diagonal/>
    </border>
    <border>
      <left style="thick">
        <color rgb="FFFFFF00"/>
      </left>
      <right/>
      <top/>
      <bottom style="thick">
        <color rgb="FFFFFF00"/>
      </bottom>
      <diagonal/>
    </border>
    <border>
      <left/>
      <right style="thick">
        <color rgb="FFFFFF00"/>
      </right>
      <top/>
      <bottom style="thick">
        <color rgb="FFFFFF00"/>
      </bottom>
      <diagonal/>
    </border>
  </borders>
  <cellStyleXfs count="9">
    <xf numFmtId="0" fontId="0" fillId="0" borderId="0"/>
    <xf numFmtId="0" fontId="19" fillId="2" borderId="0" applyNumberFormat="0" applyBorder="0" applyAlignment="0" applyProtection="0"/>
    <xf numFmtId="0" fontId="12" fillId="0" borderId="0" applyNumberFormat="0" applyFill="0" applyBorder="0" applyAlignment="0" applyProtection="0"/>
    <xf numFmtId="0" fontId="25" fillId="0" borderId="0"/>
    <xf numFmtId="0" fontId="25" fillId="0" borderId="0"/>
    <xf numFmtId="0" fontId="1" fillId="0" borderId="0"/>
    <xf numFmtId="0" fontId="25" fillId="0" borderId="0"/>
    <xf numFmtId="9" fontId="25" fillId="0" borderId="0" applyFill="0" applyBorder="0" applyAlignment="0" applyProtection="0"/>
    <xf numFmtId="44" fontId="25" fillId="0" borderId="0" applyFont="0" applyFill="0" applyBorder="0" applyAlignment="0" applyProtection="0"/>
  </cellStyleXfs>
  <cellXfs count="547">
    <xf numFmtId="0" fontId="0" fillId="0" borderId="0" xfId="0"/>
    <xf numFmtId="0" fontId="0" fillId="0" borderId="0" xfId="0" applyAlignment="1">
      <alignment horizontal="center"/>
    </xf>
    <xf numFmtId="164" fontId="2" fillId="0" borderId="0" xfId="0" applyNumberFormat="1" applyFont="1" applyAlignment="1">
      <alignment horizontal="right"/>
    </xf>
    <xf numFmtId="0" fontId="0" fillId="0" borderId="0" xfId="0" applyAlignment="1">
      <alignment horizontal="right"/>
    </xf>
    <xf numFmtId="0" fontId="0" fillId="0" borderId="0" xfId="0" applyAlignment="1">
      <alignment horizontal="left"/>
    </xf>
    <xf numFmtId="164" fontId="3" fillId="0" borderId="0" xfId="0" applyNumberFormat="1" applyFont="1"/>
    <xf numFmtId="0" fontId="4" fillId="0" borderId="0" xfId="0" applyFont="1" applyAlignment="1">
      <alignment vertical="center" wrapText="1"/>
    </xf>
    <xf numFmtId="0" fontId="7" fillId="0" borderId="0" xfId="0" applyFont="1"/>
    <xf numFmtId="0" fontId="11" fillId="0" borderId="0" xfId="0" applyFont="1" applyAlignment="1">
      <alignment horizontal="center" vertical="center"/>
    </xf>
    <xf numFmtId="0" fontId="6" fillId="0" borderId="0" xfId="0" applyFont="1"/>
    <xf numFmtId="0" fontId="0" fillId="0" borderId="0" xfId="0" applyAlignment="1">
      <alignment vertical="top"/>
    </xf>
    <xf numFmtId="0" fontId="15" fillId="0" borderId="0" xfId="0" applyFont="1" applyAlignment="1">
      <alignment horizontal="left"/>
    </xf>
    <xf numFmtId="0" fontId="3" fillId="0" borderId="0" xfId="0" applyFont="1" applyAlignment="1">
      <alignment horizontal="left"/>
    </xf>
    <xf numFmtId="1" fontId="0" fillId="0" borderId="1" xfId="0" applyNumberFormat="1" applyBorder="1" applyAlignment="1" applyProtection="1">
      <alignment horizontal="center"/>
      <protection locked="0"/>
    </xf>
    <xf numFmtId="1" fontId="0" fillId="0" borderId="0" xfId="0" applyNumberFormat="1" applyAlignment="1">
      <alignment horizontal="center"/>
    </xf>
    <xf numFmtId="164" fontId="0" fillId="0" borderId="0" xfId="0" applyNumberFormat="1"/>
    <xf numFmtId="0" fontId="16" fillId="0" borderId="0" xfId="0" applyFont="1" applyAlignment="1">
      <alignment horizontal="left"/>
    </xf>
    <xf numFmtId="0" fontId="0" fillId="0" borderId="1" xfId="0" applyBorder="1" applyAlignment="1" applyProtection="1">
      <alignment horizontal="center"/>
      <protection locked="0"/>
    </xf>
    <xf numFmtId="164" fontId="0" fillId="0" borderId="0" xfId="0" applyNumberFormat="1" applyAlignment="1">
      <alignment horizontal="right"/>
    </xf>
    <xf numFmtId="3" fontId="0" fillId="0" borderId="0" xfId="0" applyNumberFormat="1" applyAlignment="1">
      <alignment horizontal="center"/>
    </xf>
    <xf numFmtId="0" fontId="17" fillId="0" borderId="0" xfId="0" applyFont="1" applyAlignment="1">
      <alignment horizontal="left"/>
    </xf>
    <xf numFmtId="0" fontId="15" fillId="0" borderId="0" xfId="0" applyFont="1" applyAlignment="1">
      <alignment horizontal="left" vertical="top"/>
    </xf>
    <xf numFmtId="0" fontId="0" fillId="0" borderId="0" xfId="0" applyAlignment="1">
      <alignment vertical="center"/>
    </xf>
    <xf numFmtId="164" fontId="0" fillId="0" borderId="0" xfId="0" applyNumberFormat="1" applyAlignment="1">
      <alignment horizontal="right" vertical="center"/>
    </xf>
    <xf numFmtId="0" fontId="0" fillId="0" borderId="2" xfId="0" applyBorder="1" applyAlignment="1" applyProtection="1">
      <alignment horizontal="center"/>
      <protection locked="0"/>
    </xf>
    <xf numFmtId="1" fontId="0" fillId="0" borderId="1" xfId="0" applyNumberFormat="1" applyBorder="1" applyAlignment="1" applyProtection="1">
      <alignment horizontal="center" vertical="center"/>
      <protection locked="0"/>
    </xf>
    <xf numFmtId="1" fontId="0" fillId="0" borderId="0" xfId="0" applyNumberFormat="1" applyAlignment="1">
      <alignment horizontal="center" vertical="center"/>
    </xf>
    <xf numFmtId="164" fontId="0" fillId="0" borderId="0" xfId="0" applyNumberFormat="1" applyAlignment="1">
      <alignment vertical="center"/>
    </xf>
    <xf numFmtId="164" fontId="0" fillId="0" borderId="0" xfId="0" applyNumberFormat="1" applyAlignment="1">
      <alignment horizontal="left"/>
    </xf>
    <xf numFmtId="49" fontId="0" fillId="0" borderId="0" xfId="0" applyNumberFormat="1" applyAlignment="1">
      <alignment horizontal="center"/>
    </xf>
    <xf numFmtId="0" fontId="17" fillId="0" borderId="0" xfId="0" applyFont="1" applyAlignment="1">
      <alignment horizontal="right"/>
    </xf>
    <xf numFmtId="164" fontId="0" fillId="0" borderId="1" xfId="0" applyNumberFormat="1" applyBorder="1" applyAlignment="1">
      <alignment horizontal="right"/>
    </xf>
    <xf numFmtId="164" fontId="3" fillId="0" borderId="0" xfId="0" applyNumberFormat="1" applyFont="1" applyAlignment="1">
      <alignment horizontal="right"/>
    </xf>
    <xf numFmtId="0" fontId="3" fillId="0" borderId="0" xfId="0" applyFont="1"/>
    <xf numFmtId="0" fontId="20" fillId="0" borderId="0" xfId="0" applyFont="1" applyAlignment="1">
      <alignment wrapText="1"/>
    </xf>
    <xf numFmtId="164" fontId="21" fillId="0" borderId="0" xfId="0" applyNumberFormat="1" applyFont="1" applyAlignment="1">
      <alignment horizontal="right"/>
    </xf>
    <xf numFmtId="49" fontId="0" fillId="0" borderId="0" xfId="0" applyNumberFormat="1"/>
    <xf numFmtId="0" fontId="11" fillId="0" borderId="0" xfId="0" applyFont="1"/>
    <xf numFmtId="0" fontId="11" fillId="0" borderId="0" xfId="0" applyFont="1" applyAlignment="1">
      <alignment horizontal="center"/>
    </xf>
    <xf numFmtId="164" fontId="11" fillId="0" borderId="0" xfId="0" applyNumberFormat="1" applyFont="1" applyAlignment="1">
      <alignment horizontal="right"/>
    </xf>
    <xf numFmtId="0" fontId="11" fillId="0" borderId="0" xfId="0" applyFont="1" applyAlignment="1">
      <alignment horizontal="right"/>
    </xf>
    <xf numFmtId="0" fontId="11" fillId="0" borderId="0" xfId="0" applyFont="1" applyAlignment="1">
      <alignment horizontal="left"/>
    </xf>
    <xf numFmtId="0" fontId="11" fillId="0" borderId="1" xfId="0" applyFont="1" applyBorder="1" applyAlignment="1" applyProtection="1">
      <alignment horizontal="left"/>
      <protection locked="0"/>
    </xf>
    <xf numFmtId="164" fontId="11" fillId="0" borderId="0" xfId="0" applyNumberFormat="1" applyFont="1" applyAlignment="1">
      <alignment horizontal="left"/>
    </xf>
    <xf numFmtId="49" fontId="13" fillId="0" borderId="1" xfId="0" applyNumberFormat="1" applyFont="1" applyBorder="1" applyAlignment="1">
      <alignment horizontal="center"/>
    </xf>
    <xf numFmtId="49" fontId="13" fillId="0" borderId="0" xfId="0" applyNumberFormat="1" applyFont="1" applyAlignment="1">
      <alignment horizontal="center"/>
    </xf>
    <xf numFmtId="0" fontId="2" fillId="0" borderId="0" xfId="0" applyFont="1" applyAlignment="1">
      <alignment horizontal="center" vertical="top"/>
    </xf>
    <xf numFmtId="0" fontId="2" fillId="0" borderId="0" xfId="0" applyFont="1" applyAlignment="1">
      <alignment vertical="top"/>
    </xf>
    <xf numFmtId="0" fontId="2" fillId="0" borderId="0" xfId="0" applyFont="1" applyAlignment="1">
      <alignment horizontal="left" vertical="top"/>
    </xf>
    <xf numFmtId="164" fontId="0" fillId="0" borderId="3" xfId="0" applyNumberFormat="1" applyBorder="1" applyAlignment="1">
      <alignment horizontal="left"/>
    </xf>
    <xf numFmtId="0" fontId="0" fillId="0" borderId="3" xfId="0" applyBorder="1" applyAlignment="1">
      <alignment vertical="top"/>
    </xf>
    <xf numFmtId="0" fontId="11" fillId="0" borderId="3" xfId="0" applyFont="1" applyBorder="1"/>
    <xf numFmtId="0" fontId="11" fillId="0" borderId="3" xfId="0" applyFont="1" applyBorder="1" applyAlignment="1">
      <alignment horizontal="left"/>
    </xf>
    <xf numFmtId="0" fontId="0" fillId="0" borderId="3" xfId="0" applyBorder="1"/>
    <xf numFmtId="0" fontId="24" fillId="0" borderId="0" xfId="0" applyFont="1" applyAlignment="1">
      <alignment horizontal="left"/>
    </xf>
    <xf numFmtId="0" fontId="24" fillId="0" borderId="0" xfId="0" applyFont="1" applyAlignment="1">
      <alignment horizontal="center"/>
    </xf>
    <xf numFmtId="164" fontId="2" fillId="0" borderId="0" xfId="0" applyNumberFormat="1" applyFont="1" applyAlignment="1">
      <alignment horizontal="left"/>
    </xf>
    <xf numFmtId="0" fontId="24" fillId="0" borderId="0" xfId="0" applyFont="1"/>
    <xf numFmtId="164" fontId="24" fillId="0" borderId="0" xfId="0" applyNumberFormat="1" applyFont="1" applyAlignment="1">
      <alignment horizontal="right"/>
    </xf>
    <xf numFmtId="0" fontId="24" fillId="0" borderId="0" xfId="0" applyFont="1" applyAlignment="1">
      <alignment horizontal="right"/>
    </xf>
    <xf numFmtId="164" fontId="24" fillId="0" borderId="0" xfId="0" applyNumberFormat="1" applyFont="1"/>
    <xf numFmtId="164" fontId="0" fillId="0" borderId="4" xfId="0" applyNumberFormat="1" applyBorder="1" applyAlignment="1" applyProtection="1">
      <alignment horizontal="right"/>
      <protection locked="0"/>
    </xf>
    <xf numFmtId="164" fontId="0" fillId="0" borderId="0" xfId="0" applyNumberFormat="1" applyProtection="1">
      <protection locked="0"/>
    </xf>
    <xf numFmtId="0" fontId="8" fillId="0" borderId="0" xfId="0" applyFont="1"/>
    <xf numFmtId="0" fontId="8" fillId="0" borderId="0" xfId="0" applyFont="1" applyAlignment="1">
      <alignment vertical="center"/>
    </xf>
    <xf numFmtId="0" fontId="17" fillId="0" borderId="0" xfId="0" applyFont="1"/>
    <xf numFmtId="0" fontId="2" fillId="0" borderId="0" xfId="0" applyFont="1" applyAlignment="1">
      <alignment vertical="center" wrapText="1"/>
    </xf>
    <xf numFmtId="0" fontId="10" fillId="0" borderId="0" xfId="0" applyFont="1" applyAlignment="1">
      <alignment horizontal="left" vertical="center" wrapText="1" indent="4"/>
    </xf>
    <xf numFmtId="0" fontId="10" fillId="0" borderId="0" xfId="0" applyFont="1" applyAlignment="1">
      <alignment horizontal="center"/>
    </xf>
    <xf numFmtId="0" fontId="9" fillId="0" borderId="0" xfId="0" applyFont="1"/>
    <xf numFmtId="0" fontId="9" fillId="0" borderId="0" xfId="0" applyFont="1" applyAlignment="1">
      <alignment vertical="center"/>
    </xf>
    <xf numFmtId="0" fontId="8" fillId="0" borderId="0" xfId="0" applyFont="1" applyAlignment="1">
      <alignment horizontal="right" vertical="center"/>
    </xf>
    <xf numFmtId="164" fontId="0" fillId="0" borderId="0" xfId="0" applyNumberFormat="1" applyAlignment="1" applyProtection="1">
      <alignment horizontal="right"/>
      <protection locked="0"/>
    </xf>
    <xf numFmtId="6" fontId="0" fillId="0" borderId="0" xfId="0" applyNumberFormat="1"/>
    <xf numFmtId="0" fontId="0" fillId="0" borderId="5" xfId="0" applyBorder="1" applyAlignment="1">
      <alignment horizontal="left" indent="1"/>
    </xf>
    <xf numFmtId="0" fontId="0" fillId="0" borderId="5" xfId="0" applyBorder="1" applyAlignment="1">
      <alignment horizontal="right"/>
    </xf>
    <xf numFmtId="0" fontId="11" fillId="0" borderId="5" xfId="0" applyFont="1" applyBorder="1" applyAlignment="1">
      <alignment horizontal="right"/>
    </xf>
    <xf numFmtId="164" fontId="12" fillId="0" borderId="5" xfId="2" applyNumberFormat="1" applyFill="1" applyBorder="1" applyAlignment="1" applyProtection="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8" xfId="0" applyBorder="1" applyAlignment="1">
      <alignment horizontal="left"/>
    </xf>
    <xf numFmtId="167" fontId="11" fillId="0" borderId="0" xfId="0" applyNumberFormat="1" applyFont="1" applyAlignment="1">
      <alignment horizontal="left"/>
    </xf>
    <xf numFmtId="0" fontId="25" fillId="0" borderId="0" xfId="5" applyFont="1" applyAlignment="1">
      <alignment horizontal="left"/>
    </xf>
    <xf numFmtId="0" fontId="0" fillId="0" borderId="0" xfId="5" applyFont="1" applyAlignment="1">
      <alignment horizontal="left"/>
    </xf>
    <xf numFmtId="0" fontId="0" fillId="0" borderId="8" xfId="0" applyBorder="1" applyAlignment="1">
      <alignment horizontal="center"/>
    </xf>
    <xf numFmtId="3" fontId="0" fillId="0" borderId="7" xfId="0" applyNumberFormat="1" applyBorder="1" applyAlignment="1">
      <alignment horizontal="center" vertical="center"/>
    </xf>
    <xf numFmtId="0" fontId="0" fillId="0" borderId="8" xfId="0" applyBorder="1" applyAlignment="1" applyProtection="1">
      <alignment horizontal="right"/>
      <protection locked="0"/>
    </xf>
    <xf numFmtId="166" fontId="0" fillId="0" borderId="0" xfId="0" applyNumberFormat="1" applyAlignment="1" applyProtection="1">
      <alignment horizontal="right"/>
      <protection locked="0"/>
    </xf>
    <xf numFmtId="168" fontId="0" fillId="0" borderId="0" xfId="0" applyNumberFormat="1"/>
    <xf numFmtId="0" fontId="0" fillId="0" borderId="0" xfId="0" applyAlignment="1" applyProtection="1">
      <alignment horizontal="left"/>
      <protection locked="0"/>
    </xf>
    <xf numFmtId="1" fontId="0" fillId="0" borderId="0" xfId="0" applyNumberFormat="1" applyAlignment="1" applyProtection="1">
      <alignment horizontal="center"/>
      <protection locked="0"/>
    </xf>
    <xf numFmtId="0" fontId="2" fillId="0" borderId="0" xfId="0" applyFont="1" applyAlignment="1">
      <alignment horizontal="center"/>
    </xf>
    <xf numFmtId="0" fontId="2" fillId="0" borderId="8" xfId="0" applyFont="1" applyBorder="1" applyAlignment="1">
      <alignment horizontal="center"/>
    </xf>
    <xf numFmtId="164" fontId="2" fillId="0" borderId="0" xfId="0" applyNumberFormat="1" applyFont="1" applyAlignment="1" applyProtection="1">
      <alignment horizontal="center"/>
      <protection locked="0"/>
    </xf>
    <xf numFmtId="0" fontId="0" fillId="0" borderId="0" xfId="0" applyAlignment="1" applyProtection="1">
      <alignment horizontal="center"/>
      <protection locked="0"/>
    </xf>
    <xf numFmtId="0" fontId="14" fillId="0" borderId="0" xfId="0" applyFont="1" applyAlignment="1">
      <alignment vertical="center"/>
    </xf>
    <xf numFmtId="0" fontId="0" fillId="0" borderId="11" xfId="0" applyBorder="1"/>
    <xf numFmtId="164" fontId="0" fillId="0" borderId="6" xfId="0" applyNumberFormat="1" applyBorder="1" applyAlignment="1" applyProtection="1">
      <alignment horizontal="left"/>
      <protection locked="0"/>
    </xf>
    <xf numFmtId="3" fontId="0" fillId="0" borderId="12" xfId="0" applyNumberFormat="1" applyBorder="1" applyAlignment="1">
      <alignment horizontal="center"/>
    </xf>
    <xf numFmtId="0" fontId="2" fillId="0" borderId="7" xfId="0" applyFont="1" applyBorder="1" applyAlignment="1">
      <alignment horizontal="center"/>
    </xf>
    <xf numFmtId="0" fontId="11" fillId="0" borderId="8" xfId="0" applyFont="1" applyBorder="1" applyAlignment="1">
      <alignment horizontal="center"/>
    </xf>
    <xf numFmtId="0" fontId="11" fillId="0" borderId="7" xfId="0" applyFont="1" applyBorder="1" applyAlignment="1">
      <alignment horizontal="left"/>
    </xf>
    <xf numFmtId="0" fontId="0" fillId="0" borderId="7" xfId="0" applyBorder="1" applyAlignment="1">
      <alignment horizontal="left"/>
    </xf>
    <xf numFmtId="0" fontId="2" fillId="0" borderId="7" xfId="0" applyFont="1" applyBorder="1" applyAlignment="1">
      <alignment horizontal="left" vertical="top"/>
    </xf>
    <xf numFmtId="0" fontId="0" fillId="0" borderId="0" xfId="0" applyAlignment="1">
      <alignment horizontal="left" indent="1"/>
    </xf>
    <xf numFmtId="164" fontId="12" fillId="0" borderId="0" xfId="2" applyNumberFormat="1" applyFill="1" applyBorder="1" applyAlignment="1" applyProtection="1"/>
    <xf numFmtId="1" fontId="0" fillId="0" borderId="0" xfId="0" applyNumberFormat="1" applyAlignment="1" applyProtection="1">
      <alignment horizontal="center" vertical="center"/>
      <protection locked="0"/>
    </xf>
    <xf numFmtId="164" fontId="0" fillId="0" borderId="0" xfId="0" applyNumberFormat="1" applyAlignment="1" applyProtection="1">
      <alignment horizontal="left"/>
      <protection locked="0"/>
    </xf>
    <xf numFmtId="0" fontId="2" fillId="0" borderId="0" xfId="0" applyFont="1" applyAlignment="1">
      <alignment wrapText="1"/>
    </xf>
    <xf numFmtId="0" fontId="11" fillId="0" borderId="0" xfId="0" applyFont="1" applyAlignment="1" applyProtection="1">
      <alignment horizontal="left"/>
      <protection locked="0"/>
    </xf>
    <xf numFmtId="0" fontId="15" fillId="0" borderId="0" xfId="0" applyFont="1" applyAlignment="1">
      <alignment horizontal="center"/>
    </xf>
    <xf numFmtId="0" fontId="13" fillId="0" borderId="8" xfId="0" applyFont="1" applyBorder="1" applyAlignment="1">
      <alignment horizontal="center"/>
    </xf>
    <xf numFmtId="3" fontId="0" fillId="0" borderId="7" xfId="0" applyNumberFormat="1" applyBorder="1" applyAlignment="1">
      <alignment horizontal="center"/>
    </xf>
    <xf numFmtId="0" fontId="0" fillId="0" borderId="8" xfId="0" applyBorder="1" applyAlignment="1" applyProtection="1">
      <alignment horizontal="center"/>
      <protection locked="0"/>
    </xf>
    <xf numFmtId="1" fontId="0" fillId="0" borderId="7" xfId="0" applyNumberFormat="1" applyBorder="1" applyAlignment="1">
      <alignment horizontal="center"/>
    </xf>
    <xf numFmtId="0" fontId="17" fillId="0" borderId="8" xfId="0" applyFont="1" applyBorder="1" applyAlignment="1">
      <alignment horizontal="left"/>
    </xf>
    <xf numFmtId="0" fontId="15" fillId="0" borderId="8" xfId="0" applyFont="1" applyBorder="1" applyAlignment="1">
      <alignment horizontal="center"/>
    </xf>
    <xf numFmtId="0" fontId="11" fillId="0" borderId="8" xfId="0" applyFont="1" applyBorder="1" applyAlignment="1" applyProtection="1">
      <alignment wrapText="1"/>
      <protection locked="0"/>
    </xf>
    <xf numFmtId="0" fontId="11" fillId="0" borderId="0" xfId="0" applyFont="1" applyAlignment="1" applyProtection="1">
      <alignment wrapText="1"/>
      <protection locked="0"/>
    </xf>
    <xf numFmtId="0" fontId="0" fillId="0" borderId="8" xfId="0" applyBorder="1" applyAlignment="1" applyProtection="1">
      <alignment vertical="center" wrapText="1"/>
      <protection locked="0"/>
    </xf>
    <xf numFmtId="0" fontId="0" fillId="0" borderId="0" xfId="0" applyAlignment="1" applyProtection="1">
      <alignment vertical="center" wrapText="1"/>
      <protection locked="0"/>
    </xf>
    <xf numFmtId="164" fontId="15" fillId="0" borderId="8" xfId="0" applyNumberFormat="1" applyFont="1" applyBorder="1"/>
    <xf numFmtId="164" fontId="15" fillId="0" borderId="0" xfId="0" applyNumberFormat="1" applyFont="1"/>
    <xf numFmtId="164" fontId="15" fillId="0" borderId="7" xfId="0" applyNumberFormat="1" applyFont="1" applyBorder="1"/>
    <xf numFmtId="4" fontId="13" fillId="0" borderId="0" xfId="0" applyNumberFormat="1" applyFont="1"/>
    <xf numFmtId="4" fontId="13" fillId="0" borderId="7" xfId="0" applyNumberFormat="1" applyFont="1" applyBorder="1"/>
    <xf numFmtId="4" fontId="13" fillId="0" borderId="0" xfId="0" applyNumberFormat="1" applyFont="1" applyProtection="1">
      <protection locked="0"/>
    </xf>
    <xf numFmtId="4" fontId="13" fillId="0" borderId="7" xfId="0" applyNumberFormat="1" applyFont="1" applyBorder="1" applyProtection="1">
      <protection locked="0"/>
    </xf>
    <xf numFmtId="0" fontId="23" fillId="0" borderId="0" xfId="0" applyFont="1"/>
    <xf numFmtId="0" fontId="0" fillId="0" borderId="0" xfId="0" applyProtection="1">
      <protection locked="0"/>
    </xf>
    <xf numFmtId="165" fontId="0" fillId="0" borderId="0" xfId="0" applyNumberFormat="1" applyProtection="1">
      <protection locked="0"/>
    </xf>
    <xf numFmtId="165" fontId="0" fillId="0" borderId="7" xfId="0" applyNumberFormat="1" applyBorder="1" applyProtection="1">
      <protection locked="0"/>
    </xf>
    <xf numFmtId="1" fontId="0" fillId="0" borderId="0" xfId="0" applyNumberFormat="1"/>
    <xf numFmtId="0" fontId="14" fillId="0" borderId="0" xfId="0" applyFont="1"/>
    <xf numFmtId="0" fontId="14" fillId="0" borderId="7" xfId="0" applyFont="1" applyBorder="1"/>
    <xf numFmtId="0" fontId="8" fillId="0" borderId="0" xfId="0" applyFont="1" applyAlignment="1">
      <alignment vertical="top"/>
    </xf>
    <xf numFmtId="0" fontId="15" fillId="0" borderId="0" xfId="0" applyFont="1"/>
    <xf numFmtId="0" fontId="2" fillId="0" borderId="0" xfId="0" applyFont="1" applyProtection="1">
      <protection locked="0"/>
    </xf>
    <xf numFmtId="0" fontId="0" fillId="0" borderId="0" xfId="0" applyAlignment="1" applyProtection="1">
      <alignment wrapText="1"/>
      <protection locked="0"/>
    </xf>
    <xf numFmtId="0" fontId="15" fillId="0" borderId="0" xfId="0" applyFont="1" applyProtection="1">
      <protection locked="0"/>
    </xf>
    <xf numFmtId="0" fontId="26" fillId="0" borderId="8" xfId="0" applyFont="1" applyBorder="1" applyAlignment="1">
      <alignment vertical="top" wrapText="1"/>
    </xf>
    <xf numFmtId="0" fontId="26" fillId="0" borderId="0" xfId="0" applyFont="1" applyAlignment="1">
      <alignment vertical="top" wrapText="1"/>
    </xf>
    <xf numFmtId="0" fontId="18" fillId="0" borderId="0" xfId="0" applyFont="1"/>
    <xf numFmtId="167" fontId="11" fillId="0" borderId="0" xfId="0" applyNumberFormat="1" applyFont="1"/>
    <xf numFmtId="167" fontId="11" fillId="0" borderId="7" xfId="0" applyNumberFormat="1" applyFont="1" applyBorder="1"/>
    <xf numFmtId="0" fontId="29" fillId="0" borderId="0" xfId="0" applyFont="1" applyAlignment="1">
      <alignment horizontal="left"/>
    </xf>
    <xf numFmtId="1" fontId="0" fillId="0" borderId="10" xfId="0" applyNumberFormat="1" applyBorder="1" applyAlignment="1" applyProtection="1">
      <alignment horizontal="center" vertical="center"/>
      <protection locked="0"/>
    </xf>
    <xf numFmtId="0" fontId="0" fillId="0" borderId="13" xfId="0" applyBorder="1"/>
    <xf numFmtId="0" fontId="0" fillId="0" borderId="14" xfId="0" applyBorder="1"/>
    <xf numFmtId="0" fontId="28" fillId="0" borderId="8" xfId="0" applyFont="1" applyBorder="1" applyAlignment="1">
      <alignment horizontal="center"/>
    </xf>
    <xf numFmtId="0" fontId="28" fillId="0" borderId="0" xfId="0" applyFont="1" applyAlignment="1">
      <alignment horizontal="center"/>
    </xf>
    <xf numFmtId="0" fontId="28" fillId="0" borderId="7" xfId="0" applyFont="1" applyBorder="1" applyAlignment="1">
      <alignment horizontal="center"/>
    </xf>
    <xf numFmtId="0" fontId="0" fillId="0" borderId="9" xfId="0" applyBorder="1" applyAlignment="1">
      <alignment horizontal="center"/>
    </xf>
    <xf numFmtId="0" fontId="24" fillId="0" borderId="6" xfId="0" applyFont="1" applyBorder="1" applyAlignment="1">
      <alignment horizontal="center"/>
    </xf>
    <xf numFmtId="0" fontId="24" fillId="0" borderId="6" xfId="0" applyFont="1" applyBorder="1"/>
    <xf numFmtId="164" fontId="24" fillId="0" borderId="6" xfId="0" applyNumberFormat="1" applyFont="1" applyBorder="1" applyAlignment="1">
      <alignment horizontal="right"/>
    </xf>
    <xf numFmtId="164" fontId="2" fillId="0" borderId="6" xfId="0" applyNumberFormat="1" applyFont="1" applyBorder="1" applyAlignment="1">
      <alignment horizontal="right"/>
    </xf>
    <xf numFmtId="0" fontId="24" fillId="0" borderId="6" xfId="0" applyFont="1" applyBorder="1" applyAlignment="1">
      <alignment horizontal="right"/>
    </xf>
    <xf numFmtId="0" fontId="24" fillId="0" borderId="6" xfId="0" applyFont="1" applyBorder="1" applyAlignment="1">
      <alignment horizontal="left"/>
    </xf>
    <xf numFmtId="164" fontId="24" fillId="0" borderId="6" xfId="0" applyNumberFormat="1" applyFont="1" applyBorder="1"/>
    <xf numFmtId="0" fontId="0" fillId="0" borderId="12" xfId="0" applyBorder="1" applyAlignment="1">
      <alignment horizontal="left"/>
    </xf>
    <xf numFmtId="0" fontId="0" fillId="0" borderId="11" xfId="0" applyBorder="1" applyAlignment="1">
      <alignment horizontal="center"/>
    </xf>
    <xf numFmtId="0" fontId="0" fillId="0" borderId="13" xfId="0" applyBorder="1" applyAlignment="1">
      <alignment horizontal="center"/>
    </xf>
    <xf numFmtId="164" fontId="2" fillId="0" borderId="13" xfId="0" applyNumberFormat="1" applyFont="1" applyBorder="1" applyAlignment="1">
      <alignment horizontal="right"/>
    </xf>
    <xf numFmtId="0" fontId="0" fillId="0" borderId="13" xfId="0" applyBorder="1" applyAlignment="1">
      <alignment horizontal="right"/>
    </xf>
    <xf numFmtId="0" fontId="0" fillId="0" borderId="13" xfId="0" applyBorder="1" applyAlignment="1">
      <alignment horizontal="left"/>
    </xf>
    <xf numFmtId="164" fontId="3" fillId="0" borderId="13" xfId="0" applyNumberFormat="1" applyFont="1" applyBorder="1"/>
    <xf numFmtId="0" fontId="0" fillId="0" borderId="14" xfId="0" applyBorder="1" applyAlignment="1">
      <alignment horizontal="left"/>
    </xf>
    <xf numFmtId="0" fontId="0" fillId="0" borderId="0" xfId="6" applyFont="1"/>
    <xf numFmtId="0" fontId="25" fillId="0" borderId="0" xfId="6"/>
    <xf numFmtId="0" fontId="25" fillId="0" borderId="0" xfId="6" applyAlignment="1">
      <alignment horizontal="left"/>
    </xf>
    <xf numFmtId="0" fontId="0" fillId="0" borderId="0" xfId="6" applyFont="1" applyAlignment="1">
      <alignment horizontal="left"/>
    </xf>
    <xf numFmtId="0" fontId="17" fillId="0" borderId="0" xfId="0" applyFont="1" applyAlignment="1">
      <alignment horizontal="center" vertical="center"/>
    </xf>
    <xf numFmtId="0" fontId="5" fillId="0" borderId="0" xfId="0" applyFont="1" applyAlignment="1">
      <alignment horizontal="center" vertical="center" wrapText="1"/>
    </xf>
    <xf numFmtId="0" fontId="6" fillId="0" borderId="0" xfId="0" applyFont="1" applyAlignment="1">
      <alignment horizontal="center" wrapText="1"/>
    </xf>
    <xf numFmtId="3" fontId="0" fillId="0" borderId="6" xfId="0" applyNumberFormat="1" applyBorder="1" applyAlignment="1">
      <alignment horizontal="center"/>
    </xf>
    <xf numFmtId="4" fontId="13" fillId="0" borderId="0" xfId="0" applyNumberFormat="1" applyFont="1" applyAlignment="1">
      <alignment horizontal="right" indent="1"/>
    </xf>
    <xf numFmtId="4" fontId="13" fillId="0" borderId="0" xfId="0" applyNumberFormat="1" applyFont="1" applyAlignment="1" applyProtection="1">
      <alignment horizontal="right" indent="1"/>
      <protection locked="0"/>
    </xf>
    <xf numFmtId="167" fontId="11" fillId="0" borderId="0" xfId="0" applyNumberFormat="1" applyFont="1" applyAlignment="1">
      <alignment horizontal="center"/>
    </xf>
    <xf numFmtId="164" fontId="0" fillId="0" borderId="0" xfId="0" applyNumberFormat="1" applyAlignment="1">
      <alignment horizontal="center" vertical="top"/>
    </xf>
    <xf numFmtId="164" fontId="2" fillId="0" borderId="5" xfId="0" applyNumberFormat="1" applyFont="1" applyBorder="1" applyAlignment="1">
      <alignment horizontal="right"/>
    </xf>
    <xf numFmtId="0" fontId="0" fillId="0" borderId="5" xfId="0" applyBorder="1" applyAlignment="1">
      <alignment horizontal="left"/>
    </xf>
    <xf numFmtId="0" fontId="0" fillId="0" borderId="10" xfId="0" applyBorder="1" applyAlignment="1" applyProtection="1">
      <alignment horizontal="center"/>
      <protection locked="0"/>
    </xf>
    <xf numFmtId="0" fontId="0" fillId="0" borderId="6" xfId="0" applyBorder="1" applyAlignment="1">
      <alignment horizontal="right"/>
    </xf>
    <xf numFmtId="0" fontId="13" fillId="0" borderId="13" xfId="0" applyFont="1" applyBorder="1" applyAlignment="1">
      <alignment horizontal="center"/>
    </xf>
    <xf numFmtId="166" fontId="0" fillId="0" borderId="6" xfId="0" applyNumberFormat="1" applyBorder="1" applyAlignment="1" applyProtection="1">
      <alignment horizontal="right"/>
      <protection locked="0"/>
    </xf>
    <xf numFmtId="0" fontId="0" fillId="0" borderId="12" xfId="0" applyBorder="1"/>
    <xf numFmtId="164" fontId="34" fillId="0" borderId="0" xfId="0" applyNumberFormat="1" applyFont="1"/>
    <xf numFmtId="6" fontId="34" fillId="0" borderId="0" xfId="0" applyNumberFormat="1" applyFont="1"/>
    <xf numFmtId="42" fontId="0" fillId="0" borderId="2" xfId="0" applyNumberFormat="1" applyBorder="1" applyAlignment="1">
      <alignment horizontal="center"/>
    </xf>
    <xf numFmtId="42" fontId="0" fillId="0" borderId="1" xfId="0" applyNumberFormat="1" applyBorder="1" applyAlignment="1">
      <alignment horizontal="center"/>
    </xf>
    <xf numFmtId="0" fontId="0" fillId="0" borderId="10" xfId="0" applyBorder="1" applyAlignment="1">
      <alignment horizontal="center"/>
    </xf>
    <xf numFmtId="0" fontId="0" fillId="0" borderId="6" xfId="0" applyBorder="1" applyAlignment="1" applyProtection="1">
      <alignment horizontal="center"/>
      <protection locked="0"/>
    </xf>
    <xf numFmtId="164" fontId="0" fillId="0" borderId="10" xfId="0" applyNumberFormat="1" applyBorder="1" applyAlignment="1" applyProtection="1">
      <alignment horizontal="right"/>
      <protection locked="0"/>
    </xf>
    <xf numFmtId="0" fontId="25" fillId="0" borderId="0" xfId="4"/>
    <xf numFmtId="0" fontId="25" fillId="0" borderId="0" xfId="4" applyAlignment="1">
      <alignment horizontal="center"/>
    </xf>
    <xf numFmtId="0" fontId="0" fillId="0" borderId="0" xfId="4" applyFont="1"/>
    <xf numFmtId="0" fontId="8" fillId="0" borderId="0" xfId="4" applyFont="1"/>
    <xf numFmtId="0" fontId="25" fillId="0" borderId="17" xfId="4" applyBorder="1"/>
    <xf numFmtId="0" fontId="0" fillId="0" borderId="17" xfId="4" applyFont="1" applyBorder="1" applyAlignment="1">
      <alignment vertical="top"/>
    </xf>
    <xf numFmtId="0" fontId="8" fillId="0" borderId="0" xfId="4" applyFont="1" applyAlignment="1">
      <alignment vertical="center"/>
    </xf>
    <xf numFmtId="0" fontId="8" fillId="0" borderId="0" xfId="4" applyFont="1" applyAlignment="1">
      <alignment horizontal="center"/>
    </xf>
    <xf numFmtId="0" fontId="25" fillId="3" borderId="20" xfId="4" applyFill="1" applyBorder="1"/>
    <xf numFmtId="0" fontId="25" fillId="0" borderId="1" xfId="4" applyBorder="1"/>
    <xf numFmtId="0" fontId="25" fillId="3" borderId="0" xfId="4" applyFill="1"/>
    <xf numFmtId="0" fontId="25" fillId="3" borderId="3" xfId="4" applyFill="1" applyBorder="1"/>
    <xf numFmtId="0" fontId="25" fillId="0" borderId="3" xfId="4" applyBorder="1"/>
    <xf numFmtId="0" fontId="25" fillId="0" borderId="3" xfId="4" applyBorder="1" applyAlignment="1">
      <alignment horizontal="center"/>
    </xf>
    <xf numFmtId="0" fontId="36" fillId="0" borderId="3" xfId="4" applyFont="1" applyBorder="1"/>
    <xf numFmtId="0" fontId="8" fillId="0" borderId="3" xfId="4" applyFont="1" applyBorder="1"/>
    <xf numFmtId="0" fontId="2" fillId="0" borderId="0" xfId="4" applyFont="1" applyAlignment="1">
      <alignment horizontal="center"/>
    </xf>
    <xf numFmtId="0" fontId="37" fillId="0" borderId="0" xfId="4" applyFont="1" applyAlignment="1">
      <alignment horizontal="center" vertical="center"/>
    </xf>
    <xf numFmtId="0" fontId="2" fillId="0" borderId="24" xfId="4" applyFont="1" applyBorder="1" applyAlignment="1" applyProtection="1">
      <alignment horizontal="center"/>
      <protection locked="0"/>
    </xf>
    <xf numFmtId="0" fontId="2" fillId="0" borderId="25" xfId="4" applyFont="1" applyBorder="1" applyAlignment="1" applyProtection="1">
      <alignment horizontal="center"/>
      <protection locked="0"/>
    </xf>
    <xf numFmtId="0" fontId="2" fillId="0" borderId="27" xfId="4" applyFont="1" applyBorder="1" applyAlignment="1" applyProtection="1">
      <alignment horizontal="center"/>
      <protection locked="0"/>
    </xf>
    <xf numFmtId="0" fontId="2" fillId="0" borderId="28" xfId="4" applyFont="1" applyBorder="1" applyAlignment="1" applyProtection="1">
      <alignment horizontal="center"/>
      <protection locked="0"/>
    </xf>
    <xf numFmtId="0" fontId="11" fillId="3" borderId="29" xfId="4" applyFont="1" applyFill="1" applyBorder="1" applyAlignment="1">
      <alignment horizontal="center"/>
    </xf>
    <xf numFmtId="0" fontId="15" fillId="0" borderId="30" xfId="4" applyFont="1" applyBorder="1" applyAlignment="1" applyProtection="1">
      <alignment horizontal="center"/>
      <protection locked="0"/>
    </xf>
    <xf numFmtId="0" fontId="15" fillId="0" borderId="25" xfId="4" applyFont="1" applyBorder="1" applyAlignment="1" applyProtection="1">
      <alignment horizontal="center"/>
      <protection locked="0"/>
    </xf>
    <xf numFmtId="49" fontId="11" fillId="0" borderId="31" xfId="4" applyNumberFormat="1" applyFont="1" applyBorder="1" applyAlignment="1" applyProtection="1">
      <alignment horizontal="center"/>
      <protection locked="0"/>
    </xf>
    <xf numFmtId="0" fontId="11" fillId="0" borderId="25" xfId="4" applyFont="1" applyBorder="1" applyAlignment="1" applyProtection="1">
      <alignment horizontal="center"/>
      <protection locked="0"/>
    </xf>
    <xf numFmtId="49" fontId="38" fillId="0" borderId="25" xfId="4" applyNumberFormat="1" applyFont="1" applyBorder="1" applyAlignment="1" applyProtection="1">
      <alignment horizontal="center"/>
      <protection locked="0"/>
    </xf>
    <xf numFmtId="0" fontId="38" fillId="0" borderId="25" xfId="4" applyFont="1" applyBorder="1" applyAlignment="1" applyProtection="1">
      <alignment horizontal="center"/>
      <protection locked="0"/>
    </xf>
    <xf numFmtId="0" fontId="38" fillId="0" borderId="25" xfId="4" applyFont="1" applyBorder="1" applyAlignment="1" applyProtection="1">
      <alignment horizontal="left"/>
      <protection locked="0"/>
    </xf>
    <xf numFmtId="13" fontId="11" fillId="0" borderId="25" xfId="4" applyNumberFormat="1" applyFont="1" applyBorder="1" applyAlignment="1">
      <alignment horizontal="left"/>
    </xf>
    <xf numFmtId="13" fontId="11" fillId="0" borderId="25" xfId="4" applyNumberFormat="1" applyFont="1" applyBorder="1" applyAlignment="1" applyProtection="1">
      <alignment horizontal="center"/>
      <protection locked="0"/>
    </xf>
    <xf numFmtId="13" fontId="38" fillId="0" borderId="25" xfId="4" applyNumberFormat="1" applyFont="1" applyBorder="1" applyAlignment="1" applyProtection="1">
      <alignment horizontal="center"/>
      <protection locked="0"/>
    </xf>
    <xf numFmtId="12" fontId="39" fillId="0" borderId="25" xfId="4" applyNumberFormat="1" applyFont="1" applyBorder="1" applyAlignment="1">
      <alignment horizontal="center"/>
    </xf>
    <xf numFmtId="49" fontId="38" fillId="0" borderId="25" xfId="4" applyNumberFormat="1" applyFont="1" applyBorder="1" applyAlignment="1" applyProtection="1">
      <alignment horizontal="left"/>
      <protection locked="0"/>
    </xf>
    <xf numFmtId="0" fontId="24" fillId="0" borderId="26" xfId="4" applyFont="1" applyBorder="1"/>
    <xf numFmtId="0" fontId="11" fillId="3" borderId="31" xfId="4" applyFont="1" applyFill="1" applyBorder="1" applyAlignment="1">
      <alignment horizontal="center"/>
    </xf>
    <xf numFmtId="49" fontId="11" fillId="0" borderId="25" xfId="4" applyNumberFormat="1" applyFont="1" applyBorder="1" applyAlignment="1" applyProtection="1">
      <alignment horizontal="center"/>
      <protection locked="0"/>
    </xf>
    <xf numFmtId="0" fontId="24" fillId="0" borderId="2" xfId="4" applyFont="1" applyBorder="1"/>
    <xf numFmtId="0" fontId="2" fillId="0" borderId="32" xfId="4" applyFont="1" applyBorder="1" applyAlignment="1" applyProtection="1">
      <alignment horizontal="center"/>
      <protection locked="0"/>
    </xf>
    <xf numFmtId="0" fontId="2" fillId="0" borderId="33" xfId="4" applyFont="1" applyBorder="1" applyAlignment="1" applyProtection="1">
      <alignment horizontal="center"/>
      <protection locked="0"/>
    </xf>
    <xf numFmtId="13" fontId="11" fillId="0" borderId="25" xfId="4" applyNumberFormat="1" applyFont="1" applyBorder="1" applyAlignment="1" applyProtection="1">
      <alignment horizontal="left"/>
      <protection locked="0"/>
    </xf>
    <xf numFmtId="0" fontId="24" fillId="0" borderId="0" xfId="4" applyFont="1"/>
    <xf numFmtId="12" fontId="11" fillId="0" borderId="25" xfId="4" applyNumberFormat="1" applyFont="1" applyBorder="1" applyAlignment="1" applyProtection="1">
      <alignment horizontal="center"/>
      <protection locked="0"/>
    </xf>
    <xf numFmtId="12" fontId="38" fillId="0" borderId="25" xfId="4" applyNumberFormat="1" applyFont="1" applyBorder="1" applyAlignment="1" applyProtection="1">
      <alignment horizontal="center"/>
      <protection locked="0"/>
    </xf>
    <xf numFmtId="0" fontId="24" fillId="0" borderId="0" xfId="4" applyFont="1" applyAlignment="1">
      <alignment horizontal="center"/>
    </xf>
    <xf numFmtId="0" fontId="2" fillId="0" borderId="34" xfId="4" applyFont="1" applyBorder="1" applyAlignment="1">
      <alignment horizontal="center" vertical="center"/>
    </xf>
    <xf numFmtId="0" fontId="2" fillId="0" borderId="30" xfId="4" applyFont="1" applyBorder="1" applyAlignment="1">
      <alignment horizontal="center" vertical="center"/>
    </xf>
    <xf numFmtId="0" fontId="2" fillId="0" borderId="35" xfId="4" applyFont="1" applyBorder="1" applyAlignment="1">
      <alignment horizontal="center" vertical="center"/>
    </xf>
    <xf numFmtId="0" fontId="2" fillId="3" borderId="29" xfId="4" applyFont="1" applyFill="1" applyBorder="1" applyAlignment="1">
      <alignment horizontal="center" vertical="center"/>
    </xf>
    <xf numFmtId="0" fontId="24" fillId="0" borderId="30" xfId="4" applyFont="1" applyBorder="1" applyAlignment="1">
      <alignment horizontal="center"/>
    </xf>
    <xf numFmtId="0" fontId="36" fillId="0" borderId="30" xfId="4" applyFont="1" applyBorder="1" applyAlignment="1">
      <alignment horizontal="center"/>
    </xf>
    <xf numFmtId="0" fontId="24" fillId="0" borderId="36" xfId="4" applyFont="1" applyBorder="1" applyAlignment="1">
      <alignment horizontal="center"/>
    </xf>
    <xf numFmtId="0" fontId="24" fillId="0" borderId="29" xfId="4" applyFont="1" applyBorder="1" applyAlignment="1">
      <alignment horizontal="center"/>
    </xf>
    <xf numFmtId="0" fontId="24" fillId="0" borderId="1" xfId="4" applyFont="1" applyBorder="1" applyAlignment="1">
      <alignment horizontal="center"/>
    </xf>
    <xf numFmtId="0" fontId="2" fillId="0" borderId="37" xfId="4" applyFont="1" applyBorder="1" applyAlignment="1">
      <alignment horizontal="center" vertical="center"/>
    </xf>
    <xf numFmtId="0" fontId="2" fillId="0" borderId="38" xfId="4" applyFont="1" applyBorder="1" applyAlignment="1">
      <alignment horizontal="center" vertical="top"/>
    </xf>
    <xf numFmtId="0" fontId="2" fillId="0" borderId="40" xfId="4" applyFont="1" applyBorder="1" applyAlignment="1">
      <alignment horizontal="center" vertical="top"/>
    </xf>
    <xf numFmtId="0" fontId="2" fillId="3" borderId="41" xfId="4" applyFont="1" applyFill="1" applyBorder="1" applyAlignment="1">
      <alignment horizontal="center" vertical="top"/>
    </xf>
    <xf numFmtId="0" fontId="24" fillId="0" borderId="39" xfId="4" applyFont="1" applyBorder="1" applyAlignment="1">
      <alignment horizontal="center"/>
    </xf>
    <xf numFmtId="0" fontId="24" fillId="0" borderId="42" xfId="4" applyFont="1" applyBorder="1" applyAlignment="1">
      <alignment horizontal="center"/>
    </xf>
    <xf numFmtId="0" fontId="24" fillId="0" borderId="43" xfId="4" applyFont="1" applyBorder="1" applyAlignment="1">
      <alignment horizontal="center"/>
    </xf>
    <xf numFmtId="0" fontId="24" fillId="0" borderId="0" xfId="4" applyFont="1" applyAlignment="1">
      <alignment horizontal="left"/>
    </xf>
    <xf numFmtId="0" fontId="24" fillId="0" borderId="41" xfId="4" applyFont="1" applyBorder="1" applyAlignment="1">
      <alignment horizontal="left"/>
    </xf>
    <xf numFmtId="0" fontId="24" fillId="0" borderId="20" xfId="4" applyFont="1" applyBorder="1"/>
    <xf numFmtId="0" fontId="24" fillId="0" borderId="20" xfId="4" applyFont="1" applyBorder="1" applyAlignment="1">
      <alignment vertical="top"/>
    </xf>
    <xf numFmtId="0" fontId="36" fillId="0" borderId="20" xfId="4" applyFont="1" applyBorder="1" applyAlignment="1">
      <alignment horizontal="right" vertical="top"/>
    </xf>
    <xf numFmtId="0" fontId="36" fillId="0" borderId="20" xfId="4" applyFont="1" applyBorder="1" applyAlignment="1">
      <alignment horizontal="center" vertical="top"/>
    </xf>
    <xf numFmtId="0" fontId="24" fillId="0" borderId="20" xfId="4" applyFont="1" applyBorder="1" applyAlignment="1">
      <alignment horizontal="center" vertical="top"/>
    </xf>
    <xf numFmtId="0" fontId="29" fillId="0" borderId="0" xfId="4" applyFont="1" applyAlignment="1">
      <alignment vertical="center"/>
    </xf>
    <xf numFmtId="0" fontId="29" fillId="0" borderId="0" xfId="4" applyFont="1"/>
    <xf numFmtId="0" fontId="29" fillId="0" borderId="0" xfId="4" applyFont="1" applyAlignment="1">
      <alignment horizontal="center" vertical="center"/>
    </xf>
    <xf numFmtId="0" fontId="29" fillId="0" borderId="0" xfId="4" applyFont="1" applyAlignment="1">
      <alignment horizontal="right" vertical="center"/>
    </xf>
    <xf numFmtId="0" fontId="29" fillId="0" borderId="0" xfId="4" applyFont="1" applyAlignment="1">
      <alignment horizontal="left" vertical="center"/>
    </xf>
    <xf numFmtId="0" fontId="40" fillId="0" borderId="0" xfId="4" applyFont="1" applyAlignment="1">
      <alignment vertical="center"/>
    </xf>
    <xf numFmtId="0" fontId="40" fillId="0" borderId="18" xfId="4" applyFont="1" applyBorder="1"/>
    <xf numFmtId="0" fontId="40" fillId="0" borderId="0" xfId="4" applyFont="1"/>
    <xf numFmtId="0" fontId="2" fillId="0" borderId="0" xfId="4" applyFont="1" applyAlignment="1">
      <alignment vertical="center"/>
    </xf>
    <xf numFmtId="0" fontId="39" fillId="0" borderId="0" xfId="4" applyFont="1" applyAlignment="1">
      <alignment horizontal="right"/>
    </xf>
    <xf numFmtId="0" fontId="24" fillId="0" borderId="0" xfId="4" applyFont="1" applyAlignment="1">
      <alignment horizontal="center" vertical="center"/>
    </xf>
    <xf numFmtId="0" fontId="39" fillId="0" borderId="0" xfId="4" applyFont="1" applyAlignment="1">
      <alignment horizontal="center" vertical="center"/>
    </xf>
    <xf numFmtId="0" fontId="29" fillId="0" borderId="45" xfId="4" applyFont="1" applyBorder="1" applyAlignment="1">
      <alignment vertical="center"/>
    </xf>
    <xf numFmtId="0" fontId="29" fillId="0" borderId="46" xfId="4" applyFont="1" applyBorder="1"/>
    <xf numFmtId="0" fontId="29" fillId="0" borderId="46" xfId="4" applyFont="1" applyBorder="1" applyAlignment="1">
      <alignment vertical="center"/>
    </xf>
    <xf numFmtId="0" fontId="29" fillId="0" borderId="46" xfId="4" applyFont="1" applyBorder="1" applyAlignment="1">
      <alignment horizontal="center" vertical="center"/>
    </xf>
    <xf numFmtId="0" fontId="29" fillId="0" borderId="46" xfId="4" applyFont="1" applyBorder="1" applyAlignment="1">
      <alignment horizontal="right" vertical="center"/>
    </xf>
    <xf numFmtId="0" fontId="29" fillId="0" borderId="46" xfId="4" applyFont="1" applyBorder="1" applyAlignment="1">
      <alignment horizontal="left" vertical="center"/>
    </xf>
    <xf numFmtId="0" fontId="29" fillId="0" borderId="47" xfId="4" applyFont="1" applyBorder="1" applyAlignment="1">
      <alignment vertical="center"/>
    </xf>
    <xf numFmtId="0" fontId="40" fillId="0" borderId="48" xfId="4" applyFont="1" applyBorder="1"/>
    <xf numFmtId="0" fontId="2" fillId="0" borderId="20" xfId="4" applyFont="1" applyBorder="1" applyAlignment="1">
      <alignment vertical="center"/>
    </xf>
    <xf numFmtId="0" fontId="39" fillId="0" borderId="20" xfId="4" applyFont="1" applyBorder="1" applyAlignment="1">
      <alignment horizontal="right"/>
    </xf>
    <xf numFmtId="0" fontId="40" fillId="0" borderId="20" xfId="4" applyFont="1" applyBorder="1" applyAlignment="1">
      <alignment vertical="center"/>
    </xf>
    <xf numFmtId="0" fontId="24" fillId="0" borderId="20" xfId="4" applyFont="1" applyBorder="1" applyAlignment="1">
      <alignment horizontal="center" vertical="center"/>
    </xf>
    <xf numFmtId="0" fontId="39" fillId="0" borderId="20" xfId="4" applyFont="1" applyBorder="1" applyAlignment="1">
      <alignment horizontal="center" vertical="center"/>
    </xf>
    <xf numFmtId="0" fontId="29" fillId="0" borderId="0" xfId="4" applyFont="1" applyAlignment="1">
      <alignment horizontal="right"/>
    </xf>
    <xf numFmtId="0" fontId="29" fillId="0" borderId="0" xfId="4" applyFont="1" applyAlignment="1">
      <alignment horizontal="left"/>
    </xf>
    <xf numFmtId="0" fontId="29" fillId="0" borderId="50" xfId="4" applyFont="1" applyBorder="1"/>
    <xf numFmtId="0" fontId="42" fillId="0" borderId="0" xfId="4" applyFont="1" applyAlignment="1">
      <alignment vertical="center"/>
    </xf>
    <xf numFmtId="0" fontId="17" fillId="0" borderId="0" xfId="4" applyFont="1"/>
    <xf numFmtId="0" fontId="29" fillId="0" borderId="52" xfId="4" applyFont="1" applyBorder="1"/>
    <xf numFmtId="0" fontId="29" fillId="0" borderId="53" xfId="4" applyFont="1" applyBorder="1"/>
    <xf numFmtId="0" fontId="29" fillId="0" borderId="45" xfId="4" applyFont="1" applyBorder="1"/>
    <xf numFmtId="0" fontId="11" fillId="0" borderId="0" xfId="4" applyFont="1"/>
    <xf numFmtId="0" fontId="43" fillId="0" borderId="0" xfId="4" applyFont="1"/>
    <xf numFmtId="0" fontId="40" fillId="0" borderId="52" xfId="4" applyFont="1" applyBorder="1"/>
    <xf numFmtId="0" fontId="25" fillId="0" borderId="52" xfId="4" applyBorder="1"/>
    <xf numFmtId="0" fontId="16" fillId="0" borderId="52" xfId="4" applyFont="1" applyBorder="1"/>
    <xf numFmtId="0" fontId="43" fillId="0" borderId="52" xfId="4" applyFont="1" applyBorder="1"/>
    <xf numFmtId="0" fontId="40" fillId="0" borderId="45" xfId="4" applyFont="1" applyBorder="1"/>
    <xf numFmtId="0" fontId="43" fillId="0" borderId="47" xfId="4" applyFont="1" applyBorder="1"/>
    <xf numFmtId="0" fontId="40" fillId="0" borderId="56" xfId="4" applyFont="1" applyBorder="1"/>
    <xf numFmtId="0" fontId="3" fillId="0" borderId="0" xfId="4" applyFont="1"/>
    <xf numFmtId="0" fontId="44" fillId="0" borderId="0" xfId="4" applyFont="1"/>
    <xf numFmtId="0" fontId="40" fillId="0" borderId="60" xfId="4" applyFont="1" applyBorder="1"/>
    <xf numFmtId="0" fontId="43" fillId="0" borderId="53" xfId="4" applyFont="1" applyBorder="1"/>
    <xf numFmtId="0" fontId="16" fillId="0" borderId="0" xfId="4" applyFont="1"/>
    <xf numFmtId="0" fontId="40" fillId="0" borderId="46" xfId="4" applyFont="1" applyBorder="1"/>
    <xf numFmtId="0" fontId="25" fillId="0" borderId="46" xfId="4" applyBorder="1"/>
    <xf numFmtId="0" fontId="43" fillId="0" borderId="46" xfId="4" applyFont="1" applyBorder="1"/>
    <xf numFmtId="0" fontId="40" fillId="0" borderId="46" xfId="4" applyFont="1" applyBorder="1" applyAlignment="1">
      <alignment horizontal="center"/>
    </xf>
    <xf numFmtId="0" fontId="25" fillId="0" borderId="47" xfId="4" applyBorder="1"/>
    <xf numFmtId="0" fontId="40" fillId="0" borderId="52" xfId="4" applyFont="1" applyBorder="1" applyAlignment="1">
      <alignment horizontal="center"/>
    </xf>
    <xf numFmtId="0" fontId="25" fillId="0" borderId="53" xfId="4" applyBorder="1"/>
    <xf numFmtId="0" fontId="0" fillId="0" borderId="18" xfId="4" applyFont="1" applyBorder="1"/>
    <xf numFmtId="0" fontId="17" fillId="0" borderId="0" xfId="4" applyFont="1" applyAlignment="1">
      <alignment horizontal="left"/>
    </xf>
    <xf numFmtId="1" fontId="17" fillId="0" borderId="0" xfId="4" applyNumberFormat="1" applyFont="1" applyAlignment="1">
      <alignment horizontal="left"/>
    </xf>
    <xf numFmtId="0" fontId="40" fillId="0" borderId="0" xfId="4" applyFont="1" applyAlignment="1">
      <alignment horizontal="center"/>
    </xf>
    <xf numFmtId="0" fontId="0" fillId="0" borderId="4" xfId="0" applyBorder="1"/>
    <xf numFmtId="0" fontId="50" fillId="0" borderId="0" xfId="0" applyFont="1" applyAlignment="1">
      <alignment horizontal="left" vertical="center" indent="5"/>
    </xf>
    <xf numFmtId="0" fontId="47" fillId="0" borderId="0" xfId="0" applyFont="1" applyAlignment="1">
      <alignment vertical="center"/>
    </xf>
    <xf numFmtId="171" fontId="17" fillId="0" borderId="64" xfId="0" applyNumberFormat="1" applyFont="1" applyBorder="1" applyProtection="1">
      <protection locked="0"/>
    </xf>
    <xf numFmtId="171" fontId="17" fillId="0" borderId="4" xfId="0" applyNumberFormat="1" applyFont="1" applyBorder="1" applyProtection="1">
      <protection locked="0"/>
    </xf>
    <xf numFmtId="0" fontId="0" fillId="0" borderId="0" xfId="0" applyAlignment="1" applyProtection="1">
      <alignment horizontal="right"/>
      <protection locked="0"/>
    </xf>
    <xf numFmtId="0" fontId="52" fillId="0" borderId="0" xfId="0" applyFont="1" applyAlignment="1" applyProtection="1">
      <alignment horizontal="center"/>
      <protection locked="0"/>
    </xf>
    <xf numFmtId="171" fontId="17" fillId="0" borderId="4" xfId="0" applyNumberFormat="1" applyFont="1" applyBorder="1" applyAlignment="1" applyProtection="1">
      <alignment horizontal="left"/>
      <protection locked="0"/>
    </xf>
    <xf numFmtId="14" fontId="0" fillId="0" borderId="4" xfId="0" applyNumberFormat="1" applyBorder="1"/>
    <xf numFmtId="14" fontId="0" fillId="0" borderId="0" xfId="0" applyNumberFormat="1"/>
    <xf numFmtId="0" fontId="0" fillId="5" borderId="0" xfId="0" applyFill="1"/>
    <xf numFmtId="0" fontId="0" fillId="5" borderId="4" xfId="0" applyFill="1" applyBorder="1"/>
    <xf numFmtId="0" fontId="17" fillId="0" borderId="5" xfId="0" applyFont="1" applyBorder="1" applyAlignment="1" applyProtection="1">
      <alignment horizontal="left"/>
      <protection locked="0"/>
    </xf>
    <xf numFmtId="0" fontId="17" fillId="0" borderId="5" xfId="0" applyFont="1" applyBorder="1" applyProtection="1">
      <protection locked="0"/>
    </xf>
    <xf numFmtId="44" fontId="0" fillId="0" borderId="4" xfId="0" applyNumberFormat="1" applyBorder="1" applyAlignment="1">
      <alignment horizontal="center"/>
    </xf>
    <xf numFmtId="169" fontId="13" fillId="0" borderId="2" xfId="0" applyNumberFormat="1" applyFont="1" applyBorder="1" applyAlignment="1" applyProtection="1">
      <alignment horizontal="right" indent="1"/>
      <protection locked="0"/>
    </xf>
    <xf numFmtId="14" fontId="24" fillId="0" borderId="0" xfId="0" applyNumberFormat="1" applyFont="1" applyAlignment="1">
      <alignment horizontal="right"/>
    </xf>
    <xf numFmtId="0" fontId="34" fillId="0" borderId="0" xfId="0" applyFont="1"/>
    <xf numFmtId="168" fontId="17" fillId="0" borderId="0" xfId="0" applyNumberFormat="1" applyFont="1"/>
    <xf numFmtId="0" fontId="8" fillId="0" borderId="0" xfId="0" applyFont="1" applyAlignment="1">
      <alignment horizontal="center" vertical="top"/>
    </xf>
    <xf numFmtId="42" fontId="0" fillId="0" borderId="3" xfId="0" applyNumberFormat="1" applyBorder="1" applyAlignment="1">
      <alignment horizontal="center"/>
    </xf>
    <xf numFmtId="42" fontId="0" fillId="0" borderId="0" xfId="0" applyNumberFormat="1" applyAlignment="1">
      <alignment horizontal="center"/>
    </xf>
    <xf numFmtId="42" fontId="0" fillId="0" borderId="64" xfId="0" applyNumberFormat="1" applyBorder="1" applyAlignment="1">
      <alignment horizontal="center"/>
    </xf>
    <xf numFmtId="164" fontId="0" fillId="0" borderId="1" xfId="0" applyNumberFormat="1" applyBorder="1" applyAlignment="1" applyProtection="1">
      <alignment horizontal="right"/>
      <protection locked="0"/>
    </xf>
    <xf numFmtId="0" fontId="17" fillId="0" borderId="6" xfId="0" applyFont="1" applyBorder="1" applyAlignment="1">
      <alignment vertical="center" wrapText="1"/>
    </xf>
    <xf numFmtId="0" fontId="17" fillId="0" borderId="12" xfId="0" applyFont="1" applyBorder="1" applyAlignment="1">
      <alignment vertical="center" wrapText="1"/>
    </xf>
    <xf numFmtId="0" fontId="17" fillId="0" borderId="6" xfId="0" applyFont="1" applyBorder="1" applyAlignment="1">
      <alignment horizontal="right" vertical="center" wrapText="1"/>
    </xf>
    <xf numFmtId="0" fontId="17" fillId="0" borderId="65" xfId="0" applyFont="1" applyBorder="1" applyAlignment="1">
      <alignment vertical="center" wrapText="1"/>
    </xf>
    <xf numFmtId="0" fontId="17" fillId="5" borderId="65" xfId="0" applyFont="1" applyFill="1" applyBorder="1" applyAlignment="1">
      <alignment horizontal="center" vertical="center" wrapText="1"/>
    </xf>
    <xf numFmtId="0" fontId="55" fillId="0" borderId="0" xfId="0" applyFont="1" applyAlignment="1">
      <alignment vertical="center"/>
    </xf>
    <xf numFmtId="0" fontId="35" fillId="0" borderId="6" xfId="0" applyFont="1" applyBorder="1"/>
    <xf numFmtId="0" fontId="56" fillId="0" borderId="13" xfId="0" applyFont="1" applyBorder="1" applyAlignment="1">
      <alignment horizontal="center"/>
    </xf>
    <xf numFmtId="0" fontId="56" fillId="0" borderId="0" xfId="0" applyFont="1" applyAlignment="1">
      <alignment horizontal="center"/>
    </xf>
    <xf numFmtId="0" fontId="0" fillId="0" borderId="66" xfId="0" applyBorder="1"/>
    <xf numFmtId="0" fontId="0" fillId="0" borderId="67" xfId="0" applyBorder="1" applyAlignment="1">
      <alignment horizontal="center"/>
    </xf>
    <xf numFmtId="0" fontId="35" fillId="0" borderId="0" xfId="0" applyFont="1" applyAlignment="1">
      <alignment horizontal="center" vertical="center"/>
    </xf>
    <xf numFmtId="0" fontId="0" fillId="0" borderId="67" xfId="0" applyBorder="1"/>
    <xf numFmtId="164" fontId="0" fillId="0" borderId="64" xfId="0" applyNumberFormat="1" applyBorder="1" applyAlignment="1" applyProtection="1">
      <alignment horizontal="right"/>
      <protection locked="0"/>
    </xf>
    <xf numFmtId="42" fontId="0" fillId="0" borderId="10" xfId="0" applyNumberFormat="1" applyBorder="1" applyAlignment="1">
      <alignment horizontal="center"/>
    </xf>
    <xf numFmtId="0" fontId="2" fillId="0" borderId="64" xfId="0" applyFont="1" applyBorder="1" applyAlignment="1">
      <alignment horizontal="center"/>
    </xf>
    <xf numFmtId="0" fontId="0" fillId="0" borderId="4" xfId="0" applyBorder="1" applyAlignment="1">
      <alignment horizontal="center"/>
    </xf>
    <xf numFmtId="164" fontId="0" fillId="0" borderId="4" xfId="0" applyNumberFormat="1" applyBorder="1"/>
    <xf numFmtId="44" fontId="0" fillId="0" borderId="0" xfId="0" applyNumberFormat="1" applyAlignment="1">
      <alignment horizontal="center"/>
    </xf>
    <xf numFmtId="44" fontId="0" fillId="0" borderId="64" xfId="0" applyNumberFormat="1" applyBorder="1" applyAlignment="1">
      <alignment horizontal="center"/>
    </xf>
    <xf numFmtId="0" fontId="42" fillId="0" borderId="42" xfId="4" applyFont="1" applyBorder="1" applyAlignment="1">
      <alignment horizontal="center"/>
    </xf>
    <xf numFmtId="0" fontId="42" fillId="0" borderId="30" xfId="4" applyFont="1" applyBorder="1" applyAlignment="1">
      <alignment horizontal="center"/>
    </xf>
    <xf numFmtId="0" fontId="42" fillId="0" borderId="41" xfId="4" applyFont="1" applyBorder="1" applyAlignment="1">
      <alignment horizontal="center"/>
    </xf>
    <xf numFmtId="0" fontId="0" fillId="0" borderId="15" xfId="0" applyBorder="1" applyAlignment="1">
      <alignment horizontal="right"/>
    </xf>
    <xf numFmtId="0" fontId="0" fillId="0" borderId="5" xfId="0" applyBorder="1" applyAlignment="1">
      <alignment horizontal="right"/>
    </xf>
    <xf numFmtId="0" fontId="14" fillId="0" borderId="0" xfId="0" applyFont="1" applyAlignment="1">
      <alignment horizontal="center"/>
    </xf>
    <xf numFmtId="0" fontId="14" fillId="0" borderId="13" xfId="0" applyFont="1" applyBorder="1" applyAlignment="1">
      <alignment horizontal="center"/>
    </xf>
    <xf numFmtId="0" fontId="17" fillId="0" borderId="5" xfId="0" applyFont="1" applyBorder="1" applyAlignment="1" applyProtection="1">
      <alignment horizontal="left"/>
      <protection locked="0"/>
    </xf>
    <xf numFmtId="0" fontId="17" fillId="0" borderId="5" xfId="0" applyFont="1" applyBorder="1" applyAlignment="1" applyProtection="1">
      <alignment horizontal="center"/>
      <protection locked="0"/>
    </xf>
    <xf numFmtId="1" fontId="0" fillId="0" borderId="5" xfId="0" applyNumberFormat="1" applyBorder="1" applyAlignment="1">
      <alignment horizontal="right"/>
    </xf>
    <xf numFmtId="0" fontId="12" fillId="0" borderId="5" xfId="2" applyBorder="1" applyAlignment="1" applyProtection="1">
      <alignment horizontal="center"/>
      <protection locked="0"/>
    </xf>
    <xf numFmtId="0" fontId="12" fillId="0" borderId="16" xfId="2" applyBorder="1" applyAlignment="1" applyProtection="1">
      <alignment horizontal="center"/>
      <protection locked="0"/>
    </xf>
    <xf numFmtId="0" fontId="6" fillId="0" borderId="0" xfId="0" applyFont="1" applyAlignment="1">
      <alignment horizontal="left"/>
    </xf>
    <xf numFmtId="0" fontId="5" fillId="0" borderId="0" xfId="0" applyFont="1" applyAlignment="1">
      <alignment horizontal="center" vertical="center" wrapText="1"/>
    </xf>
    <xf numFmtId="0" fontId="6" fillId="0" borderId="0" xfId="0" applyFont="1" applyAlignment="1">
      <alignment horizontal="center" wrapText="1"/>
    </xf>
    <xf numFmtId="165" fontId="17" fillId="0" borderId="5" xfId="0" applyNumberFormat="1" applyFont="1" applyBorder="1" applyAlignment="1" applyProtection="1">
      <alignment horizontal="left"/>
      <protection locked="0"/>
    </xf>
    <xf numFmtId="165" fontId="17" fillId="0" borderId="16" xfId="0" applyNumberFormat="1" applyFont="1" applyBorder="1" applyAlignment="1" applyProtection="1">
      <alignment horizontal="left"/>
      <protection locked="0"/>
    </xf>
    <xf numFmtId="0" fontId="28" fillId="0" borderId="0" xfId="0" applyFont="1" applyAlignment="1">
      <alignment horizontal="center" vertical="center" wrapText="1"/>
    </xf>
    <xf numFmtId="0" fontId="8" fillId="0" borderId="0" xfId="0" applyFont="1" applyAlignment="1">
      <alignment horizontal="center" vertical="top"/>
    </xf>
    <xf numFmtId="0" fontId="0" fillId="0" borderId="0" xfId="5" applyFont="1" applyAlignment="1">
      <alignment horizontal="left"/>
    </xf>
    <xf numFmtId="0" fontId="25" fillId="0" borderId="0" xfId="5" applyFont="1" applyAlignment="1">
      <alignment horizontal="left"/>
    </xf>
    <xf numFmtId="0" fontId="17" fillId="0" borderId="0" xfId="0" applyFont="1" applyAlignment="1">
      <alignment horizontal="right"/>
    </xf>
    <xf numFmtId="0" fontId="0" fillId="0" borderId="0" xfId="0" applyAlignment="1" applyProtection="1">
      <alignment horizontal="left"/>
      <protection locked="0"/>
    </xf>
    <xf numFmtId="0" fontId="15" fillId="0" borderId="0" xfId="0" applyFont="1" applyAlignment="1">
      <alignment horizontal="left"/>
    </xf>
    <xf numFmtId="0" fontId="14" fillId="0" borderId="0" xfId="0" applyFont="1" applyAlignment="1">
      <alignment horizontal="center" vertical="center"/>
    </xf>
    <xf numFmtId="0" fontId="26" fillId="0" borderId="11" xfId="0" applyFont="1" applyBorder="1" applyAlignment="1">
      <alignment horizontal="center" vertical="top" wrapText="1"/>
    </xf>
    <xf numFmtId="0" fontId="26" fillId="0" borderId="13" xfId="0" applyFont="1" applyBorder="1" applyAlignment="1">
      <alignment horizontal="center" vertical="top" wrapText="1"/>
    </xf>
    <xf numFmtId="0" fontId="26" fillId="0" borderId="14" xfId="0" applyFont="1" applyBorder="1" applyAlignment="1">
      <alignment horizontal="center" vertical="top" wrapText="1"/>
    </xf>
    <xf numFmtId="0" fontId="26" fillId="0" borderId="8" xfId="0" applyFont="1" applyBorder="1" applyAlignment="1">
      <alignment horizontal="center" vertical="top" wrapText="1"/>
    </xf>
    <xf numFmtId="0" fontId="26" fillId="0" borderId="0" xfId="0" applyFont="1" applyAlignment="1">
      <alignment horizontal="center" vertical="top" wrapText="1"/>
    </xf>
    <xf numFmtId="0" fontId="26" fillId="0" borderId="7" xfId="0" applyFont="1" applyBorder="1" applyAlignment="1">
      <alignment horizontal="center" vertical="top" wrapText="1"/>
    </xf>
    <xf numFmtId="0" fontId="26" fillId="0" borderId="9" xfId="0" applyFont="1" applyBorder="1" applyAlignment="1">
      <alignment horizontal="center" vertical="top" wrapText="1"/>
    </xf>
    <xf numFmtId="0" fontId="26" fillId="0" borderId="6" xfId="0" applyFont="1" applyBorder="1" applyAlignment="1">
      <alignment horizontal="center" vertical="top" wrapText="1"/>
    </xf>
    <xf numFmtId="0" fontId="26" fillId="0" borderId="12" xfId="0" applyFont="1" applyBorder="1" applyAlignment="1">
      <alignment horizontal="center" vertical="top" wrapText="1"/>
    </xf>
    <xf numFmtId="0" fontId="15" fillId="0" borderId="0" xfId="0" applyFont="1" applyAlignment="1" applyProtection="1">
      <alignment horizontal="center"/>
      <protection locked="0"/>
    </xf>
    <xf numFmtId="164" fontId="0" fillId="0" borderId="3" xfId="0" applyNumberFormat="1" applyBorder="1" applyAlignment="1">
      <alignment horizontal="center" vertical="top"/>
    </xf>
    <xf numFmtId="169" fontId="13" fillId="0" borderId="2" xfId="0" applyNumberFormat="1" applyFont="1" applyBorder="1" applyAlignment="1">
      <alignment horizontal="right" indent="1"/>
    </xf>
    <xf numFmtId="169" fontId="13" fillId="0" borderId="2" xfId="0" applyNumberFormat="1" applyFont="1" applyBorder="1" applyAlignment="1" applyProtection="1">
      <alignment horizontal="right"/>
      <protection locked="0"/>
    </xf>
    <xf numFmtId="49" fontId="13" fillId="0" borderId="1" xfId="0" applyNumberFormat="1" applyFont="1" applyBorder="1"/>
    <xf numFmtId="14" fontId="11" fillId="0" borderId="0" xfId="0" applyNumberFormat="1" applyFont="1" applyAlignment="1">
      <alignment horizontal="center"/>
    </xf>
    <xf numFmtId="0" fontId="11" fillId="0" borderId="0" xfId="0" applyFont="1" applyAlignment="1">
      <alignment horizontal="center"/>
    </xf>
    <xf numFmtId="0" fontId="11" fillId="0" borderId="1" xfId="0" applyFont="1" applyBorder="1" applyAlignment="1">
      <alignment horizontal="center"/>
    </xf>
    <xf numFmtId="0" fontId="11" fillId="5" borderId="0" xfId="0" applyFont="1" applyFill="1" applyAlignment="1">
      <alignment horizontal="left"/>
    </xf>
    <xf numFmtId="0" fontId="11" fillId="5" borderId="1" xfId="0" applyFont="1" applyFill="1" applyBorder="1" applyAlignment="1">
      <alignment horizontal="left"/>
    </xf>
    <xf numFmtId="0" fontId="0" fillId="5" borderId="0" xfId="0" applyFill="1" applyAlignment="1">
      <alignment horizontal="center" vertical="top"/>
    </xf>
    <xf numFmtId="0" fontId="0" fillId="5" borderId="1" xfId="0" applyFill="1" applyBorder="1" applyAlignment="1">
      <alignment horizontal="center" vertical="top"/>
    </xf>
    <xf numFmtId="14" fontId="0" fillId="0" borderId="0" xfId="0" applyNumberFormat="1" applyAlignment="1">
      <alignment horizontal="center"/>
    </xf>
    <xf numFmtId="14" fontId="0" fillId="0" borderId="1" xfId="0" applyNumberFormat="1" applyBorder="1" applyAlignment="1">
      <alignment horizontal="center"/>
    </xf>
    <xf numFmtId="49" fontId="13" fillId="0" borderId="1" xfId="0" applyNumberFormat="1" applyFont="1" applyBorder="1" applyAlignment="1">
      <alignment horizontal="center"/>
    </xf>
    <xf numFmtId="44" fontId="13" fillId="0" borderId="2" xfId="0" applyNumberFormat="1" applyFont="1" applyBorder="1" applyAlignment="1" applyProtection="1">
      <alignment horizontal="right" indent="1"/>
      <protection locked="0"/>
    </xf>
    <xf numFmtId="0" fontId="0" fillId="0" borderId="6" xfId="0" applyBorder="1" applyAlignment="1" applyProtection="1">
      <alignment horizontal="left"/>
      <protection locked="0"/>
    </xf>
    <xf numFmtId="0" fontId="27" fillId="0" borderId="11" xfId="0" applyFont="1" applyBorder="1" applyAlignment="1">
      <alignment horizontal="center" vertical="top" wrapText="1"/>
    </xf>
    <xf numFmtId="0" fontId="27" fillId="0" borderId="13" xfId="0" applyFont="1" applyBorder="1" applyAlignment="1">
      <alignment horizontal="center" vertical="top" wrapText="1"/>
    </xf>
    <xf numFmtId="0" fontId="27" fillId="0" borderId="14" xfId="0" applyFont="1" applyBorder="1" applyAlignment="1">
      <alignment horizontal="center" vertical="top" wrapText="1"/>
    </xf>
    <xf numFmtId="0" fontId="27" fillId="0" borderId="8" xfId="0" applyFont="1" applyBorder="1" applyAlignment="1">
      <alignment horizontal="center" vertical="top" wrapText="1"/>
    </xf>
    <xf numFmtId="0" fontId="27" fillId="0" borderId="0" xfId="0" applyFont="1" applyAlignment="1">
      <alignment horizontal="center" vertical="top" wrapText="1"/>
    </xf>
    <xf numFmtId="0" fontId="27" fillId="0" borderId="7" xfId="0" applyFont="1" applyBorder="1" applyAlignment="1">
      <alignment horizontal="center" vertical="top" wrapText="1"/>
    </xf>
    <xf numFmtId="0" fontId="27" fillId="0" borderId="9" xfId="0" applyFont="1" applyBorder="1" applyAlignment="1">
      <alignment horizontal="center" vertical="top" wrapText="1"/>
    </xf>
    <xf numFmtId="0" fontId="27" fillId="0" borderId="6" xfId="0" applyFont="1" applyBorder="1" applyAlignment="1">
      <alignment horizontal="center" vertical="top" wrapText="1"/>
    </xf>
    <xf numFmtId="0" fontId="27" fillId="0" borderId="12" xfId="0" applyFont="1" applyBorder="1" applyAlignment="1">
      <alignment horizontal="center" vertical="top" wrapText="1"/>
    </xf>
    <xf numFmtId="0" fontId="17" fillId="0" borderId="15" xfId="0" applyFont="1" applyBorder="1" applyAlignment="1">
      <alignment horizontal="center"/>
    </xf>
    <xf numFmtId="0" fontId="17" fillId="0" borderId="5" xfId="0" applyFont="1" applyBorder="1" applyAlignment="1">
      <alignment horizontal="center"/>
    </xf>
    <xf numFmtId="0" fontId="17" fillId="0" borderId="16" xfId="0" applyFont="1" applyBorder="1" applyAlignment="1">
      <alignment horizontal="center"/>
    </xf>
    <xf numFmtId="0" fontId="0" fillId="0" borderId="11" xfId="0" applyBorder="1" applyAlignment="1">
      <alignment horizontal="center" vertical="center" wrapText="1"/>
    </xf>
    <xf numFmtId="0" fontId="0" fillId="0" borderId="13" xfId="0" applyBorder="1" applyAlignment="1">
      <alignment horizontal="center" vertical="center" wrapText="1"/>
    </xf>
    <xf numFmtId="0" fontId="0" fillId="0" borderId="14" xfId="0" applyBorder="1" applyAlignment="1">
      <alignment horizontal="center" vertical="center" wrapText="1"/>
    </xf>
    <xf numFmtId="0" fontId="0" fillId="0" borderId="8" xfId="0" applyBorder="1" applyAlignment="1">
      <alignment horizontal="center" vertical="center" wrapText="1"/>
    </xf>
    <xf numFmtId="0" fontId="0" fillId="0" borderId="0" xfId="0" applyAlignment="1">
      <alignment horizontal="center" vertical="center" wrapText="1"/>
    </xf>
    <xf numFmtId="0" fontId="0" fillId="0" borderId="7" xfId="0" applyBorder="1" applyAlignment="1">
      <alignment horizontal="center" vertical="center" wrapText="1"/>
    </xf>
    <xf numFmtId="0" fontId="0" fillId="0" borderId="9" xfId="0" applyBorder="1" applyAlignment="1">
      <alignment horizontal="center" vertical="center" wrapText="1"/>
    </xf>
    <xf numFmtId="0" fontId="0" fillId="0" borderId="6" xfId="0" applyBorder="1" applyAlignment="1">
      <alignment horizontal="center" vertical="center" wrapText="1"/>
    </xf>
    <xf numFmtId="0" fontId="0" fillId="0" borderId="12" xfId="0" applyBorder="1" applyAlignment="1">
      <alignment horizontal="center" vertical="center" wrapText="1"/>
    </xf>
    <xf numFmtId="4" fontId="13" fillId="0" borderId="3" xfId="0" applyNumberFormat="1" applyFont="1" applyBorder="1" applyAlignment="1">
      <alignment horizontal="right" indent="1"/>
    </xf>
    <xf numFmtId="169" fontId="13" fillId="0" borderId="1" xfId="0" applyNumberFormat="1" applyFont="1" applyBorder="1" applyAlignment="1" applyProtection="1">
      <alignment horizontal="right" indent="1"/>
      <protection locked="0"/>
    </xf>
    <xf numFmtId="164" fontId="15" fillId="0" borderId="15" xfId="0" applyNumberFormat="1" applyFont="1" applyBorder="1" applyAlignment="1">
      <alignment horizontal="center" wrapText="1"/>
    </xf>
    <xf numFmtId="164" fontId="15" fillId="0" borderId="5" xfId="0" applyNumberFormat="1" applyFont="1" applyBorder="1" applyAlignment="1">
      <alignment horizontal="center" wrapText="1"/>
    </xf>
    <xf numFmtId="164" fontId="15" fillId="0" borderId="16" xfId="0" applyNumberFormat="1" applyFont="1" applyBorder="1" applyAlignment="1">
      <alignment horizontal="center" wrapText="1"/>
    </xf>
    <xf numFmtId="0" fontId="0" fillId="0" borderId="0" xfId="0" applyAlignment="1">
      <alignment horizontal="left"/>
    </xf>
    <xf numFmtId="44" fontId="13" fillId="0" borderId="1" xfId="0" applyNumberFormat="1" applyFont="1" applyBorder="1" applyAlignment="1">
      <alignment horizontal="right" indent="1"/>
    </xf>
    <xf numFmtId="0" fontId="2" fillId="0" borderId="11" xfId="0" applyFont="1" applyBorder="1" applyAlignment="1">
      <alignment horizontal="center" vertical="center" wrapText="1"/>
    </xf>
    <xf numFmtId="0" fontId="2" fillId="0" borderId="13" xfId="0" applyFont="1" applyBorder="1" applyAlignment="1">
      <alignment horizontal="center" vertical="center" wrapText="1"/>
    </xf>
    <xf numFmtId="0" fontId="2" fillId="0" borderId="14" xfId="0" applyFont="1" applyBorder="1" applyAlignment="1">
      <alignment horizontal="center" vertical="center" wrapText="1"/>
    </xf>
    <xf numFmtId="0" fontId="2" fillId="0" borderId="8" xfId="0" applyFont="1" applyBorder="1" applyAlignment="1">
      <alignment horizontal="center" vertical="center" wrapText="1"/>
    </xf>
    <xf numFmtId="0" fontId="2" fillId="0" borderId="0" xfId="0" applyFont="1" applyAlignment="1">
      <alignment horizontal="center" vertical="center" wrapText="1"/>
    </xf>
    <xf numFmtId="0" fontId="2" fillId="0" borderId="7" xfId="0" applyFont="1" applyBorder="1" applyAlignment="1">
      <alignment horizontal="center" vertical="center" wrapText="1"/>
    </xf>
    <xf numFmtId="0" fontId="2" fillId="0" borderId="9" xfId="0" applyFont="1" applyBorder="1" applyAlignment="1">
      <alignment horizontal="center" vertical="center" wrapText="1"/>
    </xf>
    <xf numFmtId="0" fontId="2" fillId="0" borderId="6" xfId="0" applyFont="1" applyBorder="1" applyAlignment="1">
      <alignment horizontal="center" vertical="center" wrapText="1"/>
    </xf>
    <xf numFmtId="0" fontId="2" fillId="0" borderId="12" xfId="0" applyFont="1" applyBorder="1" applyAlignment="1">
      <alignment horizontal="center" vertical="center" wrapText="1"/>
    </xf>
    <xf numFmtId="0" fontId="17" fillId="0" borderId="11" xfId="0" applyFont="1" applyBorder="1" applyAlignment="1">
      <alignment horizontal="center" vertical="center" wrapText="1"/>
    </xf>
    <xf numFmtId="0" fontId="17" fillId="0" borderId="13" xfId="0" applyFont="1" applyBorder="1" applyAlignment="1">
      <alignment horizontal="center" vertical="center" wrapText="1"/>
    </xf>
    <xf numFmtId="0" fontId="17" fillId="0" borderId="14" xfId="0" applyFont="1" applyBorder="1" applyAlignment="1">
      <alignment horizontal="center" vertical="center" wrapText="1"/>
    </xf>
    <xf numFmtId="0" fontId="17" fillId="0" borderId="8" xfId="0" applyFont="1" applyBorder="1" applyAlignment="1">
      <alignment horizontal="center" vertical="center" wrapText="1"/>
    </xf>
    <xf numFmtId="0" fontId="17" fillId="0" borderId="0" xfId="0" applyFont="1" applyAlignment="1">
      <alignment horizontal="center" vertical="center" wrapText="1"/>
    </xf>
    <xf numFmtId="0" fontId="17" fillId="0" borderId="7" xfId="0" applyFont="1" applyBorder="1" applyAlignment="1">
      <alignment horizontal="center" vertical="center" wrapText="1"/>
    </xf>
    <xf numFmtId="0" fontId="17" fillId="0" borderId="9" xfId="0" applyFont="1" applyBorder="1" applyAlignment="1">
      <alignment horizontal="right" vertical="center" wrapText="1"/>
    </xf>
    <xf numFmtId="0" fontId="17" fillId="0" borderId="6" xfId="0" applyFont="1" applyBorder="1" applyAlignment="1">
      <alignment horizontal="right" vertical="center" wrapText="1"/>
    </xf>
    <xf numFmtId="0" fontId="0" fillId="0" borderId="13" xfId="0" applyBorder="1" applyAlignment="1">
      <alignment horizontal="center"/>
    </xf>
    <xf numFmtId="0" fontId="0" fillId="0" borderId="1" xfId="0" applyBorder="1" applyAlignment="1">
      <alignment horizontal="center"/>
    </xf>
    <xf numFmtId="14" fontId="2" fillId="0" borderId="13" xfId="0" applyNumberFormat="1" applyFont="1" applyBorder="1" applyAlignment="1">
      <alignment horizontal="center"/>
    </xf>
    <xf numFmtId="14" fontId="2" fillId="0" borderId="1" xfId="0" applyNumberFormat="1" applyFont="1" applyBorder="1" applyAlignment="1">
      <alignment horizontal="center"/>
    </xf>
    <xf numFmtId="0" fontId="0" fillId="0" borderId="4" xfId="0" applyBorder="1" applyAlignment="1" applyProtection="1">
      <alignment horizontal="left"/>
      <protection locked="0"/>
    </xf>
    <xf numFmtId="0" fontId="30" fillId="0" borderId="8" xfId="0" applyFont="1" applyBorder="1" applyAlignment="1">
      <alignment horizontal="center" vertical="center"/>
    </xf>
    <xf numFmtId="0" fontId="30" fillId="0" borderId="0" xfId="0" applyFont="1" applyAlignment="1">
      <alignment horizontal="center" vertical="center"/>
    </xf>
    <xf numFmtId="0" fontId="30" fillId="0" borderId="7" xfId="0" applyFont="1" applyBorder="1" applyAlignment="1">
      <alignment horizontal="center" vertical="center"/>
    </xf>
    <xf numFmtId="0" fontId="28" fillId="0" borderId="8" xfId="0" applyFont="1" applyBorder="1" applyAlignment="1">
      <alignment horizontal="center"/>
    </xf>
    <xf numFmtId="0" fontId="28" fillId="0" borderId="0" xfId="0" applyFont="1" applyAlignment="1">
      <alignment horizontal="center"/>
    </xf>
    <xf numFmtId="0" fontId="28" fillId="0" borderId="7" xfId="0" applyFont="1" applyBorder="1" applyAlignment="1">
      <alignment horizontal="center"/>
    </xf>
    <xf numFmtId="0" fontId="15" fillId="0" borderId="8" xfId="0" applyFont="1" applyBorder="1" applyAlignment="1">
      <alignment horizontal="center"/>
    </xf>
    <xf numFmtId="0" fontId="15" fillId="0" borderId="0" xfId="0" applyFont="1" applyAlignment="1">
      <alignment horizontal="center"/>
    </xf>
    <xf numFmtId="0" fontId="15" fillId="0" borderId="7" xfId="0" applyFont="1" applyBorder="1" applyAlignment="1">
      <alignment horizontal="center"/>
    </xf>
    <xf numFmtId="0" fontId="2" fillId="0" borderId="26" xfId="4" applyFont="1" applyBorder="1" applyAlignment="1" applyProtection="1">
      <alignment horizontal="center"/>
      <protection locked="0"/>
    </xf>
    <xf numFmtId="0" fontId="2" fillId="0" borderId="25" xfId="4" applyFont="1" applyBorder="1" applyAlignment="1" applyProtection="1">
      <alignment horizontal="center"/>
      <protection locked="0"/>
    </xf>
    <xf numFmtId="0" fontId="11" fillId="0" borderId="25" xfId="4" applyFont="1" applyBorder="1" applyAlignment="1" applyProtection="1">
      <alignment horizontal="center"/>
      <protection locked="0"/>
    </xf>
    <xf numFmtId="0" fontId="24" fillId="0" borderId="39" xfId="4" applyFont="1" applyBorder="1" applyAlignment="1">
      <alignment horizontal="center"/>
    </xf>
    <xf numFmtId="0" fontId="24" fillId="0" borderId="18" xfId="4" applyFont="1" applyBorder="1" applyAlignment="1">
      <alignment horizontal="center"/>
    </xf>
    <xf numFmtId="0" fontId="24" fillId="0" borderId="44" xfId="4" applyFont="1" applyBorder="1" applyAlignment="1">
      <alignment horizontal="center"/>
    </xf>
    <xf numFmtId="0" fontId="2" fillId="0" borderId="18" xfId="4" applyFont="1" applyBorder="1" applyAlignment="1">
      <alignment horizontal="center" vertical="top"/>
    </xf>
    <xf numFmtId="171" fontId="17" fillId="0" borderId="1" xfId="4" applyNumberFormat="1" applyFont="1" applyBorder="1" applyAlignment="1">
      <alignment horizontal="center"/>
    </xf>
    <xf numFmtId="172" fontId="17" fillId="0" borderId="4" xfId="4" applyNumberFormat="1" applyFont="1" applyBorder="1" applyAlignment="1">
      <alignment horizontal="center"/>
    </xf>
    <xf numFmtId="0" fontId="29" fillId="0" borderId="61" xfId="4" applyFont="1" applyBorder="1" applyAlignment="1">
      <alignment horizontal="center"/>
    </xf>
    <xf numFmtId="0" fontId="29" fillId="0" borderId="0" xfId="4" applyFont="1" applyAlignment="1">
      <alignment horizontal="center"/>
    </xf>
    <xf numFmtId="0" fontId="25" fillId="0" borderId="1" xfId="4" applyBorder="1"/>
    <xf numFmtId="170" fontId="35" fillId="0" borderId="1" xfId="4" applyNumberFormat="1" applyFont="1" applyBorder="1" applyAlignment="1">
      <alignment horizontal="center" vertical="center"/>
    </xf>
    <xf numFmtId="0" fontId="8" fillId="0" borderId="23" xfId="4" applyFont="1" applyBorder="1" applyAlignment="1">
      <alignment horizontal="left" vertical="top"/>
    </xf>
    <xf numFmtId="0" fontId="25" fillId="0" borderId="19" xfId="4" applyBorder="1" applyAlignment="1" applyProtection="1">
      <alignment horizontal="left" vertical="top" wrapText="1"/>
      <protection locked="0"/>
    </xf>
    <xf numFmtId="0" fontId="25" fillId="0" borderId="22" xfId="4" applyBorder="1" applyAlignment="1" applyProtection="1">
      <alignment horizontal="left" vertical="top" wrapText="1"/>
      <protection locked="0"/>
    </xf>
    <xf numFmtId="0" fontId="25" fillId="0" borderId="21" xfId="4" applyBorder="1" applyAlignment="1" applyProtection="1">
      <alignment horizontal="center" vertical="top" wrapText="1"/>
      <protection locked="0"/>
    </xf>
    <xf numFmtId="0" fontId="24" fillId="0" borderId="38" xfId="4" applyFont="1" applyBorder="1" applyAlignment="1">
      <alignment horizontal="center"/>
    </xf>
    <xf numFmtId="0" fontId="2" fillId="0" borderId="39" xfId="4" applyFont="1" applyBorder="1" applyAlignment="1">
      <alignment horizontal="left" vertical="top"/>
    </xf>
    <xf numFmtId="0" fontId="24" fillId="0" borderId="30" xfId="4" applyFont="1" applyBorder="1" applyAlignment="1">
      <alignment horizontal="center"/>
    </xf>
    <xf numFmtId="0" fontId="2" fillId="0" borderId="30" xfId="4" applyFont="1" applyBorder="1" applyAlignment="1">
      <alignment horizontal="center" vertical="center"/>
    </xf>
    <xf numFmtId="0" fontId="35" fillId="4" borderId="51" xfId="4" applyFont="1" applyFill="1" applyBorder="1" applyAlignment="1" applyProtection="1">
      <alignment horizontal="center"/>
      <protection locked="0"/>
    </xf>
    <xf numFmtId="0" fontId="45" fillId="0" borderId="62" xfId="4" applyFont="1" applyBorder="1" applyAlignment="1">
      <alignment horizontal="center"/>
    </xf>
    <xf numFmtId="14" fontId="17" fillId="0" borderId="1" xfId="4" applyNumberFormat="1" applyFont="1" applyBorder="1"/>
    <xf numFmtId="165" fontId="41" fillId="0" borderId="60" xfId="4" applyNumberFormat="1" applyFont="1" applyBorder="1" applyAlignment="1">
      <alignment horizontal="center"/>
    </xf>
    <xf numFmtId="171" fontId="41" fillId="0" borderId="57" xfId="4" applyNumberFormat="1" applyFont="1" applyBorder="1" applyAlignment="1">
      <alignment horizontal="center"/>
    </xf>
    <xf numFmtId="165" fontId="41" fillId="0" borderId="59" xfId="4" applyNumberFormat="1" applyFont="1" applyBorder="1" applyAlignment="1">
      <alignment horizontal="center"/>
    </xf>
    <xf numFmtId="0" fontId="29" fillId="0" borderId="50" xfId="4" applyFont="1" applyBorder="1" applyAlignment="1">
      <alignment horizontal="center" vertical="top"/>
    </xf>
    <xf numFmtId="165" fontId="41" fillId="0" borderId="58" xfId="4" applyNumberFormat="1" applyFont="1" applyBorder="1" applyAlignment="1">
      <alignment horizontal="center"/>
    </xf>
    <xf numFmtId="171" fontId="41" fillId="0" borderId="1" xfId="4" applyNumberFormat="1" applyFont="1" applyBorder="1" applyAlignment="1">
      <alignment horizontal="center"/>
    </xf>
    <xf numFmtId="171" fontId="41" fillId="0" borderId="56" xfId="4" applyNumberFormat="1" applyFont="1" applyBorder="1" applyAlignment="1">
      <alignment horizontal="center"/>
    </xf>
    <xf numFmtId="0" fontId="29" fillId="0" borderId="55" xfId="4" applyFont="1" applyBorder="1" applyAlignment="1">
      <alignment horizontal="center"/>
    </xf>
    <xf numFmtId="0" fontId="29" fillId="0" borderId="54" xfId="4" applyFont="1" applyBorder="1"/>
    <xf numFmtId="165" fontId="41" fillId="0" borderId="49" xfId="4" applyNumberFormat="1" applyFont="1" applyBorder="1" applyAlignment="1">
      <alignment horizontal="center"/>
    </xf>
    <xf numFmtId="171" fontId="41" fillId="0" borderId="52" xfId="4" applyNumberFormat="1" applyFont="1" applyBorder="1" applyAlignment="1">
      <alignment horizontal="center"/>
    </xf>
    <xf numFmtId="171" fontId="41" fillId="0" borderId="0" xfId="4" applyNumberFormat="1" applyFont="1" applyAlignment="1">
      <alignment horizontal="center"/>
    </xf>
    <xf numFmtId="0" fontId="42" fillId="0" borderId="30" xfId="4" applyFont="1" applyBorder="1" applyAlignment="1">
      <alignment horizontal="center"/>
    </xf>
    <xf numFmtId="0" fontId="2" fillId="0" borderId="29" xfId="4" applyFont="1" applyBorder="1" applyAlignment="1">
      <alignment horizontal="left" vertical="center"/>
    </xf>
    <xf numFmtId="0" fontId="0" fillId="0" borderId="0" xfId="0" applyAlignment="1" applyProtection="1">
      <alignment horizontal="center"/>
      <protection locked="0"/>
    </xf>
    <xf numFmtId="0" fontId="52" fillId="0" borderId="0" xfId="0" applyFont="1" applyAlignment="1" applyProtection="1">
      <alignment horizontal="center"/>
      <protection locked="0"/>
    </xf>
    <xf numFmtId="0" fontId="0" fillId="0" borderId="0" xfId="0" applyAlignment="1" applyProtection="1">
      <alignment horizontal="right"/>
      <protection locked="0"/>
    </xf>
    <xf numFmtId="0" fontId="47" fillId="0" borderId="0" xfId="0" applyFont="1" applyAlignment="1">
      <alignment horizontal="left" vertical="center" wrapText="1"/>
    </xf>
    <xf numFmtId="0" fontId="47" fillId="0" borderId="6" xfId="0" applyFont="1" applyBorder="1" applyAlignment="1">
      <alignment horizontal="left" vertical="center" wrapText="1"/>
    </xf>
    <xf numFmtId="0" fontId="17" fillId="0" borderId="0" xfId="0" applyFont="1" applyAlignment="1">
      <alignment horizontal="left"/>
    </xf>
    <xf numFmtId="171" fontId="17" fillId="0" borderId="4" xfId="0" applyNumberFormat="1" applyFont="1" applyBorder="1" applyAlignment="1" applyProtection="1">
      <alignment horizontal="left"/>
      <protection locked="0"/>
    </xf>
    <xf numFmtId="0" fontId="50" fillId="0" borderId="0" xfId="0" applyFont="1" applyAlignment="1">
      <alignment horizontal="left" vertical="center" wrapText="1"/>
    </xf>
    <xf numFmtId="0" fontId="52" fillId="0" borderId="0" xfId="0" applyFont="1" applyAlignment="1">
      <alignment horizontal="center"/>
    </xf>
    <xf numFmtId="0" fontId="0" fillId="0" borderId="0" xfId="0" applyAlignment="1">
      <alignment horizontal="center"/>
    </xf>
    <xf numFmtId="0" fontId="47" fillId="0" borderId="0" xfId="0" applyFont="1" applyAlignment="1">
      <alignment horizontal="left" vertical="center"/>
    </xf>
    <xf numFmtId="0" fontId="50" fillId="0" borderId="0" xfId="0" applyFont="1" applyAlignment="1">
      <alignment horizontal="left" vertical="center"/>
    </xf>
    <xf numFmtId="0" fontId="50" fillId="0" borderId="0" xfId="0" applyFont="1" applyAlignment="1">
      <alignment vertical="center"/>
    </xf>
    <xf numFmtId="0" fontId="46" fillId="0" borderId="0" xfId="0" applyFont="1" applyAlignment="1">
      <alignment horizontal="left" wrapText="1"/>
    </xf>
    <xf numFmtId="0" fontId="0" fillId="0" borderId="63" xfId="0" applyBorder="1" applyAlignment="1">
      <alignment horizontal="left"/>
    </xf>
    <xf numFmtId="0" fontId="0" fillId="0" borderId="6" xfId="0" applyBorder="1" applyAlignment="1">
      <alignment horizontal="center"/>
    </xf>
    <xf numFmtId="0" fontId="55" fillId="0" borderId="0" xfId="0" applyFont="1" applyAlignment="1">
      <alignment horizontal="center" vertical="center"/>
    </xf>
    <xf numFmtId="0" fontId="29" fillId="0" borderId="6" xfId="0" applyFont="1" applyBorder="1" applyAlignment="1">
      <alignment horizontal="center"/>
    </xf>
    <xf numFmtId="0" fontId="35" fillId="0" borderId="11" xfId="0" applyFont="1" applyBorder="1" applyAlignment="1">
      <alignment horizontal="right"/>
    </xf>
    <xf numFmtId="0" fontId="35" fillId="0" borderId="13" xfId="0" applyFont="1" applyBorder="1" applyAlignment="1">
      <alignment horizontal="right"/>
    </xf>
    <xf numFmtId="0" fontId="35" fillId="0" borderId="13" xfId="0" applyFont="1" applyBorder="1" applyAlignment="1">
      <alignment horizontal="center"/>
    </xf>
    <xf numFmtId="44" fontId="35" fillId="0" borderId="67" xfId="8" applyFont="1" applyBorder="1" applyAlignment="1">
      <alignment horizontal="center" vertical="center"/>
    </xf>
    <xf numFmtId="44" fontId="35" fillId="0" borderId="68" xfId="8" applyFont="1" applyBorder="1" applyAlignment="1">
      <alignment horizontal="center" vertical="center"/>
    </xf>
    <xf numFmtId="44" fontId="35" fillId="0" borderId="0" xfId="8" applyFont="1" applyBorder="1" applyAlignment="1">
      <alignment horizontal="center" vertical="center"/>
    </xf>
    <xf numFmtId="44" fontId="35" fillId="0" borderId="69" xfId="8" applyFont="1" applyBorder="1" applyAlignment="1">
      <alignment horizontal="center" vertical="center"/>
    </xf>
    <xf numFmtId="0" fontId="35" fillId="0" borderId="0" xfId="0" applyFont="1" applyAlignment="1">
      <alignment horizontal="center" vertical="center" wrapText="1"/>
    </xf>
    <xf numFmtId="0" fontId="58" fillId="0" borderId="0" xfId="0" applyFont="1" applyAlignment="1">
      <alignment horizontal="center"/>
    </xf>
    <xf numFmtId="44" fontId="35" fillId="0" borderId="70" xfId="8" applyFont="1" applyBorder="1" applyAlignment="1">
      <alignment horizontal="center" vertical="center"/>
    </xf>
    <xf numFmtId="44" fontId="35" fillId="0" borderId="71" xfId="8" applyFont="1" applyBorder="1" applyAlignment="1">
      <alignment horizontal="center" vertical="center"/>
    </xf>
    <xf numFmtId="44" fontId="35" fillId="0" borderId="72" xfId="8" applyFont="1" applyBorder="1" applyAlignment="1">
      <alignment horizontal="center" vertical="center"/>
    </xf>
    <xf numFmtId="0" fontId="35" fillId="0" borderId="0" xfId="0" applyFont="1" applyAlignment="1">
      <alignment horizontal="center" vertical="center"/>
    </xf>
  </cellXfs>
  <cellStyles count="9">
    <cellStyle name="Currency" xfId="8" builtinId="4"/>
    <cellStyle name="Excel_BuiltIn_Bad 1" xfId="1" xr:uid="{00000000-0005-0000-0000-000001000000}"/>
    <cellStyle name="Hyperlink" xfId="2" builtinId="8"/>
    <cellStyle name="Normal" xfId="0" builtinId="0"/>
    <cellStyle name="Normal 2" xfId="3" xr:uid="{00000000-0005-0000-0000-000004000000}"/>
    <cellStyle name="Normal 3" xfId="4" xr:uid="{00000000-0005-0000-0000-000005000000}"/>
    <cellStyle name="Normal 4" xfId="5" xr:uid="{00000000-0005-0000-0000-000006000000}"/>
    <cellStyle name="Normal 4 2" xfId="6" xr:uid="{00000000-0005-0000-0000-000007000000}"/>
    <cellStyle name="Percent 2" xfId="7" xr:uid="{00000000-0005-0000-0000-00000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 Id="rId5" Type="http://schemas.openxmlformats.org/officeDocument/2006/relationships/image" Target="../media/image5.jpe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6.jpeg"/></Relationships>
</file>

<file path=xl/drawings/_rels/drawing4.xml.rels><?xml version="1.0" encoding="UTF-8" standalone="yes"?>
<Relationships xmlns="http://schemas.openxmlformats.org/package/2006/relationships"><Relationship Id="rId1" Type="http://schemas.openxmlformats.org/officeDocument/2006/relationships/image" Target="../media/image7.jpeg"/></Relationships>
</file>

<file path=xl/drawings/_rels/drawing5.xml.rels><?xml version="1.0" encoding="UTF-8" standalone="yes"?>
<Relationships xmlns="http://schemas.openxmlformats.org/package/2006/relationships"><Relationship Id="rId1" Type="http://schemas.openxmlformats.org/officeDocument/2006/relationships/image" Target="../media/image8.png"/></Relationships>
</file>

<file path=xl/drawings/_rels/drawing6.xml.rels><?xml version="1.0" encoding="UTF-8" standalone="yes"?>
<Relationships xmlns="http://schemas.openxmlformats.org/package/2006/relationships"><Relationship Id="rId1" Type="http://schemas.openxmlformats.org/officeDocument/2006/relationships/image" Target="../media/image9.jpg"/></Relationships>
</file>

<file path=xl/drawings/_rels/drawing7.x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9</xdr:col>
      <xdr:colOff>133350</xdr:colOff>
      <xdr:row>77</xdr:row>
      <xdr:rowOff>9525</xdr:rowOff>
    </xdr:from>
    <xdr:to>
      <xdr:col>14</xdr:col>
      <xdr:colOff>225425</xdr:colOff>
      <xdr:row>79</xdr:row>
      <xdr:rowOff>152400</xdr:rowOff>
    </xdr:to>
    <xdr:pic>
      <xdr:nvPicPr>
        <xdr:cNvPr id="11566" name="Picture 1">
          <a:extLst>
            <a:ext uri="{FF2B5EF4-FFF2-40B4-BE49-F238E27FC236}">
              <a16:creationId xmlns:a16="http://schemas.microsoft.com/office/drawing/2014/main" id="{00000000-0008-0000-0000-00002E2D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686175" y="13639800"/>
          <a:ext cx="1476375"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28575</xdr:colOff>
      <xdr:row>32</xdr:row>
      <xdr:rowOff>114300</xdr:rowOff>
    </xdr:from>
    <xdr:to>
      <xdr:col>11</xdr:col>
      <xdr:colOff>0</xdr:colOff>
      <xdr:row>37</xdr:row>
      <xdr:rowOff>57150</xdr:rowOff>
    </xdr:to>
    <xdr:pic>
      <xdr:nvPicPr>
        <xdr:cNvPr id="11567" name="Picture 2">
          <a:extLst>
            <a:ext uri="{FF2B5EF4-FFF2-40B4-BE49-F238E27FC236}">
              <a16:creationId xmlns:a16="http://schemas.microsoft.com/office/drawing/2014/main" id="{00000000-0008-0000-0000-00002F2D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505200" y="5924550"/>
          <a:ext cx="723900" cy="790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38100</xdr:colOff>
      <xdr:row>32</xdr:row>
      <xdr:rowOff>95250</xdr:rowOff>
    </xdr:from>
    <xdr:to>
      <xdr:col>5</xdr:col>
      <xdr:colOff>228600</xdr:colOff>
      <xdr:row>35</xdr:row>
      <xdr:rowOff>149225</xdr:rowOff>
    </xdr:to>
    <xdr:pic>
      <xdr:nvPicPr>
        <xdr:cNvPr id="11568" name="Picture 1">
          <a:extLst>
            <a:ext uri="{FF2B5EF4-FFF2-40B4-BE49-F238E27FC236}">
              <a16:creationId xmlns:a16="http://schemas.microsoft.com/office/drawing/2014/main" id="{00000000-0008-0000-0000-0000302D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1450" y="5905500"/>
          <a:ext cx="952500" cy="533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114300</xdr:colOff>
      <xdr:row>34</xdr:row>
      <xdr:rowOff>85725</xdr:rowOff>
    </xdr:from>
    <xdr:to>
      <xdr:col>15</xdr:col>
      <xdr:colOff>28575</xdr:colOff>
      <xdr:row>36</xdr:row>
      <xdr:rowOff>177800</xdr:rowOff>
    </xdr:to>
    <xdr:pic>
      <xdr:nvPicPr>
        <xdr:cNvPr id="11569" name="Picture 3">
          <a:extLst>
            <a:ext uri="{FF2B5EF4-FFF2-40B4-BE49-F238E27FC236}">
              <a16:creationId xmlns:a16="http://schemas.microsoft.com/office/drawing/2014/main" id="{00000000-0008-0000-0000-0000312D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114925" y="6410325"/>
          <a:ext cx="476250" cy="387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409575</xdr:colOff>
      <xdr:row>0</xdr:row>
      <xdr:rowOff>219075</xdr:rowOff>
    </xdr:from>
    <xdr:to>
      <xdr:col>9</xdr:col>
      <xdr:colOff>206375</xdr:colOff>
      <xdr:row>7</xdr:row>
      <xdr:rowOff>0</xdr:rowOff>
    </xdr:to>
    <xdr:pic>
      <xdr:nvPicPr>
        <xdr:cNvPr id="11570" name="Picture 5">
          <a:extLst>
            <a:ext uri="{FF2B5EF4-FFF2-40B4-BE49-F238E27FC236}">
              <a16:creationId xmlns:a16="http://schemas.microsoft.com/office/drawing/2014/main" id="{00000000-0008-0000-0000-0000322D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600075" y="219075"/>
          <a:ext cx="3209925" cy="128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57150</xdr:colOff>
      <xdr:row>67</xdr:row>
      <xdr:rowOff>66675</xdr:rowOff>
    </xdr:from>
    <xdr:to>
      <xdr:col>21</xdr:col>
      <xdr:colOff>133350</xdr:colOff>
      <xdr:row>68</xdr:row>
      <xdr:rowOff>142875</xdr:rowOff>
    </xdr:to>
    <xdr:sp macro="" textlink="">
      <xdr:nvSpPr>
        <xdr:cNvPr id="2" name="Rectangle 1">
          <a:extLst>
            <a:ext uri="{FF2B5EF4-FFF2-40B4-BE49-F238E27FC236}">
              <a16:creationId xmlns:a16="http://schemas.microsoft.com/office/drawing/2014/main" id="{00000000-0008-0000-0000-000002000000}"/>
            </a:ext>
          </a:extLst>
        </xdr:cNvPr>
        <xdr:cNvSpPr/>
      </xdr:nvSpPr>
      <xdr:spPr bwMode="auto">
        <a:xfrm>
          <a:off x="7258050" y="11449050"/>
          <a:ext cx="571500" cy="247650"/>
        </a:xfrm>
        <a:prstGeom prst="rect">
          <a:avLst/>
        </a:prstGeom>
        <a:solidFill>
          <a:srgbClr val="FFFF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lang="en-US" sz="1100"/>
        </a:p>
      </xdr:txBody>
    </xdr:sp>
    <xdr:clientData/>
  </xdr:twoCellAnchor>
  <xdr:twoCellAnchor>
    <xdr:from>
      <xdr:col>11</xdr:col>
      <xdr:colOff>19050</xdr:colOff>
      <xdr:row>68</xdr:row>
      <xdr:rowOff>85725</xdr:rowOff>
    </xdr:from>
    <xdr:to>
      <xdr:col>12</xdr:col>
      <xdr:colOff>504825</xdr:colOff>
      <xdr:row>69</xdr:row>
      <xdr:rowOff>161925</xdr:rowOff>
    </xdr:to>
    <xdr:sp macro="" textlink="">
      <xdr:nvSpPr>
        <xdr:cNvPr id="8" name="Rectangle 7">
          <a:extLst>
            <a:ext uri="{FF2B5EF4-FFF2-40B4-BE49-F238E27FC236}">
              <a16:creationId xmlns:a16="http://schemas.microsoft.com/office/drawing/2014/main" id="{00000000-0008-0000-0000-000008000000}"/>
            </a:ext>
          </a:extLst>
        </xdr:cNvPr>
        <xdr:cNvSpPr/>
      </xdr:nvSpPr>
      <xdr:spPr bwMode="auto">
        <a:xfrm>
          <a:off x="4305300" y="11639550"/>
          <a:ext cx="571500" cy="247650"/>
        </a:xfrm>
        <a:prstGeom prst="rect">
          <a:avLst/>
        </a:prstGeom>
        <a:solidFill>
          <a:srgbClr val="FFFF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1</xdr:col>
      <xdr:colOff>57150</xdr:colOff>
      <xdr:row>6</xdr:row>
      <xdr:rowOff>19048</xdr:rowOff>
    </xdr:from>
    <xdr:ext cx="7762875" cy="7924801"/>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304800" y="962023"/>
          <a:ext cx="7762875" cy="79248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Subject to the limitations and exclusions below,</a:t>
          </a:r>
          <a:r>
            <a:rPr lang="en-US" sz="1100" baseline="0"/>
            <a:t> Window World ("Company") warrants to the original purchaser/property owner ("Owner") and, if any, Owner's immediate transferee, excluding all other subsequent transferees, that any basic window installed by the Company is free from defects in material and workmanship for as long as the Owner or Owner's immediate transferee resides in the home in which the windows are installed.</a:t>
          </a:r>
        </a:p>
        <a:p>
          <a:endParaRPr lang="en-US" sz="1100" baseline="0"/>
        </a:p>
        <a:p>
          <a:r>
            <a:rPr lang="en-US" sz="1100" b="1" baseline="0"/>
            <a:t>Vinyl Parts Warranty - </a:t>
          </a:r>
          <a:r>
            <a:rPr lang="en-US" sz="1100" b="0" baseline="0"/>
            <a:t>That under normal use, the vinyl components of the window will not blister, peel, rot or corrode.</a:t>
          </a:r>
        </a:p>
        <a:p>
          <a:endParaRPr lang="en-US" sz="1100" b="0" baseline="0"/>
        </a:p>
        <a:p>
          <a:r>
            <a:rPr lang="en-US" sz="1100" b="1" baseline="0"/>
            <a:t>Mechanical Parts Warranty - </a:t>
          </a:r>
          <a:r>
            <a:rPr lang="en-US" sz="1100" b="0" baseline="0"/>
            <a:t>That all mechanical parts (lock, vent locks, balances) are warranted to be free from manufactured defects in material and workmanship. Replacement parts will be supplied at no charge.</a:t>
          </a:r>
        </a:p>
        <a:p>
          <a:endParaRPr lang="en-US" sz="1100" b="0" baseline="0"/>
        </a:p>
        <a:p>
          <a:r>
            <a:rPr lang="en-US" sz="1100" b="1" baseline="0"/>
            <a:t>Insulated Glass Warranty - </a:t>
          </a:r>
          <a:r>
            <a:rPr lang="en-US" sz="1100" b="0" baseline="0"/>
            <a:t>The sealed insulated glass unit is warranted against defects resulting in material obstruction of vision from film formation caused by dust or moisture in the dead air space of the sealed unit for the life of the window. If the glass unit fails, the Company will provide the Owner with a replacement insulated glass unit at no extra charge. </a:t>
          </a:r>
        </a:p>
        <a:p>
          <a:endParaRPr lang="en-US" sz="1100" b="0" baseline="0"/>
        </a:p>
        <a:p>
          <a:r>
            <a:rPr lang="en-US" sz="1100" b="1" baseline="0"/>
            <a:t>Glass Breakage Warranty* - </a:t>
          </a:r>
          <a:r>
            <a:rPr lang="en-US" sz="1100" b="0" baseline="0"/>
            <a:t>The Company will provide the Owner with a replacement insulated glass unit in the event of accidental glass breakage. Exclusions listed below apply. </a:t>
          </a:r>
        </a:p>
        <a:p>
          <a:r>
            <a:rPr lang="en-US" sz="1100" b="0" baseline="0"/>
            <a:t>*</a:t>
          </a:r>
          <a:r>
            <a:rPr lang="en-US" sz="800" b="0" baseline="0"/>
            <a:t>Optional if denoted on the contract</a:t>
          </a:r>
        </a:p>
        <a:p>
          <a:endParaRPr lang="en-US" sz="800" b="0" baseline="0"/>
        </a:p>
        <a:p>
          <a:r>
            <a:rPr lang="en-US" sz="1100" b="1"/>
            <a:t>Labor Warranty -  </a:t>
          </a:r>
          <a:r>
            <a:rPr lang="en-US" sz="1100" b="0"/>
            <a:t>All labor necessary to correct any item covered by this warranty will be provided at no extra charge</a:t>
          </a:r>
          <a:r>
            <a:rPr lang="en-US" sz="1100" b="0" baseline="0"/>
            <a:t> by the Company.</a:t>
          </a:r>
        </a:p>
        <a:p>
          <a:endParaRPr lang="en-US" sz="1100" b="0" baseline="0"/>
        </a:p>
        <a:p>
          <a:r>
            <a:rPr lang="en-US" sz="1100" b="1" baseline="0"/>
            <a:t>Transferable Warranty - </a:t>
          </a:r>
          <a:r>
            <a:rPr lang="en-US" sz="1100" b="0" baseline="0"/>
            <a:t>This warranty may be transferred to the Owner's immediate transferee provided the transferee notifies the Company, in writing, at the address below, within 30 days of the property's transfer date. The correspondence must include a transfer fee of $350, the original Owner's name and address, transferee's name and address and the Window World location responsible for the installation.  Please send warranty transfer requests to: Window World, 8405 Airline Hwy, Baton Rouge, LA 70815.</a:t>
          </a:r>
        </a:p>
        <a:p>
          <a:endParaRPr lang="en-US" sz="1100" b="0" baseline="0"/>
        </a:p>
        <a:p>
          <a:r>
            <a:rPr lang="en-US" sz="1100" b="1" baseline="0"/>
            <a:t>General Limitations and Exclusions</a:t>
          </a:r>
        </a:p>
        <a:p>
          <a:r>
            <a:rPr lang="en-US" sz="1100" b="0" baseline="0"/>
            <a:t>1. Acts of God (hurricanes, tornados, floods, etc.), acts of war, riots, fires, modifications and vandalism are not covered by this warranty.</a:t>
          </a:r>
        </a:p>
        <a:p>
          <a:r>
            <a:rPr lang="en-US" sz="1100" b="0"/>
            <a:t>2. Color variance may occur between replacement parts and weathered original material.</a:t>
          </a:r>
        </a:p>
        <a:p>
          <a:r>
            <a:rPr lang="en-US" sz="1100" b="0"/>
            <a:t>3. Labor warranty does not transfer to Owner's transferee.</a:t>
          </a:r>
        </a:p>
        <a:p>
          <a:r>
            <a:rPr lang="en-US" sz="1100" b="0"/>
            <a:t>4. This warranty is exclusively for windows and patio</a:t>
          </a:r>
          <a:r>
            <a:rPr lang="en-US" sz="1100" b="0" baseline="0"/>
            <a:t> doors</a:t>
          </a:r>
          <a:r>
            <a:rPr lang="en-US" sz="1100" b="0"/>
            <a:t> installed by the Company.</a:t>
          </a:r>
          <a:r>
            <a:rPr lang="en-US" sz="1100" b="0" baseline="0"/>
            <a:t> Any additional products, such as entry doors and storm doors, installed by the Company, in conjunction with the window and/or patio door contract will carry the warranty provided by their manufacturer.</a:t>
          </a:r>
        </a:p>
        <a:p>
          <a:r>
            <a:rPr lang="en-US" sz="1100" b="0" baseline="0"/>
            <a:t>5. Caulking - To seal window frame or trim package against water and/or air filtration, caulking may be necessary on some installations. Caulking maintenance is the responsibility of the homeowner; it is not considered part of the product and is not covered under the warranty.</a:t>
          </a:r>
        </a:p>
        <a:p>
          <a:r>
            <a:rPr lang="en-US" sz="1100" b="0" baseline="0"/>
            <a:t>6.  Condensation - On windows and patio doors, condensation may occur as the natural result of humidity within a home or changes in interior/exterior temperature. It does not indicate a product defect. The warranty covers neither condensation, nor frost, nor freezing from condensation on the windows or patio doors.</a:t>
          </a:r>
        </a:p>
        <a:p>
          <a:endParaRPr lang="en-US" sz="1100" b="0" baseline="0"/>
        </a:p>
        <a:p>
          <a:r>
            <a:rPr lang="en-US" sz="1100" b="0" baseline="0"/>
            <a:t>This warranty gives you specific legal rights, and you may also have other rights which vary from state to state.</a:t>
          </a:r>
        </a:p>
        <a:p>
          <a:endParaRPr lang="en-US" sz="1100" b="0" baseline="0"/>
        </a:p>
        <a:p>
          <a:endParaRPr lang="en-US" sz="1100" b="0" baseline="0"/>
        </a:p>
        <a:p>
          <a:r>
            <a:rPr lang="en-US" sz="1100" b="1" baseline="0"/>
            <a:t>WARRANTY COVERAGE BEGINS WITH PROJECT COMPLETION AND FINAL PAYMENT. </a:t>
          </a:r>
        </a:p>
      </xdr:txBody>
    </xdr:sp>
    <xdr:clientData/>
  </xdr:oneCellAnchor>
  <xdr:oneCellAnchor>
    <xdr:from>
      <xdr:col>1</xdr:col>
      <xdr:colOff>9525</xdr:colOff>
      <xdr:row>53</xdr:row>
      <xdr:rowOff>85725</xdr:rowOff>
    </xdr:from>
    <xdr:ext cx="7829550" cy="3000375"/>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257175" y="9391650"/>
          <a:ext cx="7829550" cy="30003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0" i="0">
              <a:solidFill>
                <a:schemeClr val="tx1"/>
              </a:solidFill>
              <a:effectLst/>
              <a:latin typeface="+mn-lt"/>
              <a:ea typeface="+mn-ea"/>
              <a:cs typeface="+mn-cs"/>
            </a:rPr>
            <a:t>This INSTALLATION</a:t>
          </a:r>
          <a:r>
            <a:rPr lang="en-US" sz="1100" b="0" i="0" baseline="0">
              <a:solidFill>
                <a:schemeClr val="tx1"/>
              </a:solidFill>
              <a:effectLst/>
              <a:latin typeface="+mn-lt"/>
              <a:ea typeface="+mn-ea"/>
              <a:cs typeface="+mn-cs"/>
            </a:rPr>
            <a:t> </a:t>
          </a:r>
          <a:r>
            <a:rPr lang="en-US" sz="1100" b="0" i="0">
              <a:solidFill>
                <a:schemeClr val="tx1"/>
              </a:solidFill>
              <a:effectLst/>
              <a:latin typeface="+mn-lt"/>
              <a:ea typeface="+mn-ea"/>
              <a:cs typeface="+mn-cs"/>
            </a:rPr>
            <a:t>WARRANTY covers defects in the workmanship and materials for a period of </a:t>
          </a:r>
          <a:r>
            <a:rPr lang="en-US" sz="1100" b="1" i="0">
              <a:solidFill>
                <a:schemeClr val="tx1"/>
              </a:solidFill>
              <a:effectLst/>
              <a:latin typeface="+mn-lt"/>
              <a:ea typeface="+mn-ea"/>
              <a:cs typeface="+mn-cs"/>
            </a:rPr>
            <a:t>two years </a:t>
          </a:r>
          <a:r>
            <a:rPr lang="en-US" sz="1100" b="0" i="0">
              <a:solidFill>
                <a:schemeClr val="tx1"/>
              </a:solidFill>
              <a:effectLst/>
              <a:latin typeface="+mn-lt"/>
              <a:ea typeface="+mn-ea"/>
              <a:cs typeface="+mn-cs"/>
            </a:rPr>
            <a:t>from the date of substantial completion. During the warranty period, should your Window World windows, doors or siding fail to perform according to our specifications due to improper original installation, we will bring the workmanship up to our professional standards, at no cost to you. </a:t>
          </a:r>
        </a:p>
        <a:p>
          <a:endParaRPr lang="en-US" sz="1100" b="0" i="0">
            <a:solidFill>
              <a:schemeClr val="tx1"/>
            </a:solidFill>
            <a:effectLst/>
            <a:latin typeface="+mn-lt"/>
            <a:ea typeface="+mn-ea"/>
            <a:cs typeface="+mn-cs"/>
          </a:endParaRPr>
        </a:p>
        <a:p>
          <a:r>
            <a:rPr lang="en-US" sz="1100" b="0" i="0">
              <a:solidFill>
                <a:schemeClr val="tx1"/>
              </a:solidFill>
              <a:effectLst/>
              <a:latin typeface="+mn-lt"/>
              <a:ea typeface="+mn-ea"/>
              <a:cs typeface="+mn-cs"/>
            </a:rPr>
            <a:t>The</a:t>
          </a:r>
          <a:r>
            <a:rPr lang="en-US" sz="1100" b="0" i="0" baseline="0">
              <a:solidFill>
                <a:schemeClr val="tx1"/>
              </a:solidFill>
              <a:effectLst/>
              <a:latin typeface="+mn-lt"/>
              <a:ea typeface="+mn-ea"/>
              <a:cs typeface="+mn-cs"/>
            </a:rPr>
            <a:t> INSTALLATION WARRANTY</a:t>
          </a:r>
          <a:r>
            <a:rPr lang="en-US" sz="1100" b="0" i="0">
              <a:solidFill>
                <a:schemeClr val="tx1"/>
              </a:solidFill>
              <a:effectLst/>
              <a:latin typeface="+mn-lt"/>
              <a:ea typeface="+mn-ea"/>
              <a:cs typeface="+mn-cs"/>
            </a:rPr>
            <a:t> does not extend to labor/services performed by anyone other than a</a:t>
          </a:r>
          <a:r>
            <a:rPr lang="en-US" sz="1100" b="0" i="0" baseline="0">
              <a:solidFill>
                <a:schemeClr val="tx1"/>
              </a:solidFill>
              <a:effectLst/>
              <a:latin typeface="+mn-lt"/>
              <a:ea typeface="+mn-ea"/>
              <a:cs typeface="+mn-cs"/>
            </a:rPr>
            <a:t> Window World  assigned I</a:t>
          </a:r>
          <a:r>
            <a:rPr lang="en-US" sz="1100" b="0" i="0">
              <a:solidFill>
                <a:schemeClr val="tx1"/>
              </a:solidFill>
              <a:effectLst/>
              <a:latin typeface="+mn-lt"/>
              <a:ea typeface="+mn-ea"/>
              <a:cs typeface="+mn-cs"/>
            </a:rPr>
            <a:t>nstaller, nor to the installation or repair of any finishing or other materials that have been applied to or adjacent to the product after the initial installation. This warranty does not cover problems that result from abuse, accident, misuse or problems arising from natural disaster.  </a:t>
          </a:r>
        </a:p>
        <a:p>
          <a:pPr>
            <a:lnSpc>
              <a:spcPts val="1100"/>
            </a:lnSpc>
          </a:pPr>
          <a:endParaRPr lang="en-US" sz="1100" b="0" i="0">
            <a:solidFill>
              <a:schemeClr val="tx1"/>
            </a:solidFill>
            <a:effectLst/>
            <a:latin typeface="+mn-lt"/>
            <a:ea typeface="+mn-ea"/>
            <a:cs typeface="+mn-cs"/>
          </a:endParaRPr>
        </a:p>
        <a:p>
          <a:pPr>
            <a:lnSpc>
              <a:spcPts val="1100"/>
            </a:lnSpc>
          </a:pPr>
          <a:r>
            <a:rPr lang="en-US" sz="1100" b="0" i="0">
              <a:solidFill>
                <a:schemeClr val="tx1"/>
              </a:solidFill>
              <a:effectLst/>
              <a:latin typeface="+mn-lt"/>
              <a:ea typeface="+mn-ea"/>
              <a:cs typeface="+mn-cs"/>
            </a:rPr>
            <a:t>The INSTALLATION WARRANTY guarantees the following items:</a:t>
          </a:r>
        </a:p>
        <a:p>
          <a:pPr>
            <a:lnSpc>
              <a:spcPts val="1100"/>
            </a:lnSpc>
          </a:pPr>
          <a:r>
            <a:rPr lang="en-US" sz="1100" b="0" i="0">
              <a:solidFill>
                <a:schemeClr val="tx1"/>
              </a:solidFill>
              <a:effectLst/>
              <a:latin typeface="+mn-lt"/>
              <a:ea typeface="+mn-ea"/>
              <a:cs typeface="+mn-cs"/>
            </a:rPr>
            <a:t>·         All work will be performed in a good and workmanlike manner</a:t>
          </a:r>
        </a:p>
        <a:p>
          <a:pPr>
            <a:lnSpc>
              <a:spcPts val="1100"/>
            </a:lnSpc>
          </a:pPr>
          <a:r>
            <a:rPr lang="en-US" sz="1100" b="0" i="0">
              <a:solidFill>
                <a:schemeClr val="tx1"/>
              </a:solidFill>
              <a:effectLst/>
              <a:latin typeface="+mn-lt"/>
              <a:ea typeface="+mn-ea"/>
              <a:cs typeface="+mn-cs"/>
            </a:rPr>
            <a:t>·         All material used on your install will be new and of high quality</a:t>
          </a:r>
        </a:p>
        <a:p>
          <a:pPr>
            <a:lnSpc>
              <a:spcPts val="1100"/>
            </a:lnSpc>
          </a:pPr>
          <a:r>
            <a:rPr lang="en-US" sz="1100" b="0" i="0">
              <a:solidFill>
                <a:schemeClr val="tx1"/>
              </a:solidFill>
              <a:effectLst/>
              <a:latin typeface="+mn-lt"/>
              <a:ea typeface="+mn-ea"/>
              <a:cs typeface="+mn-cs"/>
            </a:rPr>
            <a:t>·         All work will conform to requirements of the contract documents</a:t>
          </a:r>
        </a:p>
        <a:p>
          <a:pPr>
            <a:lnSpc>
              <a:spcPts val="1200"/>
            </a:lnSpc>
          </a:pPr>
          <a:r>
            <a:rPr lang="en-US" sz="1100" b="0" i="0">
              <a:solidFill>
                <a:schemeClr val="tx1"/>
              </a:solidFill>
              <a:effectLst/>
              <a:latin typeface="+mn-lt"/>
              <a:ea typeface="+mn-ea"/>
              <a:cs typeface="+mn-cs"/>
            </a:rPr>
            <a:t>·         All materials (caulking, trim, capping, and window foam)  used to install Windows, Siding, or Doors will be applied in a  </a:t>
          </a:r>
        </a:p>
        <a:p>
          <a:pPr>
            <a:lnSpc>
              <a:spcPts val="1200"/>
            </a:lnSpc>
          </a:pPr>
          <a:r>
            <a:rPr lang="en-US" sz="1100" b="0" i="0">
              <a:solidFill>
                <a:schemeClr val="tx1"/>
              </a:solidFill>
              <a:effectLst/>
              <a:latin typeface="+mn-lt"/>
              <a:ea typeface="+mn-ea"/>
              <a:cs typeface="+mn-cs"/>
            </a:rPr>
            <a:t>          professional manner to industry standards </a:t>
          </a:r>
        </a:p>
        <a:p>
          <a:pPr>
            <a:lnSpc>
              <a:spcPts val="1100"/>
            </a:lnSpc>
          </a:pPr>
          <a:endParaRPr lang="en-US" sz="1100" b="0" i="0">
            <a:solidFill>
              <a:schemeClr val="tx1"/>
            </a:solidFill>
            <a:effectLst/>
            <a:latin typeface="+mn-lt"/>
            <a:ea typeface="+mn-ea"/>
            <a:cs typeface="+mn-cs"/>
          </a:endParaRPr>
        </a:p>
        <a:p>
          <a:pPr>
            <a:lnSpc>
              <a:spcPts val="1100"/>
            </a:lnSpc>
          </a:pPr>
          <a:r>
            <a:rPr lang="en-US" sz="1100" b="0" i="0">
              <a:solidFill>
                <a:schemeClr val="tx1"/>
              </a:solidFill>
              <a:effectLst/>
              <a:latin typeface="+mn-lt"/>
              <a:ea typeface="+mn-ea"/>
              <a:cs typeface="+mn-cs"/>
            </a:rPr>
            <a:t>I acknowledge that I have read the above warranty and understand.         ______________</a:t>
          </a:r>
        </a:p>
        <a:p>
          <a:pPr>
            <a:lnSpc>
              <a:spcPts val="900"/>
            </a:lnSpc>
          </a:pPr>
          <a:r>
            <a:rPr lang="en-US" sz="1100" b="0" i="0">
              <a:solidFill>
                <a:schemeClr val="tx1"/>
              </a:solidFill>
              <a:effectLst/>
              <a:latin typeface="+mn-lt"/>
              <a:ea typeface="+mn-ea"/>
              <a:cs typeface="+mn-cs"/>
            </a:rPr>
            <a:t>				</a:t>
          </a:r>
          <a:r>
            <a:rPr lang="en-US" sz="1100" b="0" i="0" baseline="0">
              <a:solidFill>
                <a:schemeClr val="tx1"/>
              </a:solidFill>
              <a:effectLst/>
              <a:latin typeface="+mn-lt"/>
              <a:ea typeface="+mn-ea"/>
              <a:cs typeface="+mn-cs"/>
            </a:rPr>
            <a:t>                      Initial</a:t>
          </a:r>
          <a:r>
            <a:rPr lang="en-US" sz="1100" b="0" i="0">
              <a:solidFill>
                <a:schemeClr val="tx1"/>
              </a:solidFill>
              <a:effectLst/>
              <a:latin typeface="+mn-lt"/>
              <a:ea typeface="+mn-ea"/>
              <a:cs typeface="+mn-cs"/>
            </a:rPr>
            <a:t>							</a:t>
          </a:r>
        </a:p>
      </xdr:txBody>
    </xdr:sp>
    <xdr:clientData/>
  </xdr:oneCellAnchor>
  <xdr:oneCellAnchor>
    <xdr:from>
      <xdr:col>0</xdr:col>
      <xdr:colOff>238125</xdr:colOff>
      <xdr:row>73</xdr:row>
      <xdr:rowOff>38101</xdr:rowOff>
    </xdr:from>
    <xdr:ext cx="7829550" cy="952500"/>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238125" y="12792076"/>
          <a:ext cx="7829550" cy="9525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0" i="0">
              <a:solidFill>
                <a:schemeClr val="tx1"/>
              </a:solidFill>
              <a:effectLst/>
              <a:latin typeface="+mn-lt"/>
              <a:ea typeface="+mn-ea"/>
              <a:cs typeface="+mn-cs"/>
            </a:rPr>
            <a:t>I hereby certify that the terms and</a:t>
          </a:r>
          <a:r>
            <a:rPr lang="en-US" sz="1100" b="0" i="0" baseline="0">
              <a:solidFill>
                <a:schemeClr val="tx1"/>
              </a:solidFill>
              <a:effectLst/>
              <a:latin typeface="+mn-lt"/>
              <a:ea typeface="+mn-ea"/>
              <a:cs typeface="+mn-cs"/>
            </a:rPr>
            <a:t> conditions of the Maintenance Agreement offered by the seller have been fully explained to me. </a:t>
          </a:r>
        </a:p>
        <a:p>
          <a:pPr>
            <a:lnSpc>
              <a:spcPts val="1200"/>
            </a:lnSpc>
          </a:pPr>
          <a:r>
            <a:rPr lang="en-US" sz="1100" b="0" i="0" baseline="0">
              <a:solidFill>
                <a:schemeClr val="tx1"/>
              </a:solidFill>
              <a:effectLst/>
              <a:latin typeface="+mn-lt"/>
              <a:ea typeface="+mn-ea"/>
              <a:cs typeface="+mn-cs"/>
            </a:rPr>
            <a:t>I understand that by declining to elect this service at this time in no way voids my two (2) year installation warranty.</a:t>
          </a:r>
        </a:p>
        <a:p>
          <a:pPr>
            <a:lnSpc>
              <a:spcPts val="1200"/>
            </a:lnSpc>
          </a:pPr>
          <a:endParaRPr lang="en-US" sz="1100" b="0" i="0" baseline="0">
            <a:solidFill>
              <a:schemeClr val="tx1"/>
            </a:solidFill>
            <a:effectLst/>
            <a:latin typeface="+mn-lt"/>
            <a:ea typeface="+mn-ea"/>
            <a:cs typeface="+mn-cs"/>
          </a:endParaRPr>
        </a:p>
        <a:p>
          <a:pPr algn="r"/>
          <a:r>
            <a:rPr lang="en-US" sz="1100" b="0" i="0" baseline="0">
              <a:solidFill>
                <a:schemeClr val="tx1"/>
              </a:solidFill>
              <a:effectLst/>
              <a:latin typeface="+mn-lt"/>
              <a:ea typeface="+mn-ea"/>
              <a:cs typeface="+mn-cs"/>
            </a:rPr>
            <a:t>_____________________________________________________</a:t>
          </a:r>
        </a:p>
        <a:p>
          <a:pPr algn="r">
            <a:lnSpc>
              <a:spcPts val="1200"/>
            </a:lnSpc>
          </a:pPr>
          <a:r>
            <a:rPr lang="en-US" sz="1100" b="0" i="0" baseline="0">
              <a:solidFill>
                <a:schemeClr val="tx1"/>
              </a:solidFill>
              <a:effectLst/>
              <a:latin typeface="+mn-lt"/>
              <a:ea typeface="+mn-ea"/>
              <a:cs typeface="+mn-cs"/>
            </a:rPr>
            <a:t>Customer Signature                                                                       Date</a:t>
          </a:r>
          <a:endParaRPr lang="en-US" sz="1100" b="0" i="0">
            <a:solidFill>
              <a:schemeClr val="tx1"/>
            </a:solidFill>
            <a:effectLst/>
            <a:latin typeface="+mn-lt"/>
            <a:ea typeface="+mn-ea"/>
            <a:cs typeface="+mn-cs"/>
          </a:endParaRPr>
        </a:p>
        <a:p>
          <a:pPr>
            <a:lnSpc>
              <a:spcPts val="1200"/>
            </a:lnSpc>
          </a:pPr>
          <a:r>
            <a:rPr lang="en-US" sz="1100" b="0" i="0">
              <a:solidFill>
                <a:schemeClr val="tx1"/>
              </a:solidFill>
              <a:effectLst/>
              <a:latin typeface="+mn-lt"/>
              <a:ea typeface="+mn-ea"/>
              <a:cs typeface="+mn-cs"/>
            </a:rPr>
            <a:t>						</a:t>
          </a:r>
        </a:p>
      </xdr:txBody>
    </xdr:sp>
    <xdr:clientData/>
  </xdr:oneCellAnchor>
  <xdr:twoCellAnchor editAs="oneCell">
    <xdr:from>
      <xdr:col>8</xdr:col>
      <xdr:colOff>285750</xdr:colOff>
      <xdr:row>1</xdr:row>
      <xdr:rowOff>0</xdr:rowOff>
    </xdr:from>
    <xdr:to>
      <xdr:col>17</xdr:col>
      <xdr:colOff>38100</xdr:colOff>
      <xdr:row>3</xdr:row>
      <xdr:rowOff>9525</xdr:rowOff>
    </xdr:to>
    <xdr:pic>
      <xdr:nvPicPr>
        <xdr:cNvPr id="9430" name="Picture 5">
          <a:extLst>
            <a:ext uri="{FF2B5EF4-FFF2-40B4-BE49-F238E27FC236}">
              <a16:creationId xmlns:a16="http://schemas.microsoft.com/office/drawing/2014/main" id="{00000000-0008-0000-0100-0000D624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28925" y="114300"/>
          <a:ext cx="2733675"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12</xdr:col>
      <xdr:colOff>76200</xdr:colOff>
      <xdr:row>75</xdr:row>
      <xdr:rowOff>161925</xdr:rowOff>
    </xdr:from>
    <xdr:to>
      <xdr:col>23</xdr:col>
      <xdr:colOff>28575</xdr:colOff>
      <xdr:row>77</xdr:row>
      <xdr:rowOff>19050</xdr:rowOff>
    </xdr:to>
    <xdr:sp macro="" textlink="">
      <xdr:nvSpPr>
        <xdr:cNvPr id="5" name="Rectangle 4">
          <a:extLst>
            <a:ext uri="{FF2B5EF4-FFF2-40B4-BE49-F238E27FC236}">
              <a16:creationId xmlns:a16="http://schemas.microsoft.com/office/drawing/2014/main" id="{00000000-0008-0000-0100-000005000000}"/>
            </a:ext>
          </a:extLst>
        </xdr:cNvPr>
        <xdr:cNvSpPr/>
      </xdr:nvSpPr>
      <xdr:spPr bwMode="auto">
        <a:xfrm>
          <a:off x="4343400" y="13258800"/>
          <a:ext cx="2971800" cy="200025"/>
        </a:xfrm>
        <a:prstGeom prst="rect">
          <a:avLst/>
        </a:prstGeom>
        <a:solidFill>
          <a:srgbClr val="FFFF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lang="en-US" sz="1100"/>
        </a:p>
      </xdr:txBody>
    </xdr:sp>
    <xdr:clientData/>
  </xdr:twoCellAnchor>
  <xdr:twoCellAnchor>
    <xdr:from>
      <xdr:col>14</xdr:col>
      <xdr:colOff>28575</xdr:colOff>
      <xdr:row>68</xdr:row>
      <xdr:rowOff>152400</xdr:rowOff>
    </xdr:from>
    <xdr:to>
      <xdr:col>17</xdr:col>
      <xdr:colOff>0</xdr:colOff>
      <xdr:row>70</xdr:row>
      <xdr:rowOff>9525</xdr:rowOff>
    </xdr:to>
    <xdr:sp macro="" textlink="">
      <xdr:nvSpPr>
        <xdr:cNvPr id="7" name="Rectangle 6">
          <a:extLst>
            <a:ext uri="{FF2B5EF4-FFF2-40B4-BE49-F238E27FC236}">
              <a16:creationId xmlns:a16="http://schemas.microsoft.com/office/drawing/2014/main" id="{00000000-0008-0000-0100-000007000000}"/>
            </a:ext>
          </a:extLst>
        </xdr:cNvPr>
        <xdr:cNvSpPr/>
      </xdr:nvSpPr>
      <xdr:spPr bwMode="auto">
        <a:xfrm>
          <a:off x="4467225" y="12049125"/>
          <a:ext cx="1057275" cy="200025"/>
        </a:xfrm>
        <a:prstGeom prst="rect">
          <a:avLst/>
        </a:prstGeom>
        <a:solidFill>
          <a:srgbClr val="FFFF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18</xdr:col>
      <xdr:colOff>28575</xdr:colOff>
      <xdr:row>1</xdr:row>
      <xdr:rowOff>28575</xdr:rowOff>
    </xdr:from>
    <xdr:to>
      <xdr:col>37</xdr:col>
      <xdr:colOff>228600</xdr:colOff>
      <xdr:row>2</xdr:row>
      <xdr:rowOff>85725</xdr:rowOff>
    </xdr:to>
    <xdr:sp macro="" textlink="">
      <xdr:nvSpPr>
        <xdr:cNvPr id="2" name="WordArt 1">
          <a:extLst>
            <a:ext uri="{FF2B5EF4-FFF2-40B4-BE49-F238E27FC236}">
              <a16:creationId xmlns:a16="http://schemas.microsoft.com/office/drawing/2014/main" id="{00000000-0008-0000-0200-000002000000}"/>
            </a:ext>
          </a:extLst>
        </xdr:cNvPr>
        <xdr:cNvSpPr>
          <a:spLocks noChangeArrowheads="1" noChangeShapeType="1" noTextEdit="1"/>
        </xdr:cNvSpPr>
      </xdr:nvSpPr>
      <xdr:spPr bwMode="auto">
        <a:xfrm>
          <a:off x="9744075" y="190500"/>
          <a:ext cx="11058525" cy="219075"/>
        </a:xfrm>
        <a:prstGeom prst="rect">
          <a:avLst/>
        </a:prstGeom>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sz="3600" b="1" kern="10" spc="0">
              <a:ln>
                <a:noFill/>
              </a:ln>
              <a:solidFill>
                <a:srgbClr val="000000"/>
              </a:solidFill>
              <a:effectLst/>
              <a:latin typeface="Times New Roman"/>
              <a:cs typeface="Times New Roman"/>
            </a:rPr>
            <a:t>WINDOW AND PATIO DOOR ORDER FORM</a:t>
          </a: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3</xdr:col>
      <xdr:colOff>152400</xdr:colOff>
      <xdr:row>0</xdr:row>
      <xdr:rowOff>38100</xdr:rowOff>
    </xdr:from>
    <xdr:ext cx="2362200" cy="409575"/>
    <xdr:pic>
      <xdr:nvPicPr>
        <xdr:cNvPr id="2" name="Picture 1">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81200" y="38100"/>
          <a:ext cx="2362200"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5.xml><?xml version="1.0" encoding="utf-8"?>
<xdr:wsDr xmlns:xdr="http://schemas.openxmlformats.org/drawingml/2006/spreadsheetDrawing" xmlns:a="http://schemas.openxmlformats.org/drawingml/2006/main">
  <xdr:twoCellAnchor editAs="oneCell">
    <xdr:from>
      <xdr:col>3</xdr:col>
      <xdr:colOff>476250</xdr:colOff>
      <xdr:row>23</xdr:row>
      <xdr:rowOff>80961</xdr:rowOff>
    </xdr:from>
    <xdr:to>
      <xdr:col>6</xdr:col>
      <xdr:colOff>261938</xdr:colOff>
      <xdr:row>34</xdr:row>
      <xdr:rowOff>28574</xdr:rowOff>
    </xdr:to>
    <xdr:pic>
      <xdr:nvPicPr>
        <xdr:cNvPr id="2" name="Picture 1">
          <a:extLst>
            <a:ext uri="{FF2B5EF4-FFF2-40B4-BE49-F238E27FC236}">
              <a16:creationId xmlns:a16="http://schemas.microsoft.com/office/drawing/2014/main" id="{C0C1F216-6FE4-1733-BD3B-C0FC32DC4D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05050" y="4433886"/>
          <a:ext cx="1614488" cy="172878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142875</xdr:colOff>
      <xdr:row>0</xdr:row>
      <xdr:rowOff>16331</xdr:rowOff>
    </xdr:from>
    <xdr:to>
      <xdr:col>12</xdr:col>
      <xdr:colOff>515938</xdr:colOff>
      <xdr:row>39</xdr:row>
      <xdr:rowOff>145603</xdr:rowOff>
    </xdr:to>
    <xdr:pic>
      <xdr:nvPicPr>
        <xdr:cNvPr id="2" name="Picture 1">
          <a:extLst>
            <a:ext uri="{FF2B5EF4-FFF2-40B4-BE49-F238E27FC236}">
              <a16:creationId xmlns:a16="http://schemas.microsoft.com/office/drawing/2014/main" id="{F8523AAB-07D6-F1C8-1C40-474E9AF46D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42875" y="16331"/>
          <a:ext cx="7688263" cy="644434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12</xdr:col>
      <xdr:colOff>447675</xdr:colOff>
      <xdr:row>62</xdr:row>
      <xdr:rowOff>0</xdr:rowOff>
    </xdr:to>
    <xdr:pic>
      <xdr:nvPicPr>
        <xdr:cNvPr id="4" name="Picture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stretch>
          <a:fillRect/>
        </a:stretch>
      </xdr:blipFill>
      <xdr:spPr>
        <a:xfrm>
          <a:off x="0" y="0"/>
          <a:ext cx="7762875" cy="100393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AO114"/>
  <sheetViews>
    <sheetView zoomScaleNormal="100" zoomScaleSheetLayoutView="75" workbookViewId="0">
      <selection activeCell="J28" sqref="J28"/>
    </sheetView>
  </sheetViews>
  <sheetFormatPr defaultRowHeight="13.2"/>
  <cols>
    <col min="1" max="1" width="2" customWidth="1"/>
    <col min="2" max="2" width="0.88671875" customWidth="1"/>
    <col min="3" max="3" width="7.88671875" style="1" customWidth="1"/>
    <col min="4" max="4" width="1.44140625" style="1" customWidth="1"/>
    <col min="5" max="5" width="1.21875" customWidth="1"/>
    <col min="6" max="6" width="24.109375" customWidth="1"/>
    <col min="7" max="7" width="6.77734375" customWidth="1"/>
    <col min="8" max="8" width="8.77734375" style="2" customWidth="1"/>
    <col min="9" max="9" width="1.109375" style="2" customWidth="1"/>
    <col min="10" max="10" width="8.88671875" style="3" customWidth="1"/>
    <col min="11" max="12" width="1.21875" customWidth="1"/>
    <col min="13" max="13" width="7.88671875" style="4" customWidth="1"/>
    <col min="14" max="14" width="1.5546875" style="4" customWidth="1"/>
    <col min="15" max="15" width="8.44140625" customWidth="1"/>
    <col min="16" max="16" width="1.109375" customWidth="1"/>
    <col min="17" max="17" width="8.109375" customWidth="1"/>
    <col min="18" max="18" width="1.109375" customWidth="1"/>
    <col min="19" max="19" width="14.109375" customWidth="1"/>
    <col min="20" max="20" width="6.21875" style="5" customWidth="1"/>
    <col min="21" max="21" width="1.109375" style="5" customWidth="1"/>
    <col min="22" max="22" width="12.44140625" style="4" customWidth="1"/>
    <col min="23" max="23" width="4" style="4" customWidth="1"/>
    <col min="24" max="24" width="1.109375" customWidth="1"/>
    <col min="25" max="25" width="9.77734375" hidden="1" customWidth="1"/>
    <col min="27" max="27" width="8.77734375" customWidth="1"/>
  </cols>
  <sheetData>
    <row r="1" spans="2:41" ht="26.25" customHeight="1">
      <c r="I1" s="6"/>
      <c r="J1" s="6"/>
      <c r="K1" s="6"/>
      <c r="L1" s="6"/>
      <c r="M1" s="381" t="s">
        <v>0</v>
      </c>
      <c r="N1" s="381"/>
      <c r="O1" s="381"/>
      <c r="P1" s="381"/>
      <c r="Q1" s="381"/>
      <c r="R1" s="381"/>
      <c r="S1" s="381"/>
      <c r="T1" s="381"/>
      <c r="U1" s="381"/>
      <c r="V1" s="381"/>
      <c r="W1" s="176"/>
    </row>
    <row r="2" spans="2:41" ht="26.25" customHeight="1">
      <c r="I2" s="6"/>
      <c r="J2" s="6"/>
      <c r="K2" s="6"/>
      <c r="L2" s="6"/>
      <c r="M2" s="385" t="s">
        <v>318</v>
      </c>
      <c r="N2" s="381"/>
      <c r="O2" s="381"/>
      <c r="P2" s="381"/>
      <c r="Q2" s="381"/>
      <c r="R2" s="381"/>
      <c r="S2" s="381"/>
      <c r="T2" s="381"/>
      <c r="U2" s="381"/>
      <c r="V2" s="381"/>
      <c r="W2" s="176"/>
    </row>
    <row r="3" spans="2:41" ht="12.75" customHeight="1">
      <c r="H3" s="6"/>
      <c r="I3" s="6"/>
      <c r="J3" s="6"/>
      <c r="K3" s="6"/>
      <c r="L3" s="6"/>
      <c r="M3" s="382"/>
      <c r="N3" s="382"/>
      <c r="O3" s="382"/>
      <c r="P3" s="382"/>
      <c r="Q3" s="382"/>
      <c r="R3" s="382"/>
      <c r="S3" s="382"/>
      <c r="T3" s="382"/>
      <c r="U3" s="382"/>
      <c r="V3" s="382"/>
      <c r="W3" s="177"/>
    </row>
    <row r="4" spans="2:41" ht="13.5" customHeight="1">
      <c r="F4" s="7"/>
      <c r="G4" s="7"/>
      <c r="H4" s="6"/>
      <c r="I4" s="6"/>
      <c r="J4" s="64"/>
      <c r="K4" s="64"/>
      <c r="L4" s="64"/>
      <c r="M4" s="64"/>
      <c r="N4" s="66"/>
      <c r="O4" s="71" t="s">
        <v>65</v>
      </c>
      <c r="P4" s="70"/>
      <c r="Q4" s="70" t="s">
        <v>1</v>
      </c>
      <c r="R4" s="70"/>
      <c r="S4" s="70"/>
      <c r="T4" s="70"/>
      <c r="U4" s="70"/>
      <c r="V4" s="70"/>
      <c r="W4" s="70"/>
    </row>
    <row r="5" spans="2:41" ht="13.5" customHeight="1">
      <c r="H5" s="6"/>
      <c r="I5" s="6"/>
      <c r="J5" s="64"/>
      <c r="K5" s="64"/>
      <c r="L5" s="64"/>
      <c r="M5" s="64"/>
      <c r="N5" s="66"/>
      <c r="O5" s="71" t="s">
        <v>2</v>
      </c>
      <c r="P5" s="70"/>
      <c r="Q5" s="70" t="s">
        <v>3</v>
      </c>
      <c r="R5" s="70"/>
      <c r="S5" s="70"/>
      <c r="T5" s="70"/>
      <c r="U5" s="70"/>
      <c r="V5" s="70"/>
      <c r="W5" s="70"/>
    </row>
    <row r="6" spans="2:41" ht="13.5" customHeight="1">
      <c r="H6" s="6"/>
      <c r="I6" s="6"/>
      <c r="J6" s="64"/>
      <c r="K6" s="64"/>
      <c r="L6" s="64"/>
      <c r="M6" s="64"/>
      <c r="N6" s="67"/>
      <c r="O6" s="71" t="s">
        <v>78</v>
      </c>
      <c r="Q6" s="70" t="s">
        <v>79</v>
      </c>
      <c r="R6" s="70"/>
      <c r="S6" s="70"/>
      <c r="T6" s="70"/>
      <c r="U6" s="70"/>
      <c r="V6" s="70"/>
      <c r="W6" s="70"/>
      <c r="X6" s="8"/>
      <c r="Y6" s="8"/>
      <c r="Z6" s="8"/>
    </row>
    <row r="7" spans="2:41" ht="12.75" customHeight="1">
      <c r="C7" s="9"/>
      <c r="J7" s="63"/>
      <c r="K7" s="63"/>
      <c r="L7" s="63"/>
      <c r="M7" s="63"/>
      <c r="N7" s="68"/>
      <c r="O7" s="71"/>
      <c r="P7" s="70"/>
      <c r="Q7" s="70"/>
      <c r="R7" s="69"/>
      <c r="S7" s="69"/>
      <c r="T7" s="69"/>
      <c r="U7" s="69"/>
      <c r="V7" s="69"/>
      <c r="W7" s="69"/>
      <c r="X7" s="8"/>
      <c r="Y7" s="8"/>
      <c r="Z7" s="8"/>
    </row>
    <row r="8" spans="2:41" ht="15" customHeight="1" thickBot="1">
      <c r="F8" s="3"/>
      <c r="G8" s="3"/>
      <c r="J8" s="64"/>
      <c r="K8" s="64"/>
      <c r="L8" s="64"/>
      <c r="O8" s="71" t="s">
        <v>85</v>
      </c>
      <c r="P8" s="70"/>
      <c r="Q8" s="175" t="s">
        <v>316</v>
      </c>
      <c r="R8" s="70"/>
      <c r="S8" s="70"/>
      <c r="T8" s="22"/>
      <c r="U8" s="71" t="s">
        <v>95</v>
      </c>
      <c r="V8" s="70"/>
      <c r="W8" s="70"/>
      <c r="Y8" t="s">
        <v>317</v>
      </c>
    </row>
    <row r="9" spans="2:41" ht="13.8" thickBot="1">
      <c r="B9" s="371" t="s">
        <v>4</v>
      </c>
      <c r="C9" s="372"/>
      <c r="D9" s="78"/>
      <c r="E9" s="74"/>
      <c r="F9" s="375"/>
      <c r="G9" s="375"/>
      <c r="H9" s="75" t="s">
        <v>53</v>
      </c>
      <c r="I9" s="77"/>
      <c r="J9" s="378"/>
      <c r="K9" s="378"/>
      <c r="L9" s="378"/>
      <c r="M9" s="378"/>
      <c r="N9" s="378"/>
      <c r="O9" s="378"/>
      <c r="P9" s="378"/>
      <c r="Q9" s="378"/>
      <c r="R9" s="378"/>
      <c r="S9" s="378"/>
      <c r="T9" s="378"/>
      <c r="U9" s="378"/>
      <c r="V9" s="378"/>
      <c r="W9" s="379"/>
      <c r="Y9" t="s">
        <v>316</v>
      </c>
    </row>
    <row r="10" spans="2:41" ht="14.4" thickBot="1">
      <c r="B10" s="371" t="s">
        <v>5</v>
      </c>
      <c r="C10" s="372"/>
      <c r="D10" s="78"/>
      <c r="E10" s="74"/>
      <c r="F10" s="375"/>
      <c r="G10" s="375"/>
      <c r="H10" s="183"/>
      <c r="I10" s="183"/>
      <c r="J10" s="75" t="s">
        <v>6</v>
      </c>
      <c r="K10" s="376"/>
      <c r="L10" s="376"/>
      <c r="M10" s="376"/>
      <c r="N10" s="376"/>
      <c r="O10" s="78"/>
      <c r="P10" s="78"/>
      <c r="Q10" s="75" t="s">
        <v>76</v>
      </c>
      <c r="R10" s="76"/>
      <c r="S10" s="383"/>
      <c r="T10" s="383"/>
      <c r="U10" s="383"/>
      <c r="V10" s="383"/>
      <c r="W10" s="384"/>
    </row>
    <row r="11" spans="2:41" ht="14.4" thickBot="1">
      <c r="B11" s="371" t="s">
        <v>7</v>
      </c>
      <c r="C11" s="372"/>
      <c r="D11" s="78"/>
      <c r="E11" s="78"/>
      <c r="F11" s="337"/>
      <c r="G11" s="75" t="s">
        <v>8</v>
      </c>
      <c r="H11" s="336" t="s">
        <v>314</v>
      </c>
      <c r="I11" s="377" t="s">
        <v>9</v>
      </c>
      <c r="J11" s="377"/>
      <c r="K11" s="78"/>
      <c r="L11" s="375"/>
      <c r="M11" s="375"/>
      <c r="N11" s="184"/>
      <c r="O11" s="78"/>
      <c r="P11" s="78"/>
      <c r="Q11" s="75" t="s">
        <v>77</v>
      </c>
      <c r="R11" s="76"/>
      <c r="S11" s="383"/>
      <c r="T11" s="383"/>
      <c r="U11" s="383"/>
      <c r="V11" s="383"/>
      <c r="W11" s="384"/>
      <c r="AB11" s="380"/>
      <c r="AC11" s="380"/>
      <c r="AD11" s="380"/>
      <c r="AE11" s="380"/>
      <c r="AF11" s="380"/>
      <c r="AG11" s="380"/>
      <c r="AO11" s="4"/>
    </row>
    <row r="12" spans="2:41" ht="16.5" customHeight="1">
      <c r="B12" s="99"/>
      <c r="C12" s="187" t="s">
        <v>10</v>
      </c>
      <c r="D12" s="150"/>
      <c r="E12" s="374" t="s">
        <v>11</v>
      </c>
      <c r="F12" s="374"/>
      <c r="G12" s="374"/>
      <c r="H12" s="374"/>
      <c r="I12" s="150"/>
      <c r="J12" s="150"/>
      <c r="K12" s="151"/>
      <c r="L12" s="81"/>
      <c r="M12" s="94" t="s">
        <v>70</v>
      </c>
      <c r="N12" s="136"/>
      <c r="O12" s="373" t="s">
        <v>12</v>
      </c>
      <c r="P12" s="373"/>
      <c r="Q12" s="373"/>
      <c r="R12" s="373"/>
      <c r="S12" s="373"/>
      <c r="T12" s="94" t="s">
        <v>71</v>
      </c>
      <c r="U12" s="136"/>
      <c r="V12" s="94" t="s">
        <v>72</v>
      </c>
      <c r="W12" s="102"/>
      <c r="AB12" s="10"/>
    </row>
    <row r="13" spans="2:41" ht="19.5" customHeight="1">
      <c r="B13" s="81"/>
      <c r="C13" s="94" t="s">
        <v>70</v>
      </c>
      <c r="D13"/>
      <c r="E13" s="11" t="s">
        <v>13</v>
      </c>
      <c r="F13" s="12"/>
      <c r="G13" s="12"/>
      <c r="H13" s="94" t="s">
        <v>71</v>
      </c>
      <c r="I13" s="4"/>
      <c r="J13" s="94" t="s">
        <v>72</v>
      </c>
      <c r="K13" s="105"/>
      <c r="L13" s="83"/>
      <c r="M13" s="364" t="str">
        <f>IF(ESVPQty=0,"",ESVPQty)</f>
        <v/>
      </c>
      <c r="N13" s="14"/>
      <c r="O13" s="65" t="s">
        <v>100</v>
      </c>
      <c r="T13" s="18" t="s">
        <v>63</v>
      </c>
      <c r="U13" s="15"/>
      <c r="V13" s="338" t="s">
        <v>375</v>
      </c>
      <c r="W13" s="102"/>
    </row>
    <row r="14" spans="2:41" ht="13.5" customHeight="1">
      <c r="B14" s="81"/>
      <c r="C14"/>
      <c r="D14"/>
      <c r="E14" s="16" t="s">
        <v>14</v>
      </c>
      <c r="H14"/>
      <c r="I14"/>
      <c r="J14"/>
      <c r="K14" s="80"/>
      <c r="L14" s="81"/>
      <c r="M14" s="17"/>
      <c r="N14" s="1"/>
      <c r="O14" t="s">
        <v>101</v>
      </c>
      <c r="T14" s="62">
        <v>22</v>
      </c>
      <c r="U14" s="15"/>
      <c r="V14" s="338" t="str">
        <f>IF(M14="","",M14*T14)</f>
        <v/>
      </c>
      <c r="W14" s="115"/>
      <c r="Y14" s="73">
        <v>12</v>
      </c>
    </row>
    <row r="15" spans="2:41" ht="13.5" customHeight="1">
      <c r="B15" s="81"/>
      <c r="C15" s="24"/>
      <c r="E15" s="65" t="s">
        <v>330</v>
      </c>
      <c r="G15" s="342">
        <v>3001</v>
      </c>
      <c r="H15" s="18">
        <v>385</v>
      </c>
      <c r="I15" s="18"/>
      <c r="J15" s="192" t="str">
        <f>IF(C15="","",C15*H15)</f>
        <v/>
      </c>
      <c r="K15" s="80"/>
      <c r="L15" s="81"/>
      <c r="M15" s="13" t="str">
        <f>IF(ESVPQty=0,"",ESVPQty)</f>
        <v/>
      </c>
      <c r="N15" s="14"/>
      <c r="O15" s="65" t="s">
        <v>75</v>
      </c>
      <c r="T15" s="18" t="s">
        <v>63</v>
      </c>
      <c r="U15" s="15"/>
      <c r="V15" s="338" t="s">
        <v>375</v>
      </c>
      <c r="W15" s="115"/>
      <c r="Y15" s="73">
        <v>22</v>
      </c>
    </row>
    <row r="16" spans="2:41" ht="13.5" customHeight="1">
      <c r="B16" s="81"/>
      <c r="C16" s="17"/>
      <c r="D16"/>
      <c r="E16" s="65" t="s">
        <v>329</v>
      </c>
      <c r="F16" s="65"/>
      <c r="G16" s="30" t="s">
        <v>328</v>
      </c>
      <c r="H16" s="18">
        <v>410</v>
      </c>
      <c r="I16"/>
      <c r="J16" s="192" t="str">
        <f>IF(C16="","",C16*H16)</f>
        <v/>
      </c>
      <c r="K16" s="80"/>
      <c r="L16" s="81"/>
      <c r="M16" s="13" t="str">
        <f>IF(ESVPArgonQty=0,"",ESVPArgonQty)</f>
        <v/>
      </c>
      <c r="N16" s="14"/>
      <c r="O16" s="65" t="s">
        <v>15</v>
      </c>
      <c r="T16" s="15">
        <v>21</v>
      </c>
      <c r="U16" s="15"/>
      <c r="V16" s="338" t="s">
        <v>375</v>
      </c>
      <c r="W16" s="115"/>
    </row>
    <row r="17" spans="2:25" ht="13.5" customHeight="1">
      <c r="B17" s="81"/>
      <c r="D17"/>
      <c r="E17" s="386" t="s">
        <v>103</v>
      </c>
      <c r="F17" s="386"/>
      <c r="G17" s="386"/>
      <c r="H17" s="18"/>
      <c r="I17"/>
      <c r="J17" s="344"/>
      <c r="K17" s="80"/>
      <c r="L17" s="81"/>
      <c r="M17" s="13" t="str">
        <f>IF(EnergyStarTKQty=0,"",EnergyStarTKQty)</f>
        <v/>
      </c>
      <c r="N17" s="14"/>
      <c r="O17" s="65" t="s">
        <v>354</v>
      </c>
      <c r="T17" s="15">
        <v>119</v>
      </c>
      <c r="U17" s="15"/>
      <c r="V17" s="338" t="str">
        <f>IF(M17="","",IF((M17-EnergyStarTKQty)&gt;0,(M17-EnergyStarTKQty)*T17,0))</f>
        <v/>
      </c>
      <c r="W17" s="115"/>
      <c r="Y17" s="73"/>
    </row>
    <row r="18" spans="2:25" ht="13.5" customHeight="1">
      <c r="B18" s="81"/>
      <c r="D18"/>
      <c r="E18" s="343"/>
      <c r="F18" s="343"/>
      <c r="G18" s="343"/>
      <c r="H18" s="18"/>
      <c r="I18"/>
      <c r="J18" s="345"/>
      <c r="K18" s="80"/>
      <c r="L18" s="81"/>
      <c r="M18" s="13" t="str">
        <f>IF(ESVPQty=0,"",ESVPQty)</f>
        <v/>
      </c>
      <c r="N18" s="14"/>
      <c r="O18" s="65" t="s">
        <v>16</v>
      </c>
      <c r="T18" s="15">
        <v>15</v>
      </c>
      <c r="U18" s="15"/>
      <c r="V18" s="338" t="s">
        <v>375</v>
      </c>
      <c r="W18" s="115"/>
      <c r="Y18" s="73"/>
    </row>
    <row r="19" spans="2:25" ht="13.5" customHeight="1">
      <c r="B19" s="81"/>
      <c r="C19" s="94"/>
      <c r="D19" s="21"/>
      <c r="E19" s="21" t="s">
        <v>18</v>
      </c>
      <c r="H19"/>
      <c r="I19"/>
      <c r="J19" s="345"/>
      <c r="K19" s="80"/>
      <c r="L19" s="81"/>
      <c r="M19" s="17"/>
      <c r="N19" s="14"/>
      <c r="O19" t="s">
        <v>349</v>
      </c>
      <c r="T19" s="15">
        <v>52</v>
      </c>
      <c r="U19" s="15"/>
      <c r="V19" s="338" t="str">
        <f>IF(M19="","",M19*T19)</f>
        <v/>
      </c>
      <c r="W19" s="115"/>
      <c r="Y19" s="73"/>
    </row>
    <row r="20" spans="2:25" ht="13.5" customHeight="1">
      <c r="B20" s="81"/>
      <c r="C20" s="17"/>
      <c r="E20" t="s">
        <v>67</v>
      </c>
      <c r="G20">
        <v>3004</v>
      </c>
      <c r="H20" s="72">
        <v>449</v>
      </c>
      <c r="I20" s="18"/>
      <c r="J20" s="193" t="str">
        <f t="shared" ref="J20:J26" si="0">IF(C20="","",C20*H20)</f>
        <v/>
      </c>
      <c r="K20" s="80"/>
      <c r="L20" s="81"/>
      <c r="M20" s="17"/>
      <c r="N20" s="14"/>
      <c r="O20" t="s">
        <v>17</v>
      </c>
      <c r="T20" s="15">
        <v>90</v>
      </c>
      <c r="U20" s="15"/>
      <c r="V20" s="338" t="str">
        <f>IF(M20="","",M20*T20)</f>
        <v/>
      </c>
      <c r="W20" s="115"/>
      <c r="Y20" s="73"/>
    </row>
    <row r="21" spans="2:25" ht="13.5" customHeight="1">
      <c r="B21" s="81"/>
      <c r="C21" s="17"/>
      <c r="E21" t="s">
        <v>68</v>
      </c>
      <c r="G21">
        <v>3002</v>
      </c>
      <c r="H21" s="72">
        <v>449</v>
      </c>
      <c r="I21" s="18"/>
      <c r="J21" s="192" t="str">
        <f t="shared" si="0"/>
        <v/>
      </c>
      <c r="K21" s="80"/>
      <c r="L21" s="81"/>
      <c r="M21" s="17" t="str">
        <f>IF(ValuePlusQty="","",ValuePlusQty)</f>
        <v/>
      </c>
      <c r="N21" s="14"/>
      <c r="O21" t="s">
        <v>91</v>
      </c>
      <c r="T21" s="15">
        <v>90</v>
      </c>
      <c r="U21" s="15"/>
      <c r="V21" s="338" t="str">
        <f>IF(M21="","",IF((M21-ValuePlusQty)&gt;0,(M21-ValuePlusQty)*T21,0))</f>
        <v/>
      </c>
      <c r="W21" s="115"/>
      <c r="Y21" s="73"/>
    </row>
    <row r="22" spans="2:25" ht="13.5" customHeight="1">
      <c r="B22" s="81"/>
      <c r="C22" s="17"/>
      <c r="E22" t="s">
        <v>69</v>
      </c>
      <c r="G22">
        <v>3003</v>
      </c>
      <c r="H22" s="72">
        <v>610</v>
      </c>
      <c r="I22" s="18"/>
      <c r="J22" s="192" t="str">
        <f t="shared" si="0"/>
        <v/>
      </c>
      <c r="K22" s="80"/>
      <c r="L22" s="81"/>
      <c r="M22" s="17" t="str">
        <f>IF(ESQty&gt;0,ESQty,"")</f>
        <v/>
      </c>
      <c r="N22" s="1"/>
      <c r="O22" s="65" t="s">
        <v>52</v>
      </c>
      <c r="T22" s="15">
        <v>110</v>
      </c>
      <c r="U22" s="15"/>
      <c r="V22" s="338" t="s">
        <v>375</v>
      </c>
      <c r="W22" s="115"/>
      <c r="Y22" s="73"/>
    </row>
    <row r="23" spans="2:25" ht="13.5" customHeight="1">
      <c r="B23" s="81"/>
      <c r="C23" s="17"/>
      <c r="E23" s="4" t="s">
        <v>20</v>
      </c>
      <c r="F23" s="4"/>
      <c r="G23" s="4"/>
      <c r="H23" s="18">
        <v>529</v>
      </c>
      <c r="I23" s="18"/>
      <c r="J23" s="192" t="str">
        <f t="shared" si="0"/>
        <v/>
      </c>
      <c r="K23" s="80"/>
      <c r="L23" s="81"/>
      <c r="M23" s="17"/>
      <c r="N23" s="14"/>
      <c r="O23" t="s">
        <v>19</v>
      </c>
      <c r="T23" s="18" t="s">
        <v>93</v>
      </c>
      <c r="U23" s="15"/>
      <c r="V23" s="338" t="str">
        <f>IF(M23="","",(M23)*7)</f>
        <v/>
      </c>
      <c r="W23" s="115"/>
      <c r="Y23" s="73"/>
    </row>
    <row r="24" spans="2:25" ht="13.5" customHeight="1">
      <c r="B24" s="81"/>
      <c r="C24" s="185"/>
      <c r="E24" t="s">
        <v>331</v>
      </c>
      <c r="F24" s="4"/>
      <c r="G24" s="4"/>
      <c r="H24" s="72">
        <v>1018</v>
      </c>
      <c r="I24" s="18"/>
      <c r="J24" s="192" t="str">
        <f t="shared" si="0"/>
        <v/>
      </c>
      <c r="K24" s="80"/>
      <c r="L24" s="81"/>
      <c r="M24" s="17"/>
      <c r="N24" s="1"/>
      <c r="O24" t="s">
        <v>64</v>
      </c>
      <c r="T24" s="15">
        <v>30</v>
      </c>
      <c r="U24" s="15"/>
      <c r="V24" s="338" t="str">
        <f>IF(M24="","",(M24)*T24)</f>
        <v/>
      </c>
      <c r="W24" s="115"/>
      <c r="Y24" s="73"/>
    </row>
    <row r="25" spans="2:25" ht="13.5" customHeight="1">
      <c r="B25" s="81"/>
      <c r="C25" s="185"/>
      <c r="E25" s="4" t="s">
        <v>333</v>
      </c>
      <c r="F25" s="4"/>
      <c r="G25" s="4"/>
      <c r="H25" s="18">
        <v>25</v>
      </c>
      <c r="I25" s="18"/>
      <c r="J25" s="344" t="str">
        <f t="shared" si="0"/>
        <v/>
      </c>
      <c r="K25" s="80"/>
      <c r="L25" s="81"/>
      <c r="M25" s="17" t="str">
        <f>IF(ESVPQty=0,"",ESVPQty)</f>
        <v/>
      </c>
      <c r="N25" s="1"/>
      <c r="O25" s="65" t="s">
        <v>21</v>
      </c>
      <c r="T25" s="15">
        <v>39</v>
      </c>
      <c r="U25" s="15"/>
      <c r="V25" s="338" t="s">
        <v>375</v>
      </c>
      <c r="W25" s="117"/>
    </row>
    <row r="26" spans="2:25" ht="13.5" customHeight="1">
      <c r="B26" s="81"/>
      <c r="C26" s="363"/>
      <c r="E26" s="4" t="s">
        <v>355</v>
      </c>
      <c r="H26" s="18">
        <v>619</v>
      </c>
      <c r="I26" s="18"/>
      <c r="J26" s="346" t="str">
        <f t="shared" si="0"/>
        <v/>
      </c>
      <c r="K26" s="80"/>
      <c r="L26" s="81"/>
      <c r="M26" s="13"/>
      <c r="N26" s="14"/>
      <c r="O26" t="s">
        <v>89</v>
      </c>
      <c r="T26" s="15">
        <v>10</v>
      </c>
      <c r="U26" s="18"/>
      <c r="V26" s="338" t="str">
        <f>IF(M26="","",M26*T26)</f>
        <v/>
      </c>
      <c r="W26" s="117"/>
    </row>
    <row r="27" spans="2:25" ht="13.5" customHeight="1">
      <c r="B27" s="81"/>
      <c r="C27" s="97"/>
      <c r="F27" t="s">
        <v>356</v>
      </c>
      <c r="H27" s="72"/>
      <c r="I27" s="18"/>
      <c r="J27" s="345" t="str">
        <f t="shared" ref="J27:J32" si="1">IF(C27="","",C27*H27)</f>
        <v/>
      </c>
      <c r="K27" s="80"/>
      <c r="L27" s="81"/>
      <c r="M27" s="17"/>
      <c r="N27" s="1"/>
      <c r="O27" t="s">
        <v>22</v>
      </c>
      <c r="T27" s="15">
        <v>36</v>
      </c>
      <c r="U27" s="15"/>
      <c r="V27" s="338" t="str">
        <f>IF(M27="","",M27*T27)</f>
        <v/>
      </c>
      <c r="W27" s="115"/>
      <c r="Y27" s="73"/>
    </row>
    <row r="28" spans="2:25" ht="13.5" customHeight="1">
      <c r="B28" s="81"/>
      <c r="C28" s="97"/>
      <c r="E28" s="391" t="s">
        <v>23</v>
      </c>
      <c r="F28" s="391"/>
      <c r="G28" s="391"/>
      <c r="H28" s="72"/>
      <c r="I28" s="18"/>
      <c r="J28" s="345" t="str">
        <f>IF(C28="","",C28*H28)</f>
        <v/>
      </c>
      <c r="K28" s="80"/>
      <c r="L28" s="81"/>
      <c r="M28" s="17"/>
      <c r="N28" s="1"/>
      <c r="O28" s="22" t="s">
        <v>104</v>
      </c>
      <c r="T28" s="23">
        <v>45</v>
      </c>
      <c r="U28" s="15"/>
      <c r="V28" s="338" t="str">
        <f>IF(M28="","",M28*T28)</f>
        <v/>
      </c>
      <c r="W28" s="115"/>
      <c r="Y28" s="73"/>
    </row>
    <row r="29" spans="2:25" ht="13.5" customHeight="1">
      <c r="B29" s="81"/>
      <c r="C29" s="17"/>
      <c r="E29" s="390" t="s">
        <v>80</v>
      </c>
      <c r="F29" s="390"/>
      <c r="G29" s="390"/>
      <c r="H29" s="61"/>
      <c r="I29" s="18"/>
      <c r="J29" s="193" t="str">
        <f>IF(C29="","",C29*H29)</f>
        <v/>
      </c>
      <c r="K29" s="80"/>
      <c r="L29" s="81"/>
      <c r="M29" s="185"/>
      <c r="N29" s="1"/>
      <c r="O29" t="s">
        <v>348</v>
      </c>
      <c r="T29" s="15">
        <v>250</v>
      </c>
      <c r="U29" s="15"/>
      <c r="V29" s="338" t="str">
        <f>IF(M29="","",M29*T29)</f>
        <v/>
      </c>
      <c r="W29" s="115"/>
      <c r="Y29" s="73"/>
    </row>
    <row r="30" spans="2:25" ht="13.5" customHeight="1">
      <c r="B30" s="81"/>
      <c r="C30" s="17"/>
      <c r="E30" s="390" t="s">
        <v>80</v>
      </c>
      <c r="F30" s="390"/>
      <c r="G30" s="390"/>
      <c r="H30" s="61"/>
      <c r="I30" s="18"/>
      <c r="J30" s="192" t="str">
        <f>IF(C30="","",C30*H30)</f>
        <v/>
      </c>
      <c r="K30" s="80"/>
      <c r="L30" s="81"/>
      <c r="M30" s="97"/>
      <c r="N30" s="1"/>
      <c r="P30" s="22"/>
      <c r="Q30" s="22"/>
      <c r="R30" s="22"/>
      <c r="S30" s="22"/>
      <c r="T30"/>
      <c r="U30" s="15"/>
      <c r="V30" s="366"/>
      <c r="W30" s="115"/>
    </row>
    <row r="31" spans="2:25" ht="13.5" customHeight="1">
      <c r="B31" s="81"/>
      <c r="C31" s="17"/>
      <c r="E31" s="390" t="s">
        <v>80</v>
      </c>
      <c r="F31" s="390"/>
      <c r="G31" s="390"/>
      <c r="H31" s="61"/>
      <c r="I31" s="18"/>
      <c r="J31" s="192" t="str">
        <f>IF(C31="","",C31*H31)</f>
        <v/>
      </c>
      <c r="K31" s="80"/>
      <c r="L31" s="81"/>
      <c r="M31" s="93"/>
      <c r="N31" s="14"/>
      <c r="O31" s="402" t="s">
        <v>73</v>
      </c>
      <c r="P31" s="402"/>
      <c r="Q31" s="402"/>
      <c r="R31" s="402"/>
      <c r="S31" s="402"/>
      <c r="T31"/>
      <c r="U31" s="15"/>
      <c r="V31" s="366" t="str">
        <f>IF(M31="","",M31*T29)</f>
        <v/>
      </c>
      <c r="W31" s="115"/>
    </row>
    <row r="32" spans="2:25" ht="13.5" customHeight="1" thickBot="1">
      <c r="B32" s="81"/>
      <c r="C32" s="97"/>
      <c r="E32" s="390"/>
      <c r="F32" s="390"/>
      <c r="G32" s="390"/>
      <c r="H32" s="72"/>
      <c r="I32" s="18"/>
      <c r="J32" s="192" t="str">
        <f t="shared" si="1"/>
        <v/>
      </c>
      <c r="K32" s="80"/>
      <c r="L32" s="81"/>
      <c r="M32" s="364"/>
      <c r="N32" s="1"/>
      <c r="O32" s="390" t="s">
        <v>332</v>
      </c>
      <c r="P32" s="390"/>
      <c r="Q32" s="390"/>
      <c r="R32" s="390"/>
      <c r="S32" s="390"/>
      <c r="T32" s="365"/>
      <c r="U32" s="15"/>
      <c r="V32" s="338" t="str">
        <f>IF(M32="","",M32*T32)</f>
        <v/>
      </c>
      <c r="W32" s="102"/>
    </row>
    <row r="33" spans="2:38" ht="13.5" customHeight="1">
      <c r="B33" s="393" t="s">
        <v>94</v>
      </c>
      <c r="C33" s="394"/>
      <c r="D33" s="394"/>
      <c r="E33" s="394"/>
      <c r="F33" s="394"/>
      <c r="G33" s="394"/>
      <c r="H33" s="394"/>
      <c r="I33" s="394"/>
      <c r="J33" s="394"/>
      <c r="K33" s="395"/>
      <c r="L33" s="81"/>
      <c r="M33" s="25"/>
      <c r="N33" s="26"/>
      <c r="O33" s="390" t="s">
        <v>332</v>
      </c>
      <c r="P33" s="390"/>
      <c r="Q33" s="390"/>
      <c r="R33" s="390"/>
      <c r="S33" s="390"/>
      <c r="T33" s="15"/>
      <c r="U33" s="27"/>
      <c r="V33" s="338" t="str">
        <f>IF(M33="","",M33*T33)</f>
        <v/>
      </c>
      <c r="W33" s="88"/>
    </row>
    <row r="34" spans="2:38" ht="15" customHeight="1">
      <c r="B34" s="396"/>
      <c r="C34" s="397"/>
      <c r="D34" s="397"/>
      <c r="E34" s="397"/>
      <c r="F34" s="397"/>
      <c r="G34" s="397"/>
      <c r="H34" s="397"/>
      <c r="I34" s="397"/>
      <c r="J34" s="397"/>
      <c r="K34" s="398"/>
      <c r="L34" s="81"/>
      <c r="M34" s="149"/>
      <c r="N34" s="26"/>
      <c r="O34" s="390" t="s">
        <v>332</v>
      </c>
      <c r="P34" s="390"/>
      <c r="Q34" s="390"/>
      <c r="R34" s="390"/>
      <c r="S34" s="390"/>
      <c r="T34" s="196"/>
      <c r="U34" s="27"/>
      <c r="V34" s="367" t="str">
        <f>IF(M34="","",M34*T34)</f>
        <v/>
      </c>
      <c r="W34" s="88"/>
    </row>
    <row r="35" spans="2:38" ht="9.75" customHeight="1">
      <c r="B35" s="396"/>
      <c r="C35" s="397"/>
      <c r="D35" s="397"/>
      <c r="E35" s="397"/>
      <c r="F35" s="397"/>
      <c r="G35" s="397"/>
      <c r="H35" s="397"/>
      <c r="I35" s="397"/>
      <c r="J35" s="397"/>
      <c r="K35" s="398"/>
      <c r="L35" s="81"/>
      <c r="M35" s="109"/>
      <c r="N35" s="26"/>
      <c r="O35" s="92"/>
      <c r="P35" s="92"/>
      <c r="Q35" s="92"/>
      <c r="R35" s="92"/>
      <c r="S35" s="92"/>
      <c r="T35" s="110"/>
      <c r="U35" s="27"/>
      <c r="V35" s="366"/>
      <c r="W35" s="88"/>
    </row>
    <row r="36" spans="2:38" ht="13.5" customHeight="1">
      <c r="B36" s="396"/>
      <c r="C36" s="397"/>
      <c r="D36" s="397"/>
      <c r="E36" s="397"/>
      <c r="F36" s="397"/>
      <c r="G36" s="397"/>
      <c r="H36" s="397"/>
      <c r="I36" s="397"/>
      <c r="J36" s="397"/>
      <c r="K36" s="398"/>
      <c r="L36" s="81"/>
      <c r="M36" s="17"/>
      <c r="N36" s="29"/>
      <c r="O36" s="389" t="s">
        <v>24</v>
      </c>
      <c r="P36" s="389"/>
      <c r="Q36" s="389"/>
      <c r="R36" s="389"/>
      <c r="S36" s="389"/>
      <c r="T36" s="31">
        <v>104</v>
      </c>
      <c r="U36"/>
      <c r="V36" s="338" t="str">
        <f>IF(M36="","",M36*T36)</f>
        <v/>
      </c>
      <c r="W36" s="115"/>
      <c r="Y36">
        <f>SUM(C15:C24)+C26+SUM(C28:C32)+SUM(C43:C46)+SUM(C57:C60)</f>
        <v>0</v>
      </c>
    </row>
    <row r="37" spans="2:38" ht="15" customHeight="1">
      <c r="B37" s="396"/>
      <c r="C37" s="397"/>
      <c r="D37" s="397"/>
      <c r="E37" s="397"/>
      <c r="F37" s="397"/>
      <c r="G37" s="397"/>
      <c r="H37" s="397"/>
      <c r="I37" s="397"/>
      <c r="J37" s="397"/>
      <c r="K37" s="398"/>
      <c r="L37" s="81"/>
      <c r="M37" s="24"/>
      <c r="N37" s="1"/>
      <c r="O37" s="389" t="s">
        <v>92</v>
      </c>
      <c r="P37" s="389"/>
      <c r="Q37" s="389"/>
      <c r="R37" s="389"/>
      <c r="S37" s="389"/>
      <c r="T37" s="31">
        <v>124</v>
      </c>
      <c r="U37" s="32"/>
      <c r="V37" s="338" t="str">
        <f>IF(M37="","",M37*T37)</f>
        <v/>
      </c>
      <c r="W37" s="115"/>
      <c r="Y37">
        <f>EnergyStarQty+EnergyStarTGQty+EnergyStarTKQty</f>
        <v>0</v>
      </c>
    </row>
    <row r="38" spans="2:38" ht="15" customHeight="1" thickBot="1">
      <c r="B38" s="399"/>
      <c r="C38" s="400"/>
      <c r="D38" s="400"/>
      <c r="E38" s="400"/>
      <c r="F38" s="400"/>
      <c r="G38" s="400"/>
      <c r="H38" s="400"/>
      <c r="I38" s="400"/>
      <c r="J38" s="400"/>
      <c r="K38" s="401"/>
      <c r="L38" s="81"/>
      <c r="M38" s="24"/>
      <c r="N38" s="1"/>
      <c r="O38" s="389" t="s">
        <v>352</v>
      </c>
      <c r="P38" s="389"/>
      <c r="Q38" s="389"/>
      <c r="R38" s="389"/>
      <c r="S38" s="389"/>
      <c r="T38" s="31">
        <v>289</v>
      </c>
      <c r="U38" s="32"/>
      <c r="V38" s="338" t="str">
        <f>IF(M38="","",M38*T38)</f>
        <v/>
      </c>
      <c r="W38" s="115"/>
      <c r="Y38" s="15">
        <f>SUM(M36:M38)</f>
        <v>0</v>
      </c>
    </row>
    <row r="39" spans="2:38" ht="13.5" customHeight="1">
      <c r="B39" s="456" t="s">
        <v>337</v>
      </c>
      <c r="C39" s="457"/>
      <c r="D39" s="457"/>
      <c r="E39" s="457"/>
      <c r="F39" s="457"/>
      <c r="G39" s="457"/>
      <c r="H39" s="457"/>
      <c r="I39" s="457"/>
      <c r="J39" s="457"/>
      <c r="K39" s="458"/>
      <c r="L39" s="81"/>
      <c r="M39" s="24"/>
      <c r="N39" s="1"/>
      <c r="O39" s="389" t="s">
        <v>334</v>
      </c>
      <c r="P39" s="389"/>
      <c r="Q39" s="389"/>
      <c r="R39" s="389"/>
      <c r="S39" s="389"/>
      <c r="T39" s="31">
        <v>394</v>
      </c>
      <c r="U39" s="32"/>
      <c r="V39" s="338" t="str">
        <f>IF(M39="","",M39*T39)</f>
        <v/>
      </c>
      <c r="W39" s="115"/>
      <c r="Y39">
        <f>SUM(M36:M39)</f>
        <v>0</v>
      </c>
    </row>
    <row r="40" spans="2:38" ht="15" customHeight="1">
      <c r="B40" s="459"/>
      <c r="C40" s="460"/>
      <c r="D40" s="460"/>
      <c r="E40" s="460"/>
      <c r="F40" s="460"/>
      <c r="G40" s="460"/>
      <c r="H40" s="460"/>
      <c r="I40" s="460"/>
      <c r="J40" s="460"/>
      <c r="K40" s="461"/>
      <c r="L40" s="81"/>
      <c r="M40" s="94" t="s">
        <v>70</v>
      </c>
      <c r="N40" s="29"/>
      <c r="O40" s="392" t="s">
        <v>25</v>
      </c>
      <c r="P40" s="392"/>
      <c r="Q40" s="392"/>
      <c r="R40" s="392"/>
      <c r="S40" s="392"/>
      <c r="T40" s="392"/>
      <c r="U40" s="18"/>
      <c r="V40" s="94" t="s">
        <v>72</v>
      </c>
      <c r="W40" s="102"/>
    </row>
    <row r="41" spans="2:38" ht="13.5" customHeight="1" thickBot="1">
      <c r="B41" s="462" t="s">
        <v>338</v>
      </c>
      <c r="C41" s="463"/>
      <c r="D41" s="463"/>
      <c r="E41" s="463"/>
      <c r="F41" s="463"/>
      <c r="G41" s="351"/>
      <c r="H41" s="350" t="s">
        <v>336</v>
      </c>
      <c r="I41" s="348"/>
      <c r="J41" s="352"/>
      <c r="K41" s="349"/>
      <c r="L41" s="81"/>
      <c r="M41" s="17"/>
      <c r="N41" s="1"/>
      <c r="O41" t="s">
        <v>81</v>
      </c>
      <c r="Q41" s="33"/>
      <c r="R41" s="33"/>
      <c r="S41" s="33"/>
      <c r="T41" s="15">
        <v>10</v>
      </c>
      <c r="U41" s="15"/>
      <c r="V41" s="193" t="str">
        <f t="shared" ref="V41:V46" si="2">IF(M41="","",M41*T41)</f>
        <v/>
      </c>
      <c r="W41" s="115"/>
      <c r="AA41" s="33"/>
      <c r="AB41" s="33"/>
      <c r="AC41" s="33"/>
      <c r="AD41" s="18"/>
    </row>
    <row r="42" spans="2:38" ht="13.5" customHeight="1">
      <c r="B42" s="81"/>
      <c r="C42" s="94" t="s">
        <v>70</v>
      </c>
      <c r="D42" s="98"/>
      <c r="E42" s="98"/>
      <c r="F42" s="392" t="s">
        <v>29</v>
      </c>
      <c r="G42" s="392"/>
      <c r="H42" s="392"/>
      <c r="I42" s="98"/>
      <c r="J42" s="94" t="s">
        <v>72</v>
      </c>
      <c r="K42" s="80"/>
      <c r="L42" s="81"/>
      <c r="M42" s="17"/>
      <c r="N42" s="1"/>
      <c r="O42" t="s">
        <v>87</v>
      </c>
      <c r="Q42" s="33"/>
      <c r="R42" s="33"/>
      <c r="S42" s="33"/>
      <c r="T42" s="15">
        <v>60</v>
      </c>
      <c r="U42" s="15"/>
      <c r="V42" s="193" t="str">
        <f t="shared" si="2"/>
        <v/>
      </c>
      <c r="W42" s="115"/>
      <c r="AA42" s="33"/>
      <c r="AB42" s="33"/>
      <c r="AC42" s="33"/>
      <c r="AD42" s="18"/>
    </row>
    <row r="43" spans="2:38" ht="13.5" customHeight="1">
      <c r="B43" s="81"/>
      <c r="C43" s="17"/>
      <c r="E43" s="387" t="s">
        <v>54</v>
      </c>
      <c r="F43" s="388"/>
      <c r="G43" s="388"/>
      <c r="H43" s="18">
        <v>1409</v>
      </c>
      <c r="I43" s="18"/>
      <c r="J43" s="193" t="str">
        <f>IF(C43="","",C43*H43)</f>
        <v/>
      </c>
      <c r="K43" s="80"/>
      <c r="L43" s="81"/>
      <c r="M43" s="17"/>
      <c r="N43" s="1"/>
      <c r="O43" t="s">
        <v>26</v>
      </c>
      <c r="Q43" s="33"/>
      <c r="R43" s="33"/>
      <c r="S43" s="33"/>
      <c r="T43" s="15">
        <v>70</v>
      </c>
      <c r="U43"/>
      <c r="V43" s="193" t="str">
        <f t="shared" si="2"/>
        <v/>
      </c>
      <c r="W43" s="115"/>
      <c r="AA43" s="33"/>
      <c r="AB43" s="33"/>
      <c r="AC43" s="33"/>
      <c r="AD43" s="190">
        <v>125</v>
      </c>
    </row>
    <row r="44" spans="2:38" ht="15" customHeight="1">
      <c r="B44" s="81"/>
      <c r="C44" s="17"/>
      <c r="E44" s="387" t="s">
        <v>55</v>
      </c>
      <c r="F44" s="388"/>
      <c r="G44" s="388"/>
      <c r="H44" s="18">
        <v>1645</v>
      </c>
      <c r="I44" s="18"/>
      <c r="J44" s="193" t="str">
        <f t="shared" ref="J44:J60" si="3">IF(C44="","",C44*H44)</f>
        <v/>
      </c>
      <c r="K44" s="80"/>
      <c r="L44" s="81"/>
      <c r="M44" s="17"/>
      <c r="N44" s="1"/>
      <c r="O44" t="s">
        <v>27</v>
      </c>
      <c r="T44" s="15">
        <v>90</v>
      </c>
      <c r="U44"/>
      <c r="V44" s="193" t="str">
        <f t="shared" si="2"/>
        <v/>
      </c>
      <c r="W44" s="115"/>
      <c r="AA44" s="33"/>
      <c r="AB44" s="33"/>
      <c r="AC44" s="33"/>
      <c r="AD44" s="190">
        <v>75</v>
      </c>
    </row>
    <row r="45" spans="2:38" ht="15.9" customHeight="1">
      <c r="B45" s="81"/>
      <c r="C45" s="17"/>
      <c r="E45" s="387" t="s">
        <v>56</v>
      </c>
      <c r="F45" s="388"/>
      <c r="G45" s="388"/>
      <c r="H45" s="18">
        <v>1871</v>
      </c>
      <c r="I45" s="18"/>
      <c r="J45" s="193" t="str">
        <f t="shared" si="3"/>
        <v/>
      </c>
      <c r="K45" s="80"/>
      <c r="L45" s="81"/>
      <c r="M45" s="24"/>
      <c r="N45" s="1"/>
      <c r="O45" t="s">
        <v>32</v>
      </c>
      <c r="Q45" s="33"/>
      <c r="R45" s="33"/>
      <c r="S45" s="33"/>
      <c r="T45" s="18">
        <v>30</v>
      </c>
      <c r="U45" s="18"/>
      <c r="V45" s="193" t="str">
        <f t="shared" si="2"/>
        <v/>
      </c>
      <c r="W45" s="115"/>
      <c r="AA45" s="33"/>
      <c r="AB45" s="33"/>
      <c r="AC45" s="33"/>
      <c r="AD45" s="190"/>
    </row>
    <row r="46" spans="2:38" ht="15.9" customHeight="1">
      <c r="B46" s="81"/>
      <c r="C46" s="17"/>
      <c r="D46"/>
      <c r="E46" s="387" t="s">
        <v>57</v>
      </c>
      <c r="F46" s="388"/>
      <c r="G46" s="388"/>
      <c r="H46" s="18">
        <v>2345</v>
      </c>
      <c r="I46"/>
      <c r="J46" s="193" t="str">
        <f>IF(C46="","",C46*H46)</f>
        <v/>
      </c>
      <c r="K46" s="80"/>
      <c r="L46" s="81"/>
      <c r="M46" s="24"/>
      <c r="N46" s="1"/>
      <c r="O46" t="s">
        <v>28</v>
      </c>
      <c r="Q46" s="33"/>
      <c r="R46" s="33"/>
      <c r="S46" s="33"/>
      <c r="T46" s="18">
        <v>90</v>
      </c>
      <c r="U46" s="18"/>
      <c r="V46" s="193" t="str">
        <f t="shared" si="2"/>
        <v/>
      </c>
      <c r="W46" s="115"/>
      <c r="AA46" s="33"/>
      <c r="AB46" s="33"/>
      <c r="AC46" s="33"/>
      <c r="AD46" s="190">
        <v>40</v>
      </c>
    </row>
    <row r="47" spans="2:38" ht="15.9" customHeight="1">
      <c r="B47" s="81"/>
      <c r="C47" s="17"/>
      <c r="D47"/>
      <c r="E47" t="s">
        <v>59</v>
      </c>
      <c r="H47" s="18">
        <v>90</v>
      </c>
      <c r="I47"/>
      <c r="J47" s="193" t="str">
        <f t="shared" si="3"/>
        <v/>
      </c>
      <c r="K47" s="80"/>
      <c r="L47" s="81"/>
      <c r="M47" s="24"/>
      <c r="N47" s="1"/>
      <c r="O47" t="s">
        <v>373</v>
      </c>
      <c r="Q47" s="33"/>
      <c r="R47" s="33"/>
      <c r="S47" s="33"/>
      <c r="T47" s="15">
        <v>50</v>
      </c>
      <c r="U47" s="15"/>
      <c r="V47" s="193" t="str">
        <f t="shared" ref="V47:V54" si="4">IF(M47="","",M47*T47)</f>
        <v/>
      </c>
      <c r="W47" s="115"/>
      <c r="AD47" s="190">
        <v>25</v>
      </c>
      <c r="AK47" s="1"/>
      <c r="AL47" s="1"/>
    </row>
    <row r="48" spans="2:38" ht="13.5" customHeight="1">
      <c r="B48" s="81"/>
      <c r="C48" s="17"/>
      <c r="D48"/>
      <c r="E48" t="s">
        <v>60</v>
      </c>
      <c r="H48" s="18">
        <v>180</v>
      </c>
      <c r="I48"/>
      <c r="J48" s="193" t="str">
        <f t="shared" ref="J48" si="5">IF(C48="","",C48*H48)</f>
        <v/>
      </c>
      <c r="K48" s="80"/>
      <c r="L48" s="81"/>
      <c r="M48" s="17"/>
      <c r="N48" s="1"/>
      <c r="O48" t="s">
        <v>374</v>
      </c>
      <c r="Q48" s="33"/>
      <c r="R48" s="33"/>
      <c r="S48" s="33"/>
      <c r="T48" s="5">
        <v>80</v>
      </c>
      <c r="U48" s="15"/>
      <c r="V48" s="193" t="str">
        <f t="shared" si="4"/>
        <v/>
      </c>
      <c r="W48" s="115"/>
      <c r="Z48" s="4"/>
      <c r="AA48" s="1"/>
      <c r="AB48" s="34"/>
      <c r="AC48" s="34"/>
      <c r="AD48" s="34"/>
      <c r="AE48" s="34"/>
      <c r="AF48" s="34"/>
      <c r="AG48" s="18"/>
      <c r="AH48" s="35"/>
      <c r="AI48" s="18"/>
      <c r="AJ48" s="1"/>
    </row>
    <row r="49" spans="2:39" ht="13.5" customHeight="1">
      <c r="B49" s="81"/>
      <c r="C49" s="24"/>
      <c r="E49" t="s">
        <v>61</v>
      </c>
      <c r="H49" s="18">
        <v>90</v>
      </c>
      <c r="I49" s="18"/>
      <c r="J49" s="193" t="str">
        <f t="shared" ref="J49:J59" si="6">IF(C49="","",C49*H49)</f>
        <v/>
      </c>
      <c r="K49" s="80"/>
      <c r="L49" s="81"/>
      <c r="M49" s="17"/>
      <c r="N49" s="1"/>
      <c r="O49" t="s">
        <v>30</v>
      </c>
      <c r="Q49" s="33"/>
      <c r="R49" s="33"/>
      <c r="S49" s="33"/>
      <c r="T49" s="62">
        <v>125</v>
      </c>
      <c r="U49" s="15"/>
      <c r="V49" s="193" t="str">
        <f t="shared" si="4"/>
        <v/>
      </c>
      <c r="W49" s="115"/>
      <c r="Z49" s="4"/>
    </row>
    <row r="50" spans="2:39" ht="13.5" customHeight="1">
      <c r="B50" s="81"/>
      <c r="C50" s="24"/>
      <c r="E50" s="86" t="s">
        <v>96</v>
      </c>
      <c r="H50" s="18">
        <v>115</v>
      </c>
      <c r="I50" s="18"/>
      <c r="J50" s="193" t="str">
        <f t="shared" si="6"/>
        <v/>
      </c>
      <c r="K50" s="80"/>
      <c r="L50" s="81"/>
      <c r="M50" s="17"/>
      <c r="N50" s="1"/>
      <c r="O50" t="s">
        <v>98</v>
      </c>
      <c r="Q50" s="33"/>
      <c r="R50" s="33"/>
      <c r="S50" s="33"/>
      <c r="T50" s="15">
        <v>40</v>
      </c>
      <c r="U50" s="15"/>
      <c r="V50" s="193" t="str">
        <f t="shared" si="4"/>
        <v/>
      </c>
      <c r="W50" s="115"/>
      <c r="Z50" s="4"/>
    </row>
    <row r="51" spans="2:39" ht="13.5" customHeight="1">
      <c r="B51" s="81"/>
      <c r="C51" s="24"/>
      <c r="D51"/>
      <c r="E51" s="86" t="s">
        <v>97</v>
      </c>
      <c r="F51" s="85"/>
      <c r="G51" s="85"/>
      <c r="H51" s="18">
        <v>135</v>
      </c>
      <c r="I51"/>
      <c r="J51" s="193" t="str">
        <f t="shared" si="6"/>
        <v/>
      </c>
      <c r="K51" s="80"/>
      <c r="L51" s="81"/>
      <c r="M51" s="24"/>
      <c r="N51" s="1"/>
      <c r="O51" t="s">
        <v>335</v>
      </c>
      <c r="Q51" s="33"/>
      <c r="R51" s="33"/>
      <c r="S51" s="33"/>
      <c r="T51" s="15">
        <v>40</v>
      </c>
      <c r="U51" s="18"/>
      <c r="V51" s="193" t="str">
        <f t="shared" si="4"/>
        <v/>
      </c>
      <c r="W51" s="115"/>
      <c r="Z51" s="4"/>
    </row>
    <row r="52" spans="2:39" ht="13.5" customHeight="1">
      <c r="B52" s="81"/>
      <c r="C52" s="24"/>
      <c r="E52" t="s">
        <v>353</v>
      </c>
      <c r="F52" s="85"/>
      <c r="G52" s="85"/>
      <c r="H52" s="18">
        <v>289</v>
      </c>
      <c r="I52" s="18"/>
      <c r="J52" s="193" t="str">
        <f t="shared" si="6"/>
        <v/>
      </c>
      <c r="K52" s="80"/>
      <c r="L52" s="81"/>
      <c r="M52" s="17"/>
      <c r="N52" s="1"/>
      <c r="O52" t="s">
        <v>371</v>
      </c>
      <c r="T52" s="18">
        <v>12</v>
      </c>
      <c r="U52" s="15"/>
      <c r="V52" s="193" t="str">
        <f t="shared" si="4"/>
        <v/>
      </c>
      <c r="W52" s="115"/>
    </row>
    <row r="53" spans="2:39" ht="13.5" customHeight="1">
      <c r="B53" s="81"/>
      <c r="C53" s="194"/>
      <c r="D53"/>
      <c r="E53" t="s">
        <v>351</v>
      </c>
      <c r="F53" s="85"/>
      <c r="G53" s="85"/>
      <c r="H53" s="18">
        <v>450</v>
      </c>
      <c r="I53"/>
      <c r="J53" s="193" t="str">
        <f t="shared" si="6"/>
        <v/>
      </c>
      <c r="K53" s="80"/>
      <c r="L53" s="81"/>
      <c r="M53" s="17"/>
      <c r="N53" s="1"/>
      <c r="O53" s="445" t="s">
        <v>33</v>
      </c>
      <c r="P53" s="445"/>
      <c r="Q53" s="445"/>
      <c r="R53" s="445"/>
      <c r="S53" s="445"/>
      <c r="T53" s="15">
        <v>10</v>
      </c>
      <c r="U53" s="15"/>
      <c r="V53" s="193" t="str">
        <f t="shared" si="4"/>
        <v/>
      </c>
      <c r="W53" s="115"/>
      <c r="AA53" s="33"/>
      <c r="AB53" s="33"/>
      <c r="AC53" s="33"/>
      <c r="AD53" s="18"/>
    </row>
    <row r="54" spans="2:39" ht="13.5" customHeight="1">
      <c r="B54" s="81"/>
      <c r="C54" s="194"/>
      <c r="D54"/>
      <c r="E54" s="86" t="s">
        <v>62</v>
      </c>
      <c r="H54" s="18">
        <v>60</v>
      </c>
      <c r="I54"/>
      <c r="J54" s="193" t="str">
        <f t="shared" si="6"/>
        <v/>
      </c>
      <c r="K54" s="80"/>
      <c r="L54" s="81"/>
      <c r="M54" s="17"/>
      <c r="N54" s="1"/>
      <c r="O54" s="445" t="s">
        <v>34</v>
      </c>
      <c r="P54" s="445"/>
      <c r="Q54" s="445"/>
      <c r="R54" s="445"/>
      <c r="S54" s="445"/>
      <c r="T54" s="15">
        <v>300</v>
      </c>
      <c r="U54" s="32"/>
      <c r="V54" s="193" t="str">
        <f t="shared" si="4"/>
        <v/>
      </c>
      <c r="W54" s="115"/>
      <c r="AA54" s="33"/>
      <c r="AB54" s="33"/>
      <c r="AC54" s="33"/>
      <c r="AD54" s="15"/>
    </row>
    <row r="55" spans="2:39" ht="13.5" customHeight="1">
      <c r="B55" s="81"/>
      <c r="C55" s="194"/>
      <c r="D55"/>
      <c r="E55" s="86" t="s">
        <v>346</v>
      </c>
      <c r="H55" s="18">
        <v>95</v>
      </c>
      <c r="I55"/>
      <c r="J55" s="193" t="str">
        <f t="shared" si="6"/>
        <v/>
      </c>
      <c r="K55" s="80"/>
      <c r="L55" s="81"/>
      <c r="M55" s="17"/>
      <c r="N55" s="1"/>
      <c r="O55" t="s">
        <v>31</v>
      </c>
      <c r="T55" s="18" t="s">
        <v>88</v>
      </c>
      <c r="U55" s="32"/>
      <c r="V55" s="193" t="str">
        <f>IF(M55="","",M55*25)</f>
        <v/>
      </c>
      <c r="W55" s="115"/>
      <c r="AA55" s="33"/>
      <c r="AB55" s="33"/>
      <c r="AC55" s="33"/>
      <c r="AD55" s="15"/>
    </row>
    <row r="56" spans="2:39" ht="13.5" customHeight="1">
      <c r="B56" s="81"/>
      <c r="C56" s="194"/>
      <c r="D56"/>
      <c r="E56" s="390" t="s">
        <v>105</v>
      </c>
      <c r="F56" s="390"/>
      <c r="G56" s="390"/>
      <c r="H56" s="72">
        <v>95</v>
      </c>
      <c r="I56"/>
      <c r="J56" s="193" t="str">
        <f t="shared" si="6"/>
        <v/>
      </c>
      <c r="K56" s="80"/>
      <c r="L56" s="81"/>
      <c r="M56" s="17"/>
      <c r="N56" s="1"/>
      <c r="O56" s="445" t="s">
        <v>102</v>
      </c>
      <c r="P56" s="445"/>
      <c r="Q56" s="445"/>
      <c r="R56" s="445"/>
      <c r="S56" s="445"/>
      <c r="T56" s="15">
        <v>40</v>
      </c>
      <c r="U56" s="32"/>
      <c r="V56" s="193" t="str">
        <f>IF(M56="","",M56*T56)</f>
        <v/>
      </c>
      <c r="W56" s="115"/>
      <c r="AA56" s="33"/>
      <c r="AB56" s="33"/>
      <c r="AC56" s="33"/>
      <c r="AD56" s="15"/>
    </row>
    <row r="57" spans="2:39" ht="13.5" customHeight="1">
      <c r="B57" s="81"/>
      <c r="C57" s="17"/>
      <c r="E57" s="390" t="s">
        <v>319</v>
      </c>
      <c r="F57" s="390"/>
      <c r="G57" s="390"/>
      <c r="H57" s="61"/>
      <c r="I57" s="18"/>
      <c r="J57" s="193" t="str">
        <f t="shared" si="6"/>
        <v/>
      </c>
      <c r="K57" s="80"/>
      <c r="L57" s="81"/>
      <c r="M57" s="17"/>
      <c r="N57" s="1"/>
      <c r="O57" s="445" t="s">
        <v>86</v>
      </c>
      <c r="P57" s="445"/>
      <c r="Q57" s="445"/>
      <c r="R57" s="445"/>
      <c r="S57" s="445"/>
      <c r="T57" s="347"/>
      <c r="U57" s="32"/>
      <c r="V57" s="193" t="str">
        <f>IF(M57="","",M57*T57)</f>
        <v/>
      </c>
      <c r="W57" s="115"/>
      <c r="AA57" s="33"/>
      <c r="AB57" s="33"/>
      <c r="AC57" s="33"/>
      <c r="AD57" s="15"/>
    </row>
    <row r="58" spans="2:39" ht="13.5" customHeight="1">
      <c r="B58" s="81"/>
      <c r="C58" s="17"/>
      <c r="E58" s="86" t="s">
        <v>347</v>
      </c>
      <c r="F58" s="92"/>
      <c r="G58" s="92"/>
      <c r="H58" s="61"/>
      <c r="I58" s="18"/>
      <c r="J58" s="193" t="str">
        <f t="shared" si="6"/>
        <v/>
      </c>
      <c r="K58" s="80"/>
      <c r="L58" s="81"/>
      <c r="M58" s="17"/>
      <c r="N58" s="1"/>
      <c r="O58" s="92" t="s">
        <v>83</v>
      </c>
      <c r="P58" s="92"/>
      <c r="Q58" s="92"/>
      <c r="R58" s="92"/>
      <c r="S58" s="92"/>
      <c r="T58" s="347"/>
      <c r="U58" s="32"/>
      <c r="V58" s="193" t="str">
        <f>IF(M58="","",M58*T58)</f>
        <v/>
      </c>
      <c r="W58" s="115"/>
      <c r="AA58" s="33"/>
      <c r="AB58" s="33"/>
      <c r="AC58" s="33"/>
      <c r="AD58" s="15"/>
    </row>
    <row r="59" spans="2:39" ht="13.5" customHeight="1">
      <c r="B59" s="81"/>
      <c r="C59" s="185"/>
      <c r="E59" s="390" t="s">
        <v>80</v>
      </c>
      <c r="F59" s="390"/>
      <c r="G59" s="390"/>
      <c r="H59" s="361"/>
      <c r="I59" s="18"/>
      <c r="J59" s="193" t="str">
        <f t="shared" si="6"/>
        <v/>
      </c>
      <c r="K59" s="80"/>
      <c r="L59" s="81"/>
      <c r="M59" s="185"/>
      <c r="N59" s="1"/>
      <c r="O59" s="468"/>
      <c r="P59" s="468"/>
      <c r="Q59" s="468"/>
      <c r="R59" s="468"/>
      <c r="S59" s="468"/>
      <c r="T59" s="196"/>
      <c r="U59" s="32"/>
      <c r="V59" s="362"/>
      <c r="W59" s="115"/>
      <c r="AA59" s="33"/>
      <c r="AB59" s="33"/>
      <c r="AC59" s="33"/>
      <c r="AD59" s="15"/>
    </row>
    <row r="60" spans="2:39" ht="13.5" customHeight="1" thickBot="1">
      <c r="B60" s="82"/>
      <c r="C60" s="195"/>
      <c r="D60" s="186"/>
      <c r="E60" s="418"/>
      <c r="F60" s="418"/>
      <c r="G60" s="418"/>
      <c r="H60" s="188"/>
      <c r="I60" s="186"/>
      <c r="J60" s="193" t="str">
        <f t="shared" si="3"/>
        <v/>
      </c>
      <c r="K60" s="189"/>
      <c r="L60" s="82"/>
      <c r="M60" s="79"/>
      <c r="N60" s="79"/>
      <c r="O60" s="418"/>
      <c r="P60" s="418"/>
      <c r="Q60" s="418"/>
      <c r="R60" s="418"/>
      <c r="S60" s="418"/>
      <c r="T60" s="100"/>
      <c r="U60" s="79"/>
      <c r="V60" s="178"/>
      <c r="W60" s="101"/>
      <c r="Y60" s="36"/>
      <c r="AH60" s="4"/>
      <c r="AM60" s="18"/>
    </row>
    <row r="61" spans="2:39" ht="13.5" customHeight="1">
      <c r="B61" s="447" t="s">
        <v>66</v>
      </c>
      <c r="C61" s="448"/>
      <c r="D61" s="448"/>
      <c r="E61" s="448"/>
      <c r="F61" s="448"/>
      <c r="G61" s="449"/>
      <c r="H61" s="450" t="s">
        <v>315</v>
      </c>
      <c r="I61" s="451"/>
      <c r="J61" s="451"/>
      <c r="K61" s="451"/>
      <c r="L61" s="451"/>
      <c r="M61" s="451"/>
      <c r="N61" s="451"/>
      <c r="O61" s="451"/>
      <c r="P61" s="452"/>
      <c r="Q61" s="419" t="s">
        <v>90</v>
      </c>
      <c r="R61" s="420"/>
      <c r="S61" s="420"/>
      <c r="T61" s="420"/>
      <c r="U61" s="420"/>
      <c r="V61" s="420"/>
      <c r="W61" s="421"/>
      <c r="Y61" s="36"/>
      <c r="AH61" s="4"/>
      <c r="AM61" s="18"/>
    </row>
    <row r="62" spans="2:39" ht="12" customHeight="1">
      <c r="B62" s="450"/>
      <c r="C62" s="451"/>
      <c r="D62" s="451"/>
      <c r="E62" s="451"/>
      <c r="F62" s="451"/>
      <c r="G62" s="452"/>
      <c r="H62" s="450"/>
      <c r="I62" s="451"/>
      <c r="J62" s="451"/>
      <c r="K62" s="451"/>
      <c r="L62" s="451"/>
      <c r="M62" s="451"/>
      <c r="N62" s="451"/>
      <c r="O62" s="451"/>
      <c r="P62" s="452"/>
      <c r="Q62" s="422"/>
      <c r="R62" s="423"/>
      <c r="S62" s="423"/>
      <c r="T62" s="423"/>
      <c r="U62" s="423"/>
      <c r="V62" s="423"/>
      <c r="W62" s="424"/>
      <c r="AA62" s="66"/>
      <c r="AB62" s="66"/>
      <c r="AC62" s="66"/>
      <c r="AD62" s="66"/>
      <c r="AE62" s="66"/>
      <c r="AF62" s="66"/>
      <c r="AG62" s="66"/>
    </row>
    <row r="63" spans="2:39" ht="12" customHeight="1">
      <c r="B63" s="450"/>
      <c r="C63" s="451"/>
      <c r="D63" s="451"/>
      <c r="E63" s="451"/>
      <c r="F63" s="451"/>
      <c r="G63" s="452"/>
      <c r="H63" s="450"/>
      <c r="I63" s="451"/>
      <c r="J63" s="451"/>
      <c r="K63" s="451"/>
      <c r="L63" s="451"/>
      <c r="M63" s="451"/>
      <c r="N63" s="451"/>
      <c r="O63" s="451"/>
      <c r="P63" s="452"/>
      <c r="Q63" s="422"/>
      <c r="R63" s="423"/>
      <c r="S63" s="423"/>
      <c r="T63" s="423"/>
      <c r="U63" s="423"/>
      <c r="V63" s="423"/>
      <c r="W63" s="424"/>
      <c r="AA63" s="66"/>
      <c r="AB63" s="66"/>
      <c r="AC63" s="66"/>
      <c r="AD63" s="66"/>
      <c r="AE63" s="66"/>
      <c r="AF63" s="66"/>
      <c r="AG63" s="66"/>
    </row>
    <row r="64" spans="2:39" ht="12" customHeight="1">
      <c r="B64" s="450"/>
      <c r="C64" s="451"/>
      <c r="D64" s="451"/>
      <c r="E64" s="451"/>
      <c r="F64" s="451"/>
      <c r="G64" s="452"/>
      <c r="H64" s="450"/>
      <c r="I64" s="451"/>
      <c r="J64" s="451"/>
      <c r="K64" s="451"/>
      <c r="L64" s="451"/>
      <c r="M64" s="451"/>
      <c r="N64" s="451"/>
      <c r="O64" s="451"/>
      <c r="P64" s="452"/>
      <c r="Q64" s="422"/>
      <c r="R64" s="423"/>
      <c r="S64" s="423"/>
      <c r="T64" s="423"/>
      <c r="U64" s="423"/>
      <c r="V64" s="423"/>
      <c r="W64" s="424"/>
      <c r="AA64" s="66"/>
      <c r="AB64" s="66"/>
      <c r="AC64" s="66"/>
      <c r="AD64" s="66"/>
      <c r="AE64" s="66"/>
      <c r="AF64" s="66"/>
      <c r="AG64" s="66"/>
    </row>
    <row r="65" spans="2:33" ht="12" customHeight="1">
      <c r="B65" s="450"/>
      <c r="C65" s="451"/>
      <c r="D65" s="451"/>
      <c r="E65" s="451"/>
      <c r="F65" s="451"/>
      <c r="G65" s="452"/>
      <c r="H65" s="450"/>
      <c r="I65" s="451"/>
      <c r="J65" s="451"/>
      <c r="K65" s="451"/>
      <c r="L65" s="451"/>
      <c r="M65" s="451"/>
      <c r="N65" s="451"/>
      <c r="O65" s="451"/>
      <c r="P65" s="452"/>
      <c r="Q65" s="422"/>
      <c r="R65" s="423"/>
      <c r="S65" s="423"/>
      <c r="T65" s="423"/>
      <c r="U65" s="423"/>
      <c r="V65" s="423"/>
      <c r="W65" s="424"/>
      <c r="AA65" s="66"/>
      <c r="AB65" s="66"/>
      <c r="AC65" s="66"/>
      <c r="AD65" s="66"/>
      <c r="AE65" s="66"/>
      <c r="AF65" s="66"/>
      <c r="AG65" s="66"/>
    </row>
    <row r="66" spans="2:33" ht="12" customHeight="1">
      <c r="B66" s="450"/>
      <c r="C66" s="451"/>
      <c r="D66" s="451"/>
      <c r="E66" s="451"/>
      <c r="F66" s="451"/>
      <c r="G66" s="452"/>
      <c r="H66" s="450"/>
      <c r="I66" s="451"/>
      <c r="J66" s="451"/>
      <c r="K66" s="451"/>
      <c r="L66" s="451"/>
      <c r="M66" s="451"/>
      <c r="N66" s="451"/>
      <c r="O66" s="451"/>
      <c r="P66" s="452"/>
      <c r="Q66" s="422"/>
      <c r="R66" s="423"/>
      <c r="S66" s="423"/>
      <c r="T66" s="423"/>
      <c r="U66" s="423"/>
      <c r="V66" s="423"/>
      <c r="W66" s="424"/>
      <c r="AA66" s="66"/>
      <c r="AB66" s="66"/>
      <c r="AC66" s="66"/>
      <c r="AD66" s="66"/>
      <c r="AE66" s="66"/>
      <c r="AF66" s="66"/>
      <c r="AG66" s="66"/>
    </row>
    <row r="67" spans="2:33" ht="12" customHeight="1">
      <c r="B67" s="450"/>
      <c r="C67" s="451"/>
      <c r="D67" s="451"/>
      <c r="E67" s="451"/>
      <c r="F67" s="451"/>
      <c r="G67" s="452"/>
      <c r="H67" s="450"/>
      <c r="I67" s="451"/>
      <c r="J67" s="451"/>
      <c r="K67" s="451"/>
      <c r="L67" s="451"/>
      <c r="M67" s="451"/>
      <c r="N67" s="451"/>
      <c r="O67" s="451"/>
      <c r="P67" s="452"/>
      <c r="Q67" s="422"/>
      <c r="R67" s="423"/>
      <c r="S67" s="423"/>
      <c r="T67" s="423"/>
      <c r="U67" s="423"/>
      <c r="V67" s="423"/>
      <c r="W67" s="424"/>
      <c r="AA67" s="66"/>
      <c r="AB67" s="66"/>
      <c r="AC67" s="66"/>
      <c r="AD67" s="66"/>
      <c r="AE67" s="66"/>
      <c r="AF67" s="66"/>
      <c r="AG67" s="66"/>
    </row>
    <row r="68" spans="2:33" ht="13.5" customHeight="1">
      <c r="B68" s="450"/>
      <c r="C68" s="451"/>
      <c r="D68" s="451"/>
      <c r="E68" s="451"/>
      <c r="F68" s="451"/>
      <c r="G68" s="452"/>
      <c r="H68" s="450"/>
      <c r="I68" s="451"/>
      <c r="J68" s="451"/>
      <c r="K68" s="451"/>
      <c r="L68" s="451"/>
      <c r="M68" s="451"/>
      <c r="N68" s="451"/>
      <c r="O68" s="451"/>
      <c r="P68" s="452"/>
      <c r="Q68" s="422"/>
      <c r="R68" s="423"/>
      <c r="S68" s="423"/>
      <c r="T68" s="423"/>
      <c r="U68" s="423"/>
      <c r="V68" s="423"/>
      <c r="W68" s="424"/>
      <c r="AA68" s="66"/>
      <c r="AB68" s="66"/>
      <c r="AC68" s="66"/>
      <c r="AD68" s="66"/>
      <c r="AE68" s="66"/>
      <c r="AF68" s="66"/>
      <c r="AG68" s="66"/>
    </row>
    <row r="69" spans="2:33" ht="13.5" customHeight="1">
      <c r="B69" s="450"/>
      <c r="C69" s="451"/>
      <c r="D69" s="451"/>
      <c r="E69" s="451"/>
      <c r="F69" s="451"/>
      <c r="G69" s="452"/>
      <c r="H69" s="450"/>
      <c r="I69" s="451"/>
      <c r="J69" s="451"/>
      <c r="K69" s="451"/>
      <c r="L69" s="451"/>
      <c r="M69" s="451"/>
      <c r="N69" s="451"/>
      <c r="O69" s="451"/>
      <c r="P69" s="452"/>
      <c r="Q69" s="422"/>
      <c r="R69" s="423"/>
      <c r="S69" s="423"/>
      <c r="T69" s="423"/>
      <c r="U69" s="423"/>
      <c r="V69" s="423"/>
      <c r="W69" s="424"/>
      <c r="AA69" s="66"/>
      <c r="AB69" s="66"/>
      <c r="AC69" s="66"/>
      <c r="AD69" s="66"/>
      <c r="AE69" s="66"/>
      <c r="AF69" s="66"/>
      <c r="AG69" s="66"/>
    </row>
    <row r="70" spans="2:33" ht="16.5" customHeight="1" thickBot="1">
      <c r="B70" s="453"/>
      <c r="C70" s="454"/>
      <c r="D70" s="454"/>
      <c r="E70" s="454"/>
      <c r="F70" s="454"/>
      <c r="G70" s="455"/>
      <c r="H70" s="453"/>
      <c r="I70" s="454"/>
      <c r="J70" s="454"/>
      <c r="K70" s="454"/>
      <c r="L70" s="454"/>
      <c r="M70" s="454"/>
      <c r="N70" s="454"/>
      <c r="O70" s="454"/>
      <c r="P70" s="455"/>
      <c r="Q70" s="425"/>
      <c r="R70" s="426"/>
      <c r="S70" s="426"/>
      <c r="T70" s="426"/>
      <c r="U70" s="426"/>
      <c r="V70" s="426"/>
      <c r="W70" s="427"/>
      <c r="AA70" s="66"/>
      <c r="AB70" s="66"/>
      <c r="AC70" s="66"/>
      <c r="AD70" s="66"/>
      <c r="AE70" s="66"/>
      <c r="AF70" s="66"/>
      <c r="AG70" s="66"/>
    </row>
    <row r="71" spans="2:33" ht="39" customHeight="1" thickBot="1">
      <c r="B71" s="442" t="s">
        <v>99</v>
      </c>
      <c r="C71" s="443"/>
      <c r="D71" s="443"/>
      <c r="E71" s="443"/>
      <c r="F71" s="443"/>
      <c r="G71" s="443"/>
      <c r="H71" s="443"/>
      <c r="I71" s="443"/>
      <c r="J71" s="443"/>
      <c r="K71" s="443"/>
      <c r="L71" s="443"/>
      <c r="M71" s="443"/>
      <c r="N71" s="443"/>
      <c r="O71" s="443"/>
      <c r="P71" s="443"/>
      <c r="Q71" s="443"/>
      <c r="R71" s="443"/>
      <c r="S71" s="443"/>
      <c r="T71" s="443"/>
      <c r="U71" s="443"/>
      <c r="V71" s="443"/>
      <c r="W71" s="444"/>
      <c r="AA71" s="66"/>
      <c r="AB71" s="66"/>
      <c r="AC71" s="66"/>
      <c r="AD71" s="66"/>
      <c r="AE71" s="66"/>
      <c r="AF71" s="66"/>
      <c r="AG71" s="66"/>
    </row>
    <row r="72" spans="2:33" ht="17.25" customHeight="1" thickBot="1">
      <c r="B72" s="428" t="s">
        <v>35</v>
      </c>
      <c r="C72" s="429"/>
      <c r="D72" s="429"/>
      <c r="E72" s="429"/>
      <c r="F72" s="429"/>
      <c r="G72" s="429"/>
      <c r="H72" s="430"/>
      <c r="I72" s="20"/>
      <c r="L72" s="37"/>
      <c r="O72" s="37"/>
      <c r="P72" s="37"/>
      <c r="Q72" s="37"/>
      <c r="R72" s="37"/>
      <c r="S72" s="37"/>
      <c r="T72" s="30" t="s">
        <v>36</v>
      </c>
    </row>
    <row r="73" spans="2:33" ht="14.25" customHeight="1">
      <c r="B73" s="431"/>
      <c r="C73" s="432"/>
      <c r="D73" s="432"/>
      <c r="E73" s="432"/>
      <c r="F73" s="432"/>
      <c r="G73" s="432"/>
      <c r="H73" s="433"/>
      <c r="I73" s="39"/>
      <c r="J73" s="40"/>
      <c r="K73" s="37"/>
      <c r="L73" s="37"/>
      <c r="M73" s="41"/>
      <c r="N73" s="41"/>
      <c r="R73" s="3"/>
      <c r="S73" s="3" t="s">
        <v>37</v>
      </c>
      <c r="T73" s="446">
        <f>SUM(J15:J16,J20:J26,J28:J32,J43:J60,V14,V16:V30,V32:V34,V36:V39,V41:V60)</f>
        <v>0</v>
      </c>
      <c r="U73" s="446"/>
      <c r="V73" s="446"/>
      <c r="W73" s="179"/>
    </row>
    <row r="74" spans="2:33" ht="15.6">
      <c r="B74" s="434"/>
      <c r="C74" s="435"/>
      <c r="D74" s="435"/>
      <c r="E74" s="435"/>
      <c r="F74" s="435"/>
      <c r="G74" s="435"/>
      <c r="H74" s="436"/>
      <c r="I74" s="39"/>
      <c r="J74" s="40"/>
      <c r="K74" s="3"/>
      <c r="L74" s="3"/>
      <c r="M74" s="3"/>
      <c r="N74" s="3"/>
      <c r="O74" s="3"/>
      <c r="P74" s="3"/>
      <c r="Q74" s="3"/>
      <c r="R74" s="3"/>
      <c r="S74" s="3" t="s">
        <v>323</v>
      </c>
      <c r="T74" s="417">
        <v>150</v>
      </c>
      <c r="U74" s="417"/>
      <c r="V74" s="417"/>
      <c r="W74" s="180"/>
      <c r="Y74" s="341">
        <v>0</v>
      </c>
    </row>
    <row r="75" spans="2:33" ht="15.6">
      <c r="B75" s="434"/>
      <c r="C75" s="435"/>
      <c r="D75" s="435"/>
      <c r="E75" s="435"/>
      <c r="F75" s="435"/>
      <c r="G75" s="435"/>
      <c r="H75" s="436"/>
      <c r="I75" s="39"/>
      <c r="J75" s="40"/>
      <c r="K75" s="37"/>
      <c r="L75" s="37"/>
      <c r="M75" s="41"/>
      <c r="N75" s="41"/>
      <c r="R75" s="3"/>
      <c r="S75" s="3" t="s">
        <v>321</v>
      </c>
      <c r="T75" s="404"/>
      <c r="U75" s="404"/>
      <c r="V75" s="404"/>
      <c r="W75" s="179"/>
      <c r="Y75" s="191">
        <v>75</v>
      </c>
    </row>
    <row r="76" spans="2:33" ht="15.6">
      <c r="B76" s="434"/>
      <c r="C76" s="435"/>
      <c r="D76" s="435"/>
      <c r="E76" s="435"/>
      <c r="F76" s="435"/>
      <c r="G76" s="435"/>
      <c r="H76" s="436"/>
      <c r="I76" s="39"/>
      <c r="J76" s="4"/>
      <c r="K76" s="3" t="s">
        <v>39</v>
      </c>
      <c r="L76" s="37"/>
      <c r="M76" s="42"/>
      <c r="N76" s="41"/>
      <c r="R76" s="3"/>
      <c r="S76" s="3" t="s">
        <v>38</v>
      </c>
      <c r="T76" s="404">
        <f>SUM(T73:T75,T80)</f>
        <v>150</v>
      </c>
      <c r="U76" s="404"/>
      <c r="V76" s="404"/>
      <c r="W76" s="180"/>
      <c r="Y76" s="191">
        <v>125</v>
      </c>
    </row>
    <row r="77" spans="2:33" ht="15.6">
      <c r="B77" s="434"/>
      <c r="C77" s="435"/>
      <c r="D77" s="435"/>
      <c r="E77" s="435"/>
      <c r="F77" s="435"/>
      <c r="G77" s="435"/>
      <c r="H77" s="436"/>
      <c r="I77" s="39"/>
      <c r="J77" s="40"/>
      <c r="K77" s="37"/>
      <c r="L77" s="37"/>
      <c r="M77" s="41"/>
      <c r="N77" s="41"/>
      <c r="R77" s="3"/>
      <c r="S77" s="3" t="s">
        <v>40</v>
      </c>
      <c r="T77" s="405">
        <f>0.5*JobAmount</f>
        <v>75</v>
      </c>
      <c r="U77" s="405"/>
      <c r="V77" s="405"/>
      <c r="W77" s="180"/>
    </row>
    <row r="78" spans="2:33" ht="15.6">
      <c r="B78" s="434"/>
      <c r="C78" s="435"/>
      <c r="D78" s="435"/>
      <c r="E78" s="435"/>
      <c r="F78" s="435"/>
      <c r="G78" s="435"/>
      <c r="H78" s="436"/>
      <c r="I78" s="39"/>
      <c r="R78" s="3"/>
      <c r="S78" s="3" t="s">
        <v>41</v>
      </c>
      <c r="T78" s="405">
        <f>JobAmount-T77</f>
        <v>75</v>
      </c>
      <c r="U78" s="405"/>
      <c r="V78" s="405"/>
      <c r="W78" s="180"/>
    </row>
    <row r="79" spans="2:33" ht="15.6">
      <c r="B79" s="434"/>
      <c r="C79" s="435"/>
      <c r="D79" s="435"/>
      <c r="E79" s="435"/>
      <c r="F79" s="435"/>
      <c r="G79" s="435"/>
      <c r="H79" s="436"/>
      <c r="I79" s="43"/>
      <c r="J79" s="4"/>
      <c r="K79" s="3"/>
      <c r="L79" s="37"/>
      <c r="M79" s="41"/>
      <c r="S79" s="3" t="s">
        <v>42</v>
      </c>
      <c r="T79" s="339"/>
      <c r="U79" s="339"/>
      <c r="V79" s="339"/>
    </row>
    <row r="80" spans="2:33" ht="15.6">
      <c r="B80" s="434"/>
      <c r="C80" s="435"/>
      <c r="D80" s="435"/>
      <c r="E80" s="435"/>
      <c r="F80" s="435"/>
      <c r="G80" s="435"/>
      <c r="H80" s="436"/>
      <c r="I80" s="39"/>
      <c r="J80" s="4"/>
      <c r="K80" s="3"/>
      <c r="L80" s="37"/>
      <c r="M80" s="41"/>
      <c r="N80" s="41"/>
      <c r="R80" s="3"/>
      <c r="S80" s="3" t="s">
        <v>58</v>
      </c>
      <c r="T80" s="441"/>
      <c r="U80" s="441"/>
      <c r="V80" s="441"/>
      <c r="W80" s="180"/>
    </row>
    <row r="81" spans="2:27" ht="12.75" customHeight="1">
      <c r="B81" s="434"/>
      <c r="C81" s="435"/>
      <c r="D81" s="435"/>
      <c r="E81" s="435"/>
      <c r="F81" s="435"/>
      <c r="G81" s="435"/>
      <c r="H81" s="436"/>
      <c r="I81" s="39"/>
      <c r="R81" s="3"/>
      <c r="S81" s="3"/>
      <c r="T81" s="440"/>
      <c r="U81" s="440"/>
      <c r="V81" s="440"/>
      <c r="W81" s="179"/>
    </row>
    <row r="82" spans="2:27" ht="12.75" customHeight="1">
      <c r="B82" s="434"/>
      <c r="C82" s="435"/>
      <c r="D82" s="435"/>
      <c r="E82" s="435"/>
      <c r="F82" s="435"/>
      <c r="G82" s="435"/>
      <c r="H82" s="436"/>
      <c r="I82" s="39"/>
      <c r="J82" s="416"/>
      <c r="K82" s="416"/>
      <c r="L82" s="416"/>
      <c r="M82" s="416"/>
      <c r="N82" s="416"/>
      <c r="O82" s="416"/>
      <c r="P82" s="416"/>
      <c r="Q82" s="416"/>
      <c r="S82" s="406"/>
      <c r="T82" s="406"/>
      <c r="V82" s="44"/>
      <c r="W82" s="45"/>
      <c r="X82" s="45"/>
      <c r="Y82" s="45"/>
      <c r="Z82" s="45"/>
      <c r="AA82" s="45"/>
    </row>
    <row r="83" spans="2:27" ht="13.5" customHeight="1" thickBot="1">
      <c r="B83" s="437"/>
      <c r="C83" s="438"/>
      <c r="D83" s="438"/>
      <c r="E83" s="438"/>
      <c r="F83" s="438"/>
      <c r="G83" s="438"/>
      <c r="H83" s="439"/>
      <c r="I83" s="39"/>
      <c r="J83" s="40"/>
      <c r="K83" s="37"/>
      <c r="L83" s="37"/>
      <c r="M83" s="46"/>
      <c r="N83" s="46"/>
      <c r="O83" s="46" t="s">
        <v>43</v>
      </c>
      <c r="P83" s="41"/>
      <c r="Q83" s="47"/>
      <c r="R83" s="47"/>
      <c r="S83" s="47" t="s">
        <v>44</v>
      </c>
      <c r="V83" s="48" t="s">
        <v>45</v>
      </c>
      <c r="W83" s="48"/>
    </row>
    <row r="84" spans="2:27" ht="13.5" customHeight="1">
      <c r="C84" s="464">
        <v>959</v>
      </c>
      <c r="D84" s="464" t="s">
        <v>376</v>
      </c>
      <c r="E84" s="464"/>
      <c r="F84" s="464"/>
      <c r="G84" s="464"/>
      <c r="H84" s="466">
        <f ca="1">TODAY()</f>
        <v>46156</v>
      </c>
      <c r="I84" s="84"/>
      <c r="J84" s="40"/>
      <c r="K84" s="410"/>
      <c r="L84" s="410"/>
      <c r="M84" s="410"/>
      <c r="N84" s="410"/>
      <c r="O84" s="410"/>
      <c r="P84" s="410"/>
      <c r="Q84" s="410"/>
      <c r="R84" s="410"/>
      <c r="S84" s="410"/>
      <c r="T84" s="407">
        <f ca="1">TODAY()</f>
        <v>46156</v>
      </c>
      <c r="U84" s="408"/>
      <c r="V84" s="408"/>
      <c r="W84" s="48"/>
    </row>
    <row r="85" spans="2:27" ht="13.5" customHeight="1">
      <c r="C85" s="465"/>
      <c r="D85" s="465"/>
      <c r="E85" s="465"/>
      <c r="F85" s="465"/>
      <c r="G85" s="465"/>
      <c r="H85" s="467"/>
      <c r="I85" s="84"/>
      <c r="J85" s="84"/>
      <c r="K85" s="411"/>
      <c r="L85" s="411"/>
      <c r="M85" s="411"/>
      <c r="N85" s="411"/>
      <c r="O85" s="411"/>
      <c r="P85" s="411"/>
      <c r="Q85" s="411"/>
      <c r="R85" s="411"/>
      <c r="S85" s="411"/>
      <c r="T85" s="409"/>
      <c r="U85" s="409"/>
      <c r="V85" s="409"/>
      <c r="W85" s="181"/>
    </row>
    <row r="86" spans="2:27" ht="13.5" customHeight="1">
      <c r="C86" s="4" t="s">
        <v>46</v>
      </c>
      <c r="D86" s="4"/>
      <c r="E86" s="28" t="s">
        <v>47</v>
      </c>
      <c r="F86" s="28"/>
      <c r="G86" s="28"/>
      <c r="H86" s="49" t="s">
        <v>48</v>
      </c>
      <c r="I86" s="39"/>
      <c r="K86" s="50" t="s">
        <v>49</v>
      </c>
      <c r="L86" s="51"/>
      <c r="M86" s="52"/>
      <c r="N86" s="52"/>
      <c r="O86" s="53"/>
      <c r="P86" s="53"/>
      <c r="Q86" s="53"/>
      <c r="R86" s="53"/>
      <c r="S86" s="53"/>
      <c r="T86" s="403" t="s">
        <v>50</v>
      </c>
      <c r="U86" s="403"/>
      <c r="V86" s="403"/>
      <c r="W86" s="182"/>
    </row>
    <row r="87" spans="2:27" ht="13.5" customHeight="1">
      <c r="C87" s="4"/>
      <c r="D87" s="4"/>
      <c r="E87" s="28"/>
      <c r="F87" s="28"/>
      <c r="G87" s="28"/>
      <c r="H87" s="28"/>
      <c r="I87" s="39"/>
      <c r="K87" s="412"/>
      <c r="L87" s="412"/>
      <c r="M87" s="412"/>
      <c r="N87" s="412"/>
      <c r="O87" s="412"/>
      <c r="P87" s="412"/>
      <c r="Q87" s="412"/>
      <c r="R87" s="412"/>
      <c r="S87" s="412"/>
      <c r="T87" s="414">
        <f ca="1">TODAY()</f>
        <v>46156</v>
      </c>
      <c r="U87" s="414"/>
      <c r="V87" s="414"/>
      <c r="W87" s="182"/>
    </row>
    <row r="88" spans="2:27" ht="13.5" customHeight="1">
      <c r="C88" s="54" t="s">
        <v>51</v>
      </c>
      <c r="D88" s="41"/>
      <c r="E88" s="40"/>
      <c r="F88" s="55"/>
      <c r="G88" s="55"/>
      <c r="H88" s="39"/>
      <c r="I88" s="39"/>
      <c r="J88" s="40"/>
      <c r="K88" s="413"/>
      <c r="L88" s="413"/>
      <c r="M88" s="413"/>
      <c r="N88" s="413"/>
      <c r="O88" s="413"/>
      <c r="P88" s="413"/>
      <c r="Q88" s="413"/>
      <c r="R88" s="413"/>
      <c r="S88" s="413"/>
      <c r="T88" s="415"/>
      <c r="U88" s="415"/>
      <c r="V88" s="415"/>
      <c r="W88" s="112"/>
    </row>
    <row r="89" spans="2:27" ht="13.5" customHeight="1">
      <c r="C89" s="54"/>
      <c r="D89" s="41"/>
      <c r="F89" s="55"/>
      <c r="G89" s="55"/>
      <c r="H89" s="39"/>
      <c r="K89" s="50" t="s">
        <v>49</v>
      </c>
      <c r="L89" s="51"/>
      <c r="M89" s="52"/>
      <c r="N89" s="52"/>
      <c r="O89" s="53"/>
      <c r="P89" s="53"/>
      <c r="Q89" s="53"/>
      <c r="R89" s="53"/>
      <c r="S89" s="53"/>
      <c r="T89" s="403" t="s">
        <v>50</v>
      </c>
      <c r="U89" s="403"/>
      <c r="V89" s="403"/>
      <c r="W89" s="182"/>
    </row>
    <row r="90" spans="2:27" ht="13.5" hidden="1" customHeight="1">
      <c r="F90" s="56"/>
      <c r="G90" s="56"/>
    </row>
    <row r="91" spans="2:27" ht="13.5" hidden="1" customHeight="1"/>
    <row r="92" spans="2:27" ht="13.5" hidden="1" customHeight="1"/>
    <row r="93" spans="2:27" ht="13.5" hidden="1" customHeight="1"/>
    <row r="94" spans="2:27" ht="13.5" hidden="1" customHeight="1"/>
    <row r="95" spans="2:27" ht="13.5" hidden="1" customHeight="1"/>
    <row r="96" spans="2:27" ht="13.5" hidden="1" customHeight="1"/>
    <row r="97" spans="3:23" ht="13.5" hidden="1" customHeight="1"/>
    <row r="98" spans="3:23" ht="13.5" hidden="1" customHeight="1"/>
    <row r="99" spans="3:23" ht="13.5" hidden="1" customHeight="1"/>
    <row r="100" spans="3:23" ht="13.5" hidden="1" customHeight="1"/>
    <row r="101" spans="3:23" ht="13.5" hidden="1" customHeight="1"/>
    <row r="102" spans="3:23" ht="13.5" hidden="1" customHeight="1"/>
    <row r="103" spans="3:23" ht="13.5" hidden="1" customHeight="1"/>
    <row r="104" spans="3:23" ht="13.5" hidden="1" customHeight="1"/>
    <row r="105" spans="3:23" ht="13.5" hidden="1" customHeight="1"/>
    <row r="106" spans="3:23" ht="13.5" hidden="1" customHeight="1"/>
    <row r="107" spans="3:23" ht="13.5" hidden="1" customHeight="1"/>
    <row r="108" spans="3:23" ht="13.5" hidden="1" customHeight="1"/>
    <row r="109" spans="3:23" ht="13.5" hidden="1" customHeight="1"/>
    <row r="110" spans="3:23" ht="13.5" hidden="1" customHeight="1"/>
    <row r="111" spans="3:23" ht="13.5" hidden="1" customHeight="1"/>
    <row r="112" spans="3:23" ht="13.5" hidden="1" customHeight="1">
      <c r="C112" s="54" t="s">
        <v>51</v>
      </c>
      <c r="K112" s="50" t="s">
        <v>49</v>
      </c>
      <c r="L112" s="51"/>
      <c r="M112" s="52"/>
      <c r="N112" s="52"/>
      <c r="O112" s="53"/>
      <c r="P112" s="53"/>
      <c r="Q112" s="53"/>
      <c r="R112" s="53"/>
      <c r="S112" s="53"/>
      <c r="T112" s="403" t="s">
        <v>50</v>
      </c>
      <c r="U112" s="403"/>
      <c r="V112" s="403"/>
      <c r="W112" s="182"/>
    </row>
    <row r="113" spans="3:23">
      <c r="C113" s="54" t="s">
        <v>106</v>
      </c>
      <c r="I113" s="58"/>
      <c r="V113" s="340" t="s">
        <v>372</v>
      </c>
      <c r="W113" s="59"/>
    </row>
    <row r="114" spans="3:23" s="57" customFormat="1">
      <c r="C114" s="1"/>
      <c r="D114" s="55"/>
      <c r="H114" s="58"/>
      <c r="I114" s="2"/>
      <c r="J114" s="59"/>
      <c r="M114" s="54"/>
      <c r="N114" s="54"/>
      <c r="T114" s="60"/>
      <c r="U114" s="60"/>
      <c r="V114" s="4"/>
      <c r="W114" s="4"/>
    </row>
  </sheetData>
  <scenarios current="0" show="0">
    <scenario name="1" locked="1" count="1" user="Rep" comment="Created by bjg on 12/8/2006">
      <inputCells r="E85" val="Joe Pogash"/>
    </scenario>
  </scenarios>
  <mergeCells count="76">
    <mergeCell ref="C84:C85"/>
    <mergeCell ref="D84:G85"/>
    <mergeCell ref="H84:H85"/>
    <mergeCell ref="E57:G57"/>
    <mergeCell ref="O56:S56"/>
    <mergeCell ref="E60:G60"/>
    <mergeCell ref="H61:P70"/>
    <mergeCell ref="O57:S57"/>
    <mergeCell ref="E56:G56"/>
    <mergeCell ref="E59:G59"/>
    <mergeCell ref="O59:S59"/>
    <mergeCell ref="O34:S34"/>
    <mergeCell ref="F42:H42"/>
    <mergeCell ref="O32:S32"/>
    <mergeCell ref="B39:K40"/>
    <mergeCell ref="B41:F41"/>
    <mergeCell ref="T74:V74"/>
    <mergeCell ref="T75:V75"/>
    <mergeCell ref="O60:S60"/>
    <mergeCell ref="Q61:W70"/>
    <mergeCell ref="E45:G45"/>
    <mergeCell ref="E46:G46"/>
    <mergeCell ref="B72:H72"/>
    <mergeCell ref="B73:H83"/>
    <mergeCell ref="T81:V81"/>
    <mergeCell ref="T80:V80"/>
    <mergeCell ref="B71:W71"/>
    <mergeCell ref="O53:S53"/>
    <mergeCell ref="T73:V73"/>
    <mergeCell ref="O54:S54"/>
    <mergeCell ref="B61:G70"/>
    <mergeCell ref="T112:V112"/>
    <mergeCell ref="T76:V76"/>
    <mergeCell ref="T77:V77"/>
    <mergeCell ref="T78:V78"/>
    <mergeCell ref="T89:V89"/>
    <mergeCell ref="T86:V86"/>
    <mergeCell ref="S82:T82"/>
    <mergeCell ref="T84:V85"/>
    <mergeCell ref="K84:S85"/>
    <mergeCell ref="K87:S88"/>
    <mergeCell ref="T87:V88"/>
    <mergeCell ref="J82:Q82"/>
    <mergeCell ref="E17:G17"/>
    <mergeCell ref="E43:G43"/>
    <mergeCell ref="E44:G44"/>
    <mergeCell ref="O36:S36"/>
    <mergeCell ref="E31:G31"/>
    <mergeCell ref="O37:S37"/>
    <mergeCell ref="E28:G28"/>
    <mergeCell ref="O33:S33"/>
    <mergeCell ref="O38:S38"/>
    <mergeCell ref="E29:G29"/>
    <mergeCell ref="O40:T40"/>
    <mergeCell ref="B33:K38"/>
    <mergeCell ref="E30:G30"/>
    <mergeCell ref="O39:S39"/>
    <mergeCell ref="O31:S31"/>
    <mergeCell ref="E32:G32"/>
    <mergeCell ref="AB11:AG11"/>
    <mergeCell ref="M1:V1"/>
    <mergeCell ref="M3:V3"/>
    <mergeCell ref="S10:W10"/>
    <mergeCell ref="S11:W11"/>
    <mergeCell ref="M2:V2"/>
    <mergeCell ref="B9:C9"/>
    <mergeCell ref="B10:C10"/>
    <mergeCell ref="B11:C11"/>
    <mergeCell ref="O12:S12"/>
    <mergeCell ref="E12:H12"/>
    <mergeCell ref="F9:G9"/>
    <mergeCell ref="L11:M11"/>
    <mergeCell ref="F10:G10"/>
    <mergeCell ref="K10:N10"/>
    <mergeCell ref="I11:J11"/>
    <mergeCell ref="J9:W9"/>
  </mergeCells>
  <dataValidations count="6">
    <dataValidation type="list" showInputMessage="1" showErrorMessage="1" sqref="T14" xr:uid="{00000000-0002-0000-0000-000000000000}">
      <formula1>$Y$14:$Y$15</formula1>
    </dataValidation>
    <dataValidation showInputMessage="1" showErrorMessage="1" sqref="H15:H17 H20" xr:uid="{00000000-0002-0000-0000-000001000000}"/>
    <dataValidation type="list" allowBlank="1" showInputMessage="1" showErrorMessage="1" sqref="T49" xr:uid="{00000000-0002-0000-0000-000002000000}">
      <formula1>$AD$43:$AD$44</formula1>
    </dataValidation>
    <dataValidation type="list" showInputMessage="1" showErrorMessage="1" sqref="W74" xr:uid="{00000000-0002-0000-0000-000003000000}">
      <formula1>$Y$75:$Y$76</formula1>
    </dataValidation>
    <dataValidation type="list" showInputMessage="1" showErrorMessage="1" sqref="Q8" xr:uid="{00000000-0002-0000-0000-000004000000}">
      <formula1>"Y,N"</formula1>
    </dataValidation>
    <dataValidation type="list" allowBlank="1" showInputMessage="1" showErrorMessage="1" sqref="T50:T51" xr:uid="{00000000-0002-0000-0000-000005000000}">
      <formula1>$AD$46:$AD$47</formula1>
    </dataValidation>
  </dataValidations>
  <printOptions horizontalCentered="1" verticalCentered="1"/>
  <pageMargins left="0.25" right="0.25" top="0.25" bottom="0.25" header="0.51180555555555551" footer="0.51180555555555551"/>
  <pageSetup scale="62" firstPageNumber="0" orientation="portrait" r:id="rId1"/>
  <headerFooter alignWithMargins="0"/>
  <ignoredErrors>
    <ignoredError sqref="V31" formula="1"/>
    <ignoredError sqref="M15:M17" unlockedFormula="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AP79"/>
  <sheetViews>
    <sheetView topLeftCell="A22" zoomScaleSheetLayoutView="75" workbookViewId="0">
      <selection activeCell="AA74" sqref="AA74"/>
    </sheetView>
  </sheetViews>
  <sheetFormatPr defaultRowHeight="13.2"/>
  <cols>
    <col min="1" max="1" width="3.77734375" customWidth="1"/>
    <col min="2" max="2" width="11.44140625" style="1" customWidth="1"/>
    <col min="3" max="3" width="1.44140625" style="1" customWidth="1"/>
    <col min="4" max="4" width="1.21875" customWidth="1"/>
    <col min="5" max="5" width="7.88671875" style="2" customWidth="1"/>
    <col min="6" max="6" width="2.21875" style="2" customWidth="1"/>
    <col min="7" max="7" width="8.88671875" style="3" customWidth="1"/>
    <col min="8" max="8" width="1.21875" customWidth="1"/>
    <col min="9" max="9" width="8" customWidth="1"/>
    <col min="10" max="10" width="7.88671875" style="2" customWidth="1"/>
    <col min="11" max="11" width="1.109375" style="2" customWidth="1"/>
    <col min="12" max="12" width="8.88671875" style="3" customWidth="1"/>
    <col min="13" max="14" width="1.21875" customWidth="1"/>
    <col min="15" max="15" width="6.21875" style="4" customWidth="1"/>
    <col min="16" max="16" width="1.5546875" style="4" customWidth="1"/>
    <col min="17" max="17" width="8.44140625" customWidth="1"/>
    <col min="18" max="18" width="1.109375" customWidth="1"/>
    <col min="19" max="19" width="8.109375" customWidth="1"/>
    <col min="20" max="20" width="1.109375" customWidth="1"/>
    <col min="21" max="21" width="9.88671875" customWidth="1"/>
    <col min="22" max="22" width="5" style="5" customWidth="1"/>
    <col min="23" max="23" width="1.109375" style="5" customWidth="1"/>
    <col min="24" max="24" width="11.44140625" style="4" customWidth="1"/>
    <col min="25" max="26" width="5.5546875" customWidth="1"/>
    <col min="28" max="28" width="8.77734375" customWidth="1"/>
  </cols>
  <sheetData>
    <row r="1" spans="2:42" ht="9" customHeight="1">
      <c r="B1" s="164"/>
      <c r="C1" s="165"/>
      <c r="D1" s="150"/>
      <c r="E1" s="166"/>
      <c r="F1" s="166"/>
      <c r="G1" s="167"/>
      <c r="H1" s="150"/>
      <c r="I1" s="150"/>
      <c r="J1" s="166"/>
      <c r="K1" s="166"/>
      <c r="L1" s="167"/>
      <c r="M1" s="150"/>
      <c r="N1" s="150"/>
      <c r="O1" s="168"/>
      <c r="P1" s="168"/>
      <c r="Q1" s="150"/>
      <c r="R1" s="150"/>
      <c r="S1" s="150"/>
      <c r="T1" s="150"/>
      <c r="U1" s="150"/>
      <c r="V1" s="169"/>
      <c r="W1" s="169"/>
      <c r="X1" s="170"/>
    </row>
    <row r="2" spans="2:42" ht="31.5" customHeight="1">
      <c r="B2" s="469"/>
      <c r="C2" s="470"/>
      <c r="D2" s="470"/>
      <c r="E2" s="470"/>
      <c r="F2" s="470"/>
      <c r="G2" s="470"/>
      <c r="H2" s="470"/>
      <c r="I2" s="470"/>
      <c r="J2" s="470"/>
      <c r="K2" s="470"/>
      <c r="L2" s="470"/>
      <c r="M2" s="470"/>
      <c r="N2" s="470"/>
      <c r="O2" s="470"/>
      <c r="P2" s="470"/>
      <c r="Q2" s="470"/>
      <c r="R2" s="470"/>
      <c r="S2" s="470"/>
      <c r="T2" s="470"/>
      <c r="U2" s="470"/>
      <c r="V2" s="470"/>
      <c r="W2" s="470"/>
      <c r="X2" s="471"/>
    </row>
    <row r="3" spans="2:42" ht="3" customHeight="1">
      <c r="B3" s="472" t="s">
        <v>74</v>
      </c>
      <c r="C3" s="473"/>
      <c r="D3" s="473"/>
      <c r="E3" s="473"/>
      <c r="F3" s="473"/>
      <c r="G3" s="473"/>
      <c r="H3" s="473"/>
      <c r="I3" s="473"/>
      <c r="J3" s="473"/>
      <c r="K3" s="473"/>
      <c r="L3" s="473"/>
      <c r="M3" s="473"/>
      <c r="N3" s="473"/>
      <c r="O3" s="473"/>
      <c r="P3" s="473"/>
      <c r="Q3" s="473"/>
      <c r="R3" s="473"/>
      <c r="S3" s="473"/>
      <c r="T3" s="473"/>
      <c r="U3" s="473"/>
      <c r="V3" s="473"/>
      <c r="W3" s="473"/>
      <c r="X3" s="474"/>
      <c r="Y3" s="8"/>
      <c r="Z3" s="8"/>
      <c r="AA3" s="8"/>
    </row>
    <row r="4" spans="2:42" ht="6.75" customHeight="1">
      <c r="B4" s="472"/>
      <c r="C4" s="473"/>
      <c r="D4" s="473"/>
      <c r="E4" s="473"/>
      <c r="F4" s="473"/>
      <c r="G4" s="473"/>
      <c r="H4" s="473"/>
      <c r="I4" s="473"/>
      <c r="J4" s="473"/>
      <c r="K4" s="473"/>
      <c r="L4" s="473"/>
      <c r="M4" s="473"/>
      <c r="N4" s="473"/>
      <c r="O4" s="473"/>
      <c r="P4" s="473"/>
      <c r="Q4" s="473"/>
      <c r="R4" s="473"/>
      <c r="S4" s="473"/>
      <c r="T4" s="473"/>
      <c r="U4" s="473"/>
      <c r="V4" s="473"/>
      <c r="W4" s="473"/>
      <c r="X4" s="474"/>
      <c r="Y4" s="8"/>
      <c r="Z4" s="8"/>
      <c r="AA4" s="8"/>
    </row>
    <row r="5" spans="2:42" ht="12" customHeight="1">
      <c r="B5" s="472"/>
      <c r="C5" s="473"/>
      <c r="D5" s="473"/>
      <c r="E5" s="473"/>
      <c r="F5" s="473"/>
      <c r="G5" s="473"/>
      <c r="H5" s="473"/>
      <c r="I5" s="473"/>
      <c r="J5" s="473"/>
      <c r="K5" s="473"/>
      <c r="L5" s="473"/>
      <c r="M5" s="473"/>
      <c r="N5" s="473"/>
      <c r="O5" s="473"/>
      <c r="P5" s="473"/>
      <c r="Q5" s="473"/>
      <c r="R5" s="473"/>
      <c r="S5" s="473"/>
      <c r="T5" s="473"/>
      <c r="U5" s="473"/>
      <c r="V5" s="473"/>
      <c r="W5" s="473"/>
      <c r="X5" s="474"/>
    </row>
    <row r="6" spans="2:42" ht="12" customHeight="1">
      <c r="B6" s="152"/>
      <c r="C6" s="153"/>
      <c r="D6" s="153"/>
      <c r="E6" s="153"/>
      <c r="F6" s="153"/>
      <c r="G6" s="153"/>
      <c r="H6" s="153"/>
      <c r="I6" s="153"/>
      <c r="J6" s="153"/>
      <c r="K6" s="153"/>
      <c r="L6" s="153"/>
      <c r="M6" s="153"/>
      <c r="N6" s="153"/>
      <c r="O6" s="153"/>
      <c r="P6" s="153"/>
      <c r="Q6" s="153"/>
      <c r="R6" s="153"/>
      <c r="S6" s="153"/>
      <c r="T6" s="153"/>
      <c r="U6" s="153"/>
      <c r="V6" s="153"/>
      <c r="W6" s="153"/>
      <c r="X6" s="154"/>
    </row>
    <row r="7" spans="2:42" ht="13.8">
      <c r="B7" s="81"/>
      <c r="C7"/>
      <c r="D7" s="107"/>
      <c r="E7" s="3"/>
      <c r="F7" s="108"/>
      <c r="G7" s="132"/>
      <c r="H7" s="132"/>
      <c r="I7" s="132"/>
      <c r="J7" s="3"/>
      <c r="K7" s="108"/>
      <c r="L7" s="132"/>
      <c r="M7" s="132"/>
      <c r="N7" s="132"/>
      <c r="O7" s="132"/>
      <c r="P7" s="132"/>
      <c r="Q7" s="132"/>
      <c r="S7" s="3"/>
      <c r="T7" s="40"/>
      <c r="U7" s="133"/>
      <c r="V7" s="133"/>
      <c r="W7" s="133"/>
      <c r="X7" s="134"/>
    </row>
    <row r="8" spans="2:42" ht="13.8">
      <c r="B8" s="81"/>
      <c r="C8"/>
      <c r="D8" s="107"/>
      <c r="H8" s="132"/>
      <c r="I8" s="132"/>
      <c r="M8" s="132"/>
      <c r="N8" s="132"/>
      <c r="O8" s="132"/>
      <c r="P8" s="132"/>
      <c r="S8" s="3"/>
      <c r="T8" s="40"/>
      <c r="U8" s="133"/>
      <c r="V8" s="133"/>
      <c r="W8" s="133"/>
      <c r="X8" s="134"/>
    </row>
    <row r="9" spans="2:42" ht="13.8">
      <c r="B9" s="81"/>
      <c r="C9"/>
      <c r="E9" s="92"/>
      <c r="F9" s="135"/>
      <c r="G9" s="135"/>
      <c r="I9" s="3"/>
      <c r="J9" s="92"/>
      <c r="K9" s="135"/>
      <c r="L9" s="135"/>
      <c r="N9" s="132"/>
      <c r="O9" s="132"/>
      <c r="S9" s="3"/>
      <c r="T9" s="40"/>
      <c r="U9" s="133"/>
      <c r="V9" s="133"/>
      <c r="W9" s="133"/>
      <c r="X9" s="134"/>
      <c r="AP9" s="4"/>
    </row>
    <row r="10" spans="2:42" ht="16.5" customHeight="1">
      <c r="B10" s="114"/>
      <c r="C10"/>
      <c r="D10" s="136"/>
      <c r="E10" s="136"/>
      <c r="F10"/>
      <c r="G10"/>
      <c r="I10" s="136"/>
      <c r="J10" s="136"/>
      <c r="K10"/>
      <c r="L10"/>
      <c r="N10" s="136"/>
      <c r="O10" s="136"/>
      <c r="P10" s="136"/>
      <c r="Q10" s="136"/>
      <c r="R10" s="136"/>
      <c r="S10" s="136"/>
      <c r="T10" s="136"/>
      <c r="U10" s="136"/>
      <c r="V10" s="136"/>
      <c r="W10" s="136"/>
      <c r="X10" s="137"/>
      <c r="AC10" s="10"/>
    </row>
    <row r="11" spans="2:42" ht="19.5" customHeight="1">
      <c r="B11" s="95"/>
      <c r="C11"/>
      <c r="D11" s="11"/>
      <c r="E11" s="4"/>
      <c r="F11" s="4"/>
      <c r="G11" s="94"/>
      <c r="H11" s="4"/>
      <c r="I11" s="12"/>
      <c r="J11" s="4"/>
      <c r="K11" s="4"/>
      <c r="L11" s="94"/>
      <c r="M11" s="4"/>
      <c r="N11" s="4"/>
      <c r="O11" s="94"/>
      <c r="P11" s="14"/>
      <c r="Q11" s="65"/>
      <c r="V11" s="18"/>
      <c r="W11" s="15"/>
      <c r="X11" s="102"/>
    </row>
    <row r="12" spans="2:42" ht="13.5" customHeight="1">
      <c r="B12" s="81"/>
      <c r="C12"/>
      <c r="D12" s="16"/>
      <c r="E12"/>
      <c r="F12"/>
      <c r="G12"/>
      <c r="J12"/>
      <c r="K12"/>
      <c r="L12"/>
      <c r="O12" s="97"/>
      <c r="P12" s="1"/>
      <c r="V12" s="62"/>
      <c r="W12" s="15"/>
      <c r="X12" s="115"/>
      <c r="Z12" s="73"/>
    </row>
    <row r="13" spans="2:42" ht="13.5" customHeight="1">
      <c r="B13" s="116"/>
      <c r="E13" s="18"/>
      <c r="F13" s="18"/>
      <c r="G13" s="19"/>
      <c r="I13" s="91"/>
      <c r="J13" s="18"/>
      <c r="K13" s="18"/>
      <c r="L13" s="19"/>
      <c r="O13" s="93"/>
      <c r="P13" s="14"/>
      <c r="Q13" s="65"/>
      <c r="V13" s="18"/>
      <c r="W13" s="15"/>
      <c r="X13" s="115"/>
      <c r="Z13" s="73"/>
    </row>
    <row r="14" spans="2:42" ht="13.5" customHeight="1">
      <c r="B14" s="116"/>
      <c r="C14"/>
      <c r="D14" s="65"/>
      <c r="E14" s="18"/>
      <c r="F14"/>
      <c r="G14" s="19"/>
      <c r="I14" s="30"/>
      <c r="J14" s="18"/>
      <c r="K14"/>
      <c r="L14" s="19"/>
      <c r="O14" s="93"/>
      <c r="P14" s="14"/>
      <c r="Q14" s="65"/>
      <c r="V14" s="15"/>
      <c r="W14" s="15"/>
      <c r="X14" s="115"/>
    </row>
    <row r="15" spans="2:42" ht="13.5" customHeight="1">
      <c r="B15" s="87"/>
      <c r="C15"/>
      <c r="D15" s="138"/>
      <c r="E15" s="18"/>
      <c r="F15"/>
      <c r="G15" s="19"/>
      <c r="I15" s="138"/>
      <c r="J15" s="18"/>
      <c r="K15"/>
      <c r="L15" s="19"/>
      <c r="O15" s="93"/>
      <c r="P15" s="14"/>
      <c r="Q15" s="65"/>
      <c r="V15" s="15"/>
      <c r="W15" s="15"/>
      <c r="X15" s="115"/>
      <c r="Z15" s="73"/>
    </row>
    <row r="16" spans="2:42" ht="13.5" customHeight="1">
      <c r="B16" s="95"/>
      <c r="C16" s="21"/>
      <c r="D16" s="21"/>
      <c r="E16"/>
      <c r="F16"/>
      <c r="G16" s="94"/>
      <c r="J16"/>
      <c r="K16"/>
      <c r="L16" s="94"/>
      <c r="O16" s="97"/>
      <c r="P16" s="14"/>
      <c r="V16" s="15"/>
      <c r="W16" s="15"/>
      <c r="X16" s="115"/>
      <c r="Z16" s="73"/>
    </row>
    <row r="17" spans="2:26" ht="13.5" customHeight="1">
      <c r="B17" s="116"/>
      <c r="E17" s="72"/>
      <c r="F17" s="18"/>
      <c r="G17" s="19"/>
      <c r="J17" s="72"/>
      <c r="K17" s="18"/>
      <c r="L17" s="19"/>
      <c r="O17" s="97"/>
      <c r="P17" s="14"/>
      <c r="V17" s="15"/>
      <c r="W17" s="15"/>
      <c r="X17" s="115"/>
      <c r="Z17" s="73"/>
    </row>
    <row r="18" spans="2:26" ht="13.5" customHeight="1">
      <c r="B18" s="116"/>
      <c r="E18" s="72"/>
      <c r="F18" s="18"/>
      <c r="G18" s="19"/>
      <c r="J18" s="72"/>
      <c r="K18" s="18"/>
      <c r="L18" s="19"/>
      <c r="O18" s="97"/>
      <c r="P18" s="1"/>
      <c r="V18" s="15"/>
      <c r="W18" s="15"/>
      <c r="X18" s="115"/>
      <c r="Z18" s="73"/>
    </row>
    <row r="19" spans="2:26" ht="13.5" customHeight="1">
      <c r="B19" s="116"/>
      <c r="E19" s="72"/>
      <c r="F19" s="18"/>
      <c r="G19" s="19"/>
      <c r="J19" s="72"/>
      <c r="K19" s="18"/>
      <c r="L19" s="19"/>
      <c r="O19" s="97"/>
      <c r="P19" s="14"/>
      <c r="Q19" s="65"/>
      <c r="V19" s="15"/>
      <c r="W19" s="15"/>
      <c r="X19" s="115"/>
      <c r="Z19" s="73"/>
    </row>
    <row r="20" spans="2:26" ht="13.5" customHeight="1">
      <c r="B20" s="116"/>
      <c r="D20" s="4"/>
      <c r="E20" s="18"/>
      <c r="F20" s="18"/>
      <c r="G20" s="19"/>
      <c r="I20" s="4"/>
      <c r="J20" s="18"/>
      <c r="K20" s="18"/>
      <c r="L20" s="19"/>
      <c r="O20" s="97"/>
      <c r="P20" s="1"/>
      <c r="V20" s="18"/>
      <c r="W20" s="15"/>
      <c r="X20" s="115"/>
      <c r="Z20" s="73"/>
    </row>
    <row r="21" spans="2:26" ht="13.5" customHeight="1">
      <c r="B21" s="116"/>
      <c r="D21" s="4"/>
      <c r="E21" s="18"/>
      <c r="F21" s="18"/>
      <c r="G21" s="19"/>
      <c r="I21" s="4"/>
      <c r="J21" s="18"/>
      <c r="K21" s="18"/>
      <c r="L21" s="19"/>
      <c r="O21" s="97"/>
      <c r="P21" s="1"/>
      <c r="V21" s="15"/>
      <c r="W21" s="15"/>
      <c r="X21" s="117"/>
      <c r="Z21" s="73"/>
    </row>
    <row r="22" spans="2:26" ht="13.5" customHeight="1">
      <c r="B22" s="81"/>
      <c r="D22" s="139"/>
      <c r="E22" s="72"/>
      <c r="F22" s="18"/>
      <c r="G22" s="19"/>
      <c r="I22" s="139"/>
      <c r="J22" s="72"/>
      <c r="K22" s="18"/>
      <c r="L22" s="19"/>
      <c r="O22" s="93"/>
      <c r="P22" s="14"/>
      <c r="Q22" s="65"/>
      <c r="V22" s="15"/>
      <c r="W22" s="18"/>
      <c r="X22" s="117"/>
    </row>
    <row r="23" spans="2:26" ht="13.5" customHeight="1">
      <c r="B23" s="95"/>
      <c r="D23" s="140"/>
      <c r="E23" s="96"/>
      <c r="F23" s="18"/>
      <c r="G23" s="94"/>
      <c r="I23" s="132"/>
      <c r="J23" s="96"/>
      <c r="K23" s="18"/>
      <c r="L23" s="94"/>
      <c r="O23" s="97"/>
      <c r="P23" s="1"/>
      <c r="V23" s="15"/>
      <c r="W23" s="15"/>
      <c r="X23" s="115"/>
    </row>
    <row r="24" spans="2:26" ht="13.5" customHeight="1">
      <c r="B24" s="87"/>
      <c r="D24" s="141"/>
      <c r="E24" s="18"/>
      <c r="F24" s="18"/>
      <c r="G24" s="19"/>
      <c r="I24" s="141"/>
      <c r="J24" s="18"/>
      <c r="K24" s="18"/>
      <c r="L24" s="19"/>
      <c r="O24" s="97"/>
      <c r="P24" s="1"/>
      <c r="Q24" s="22"/>
      <c r="R24" s="22"/>
      <c r="S24" s="22"/>
      <c r="T24" s="22"/>
      <c r="U24" s="22"/>
      <c r="V24" s="23"/>
      <c r="W24" s="15"/>
      <c r="X24" s="115"/>
      <c r="Z24" s="73"/>
    </row>
    <row r="25" spans="2:26" ht="13.5" customHeight="1">
      <c r="B25" s="116"/>
      <c r="D25" s="132"/>
      <c r="E25" s="72"/>
      <c r="F25" s="18"/>
      <c r="G25" s="19"/>
      <c r="I25" s="132"/>
      <c r="J25" s="72"/>
      <c r="K25" s="18"/>
      <c r="L25" s="19"/>
      <c r="O25" s="93"/>
      <c r="P25" s="14"/>
      <c r="V25" s="15"/>
      <c r="W25" s="15"/>
      <c r="X25" s="115"/>
    </row>
    <row r="26" spans="2:26" ht="13.5" customHeight="1">
      <c r="B26" s="116"/>
      <c r="D26" s="132"/>
      <c r="E26" s="72"/>
      <c r="F26" s="18"/>
      <c r="G26" s="19"/>
      <c r="I26" s="132"/>
      <c r="J26" s="72"/>
      <c r="K26" s="18"/>
      <c r="L26" s="19"/>
      <c r="O26" s="94"/>
      <c r="P26" s="1"/>
      <c r="Q26" s="142"/>
      <c r="R26" s="142"/>
      <c r="S26" s="142"/>
      <c r="T26" s="142"/>
      <c r="U26" s="142"/>
      <c r="V26" s="96"/>
      <c r="W26" s="15"/>
      <c r="X26" s="102"/>
    </row>
    <row r="27" spans="2:26" ht="13.5" customHeight="1">
      <c r="B27" s="116"/>
      <c r="D27" s="132"/>
      <c r="E27" s="72"/>
      <c r="F27" s="18"/>
      <c r="G27" s="19"/>
      <c r="I27" s="132"/>
      <c r="J27" s="72"/>
      <c r="K27" s="18"/>
      <c r="L27" s="19"/>
      <c r="O27" s="109"/>
      <c r="P27" s="26"/>
      <c r="Q27" s="132"/>
      <c r="R27" s="132"/>
      <c r="S27" s="132"/>
      <c r="T27" s="132"/>
      <c r="U27" s="132"/>
      <c r="V27"/>
      <c r="W27" s="27"/>
      <c r="X27" s="88"/>
    </row>
    <row r="28" spans="2:26" ht="13.5" customHeight="1">
      <c r="B28" s="116"/>
      <c r="D28" s="132"/>
      <c r="E28" s="72"/>
      <c r="F28" s="18"/>
      <c r="G28" s="19"/>
      <c r="I28" s="132"/>
      <c r="J28" s="72"/>
      <c r="K28" s="18"/>
      <c r="L28" s="19"/>
      <c r="O28" s="109"/>
      <c r="P28" s="26"/>
      <c r="Q28" s="132"/>
      <c r="R28" s="132"/>
      <c r="S28" s="132"/>
      <c r="T28" s="132"/>
      <c r="U28" s="132"/>
      <c r="V28"/>
      <c r="W28" s="27"/>
      <c r="X28" s="88"/>
    </row>
    <row r="29" spans="2:26" ht="15" customHeight="1">
      <c r="B29" s="116"/>
      <c r="D29" s="132"/>
      <c r="E29" s="72"/>
      <c r="F29" s="1"/>
      <c r="G29" s="19"/>
      <c r="I29" s="132"/>
      <c r="J29" s="72"/>
      <c r="K29" s="1"/>
      <c r="L29" s="19"/>
      <c r="O29" s="109"/>
      <c r="P29" s="26"/>
      <c r="Q29" s="132"/>
      <c r="R29" s="132"/>
      <c r="S29" s="132"/>
      <c r="T29" s="132"/>
      <c r="U29" s="132"/>
      <c r="V29" s="110"/>
      <c r="W29" s="27"/>
      <c r="X29" s="88"/>
    </row>
    <row r="30" spans="2:26" ht="13.5" customHeight="1">
      <c r="B30" s="143"/>
      <c r="C30" s="144"/>
      <c r="D30" s="144"/>
      <c r="E30" s="144"/>
      <c r="F30" s="144"/>
      <c r="G30" s="144"/>
      <c r="H30" s="111"/>
      <c r="I30" s="144"/>
      <c r="J30" s="144"/>
      <c r="K30" s="144"/>
      <c r="L30" s="144"/>
      <c r="M30" s="111"/>
      <c r="O30" s="1"/>
      <c r="P30" s="1"/>
      <c r="V30" s="28"/>
      <c r="W30" s="18"/>
      <c r="X30" s="88"/>
    </row>
    <row r="31" spans="2:26" ht="15" customHeight="1">
      <c r="B31" s="143"/>
      <c r="C31" s="144"/>
      <c r="D31" s="144"/>
      <c r="E31" s="144"/>
      <c r="F31" s="144"/>
      <c r="G31" s="144"/>
      <c r="H31" s="111"/>
      <c r="I31" s="144"/>
      <c r="J31" s="144"/>
      <c r="K31" s="144"/>
      <c r="L31" s="144"/>
      <c r="M31" s="111"/>
      <c r="O31" s="97"/>
      <c r="P31" s="29"/>
      <c r="Q31" s="65"/>
      <c r="R31" s="65"/>
      <c r="S31" s="65"/>
      <c r="T31" s="65"/>
      <c r="U31" s="65"/>
      <c r="V31" s="18"/>
      <c r="W31"/>
      <c r="X31" s="115"/>
    </row>
    <row r="32" spans="2:26" ht="13.5" customHeight="1">
      <c r="B32" s="143"/>
      <c r="C32" s="144"/>
      <c r="D32" s="144"/>
      <c r="E32" s="144"/>
      <c r="F32" s="144"/>
      <c r="G32" s="144"/>
      <c r="H32" s="111"/>
      <c r="I32" s="144"/>
      <c r="J32" s="144"/>
      <c r="K32" s="144"/>
      <c r="L32" s="144"/>
      <c r="M32" s="111"/>
      <c r="O32" s="97"/>
      <c r="P32" s="1"/>
      <c r="Q32" s="65"/>
      <c r="R32" s="65"/>
      <c r="S32" s="65"/>
      <c r="T32" s="65"/>
      <c r="U32" s="65"/>
      <c r="V32" s="18"/>
      <c r="W32" s="32"/>
      <c r="X32" s="115"/>
    </row>
    <row r="33" spans="2:39" ht="13.5" customHeight="1">
      <c r="B33" s="143"/>
      <c r="C33" s="144"/>
      <c r="D33" s="144"/>
      <c r="E33" s="144"/>
      <c r="F33" s="144"/>
      <c r="G33" s="144"/>
      <c r="H33" s="111"/>
      <c r="I33" s="144"/>
      <c r="J33" s="144"/>
      <c r="K33" s="144"/>
      <c r="L33" s="144"/>
      <c r="M33" s="111"/>
      <c r="O33"/>
      <c r="P33"/>
      <c r="Q33" s="145"/>
      <c r="R33" s="145"/>
      <c r="S33" s="145"/>
      <c r="T33" s="145"/>
      <c r="U33" s="145"/>
      <c r="V33"/>
      <c r="W33"/>
      <c r="X33" s="80"/>
    </row>
    <row r="34" spans="2:39" ht="15" customHeight="1">
      <c r="B34" s="143"/>
      <c r="C34" s="144"/>
      <c r="D34" s="144"/>
      <c r="E34" s="144"/>
      <c r="F34" s="144"/>
      <c r="G34" s="144"/>
      <c r="H34" s="111"/>
      <c r="I34" s="144"/>
      <c r="J34" s="144"/>
      <c r="K34" s="144"/>
      <c r="L34" s="144"/>
      <c r="M34" s="111"/>
      <c r="O34" s="94"/>
      <c r="P34" s="29"/>
      <c r="Q34" s="98"/>
      <c r="R34" s="98"/>
      <c r="S34" s="98"/>
      <c r="T34" s="98"/>
      <c r="U34" s="98"/>
      <c r="V34" s="98"/>
      <c r="W34" s="18"/>
      <c r="X34" s="102"/>
    </row>
    <row r="35" spans="2:39" ht="13.5" customHeight="1">
      <c r="B35" s="81"/>
      <c r="C35"/>
      <c r="E35"/>
      <c r="F35"/>
      <c r="G35"/>
      <c r="J35"/>
      <c r="K35"/>
      <c r="L35"/>
      <c r="O35" s="93"/>
      <c r="P35" s="14"/>
      <c r="Q35" s="65"/>
      <c r="S35" s="33"/>
      <c r="T35" s="33"/>
      <c r="U35" s="33"/>
      <c r="V35" s="18"/>
      <c r="W35" s="18"/>
      <c r="X35" s="115"/>
      <c r="AB35" s="33"/>
      <c r="AC35" s="33"/>
      <c r="AD35" s="33"/>
      <c r="AE35" s="18"/>
    </row>
    <row r="36" spans="2:39" ht="13.5" customHeight="1">
      <c r="B36" s="81"/>
      <c r="C36"/>
      <c r="E36" s="18"/>
      <c r="F36" s="18"/>
      <c r="G36" s="1"/>
      <c r="H36" s="1"/>
      <c r="I36" s="93"/>
      <c r="J36" s="18"/>
      <c r="K36" s="18"/>
      <c r="L36" s="1"/>
      <c r="M36" s="1"/>
      <c r="O36" s="97"/>
      <c r="P36" s="1"/>
      <c r="S36" s="33"/>
      <c r="T36" s="33"/>
      <c r="U36" s="33"/>
      <c r="V36" s="15"/>
      <c r="W36" s="15"/>
      <c r="X36" s="115"/>
      <c r="AB36" s="33"/>
      <c r="AC36" s="33"/>
      <c r="AD36" s="33"/>
      <c r="AE36" s="18"/>
    </row>
    <row r="37" spans="2:39" ht="13.5" customHeight="1">
      <c r="B37" s="81"/>
      <c r="C37"/>
      <c r="E37" s="18"/>
      <c r="F37" s="18"/>
      <c r="G37" s="1"/>
      <c r="J37" s="18"/>
      <c r="K37" s="18"/>
      <c r="L37" s="1"/>
      <c r="O37" s="97"/>
      <c r="P37" s="1"/>
      <c r="S37" s="33"/>
      <c r="T37" s="33"/>
      <c r="U37" s="33"/>
      <c r="V37" s="15"/>
      <c r="W37" s="15"/>
      <c r="X37" s="115"/>
      <c r="AB37" s="33"/>
      <c r="AC37" s="33"/>
      <c r="AD37" s="33"/>
      <c r="AE37" s="15"/>
    </row>
    <row r="38" spans="2:39" ht="15" customHeight="1">
      <c r="B38" s="95"/>
      <c r="C38" s="98"/>
      <c r="D38" s="98"/>
      <c r="E38" s="98"/>
      <c r="F38" s="98"/>
      <c r="G38" s="94"/>
      <c r="I38" s="98"/>
      <c r="J38" s="98"/>
      <c r="K38" s="98"/>
      <c r="L38" s="94"/>
      <c r="O38" s="97"/>
      <c r="P38" s="1"/>
      <c r="V38" s="15"/>
      <c r="W38"/>
      <c r="X38" s="115"/>
      <c r="AB38" s="33"/>
      <c r="AC38" s="33"/>
      <c r="AD38" s="33"/>
      <c r="AE38" s="15"/>
    </row>
    <row r="39" spans="2:39" ht="15.9" customHeight="1">
      <c r="B39" s="116"/>
      <c r="D39" s="171"/>
      <c r="E39" s="18"/>
      <c r="F39" s="18"/>
      <c r="G39" s="19"/>
      <c r="I39" s="172"/>
      <c r="J39" s="18"/>
      <c r="K39" s="18"/>
      <c r="L39" s="19"/>
      <c r="O39" s="97"/>
      <c r="P39" s="1"/>
      <c r="V39" s="15"/>
      <c r="W39"/>
      <c r="X39" s="115"/>
      <c r="AB39" s="33"/>
      <c r="AC39" s="33"/>
      <c r="AD39" s="33"/>
      <c r="AE39" s="15"/>
    </row>
    <row r="40" spans="2:39" ht="15.9" customHeight="1">
      <c r="B40" s="116"/>
      <c r="D40" s="171"/>
      <c r="E40" s="18"/>
      <c r="F40" s="18"/>
      <c r="G40" s="19"/>
      <c r="I40" s="172"/>
      <c r="J40" s="18"/>
      <c r="K40" s="18"/>
      <c r="L40" s="19"/>
      <c r="O40" s="97"/>
      <c r="P40" s="1"/>
      <c r="S40" s="33"/>
      <c r="T40" s="33"/>
      <c r="U40" s="33"/>
      <c r="V40" s="18"/>
      <c r="W40" s="18"/>
      <c r="X40" s="115"/>
      <c r="AB40" s="33"/>
      <c r="AC40" s="33"/>
      <c r="AD40" s="33"/>
      <c r="AE40" s="15"/>
    </row>
    <row r="41" spans="2:39" ht="15.9" customHeight="1">
      <c r="B41" s="116"/>
      <c r="D41" s="171"/>
      <c r="E41" s="18"/>
      <c r="F41" s="18"/>
      <c r="G41" s="19"/>
      <c r="I41" s="172"/>
      <c r="J41" s="18"/>
      <c r="K41" s="18"/>
      <c r="L41" s="19"/>
      <c r="O41" s="97"/>
      <c r="P41" s="1"/>
      <c r="S41" s="33"/>
      <c r="T41" s="33"/>
      <c r="U41" s="33"/>
      <c r="V41" s="15"/>
      <c r="W41" s="15"/>
      <c r="X41" s="115"/>
      <c r="AL41" s="1"/>
      <c r="AM41" s="1"/>
    </row>
    <row r="42" spans="2:39" ht="13.5" customHeight="1">
      <c r="B42" s="116"/>
      <c r="C42"/>
      <c r="D42" s="171"/>
      <c r="E42" s="18"/>
      <c r="F42"/>
      <c r="G42" s="19"/>
      <c r="I42" s="172"/>
      <c r="J42" s="18"/>
      <c r="K42"/>
      <c r="L42" s="19"/>
      <c r="O42" s="97"/>
      <c r="P42" s="1"/>
      <c r="S42" s="33"/>
      <c r="T42" s="33"/>
      <c r="U42" s="33"/>
      <c r="V42" s="62"/>
      <c r="W42" s="15"/>
      <c r="X42" s="115"/>
      <c r="AA42" s="4"/>
      <c r="AB42" s="1"/>
      <c r="AC42" s="34"/>
      <c r="AD42" s="34"/>
      <c r="AE42" s="34"/>
      <c r="AF42" s="34"/>
      <c r="AG42" s="34"/>
      <c r="AH42" s="18"/>
      <c r="AI42" s="35"/>
      <c r="AJ42" s="18"/>
      <c r="AK42" s="1"/>
    </row>
    <row r="43" spans="2:39" ht="13.5" customHeight="1">
      <c r="B43" s="116"/>
      <c r="C43"/>
      <c r="E43" s="18"/>
      <c r="F43"/>
      <c r="G43" s="19"/>
      <c r="J43" s="18"/>
      <c r="K43"/>
      <c r="L43" s="19"/>
      <c r="O43" s="97"/>
      <c r="P43" s="1"/>
      <c r="S43" s="33"/>
      <c r="T43" s="33"/>
      <c r="U43" s="33"/>
      <c r="V43" s="15"/>
      <c r="W43" s="15"/>
      <c r="X43" s="115"/>
      <c r="AA43" s="4"/>
    </row>
    <row r="44" spans="2:39" ht="13.5" customHeight="1">
      <c r="B44" s="116"/>
      <c r="C44"/>
      <c r="E44" s="18"/>
      <c r="F44"/>
      <c r="G44" s="19"/>
      <c r="J44" s="18"/>
      <c r="K44"/>
      <c r="L44" s="19"/>
      <c r="O44" s="97"/>
      <c r="P44" s="1"/>
      <c r="S44" s="33"/>
      <c r="T44" s="33"/>
      <c r="U44" s="33"/>
      <c r="V44" s="18"/>
      <c r="W44" s="18"/>
      <c r="X44" s="115"/>
      <c r="AA44" s="4"/>
    </row>
    <row r="45" spans="2:39" ht="13.5" customHeight="1">
      <c r="B45" s="116"/>
      <c r="C45"/>
      <c r="E45"/>
      <c r="F45"/>
      <c r="G45"/>
      <c r="J45"/>
      <c r="K45"/>
      <c r="L45"/>
      <c r="O45"/>
      <c r="P45"/>
      <c r="V45"/>
      <c r="W45"/>
      <c r="X45" s="115"/>
    </row>
    <row r="46" spans="2:39" ht="13.5" customHeight="1">
      <c r="B46" s="116"/>
      <c r="C46" s="148"/>
      <c r="E46" s="18"/>
      <c r="F46" s="18"/>
      <c r="G46" s="19"/>
      <c r="J46" s="18"/>
      <c r="K46" s="18"/>
      <c r="L46" s="19"/>
      <c r="O46" s="97"/>
      <c r="P46" s="1"/>
      <c r="S46" s="33"/>
      <c r="T46" s="33"/>
      <c r="U46" s="33"/>
      <c r="V46" s="18"/>
      <c r="W46" s="18"/>
      <c r="X46" s="115"/>
      <c r="AB46" s="33"/>
      <c r="AC46" s="33"/>
      <c r="AD46" s="33"/>
      <c r="AE46" s="18"/>
    </row>
    <row r="47" spans="2:39" ht="13.5" customHeight="1">
      <c r="B47" s="116"/>
      <c r="C47"/>
      <c r="D47" s="173"/>
      <c r="E47" s="18"/>
      <c r="F47"/>
      <c r="G47" s="19"/>
      <c r="I47" s="173"/>
      <c r="J47" s="18"/>
      <c r="K47"/>
      <c r="L47" s="19"/>
      <c r="O47" s="97"/>
      <c r="P47" s="1"/>
      <c r="S47" s="33"/>
      <c r="T47" s="33"/>
      <c r="U47" s="33"/>
      <c r="V47" s="15"/>
      <c r="W47" s="15"/>
      <c r="X47" s="115"/>
      <c r="AB47" s="33"/>
      <c r="AC47" s="33"/>
      <c r="AD47" s="33"/>
      <c r="AE47" s="15"/>
    </row>
    <row r="48" spans="2:39" ht="13.5" customHeight="1">
      <c r="B48" s="81"/>
      <c r="C48" s="148"/>
      <c r="D48" s="173"/>
      <c r="E48" s="18"/>
      <c r="F48" s="18"/>
      <c r="G48" s="19"/>
      <c r="I48" s="173"/>
      <c r="J48" s="18"/>
      <c r="K48" s="18"/>
      <c r="L48" s="19"/>
      <c r="O48" s="97"/>
      <c r="P48" s="1"/>
      <c r="S48" s="33"/>
      <c r="T48" s="33"/>
      <c r="U48" s="33"/>
      <c r="V48" s="15"/>
      <c r="W48" s="15"/>
      <c r="X48" s="115"/>
      <c r="AB48" s="33"/>
      <c r="AC48" s="33"/>
      <c r="AD48" s="33"/>
      <c r="AE48" s="15"/>
    </row>
    <row r="49" spans="2:34" ht="13.5" customHeight="1">
      <c r="B49" s="81"/>
      <c r="C49"/>
      <c r="D49" s="174"/>
      <c r="E49" s="18"/>
      <c r="F49"/>
      <c r="G49"/>
      <c r="I49" s="173"/>
      <c r="J49" s="18"/>
      <c r="K49"/>
      <c r="L49"/>
      <c r="O49" s="97"/>
      <c r="P49" s="1"/>
      <c r="S49" s="33"/>
      <c r="T49" s="33"/>
      <c r="U49" s="33"/>
      <c r="V49" s="15"/>
      <c r="W49" s="32"/>
      <c r="X49" s="115"/>
      <c r="AB49" s="33"/>
      <c r="AC49" s="33"/>
      <c r="AD49" s="33"/>
      <c r="AE49" s="15"/>
    </row>
    <row r="50" spans="2:34" ht="13.5" customHeight="1">
      <c r="B50" s="81"/>
      <c r="C50"/>
      <c r="D50" s="174"/>
      <c r="E50" s="18"/>
      <c r="F50"/>
      <c r="G50"/>
      <c r="I50" s="173"/>
      <c r="J50" s="18"/>
      <c r="K50"/>
      <c r="L50"/>
      <c r="O50" s="97"/>
      <c r="P50" s="1"/>
      <c r="S50" s="33"/>
      <c r="T50" s="33"/>
      <c r="U50" s="33"/>
      <c r="V50" s="15"/>
      <c r="W50" s="32"/>
      <c r="X50" s="115"/>
      <c r="AB50" s="33"/>
      <c r="AC50" s="33"/>
      <c r="AD50" s="33"/>
      <c r="AE50" s="15"/>
    </row>
    <row r="51" spans="2:34" ht="13.5" customHeight="1">
      <c r="B51" s="81"/>
      <c r="C51"/>
      <c r="D51" s="174"/>
      <c r="E51" s="18"/>
      <c r="F51"/>
      <c r="G51"/>
      <c r="I51" s="173"/>
      <c r="J51" s="18"/>
      <c r="K51"/>
      <c r="L51"/>
      <c r="O51" s="97"/>
      <c r="P51" s="1"/>
      <c r="S51" s="33"/>
      <c r="T51" s="33"/>
      <c r="U51" s="33"/>
      <c r="V51" s="15"/>
      <c r="W51" s="32"/>
      <c r="X51" s="115"/>
      <c r="AB51" s="33"/>
      <c r="AC51" s="33"/>
      <c r="AD51" s="33"/>
      <c r="AE51" s="15"/>
    </row>
    <row r="52" spans="2:34" ht="13.5" customHeight="1">
      <c r="B52" s="472" t="s">
        <v>84</v>
      </c>
      <c r="C52" s="473"/>
      <c r="D52" s="473"/>
      <c r="E52" s="473"/>
      <c r="F52" s="473"/>
      <c r="G52" s="473"/>
      <c r="H52" s="473"/>
      <c r="I52" s="473"/>
      <c r="J52" s="473"/>
      <c r="K52" s="473"/>
      <c r="L52" s="473"/>
      <c r="M52" s="473"/>
      <c r="N52" s="473"/>
      <c r="O52" s="473"/>
      <c r="P52" s="473"/>
      <c r="Q52" s="473"/>
      <c r="R52" s="473"/>
      <c r="S52" s="473"/>
      <c r="T52" s="473"/>
      <c r="U52" s="473"/>
      <c r="V52" s="473"/>
      <c r="W52" s="473"/>
      <c r="X52" s="474"/>
      <c r="AB52" s="66"/>
      <c r="AC52" s="66"/>
      <c r="AD52" s="66"/>
      <c r="AE52" s="66"/>
      <c r="AF52" s="66"/>
      <c r="AG52" s="66"/>
      <c r="AH52" s="66"/>
    </row>
    <row r="53" spans="2:34" ht="13.5" customHeight="1">
      <c r="B53" s="472"/>
      <c r="C53" s="473"/>
      <c r="D53" s="473"/>
      <c r="E53" s="473"/>
      <c r="F53" s="473"/>
      <c r="G53" s="473"/>
      <c r="H53" s="473"/>
      <c r="I53" s="473"/>
      <c r="J53" s="473"/>
      <c r="K53" s="473"/>
      <c r="L53" s="473"/>
      <c r="M53" s="473"/>
      <c r="N53" s="473"/>
      <c r="O53" s="473"/>
      <c r="P53" s="473"/>
      <c r="Q53" s="473"/>
      <c r="R53" s="473"/>
      <c r="S53" s="473"/>
      <c r="T53" s="473"/>
      <c r="U53" s="473"/>
      <c r="V53" s="473"/>
      <c r="W53" s="473"/>
      <c r="X53" s="474"/>
      <c r="AB53" s="66"/>
      <c r="AC53" s="66"/>
      <c r="AD53" s="66"/>
      <c r="AE53" s="66"/>
      <c r="AF53" s="66"/>
      <c r="AG53" s="66"/>
      <c r="AH53" s="66"/>
    </row>
    <row r="54" spans="2:34" ht="17.25" customHeight="1">
      <c r="B54" s="124"/>
      <c r="C54" s="125"/>
      <c r="D54" s="125"/>
      <c r="E54" s="125"/>
      <c r="F54" s="125"/>
      <c r="G54" s="125"/>
      <c r="H54" s="125"/>
      <c r="I54" s="125"/>
      <c r="J54" s="125"/>
      <c r="K54" s="125"/>
      <c r="L54" s="125"/>
      <c r="M54" s="125"/>
      <c r="N54" s="125"/>
      <c r="O54" s="125"/>
      <c r="P54" s="125"/>
      <c r="Q54" s="125"/>
      <c r="R54" s="125"/>
      <c r="S54" s="125"/>
      <c r="T54" s="125"/>
      <c r="U54" s="125"/>
      <c r="V54" s="125"/>
      <c r="W54" s="125"/>
      <c r="X54" s="126"/>
    </row>
    <row r="55" spans="2:34" ht="3" customHeight="1">
      <c r="B55" s="103"/>
      <c r="C55" s="38"/>
      <c r="D55" s="37"/>
      <c r="E55" s="39"/>
      <c r="F55" s="39"/>
      <c r="G55" s="40"/>
      <c r="H55" s="37"/>
      <c r="I55" s="37"/>
      <c r="J55" s="39"/>
      <c r="K55" s="39"/>
      <c r="L55" s="40"/>
      <c r="M55" s="37"/>
      <c r="N55" s="37"/>
      <c r="O55" s="41"/>
      <c r="P55" s="41"/>
      <c r="Q55" s="37"/>
      <c r="R55" s="37"/>
      <c r="S55" s="37"/>
      <c r="T55" s="37"/>
      <c r="U55" s="37"/>
      <c r="X55" s="104"/>
    </row>
    <row r="56" spans="2:34" ht="6.75" customHeight="1">
      <c r="B56" s="89"/>
      <c r="C56" s="3"/>
      <c r="D56" s="132"/>
      <c r="E56" s="90"/>
      <c r="F56" s="3"/>
      <c r="G56" s="19"/>
      <c r="I56" s="132"/>
      <c r="J56" s="90"/>
      <c r="K56" s="3"/>
      <c r="L56" s="19"/>
      <c r="O56"/>
      <c r="P56"/>
      <c r="Q56" s="132"/>
      <c r="R56" s="132"/>
      <c r="S56" s="132"/>
      <c r="T56" s="132"/>
      <c r="U56" s="132"/>
      <c r="V56" s="110"/>
      <c r="W56"/>
      <c r="X56" s="115"/>
    </row>
    <row r="57" spans="2:34" ht="13.5" customHeight="1">
      <c r="B57" s="118"/>
      <c r="C57" s="20"/>
      <c r="D57" s="37"/>
      <c r="E57" s="20"/>
      <c r="F57" s="20"/>
      <c r="I57" s="37"/>
      <c r="J57" s="20"/>
      <c r="K57" s="20"/>
      <c r="N57" s="37"/>
      <c r="Q57" s="37"/>
      <c r="R57" s="37"/>
      <c r="S57" s="37"/>
      <c r="T57" s="37"/>
      <c r="U57" s="37"/>
      <c r="V57" s="30"/>
      <c r="X57" s="105"/>
    </row>
    <row r="58" spans="2:34" ht="15.6">
      <c r="B58" s="120"/>
      <c r="C58" s="121"/>
      <c r="D58" s="121"/>
      <c r="E58" s="121"/>
      <c r="F58" s="39"/>
      <c r="G58" s="40"/>
      <c r="H58" s="37"/>
      <c r="I58" s="121"/>
      <c r="J58" s="121"/>
      <c r="K58" s="39"/>
      <c r="L58" s="40"/>
      <c r="M58" s="37"/>
      <c r="N58" s="37"/>
      <c r="O58" s="41"/>
      <c r="P58" s="41"/>
      <c r="T58" s="3"/>
      <c r="U58" s="3"/>
      <c r="V58" s="127"/>
      <c r="W58" s="127"/>
      <c r="X58" s="128"/>
    </row>
    <row r="59" spans="2:34" ht="15.6">
      <c r="B59" s="120"/>
      <c r="C59" s="121"/>
      <c r="D59" s="121"/>
      <c r="E59" s="121"/>
      <c r="F59" s="39"/>
      <c r="G59" s="40"/>
      <c r="I59" s="121"/>
      <c r="J59" s="121"/>
      <c r="K59" s="39"/>
      <c r="L59" s="40"/>
      <c r="O59"/>
      <c r="P59"/>
      <c r="V59" s="129"/>
      <c r="W59" s="129"/>
      <c r="X59" s="130"/>
      <c r="Z59" s="73"/>
    </row>
    <row r="60" spans="2:34" ht="15.75" customHeight="1">
      <c r="B60" s="120"/>
      <c r="C60" s="121"/>
      <c r="D60" s="121"/>
      <c r="E60" s="121"/>
      <c r="F60" s="39"/>
      <c r="G60" s="131"/>
      <c r="H60" s="131"/>
      <c r="I60" s="121"/>
      <c r="J60" s="121"/>
      <c r="K60" s="39"/>
      <c r="L60" s="131"/>
      <c r="M60" s="131"/>
      <c r="N60" s="37"/>
      <c r="O60" s="41"/>
      <c r="P60" s="41"/>
      <c r="T60" s="3"/>
      <c r="U60" s="3"/>
      <c r="V60" s="127"/>
      <c r="W60" s="127"/>
      <c r="X60" s="128"/>
      <c r="Z60" s="73"/>
    </row>
    <row r="61" spans="2:34" ht="15.6">
      <c r="B61" s="120"/>
      <c r="C61" s="121"/>
      <c r="D61" s="121"/>
      <c r="E61" s="121"/>
      <c r="F61" s="39"/>
      <c r="G61" s="40"/>
      <c r="H61" s="37"/>
      <c r="I61" s="121"/>
      <c r="J61" s="121"/>
      <c r="K61" s="39"/>
      <c r="L61" s="40"/>
      <c r="M61" s="37"/>
      <c r="N61" s="37"/>
      <c r="O61" s="41"/>
      <c r="P61" s="41"/>
      <c r="T61" s="3"/>
      <c r="U61" s="3"/>
      <c r="V61" s="127"/>
      <c r="W61" s="127"/>
      <c r="X61" s="128"/>
      <c r="Z61" s="73"/>
    </row>
    <row r="62" spans="2:34" ht="15.6">
      <c r="B62" s="120"/>
      <c r="C62" s="121"/>
      <c r="D62" s="121"/>
      <c r="E62" s="121"/>
      <c r="F62" s="39"/>
      <c r="G62" s="40"/>
      <c r="H62" s="37"/>
      <c r="I62" s="121"/>
      <c r="J62" s="121"/>
      <c r="K62" s="39"/>
      <c r="L62" s="40"/>
      <c r="M62" s="37"/>
      <c r="N62" s="37"/>
      <c r="O62" s="41"/>
      <c r="P62" s="41"/>
      <c r="T62" s="3"/>
      <c r="U62" s="3"/>
      <c r="V62" s="127"/>
      <c r="W62" s="127"/>
      <c r="X62" s="128"/>
      <c r="Z62" s="73"/>
    </row>
    <row r="63" spans="2:34" ht="15.6">
      <c r="B63" s="120"/>
      <c r="C63" s="121"/>
      <c r="D63" s="121"/>
      <c r="E63" s="121"/>
      <c r="F63" s="39"/>
      <c r="G63" s="4"/>
      <c r="H63" s="3"/>
      <c r="I63" s="121"/>
      <c r="J63" s="121"/>
      <c r="K63" s="39"/>
      <c r="L63" s="4"/>
      <c r="M63" s="3"/>
      <c r="N63" s="37"/>
      <c r="O63" s="112"/>
      <c r="P63" s="41"/>
      <c r="T63" s="3"/>
      <c r="U63" s="3"/>
      <c r="V63" s="129"/>
      <c r="W63" s="129"/>
      <c r="X63" s="130"/>
    </row>
    <row r="64" spans="2:34" ht="15.6">
      <c r="B64" s="120"/>
      <c r="C64" s="121"/>
      <c r="D64" s="121"/>
      <c r="E64" s="121"/>
      <c r="F64" s="39"/>
      <c r="G64" s="40"/>
      <c r="H64" s="37"/>
      <c r="I64" s="121"/>
      <c r="J64" s="121"/>
      <c r="K64" s="39"/>
      <c r="L64" s="40"/>
      <c r="M64" s="37"/>
      <c r="N64" s="37"/>
      <c r="O64" s="41"/>
      <c r="P64" s="41"/>
      <c r="T64" s="3"/>
      <c r="U64" s="3"/>
      <c r="V64" s="129"/>
      <c r="W64" s="129"/>
      <c r="X64" s="130"/>
    </row>
    <row r="65" spans="2:28" ht="15.6">
      <c r="B65" s="120"/>
      <c r="C65" s="121"/>
      <c r="D65" s="121"/>
      <c r="E65" s="121"/>
      <c r="F65" s="39"/>
      <c r="I65" s="121"/>
      <c r="J65" s="121"/>
      <c r="K65" s="39"/>
      <c r="T65" s="3"/>
      <c r="U65" s="3"/>
      <c r="V65" s="129"/>
      <c r="W65" s="129"/>
      <c r="X65" s="130"/>
    </row>
    <row r="66" spans="2:28" ht="13.8">
      <c r="B66" s="120"/>
      <c r="C66" s="121"/>
      <c r="D66" s="121"/>
      <c r="E66" s="121"/>
      <c r="F66" s="43"/>
      <c r="G66" s="4"/>
      <c r="H66" s="3"/>
      <c r="I66" s="121"/>
      <c r="J66" s="121"/>
      <c r="K66" s="43"/>
      <c r="L66" s="4"/>
      <c r="M66" s="3"/>
      <c r="N66" s="37"/>
      <c r="O66" s="41"/>
      <c r="X66" s="105"/>
    </row>
    <row r="67" spans="2:28" ht="12.75" customHeight="1">
      <c r="B67" s="122"/>
      <c r="C67" s="123"/>
      <c r="D67" s="123"/>
      <c r="E67" s="123"/>
      <c r="F67" s="39"/>
      <c r="G67" s="4"/>
      <c r="H67" s="3"/>
      <c r="I67" s="123"/>
      <c r="J67" s="123"/>
      <c r="K67" s="39"/>
      <c r="L67" s="4"/>
      <c r="M67" s="3"/>
      <c r="N67" s="37"/>
      <c r="O67" s="41"/>
      <c r="P67" s="41"/>
      <c r="T67" s="3"/>
      <c r="U67" s="3"/>
      <c r="V67" s="129"/>
      <c r="W67" s="129"/>
      <c r="X67" s="130"/>
    </row>
    <row r="68" spans="2:28" ht="10.5" customHeight="1">
      <c r="B68" s="122"/>
      <c r="C68" s="123"/>
      <c r="D68" s="123"/>
      <c r="E68" s="123"/>
      <c r="F68" s="39"/>
      <c r="I68" s="123"/>
      <c r="J68" s="123"/>
      <c r="K68" s="39"/>
      <c r="T68" s="3"/>
      <c r="U68" s="3"/>
      <c r="V68" s="127"/>
      <c r="W68" s="127"/>
      <c r="X68" s="128"/>
      <c r="Y68" s="45"/>
      <c r="Z68" s="45"/>
      <c r="AA68" s="45"/>
      <c r="AB68" s="45"/>
    </row>
    <row r="69" spans="2:28" ht="13.5" customHeight="1">
      <c r="B69" s="87"/>
      <c r="F69" s="84"/>
      <c r="G69" s="40"/>
      <c r="H69" s="37"/>
      <c r="K69" s="84"/>
      <c r="L69" s="40"/>
      <c r="M69" s="37"/>
      <c r="N69" s="37"/>
      <c r="O69" s="46"/>
      <c r="P69" s="46"/>
      <c r="Q69" s="46"/>
      <c r="R69" s="41"/>
      <c r="S69" s="47"/>
      <c r="T69" s="47"/>
      <c r="U69" s="47"/>
      <c r="X69" s="106"/>
    </row>
    <row r="70" spans="2:28" ht="13.5" customHeight="1">
      <c r="B70" s="119"/>
      <c r="C70" s="113"/>
      <c r="D70" s="11"/>
      <c r="E70" s="84"/>
      <c r="F70" s="84"/>
      <c r="G70" s="84"/>
      <c r="I70" s="38"/>
      <c r="J70" s="84"/>
      <c r="K70" s="84"/>
      <c r="L70" s="84"/>
      <c r="O70"/>
      <c r="P70"/>
      <c r="V70" s="146"/>
      <c r="W70" s="146"/>
      <c r="X70" s="147"/>
    </row>
    <row r="71" spans="2:28" ht="13.5" customHeight="1">
      <c r="B71" s="119"/>
      <c r="C71" s="113"/>
      <c r="D71" s="11"/>
      <c r="E71" s="84"/>
      <c r="F71" s="84"/>
      <c r="G71" s="84"/>
      <c r="I71" s="38"/>
      <c r="J71" s="84"/>
      <c r="K71" s="84"/>
      <c r="L71" s="84"/>
      <c r="O71"/>
      <c r="P71"/>
      <c r="V71" s="146"/>
      <c r="W71" s="146"/>
      <c r="X71" s="147"/>
    </row>
    <row r="72" spans="2:28" ht="13.5" customHeight="1">
      <c r="B72" s="119"/>
      <c r="C72" s="113"/>
      <c r="D72" s="11"/>
      <c r="E72" s="84"/>
      <c r="F72" s="84"/>
      <c r="G72" s="84"/>
      <c r="I72" s="38"/>
      <c r="J72" s="84"/>
      <c r="K72" s="84"/>
      <c r="L72" s="84"/>
      <c r="O72"/>
      <c r="P72"/>
      <c r="V72" s="146"/>
      <c r="W72" s="146"/>
      <c r="X72" s="147"/>
    </row>
    <row r="73" spans="2:28" ht="13.5" customHeight="1">
      <c r="B73" s="475" t="s">
        <v>82</v>
      </c>
      <c r="C73" s="476"/>
      <c r="D73" s="476"/>
      <c r="E73" s="476"/>
      <c r="F73" s="476"/>
      <c r="G73" s="476"/>
      <c r="H73" s="476"/>
      <c r="I73" s="476"/>
      <c r="J73" s="476"/>
      <c r="K73" s="476"/>
      <c r="L73" s="476"/>
      <c r="M73" s="476"/>
      <c r="N73" s="476"/>
      <c r="O73" s="476"/>
      <c r="P73" s="476"/>
      <c r="Q73" s="476"/>
      <c r="R73" s="476"/>
      <c r="S73" s="476"/>
      <c r="T73" s="476"/>
      <c r="U73" s="476"/>
      <c r="V73" s="476"/>
      <c r="W73" s="476"/>
      <c r="X73" s="477"/>
    </row>
    <row r="74" spans="2:28" ht="13.5" customHeight="1">
      <c r="B74" s="119"/>
      <c r="C74" s="113"/>
      <c r="D74" s="11"/>
      <c r="E74" s="84"/>
      <c r="F74" s="84"/>
      <c r="G74" s="84"/>
      <c r="I74" s="38"/>
      <c r="J74" s="84"/>
      <c r="K74" s="84"/>
      <c r="L74" s="84"/>
      <c r="O74"/>
      <c r="P74"/>
      <c r="V74" s="146"/>
      <c r="W74" s="146"/>
      <c r="X74" s="147"/>
    </row>
    <row r="75" spans="2:28" ht="13.5" customHeight="1">
      <c r="B75" s="119"/>
      <c r="C75" s="113"/>
      <c r="D75" s="11"/>
      <c r="E75" s="84"/>
      <c r="F75" s="84"/>
      <c r="G75" s="84"/>
      <c r="I75" s="38"/>
      <c r="J75" s="84"/>
      <c r="K75" s="84"/>
      <c r="L75" s="84"/>
      <c r="O75"/>
      <c r="P75"/>
      <c r="V75" s="146"/>
      <c r="W75" s="146"/>
      <c r="X75" s="147"/>
    </row>
    <row r="76" spans="2:28" ht="13.5" customHeight="1">
      <c r="B76" s="119"/>
      <c r="C76" s="113"/>
      <c r="D76" s="11"/>
      <c r="E76" s="84"/>
      <c r="F76" s="84"/>
      <c r="G76" s="84"/>
      <c r="I76" s="38"/>
      <c r="J76" s="84"/>
      <c r="K76" s="84"/>
      <c r="L76" s="84"/>
      <c r="O76"/>
      <c r="P76"/>
      <c r="V76" s="146"/>
      <c r="W76" s="146"/>
      <c r="X76" s="147"/>
    </row>
    <row r="77" spans="2:28" ht="13.5" customHeight="1">
      <c r="B77" s="119"/>
      <c r="C77" s="113"/>
      <c r="D77" s="11"/>
      <c r="E77" s="84"/>
      <c r="F77" s="84"/>
      <c r="G77" s="84"/>
      <c r="I77" s="38"/>
      <c r="J77" s="84"/>
      <c r="K77" s="84"/>
      <c r="L77" s="84"/>
      <c r="O77"/>
      <c r="P77"/>
      <c r="V77" s="146"/>
      <c r="W77" s="146"/>
      <c r="X77" s="147"/>
    </row>
    <row r="78" spans="2:28" ht="13.5" customHeight="1">
      <c r="B78" s="119"/>
      <c r="C78" s="113"/>
      <c r="D78" s="11"/>
      <c r="E78" s="84"/>
      <c r="F78" s="84"/>
      <c r="G78" s="84"/>
      <c r="I78" s="38"/>
      <c r="J78" s="84"/>
      <c r="K78" s="84"/>
      <c r="L78" s="84"/>
      <c r="O78"/>
      <c r="P78"/>
      <c r="V78" s="146"/>
      <c r="W78" s="146"/>
      <c r="X78" s="147"/>
    </row>
    <row r="79" spans="2:28" ht="13.8" thickBot="1">
      <c r="B79" s="155"/>
      <c r="C79" s="156"/>
      <c r="D79" s="157"/>
      <c r="E79" s="158"/>
      <c r="F79" s="159"/>
      <c r="G79" s="160"/>
      <c r="H79" s="157"/>
      <c r="I79" s="157"/>
      <c r="J79" s="158"/>
      <c r="K79" s="159"/>
      <c r="L79" s="160"/>
      <c r="M79" s="157"/>
      <c r="N79" s="157"/>
      <c r="O79" s="161"/>
      <c r="P79" s="161"/>
      <c r="Q79" s="157"/>
      <c r="R79" s="157"/>
      <c r="S79" s="157"/>
      <c r="T79" s="157"/>
      <c r="U79" s="157"/>
      <c r="V79" s="162"/>
      <c r="W79" s="162"/>
      <c r="X79" s="163"/>
    </row>
  </sheetData>
  <scenarios current="0" show="0">
    <scenario name="1" locked="1" count="1" user="Rep" comment="Created by bjg on 12/8/2006">
      <inputCells r="D70" val="Joe Pogash"/>
    </scenario>
  </scenarios>
  <mergeCells count="4">
    <mergeCell ref="B2:X2"/>
    <mergeCell ref="B3:X5"/>
    <mergeCell ref="B52:X53"/>
    <mergeCell ref="B73:X73"/>
  </mergeCells>
  <dataValidations count="5">
    <dataValidation type="list" showInputMessage="1" showErrorMessage="1" sqref="V12" xr:uid="{00000000-0002-0000-0100-000000000000}">
      <formula1>$Z$12:$Z$13</formula1>
    </dataValidation>
    <dataValidation type="whole" showInputMessage="1" showErrorMessage="1" sqref="J17:J18 E17:E18" xr:uid="{00000000-0002-0000-0100-000001000000}">
      <formula1>200</formula1>
      <formula2>329</formula2>
    </dataValidation>
    <dataValidation type="list" showInputMessage="1" showErrorMessage="1" sqref="V59:X59" xr:uid="{00000000-0002-0000-0100-000002000000}">
      <formula1>$Z$59:$Z$62</formula1>
    </dataValidation>
    <dataValidation type="whole" allowBlank="1" showInputMessage="1" showErrorMessage="1" sqref="J19 E19" xr:uid="{00000000-0002-0000-0100-000003000000}">
      <formula1>300</formula1>
      <formula2>520</formula2>
    </dataValidation>
    <dataValidation showInputMessage="1" showErrorMessage="1" sqref="J13:J14 E13:E14" xr:uid="{00000000-0002-0000-0100-000004000000}"/>
  </dataValidations>
  <printOptions horizontalCentered="1" verticalCentered="1"/>
  <pageMargins left="0.25" right="0.25" top="0.25" bottom="0.25" header="0.51180555555555596" footer="0.51180555555555596"/>
  <pageSetup paperSize="5" scale="86" firstPageNumber="0"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W171"/>
  <sheetViews>
    <sheetView tabSelected="1" zoomScale="91" zoomScaleNormal="100" workbookViewId="0">
      <selection activeCell="U9" sqref="U9:Y9"/>
    </sheetView>
  </sheetViews>
  <sheetFormatPr defaultColWidth="8.5546875" defaultRowHeight="13.2"/>
  <cols>
    <col min="1" max="1" width="3" style="197" customWidth="1"/>
    <col min="2" max="2" width="2.21875" style="197" customWidth="1"/>
    <col min="3" max="3" width="3.44140625" style="197" customWidth="1"/>
    <col min="4" max="6" width="5.44140625" style="197" customWidth="1"/>
    <col min="7" max="7" width="5.21875" style="197" customWidth="1"/>
    <col min="8" max="8" width="8.5546875" style="197" customWidth="1"/>
    <col min="9" max="9" width="1.21875" style="198" customWidth="1"/>
    <col min="10" max="11" width="8.5546875" style="197" customWidth="1"/>
    <col min="12" max="12" width="5.5546875" style="197" customWidth="1"/>
    <col min="13" max="13" width="2.88671875" style="197" hidden="1" customWidth="1"/>
    <col min="14" max="14" width="6.109375" style="197" customWidth="1"/>
    <col min="15" max="15" width="4.5546875" style="197" customWidth="1"/>
    <col min="16" max="17" width="5.77734375" style="197" customWidth="1"/>
    <col min="18" max="18" width="4" style="197" customWidth="1"/>
    <col min="19" max="19" width="4.109375" style="197" customWidth="1"/>
    <col min="20" max="20" width="2.88671875" style="197" customWidth="1"/>
    <col min="21" max="22" width="1.44140625" style="197" customWidth="1"/>
    <col min="23" max="23" width="2.88671875" style="197" customWidth="1"/>
    <col min="24" max="24" width="5" style="197" customWidth="1"/>
    <col min="25" max="26" width="4.21875" style="197" customWidth="1"/>
    <col min="27" max="27" width="5.5546875" style="197" customWidth="1"/>
    <col min="28" max="28" width="6" style="197" customWidth="1"/>
    <col min="29" max="29" width="4.109375" style="197" customWidth="1"/>
    <col min="30" max="30" width="3.88671875" style="197" hidden="1" customWidth="1"/>
    <col min="31" max="31" width="0.44140625" style="197" customWidth="1"/>
    <col min="32" max="32" width="6.21875" style="197" customWidth="1"/>
    <col min="33" max="33" width="5.5546875" style="197" customWidth="1"/>
    <col min="34" max="36" width="2" style="197" customWidth="1"/>
    <col min="37" max="37" width="4.88671875" style="197" customWidth="1"/>
    <col min="38" max="38" width="5.44140625" style="197" customWidth="1"/>
    <col min="39" max="39" width="1.21875" style="197" customWidth="1"/>
    <col min="40" max="40" width="1.88671875" style="197" customWidth="1"/>
    <col min="41" max="41" width="8.5546875" style="197"/>
    <col min="42" max="49" width="0" style="197" hidden="1" customWidth="1"/>
    <col min="50" max="16384" width="8.5546875" style="197"/>
  </cols>
  <sheetData>
    <row r="1" spans="1:40" s="320" customFormat="1" ht="23.1" customHeight="1" thickBot="1">
      <c r="A1" s="199"/>
      <c r="B1" s="267"/>
      <c r="C1" s="267"/>
      <c r="D1" s="291"/>
      <c r="E1" s="321"/>
      <c r="F1" s="321"/>
      <c r="G1" s="273"/>
      <c r="H1" s="291"/>
      <c r="I1" s="323"/>
      <c r="J1" s="322"/>
      <c r="K1" s="322"/>
      <c r="L1" s="267"/>
      <c r="M1" s="267"/>
      <c r="N1" s="267"/>
      <c r="O1" s="291"/>
      <c r="P1" s="321"/>
      <c r="Q1" s="273"/>
      <c r="R1" s="273"/>
      <c r="S1" s="273"/>
      <c r="T1" s="267"/>
      <c r="U1" s="273"/>
      <c r="V1" s="273"/>
      <c r="W1" s="273"/>
      <c r="X1" s="273"/>
      <c r="Y1" s="273"/>
      <c r="Z1" s="273"/>
      <c r="AA1" s="273"/>
      <c r="AB1" s="199"/>
      <c r="AC1" s="273"/>
      <c r="AD1" s="273"/>
      <c r="AE1" s="273"/>
      <c r="AF1" s="199"/>
      <c r="AG1" s="199"/>
      <c r="AH1" s="273"/>
      <c r="AI1" s="199"/>
      <c r="AJ1" s="273"/>
      <c r="AK1" s="273"/>
      <c r="AL1" s="273"/>
      <c r="AM1" s="197"/>
      <c r="AN1" s="199"/>
    </row>
    <row r="2" spans="1:40" ht="9" customHeight="1" thickBot="1">
      <c r="A2" s="199"/>
      <c r="B2" s="499"/>
      <c r="C2" s="499"/>
      <c r="D2" s="499"/>
      <c r="E2" s="499"/>
      <c r="F2" s="499"/>
      <c r="G2" s="499"/>
      <c r="H2" s="499"/>
      <c r="I2" s="499"/>
      <c r="J2" s="499"/>
      <c r="K2" s="499"/>
      <c r="L2" s="499"/>
      <c r="M2" s="499"/>
      <c r="N2" s="499"/>
      <c r="O2" s="499"/>
      <c r="P2" s="499"/>
      <c r="Q2" s="499"/>
      <c r="R2" s="273"/>
      <c r="S2" s="273"/>
      <c r="T2" s="273"/>
      <c r="U2" s="273"/>
      <c r="V2" s="273"/>
      <c r="W2" s="273"/>
      <c r="X2" s="273"/>
      <c r="Y2" s="273"/>
      <c r="Z2" s="273"/>
      <c r="AA2" s="273"/>
      <c r="AB2" s="273"/>
      <c r="AC2" s="273"/>
      <c r="AD2" s="273"/>
      <c r="AE2" s="273"/>
      <c r="AF2" s="273"/>
      <c r="AG2" s="199"/>
      <c r="AH2" s="273"/>
      <c r="AI2" s="273"/>
      <c r="AJ2" s="273"/>
      <c r="AK2" s="273"/>
      <c r="AL2" s="273"/>
    </row>
    <row r="3" spans="1:40" ht="10.5" customHeight="1" thickBot="1">
      <c r="A3" s="199"/>
      <c r="B3" s="499"/>
      <c r="C3" s="499"/>
      <c r="D3" s="499"/>
      <c r="E3" s="499"/>
      <c r="F3" s="499"/>
      <c r="G3" s="499"/>
      <c r="H3" s="499"/>
      <c r="I3" s="499"/>
      <c r="J3" s="499"/>
      <c r="K3" s="499"/>
      <c r="L3" s="499"/>
      <c r="M3" s="499"/>
      <c r="N3" s="499"/>
      <c r="O3" s="499"/>
      <c r="P3" s="499"/>
      <c r="Q3" s="499"/>
      <c r="R3" s="199"/>
      <c r="S3" s="199"/>
      <c r="T3" s="199"/>
      <c r="U3" s="273"/>
      <c r="V3" s="273"/>
      <c r="W3" s="273"/>
      <c r="X3" s="273"/>
      <c r="Y3" s="273"/>
      <c r="Z3" s="273"/>
      <c r="AA3" s="300"/>
      <c r="AB3" s="300"/>
      <c r="AC3" s="300"/>
      <c r="AD3" s="300"/>
      <c r="AE3" s="312"/>
      <c r="AF3" s="199"/>
      <c r="AG3" s="273"/>
      <c r="AH3" s="273"/>
      <c r="AI3" s="273"/>
      <c r="AJ3" s="273"/>
      <c r="AK3" s="273"/>
      <c r="AL3" s="273"/>
    </row>
    <row r="4" spans="1:40" ht="2.25" customHeight="1" thickTop="1" thickBot="1">
      <c r="A4" s="199"/>
      <c r="B4" s="499"/>
      <c r="C4" s="499"/>
      <c r="D4" s="499"/>
      <c r="E4" s="499"/>
      <c r="F4" s="499"/>
      <c r="G4" s="499"/>
      <c r="H4" s="499"/>
      <c r="I4" s="499"/>
      <c r="J4" s="499"/>
      <c r="K4" s="499"/>
      <c r="L4" s="499"/>
      <c r="M4" s="499"/>
      <c r="N4" s="499"/>
      <c r="O4" s="499"/>
      <c r="P4" s="499"/>
      <c r="Q4" s="499"/>
      <c r="R4" s="199"/>
      <c r="S4" s="319"/>
      <c r="T4" s="302"/>
      <c r="U4" s="318"/>
      <c r="V4" s="318"/>
      <c r="W4" s="318"/>
      <c r="X4" s="301"/>
      <c r="Y4" s="301"/>
      <c r="Z4" s="301"/>
      <c r="AA4" s="304"/>
      <c r="AB4" s="304"/>
      <c r="AC4" s="304"/>
      <c r="AD4" s="304"/>
      <c r="AE4" s="301"/>
      <c r="AF4" s="301"/>
      <c r="AG4" s="302"/>
      <c r="AH4" s="301"/>
      <c r="AI4" s="301"/>
      <c r="AJ4" s="301"/>
      <c r="AK4" s="301"/>
      <c r="AL4" s="310"/>
    </row>
    <row r="5" spans="1:40" ht="12.75" customHeight="1" thickBot="1">
      <c r="A5" s="199"/>
      <c r="B5" s="499"/>
      <c r="C5" s="499"/>
      <c r="D5" s="499"/>
      <c r="E5" s="499"/>
      <c r="F5" s="499"/>
      <c r="G5" s="499"/>
      <c r="H5" s="499"/>
      <c r="I5" s="499"/>
      <c r="J5" s="499"/>
      <c r="K5" s="499"/>
      <c r="L5" s="499"/>
      <c r="M5" s="499"/>
      <c r="N5" s="499"/>
      <c r="O5" s="499"/>
      <c r="P5" s="499"/>
      <c r="Q5" s="499"/>
      <c r="R5" s="199"/>
      <c r="S5" s="500"/>
      <c r="T5" s="500"/>
      <c r="U5" s="500"/>
      <c r="V5" s="500"/>
      <c r="W5" s="500"/>
      <c r="X5" s="500"/>
      <c r="Y5" s="500"/>
      <c r="Z5" s="500"/>
      <c r="AA5" s="500"/>
      <c r="AB5" s="500"/>
      <c r="AC5" s="500"/>
      <c r="AD5" s="500"/>
      <c r="AE5" s="500"/>
      <c r="AF5" s="500"/>
      <c r="AG5" s="500"/>
      <c r="AH5" s="500"/>
      <c r="AI5" s="500"/>
      <c r="AJ5" s="500"/>
      <c r="AK5" s="500"/>
      <c r="AL5" s="500"/>
    </row>
    <row r="6" spans="1:40" ht="2.25" customHeight="1" thickBot="1">
      <c r="A6" s="199"/>
      <c r="B6" s="499"/>
      <c r="C6" s="499"/>
      <c r="D6" s="499"/>
      <c r="E6" s="499"/>
      <c r="F6" s="499"/>
      <c r="G6" s="499"/>
      <c r="H6" s="499"/>
      <c r="I6" s="499"/>
      <c r="J6" s="499"/>
      <c r="K6" s="499"/>
      <c r="L6" s="499"/>
      <c r="M6" s="499"/>
      <c r="N6" s="499"/>
      <c r="O6" s="499"/>
      <c r="P6" s="499"/>
      <c r="Q6" s="499"/>
      <c r="R6" s="199"/>
      <c r="S6" s="317"/>
      <c r="T6" s="314"/>
      <c r="U6" s="316"/>
      <c r="V6" s="316"/>
      <c r="W6" s="316"/>
      <c r="X6" s="313"/>
      <c r="Y6" s="313"/>
      <c r="Z6" s="313"/>
      <c r="AA6" s="315"/>
      <c r="AB6" s="315"/>
      <c r="AC6" s="315"/>
      <c r="AD6" s="315"/>
      <c r="AE6" s="313"/>
      <c r="AF6" s="313"/>
      <c r="AG6" s="314"/>
      <c r="AH6" s="313"/>
      <c r="AI6" s="313"/>
      <c r="AJ6" s="313"/>
      <c r="AK6" s="313"/>
      <c r="AL6" s="305"/>
    </row>
    <row r="7" spans="1:40" ht="6.75" customHeight="1" thickTop="1" thickBot="1">
      <c r="A7" s="199"/>
      <c r="B7" s="499"/>
      <c r="C7" s="499"/>
      <c r="D7" s="499"/>
      <c r="E7" s="499"/>
      <c r="F7" s="499"/>
      <c r="G7" s="499"/>
      <c r="H7" s="499"/>
      <c r="I7" s="499"/>
      <c r="J7" s="499"/>
      <c r="K7" s="499"/>
      <c r="L7" s="499"/>
      <c r="M7" s="499"/>
      <c r="N7" s="499"/>
      <c r="O7" s="499"/>
      <c r="P7" s="499"/>
      <c r="Q7" s="499"/>
      <c r="R7" s="300"/>
      <c r="S7" s="300"/>
      <c r="T7" s="312"/>
      <c r="U7" s="300"/>
      <c r="V7" s="300"/>
      <c r="W7" s="300"/>
      <c r="X7" s="300"/>
      <c r="Y7" s="300"/>
      <c r="Z7" s="300"/>
      <c r="AA7" s="300"/>
      <c r="AB7" s="300"/>
      <c r="AC7" s="300"/>
      <c r="AD7" s="300"/>
      <c r="AE7" s="273"/>
      <c r="AF7" s="273"/>
      <c r="AG7" s="199"/>
      <c r="AH7" s="199"/>
      <c r="AI7" s="199"/>
      <c r="AJ7" s="199"/>
      <c r="AK7" s="273"/>
      <c r="AL7" s="273"/>
    </row>
    <row r="8" spans="1:40" ht="1.5" customHeight="1" thickTop="1" thickBot="1">
      <c r="A8" s="199"/>
      <c r="B8" s="499"/>
      <c r="C8" s="499"/>
      <c r="D8" s="499"/>
      <c r="E8" s="499"/>
      <c r="F8" s="499"/>
      <c r="G8" s="499"/>
      <c r="H8" s="499"/>
      <c r="I8" s="499"/>
      <c r="J8" s="499"/>
      <c r="K8" s="499"/>
      <c r="L8" s="499"/>
      <c r="M8" s="499"/>
      <c r="N8" s="499"/>
      <c r="O8" s="499"/>
      <c r="P8" s="499"/>
      <c r="Q8" s="499"/>
      <c r="R8" s="300"/>
      <c r="S8" s="311"/>
      <c r="T8" s="303"/>
      <c r="U8" s="304"/>
      <c r="V8" s="304"/>
      <c r="W8" s="304"/>
      <c r="X8" s="304"/>
      <c r="Y8" s="304"/>
      <c r="Z8" s="304"/>
      <c r="AA8" s="304"/>
      <c r="AB8" s="304"/>
      <c r="AC8" s="304"/>
      <c r="AD8" s="304"/>
      <c r="AE8" s="301"/>
      <c r="AF8" s="301"/>
      <c r="AG8" s="302"/>
      <c r="AH8" s="302"/>
      <c r="AI8" s="302"/>
      <c r="AJ8" s="302"/>
      <c r="AK8" s="301"/>
      <c r="AL8" s="310"/>
    </row>
    <row r="9" spans="1:40" ht="16.5" customHeight="1" thickBot="1">
      <c r="A9" s="199"/>
      <c r="B9" s="499"/>
      <c r="C9" s="499"/>
      <c r="D9" s="499"/>
      <c r="E9" s="499"/>
      <c r="F9" s="499"/>
      <c r="G9" s="499"/>
      <c r="H9" s="499"/>
      <c r="I9" s="499"/>
      <c r="J9" s="499"/>
      <c r="K9" s="499"/>
      <c r="L9" s="499"/>
      <c r="M9" s="499"/>
      <c r="N9" s="499"/>
      <c r="O9" s="499"/>
      <c r="P9" s="499"/>
      <c r="Q9" s="499"/>
      <c r="S9" s="487" t="s">
        <v>286</v>
      </c>
      <c r="T9" s="488"/>
      <c r="U9" s="486"/>
      <c r="V9" s="486"/>
      <c r="W9" s="486"/>
      <c r="X9" s="486"/>
      <c r="Y9" s="486"/>
      <c r="Z9" s="291"/>
      <c r="AA9" s="291" t="s">
        <v>285</v>
      </c>
      <c r="AB9" s="485">
        <f>Contract!K10</f>
        <v>0</v>
      </c>
      <c r="AC9" s="485"/>
      <c r="AD9" s="309"/>
      <c r="AE9" s="308"/>
      <c r="AF9" s="199"/>
      <c r="AG9" s="291" t="s">
        <v>284</v>
      </c>
      <c r="AH9" s="501"/>
      <c r="AI9" s="501"/>
      <c r="AJ9" s="501"/>
      <c r="AK9" s="501"/>
      <c r="AL9" s="307"/>
    </row>
    <row r="10" spans="1:40" ht="1.5" customHeight="1" thickBot="1">
      <c r="A10" s="199"/>
      <c r="B10" s="499"/>
      <c r="C10" s="499"/>
      <c r="D10" s="499"/>
      <c r="E10" s="499"/>
      <c r="F10" s="499"/>
      <c r="G10" s="499"/>
      <c r="H10" s="499"/>
      <c r="I10" s="499"/>
      <c r="J10" s="499"/>
      <c r="K10" s="499"/>
      <c r="L10" s="499"/>
      <c r="M10" s="499"/>
      <c r="N10" s="499"/>
      <c r="O10" s="499"/>
      <c r="P10" s="499"/>
      <c r="Q10" s="499"/>
      <c r="R10" s="300"/>
      <c r="S10" s="306"/>
      <c r="T10" s="273"/>
      <c r="U10" s="300"/>
      <c r="V10" s="300"/>
      <c r="W10" s="300"/>
      <c r="X10" s="300"/>
      <c r="Y10" s="300"/>
      <c r="Z10" s="300"/>
      <c r="AA10" s="300"/>
      <c r="AB10" s="300"/>
      <c r="AC10" s="300"/>
      <c r="AD10" s="300"/>
      <c r="AE10" s="273"/>
      <c r="AF10" s="273"/>
      <c r="AH10" s="273"/>
      <c r="AI10" s="273"/>
      <c r="AJ10" s="273"/>
      <c r="AK10" s="273"/>
      <c r="AL10" s="305"/>
    </row>
    <row r="11" spans="1:40" ht="6.75" customHeight="1" thickTop="1" thickBot="1">
      <c r="A11" s="199"/>
      <c r="B11" s="499"/>
      <c r="C11" s="499"/>
      <c r="D11" s="499"/>
      <c r="E11" s="499"/>
      <c r="F11" s="499"/>
      <c r="G11" s="499"/>
      <c r="H11" s="499"/>
      <c r="I11" s="499"/>
      <c r="J11" s="499"/>
      <c r="K11" s="499"/>
      <c r="L11" s="499"/>
      <c r="M11" s="499"/>
      <c r="N11" s="499"/>
      <c r="O11" s="499"/>
      <c r="P11" s="499"/>
      <c r="Q11" s="499"/>
      <c r="R11" s="300"/>
      <c r="S11" s="300"/>
      <c r="T11" s="296"/>
      <c r="U11" s="304"/>
      <c r="V11" s="304"/>
      <c r="W11" s="304"/>
      <c r="X11" s="304"/>
      <c r="Y11" s="304"/>
      <c r="Z11" s="304"/>
      <c r="AA11" s="301"/>
      <c r="AB11" s="301"/>
      <c r="AC11" s="301"/>
      <c r="AD11" s="301"/>
      <c r="AE11" s="303"/>
      <c r="AF11" s="302"/>
      <c r="AG11" s="302"/>
      <c r="AH11" s="301"/>
      <c r="AI11" s="301"/>
      <c r="AJ11" s="301"/>
      <c r="AK11" s="301"/>
      <c r="AL11" s="273"/>
    </row>
    <row r="12" spans="1:40" ht="3.9" customHeight="1" thickTop="1" thickBot="1">
      <c r="A12" s="199"/>
      <c r="B12" s="499"/>
      <c r="C12" s="499"/>
      <c r="D12" s="499"/>
      <c r="E12" s="499"/>
      <c r="F12" s="499"/>
      <c r="G12" s="499"/>
      <c r="H12" s="499"/>
      <c r="I12" s="499"/>
      <c r="J12" s="499"/>
      <c r="K12" s="499"/>
      <c r="L12" s="499"/>
      <c r="M12" s="499"/>
      <c r="N12" s="499"/>
      <c r="O12" s="499"/>
      <c r="P12" s="499"/>
      <c r="Q12" s="499"/>
      <c r="R12" s="300"/>
      <c r="S12" s="297"/>
      <c r="T12" s="296"/>
      <c r="U12" s="296"/>
      <c r="V12" s="296"/>
      <c r="W12" s="296"/>
      <c r="X12" s="296"/>
      <c r="Y12" s="296"/>
      <c r="Z12" s="296"/>
      <c r="AA12" s="296"/>
      <c r="AB12" s="296"/>
      <c r="AC12" s="296"/>
      <c r="AD12" s="296"/>
      <c r="AE12" s="296"/>
      <c r="AF12" s="296"/>
      <c r="AG12" s="502"/>
      <c r="AH12" s="502"/>
      <c r="AI12" s="502"/>
      <c r="AJ12" s="502"/>
      <c r="AK12" s="502"/>
      <c r="AL12" s="502"/>
    </row>
    <row r="13" spans="1:40" ht="16.5" customHeight="1" thickBot="1">
      <c r="A13" s="199"/>
      <c r="B13" s="499"/>
      <c r="C13" s="499"/>
      <c r="D13" s="499"/>
      <c r="E13" s="499"/>
      <c r="F13" s="499"/>
      <c r="G13" s="499"/>
      <c r="H13" s="499"/>
      <c r="I13" s="499"/>
      <c r="J13" s="499"/>
      <c r="K13" s="499"/>
      <c r="L13" s="499"/>
      <c r="M13" s="499"/>
      <c r="N13" s="499"/>
      <c r="O13" s="499"/>
      <c r="P13" s="499"/>
      <c r="Q13" s="499"/>
      <c r="R13" s="273"/>
      <c r="S13" s="503">
        <f>Contract!F9</f>
        <v>0</v>
      </c>
      <c r="T13" s="503"/>
      <c r="U13" s="503"/>
      <c r="V13" s="503"/>
      <c r="W13" s="503"/>
      <c r="X13" s="503"/>
      <c r="Y13" s="503"/>
      <c r="Z13" s="503"/>
      <c r="AA13" s="503"/>
      <c r="AB13" s="503"/>
      <c r="AC13" s="503"/>
      <c r="AD13" s="292"/>
      <c r="AE13" s="267"/>
      <c r="AF13" s="291" t="s">
        <v>278</v>
      </c>
      <c r="AG13" s="504">
        <f>[0]!WorkPhone</f>
        <v>0</v>
      </c>
      <c r="AH13" s="504"/>
      <c r="AI13" s="504"/>
      <c r="AJ13" s="504"/>
      <c r="AK13" s="504"/>
      <c r="AL13" s="504"/>
      <c r="AN13" s="299"/>
    </row>
    <row r="14" spans="1:40" ht="16.5" customHeight="1" thickBot="1">
      <c r="A14" s="199"/>
      <c r="B14" s="499"/>
      <c r="C14" s="499"/>
      <c r="D14" s="499"/>
      <c r="E14" s="499"/>
      <c r="F14" s="499"/>
      <c r="G14" s="499"/>
      <c r="H14" s="499"/>
      <c r="I14" s="499"/>
      <c r="J14" s="499"/>
      <c r="K14" s="499"/>
      <c r="L14" s="499"/>
      <c r="M14" s="499"/>
      <c r="N14" s="499"/>
      <c r="O14" s="499"/>
      <c r="P14" s="499"/>
      <c r="Q14" s="499"/>
      <c r="S14" s="505" t="s">
        <v>283</v>
      </c>
      <c r="T14" s="505"/>
      <c r="U14" s="505"/>
      <c r="V14" s="505"/>
      <c r="W14" s="505"/>
      <c r="X14" s="505"/>
      <c r="Y14" s="505"/>
      <c r="Z14" s="505"/>
      <c r="AA14" s="505"/>
      <c r="AB14" s="505"/>
      <c r="AC14" s="505"/>
      <c r="AD14" s="267"/>
      <c r="AE14" s="267"/>
      <c r="AF14" s="291" t="s">
        <v>278</v>
      </c>
      <c r="AG14" s="506">
        <f>[0]!CellPhone</f>
        <v>0</v>
      </c>
      <c r="AH14" s="506"/>
      <c r="AI14" s="506"/>
      <c r="AJ14" s="506"/>
      <c r="AK14" s="506"/>
      <c r="AL14" s="506"/>
    </row>
    <row r="15" spans="1:40" ht="18.75" customHeight="1" thickBot="1">
      <c r="A15" s="199"/>
      <c r="B15" s="499"/>
      <c r="C15" s="499"/>
      <c r="D15" s="499"/>
      <c r="E15" s="499"/>
      <c r="F15" s="499"/>
      <c r="G15" s="499"/>
      <c r="H15" s="499"/>
      <c r="I15" s="499"/>
      <c r="J15" s="499"/>
      <c r="K15" s="499"/>
      <c r="L15" s="499"/>
      <c r="M15" s="499"/>
      <c r="N15" s="499"/>
      <c r="O15" s="499"/>
      <c r="P15" s="499"/>
      <c r="Q15" s="499"/>
      <c r="S15" s="503">
        <f>Contract!F10</f>
        <v>0</v>
      </c>
      <c r="T15" s="507"/>
      <c r="U15" s="507"/>
      <c r="V15" s="507"/>
      <c r="W15" s="507"/>
      <c r="X15" s="507"/>
      <c r="Y15" s="507"/>
      <c r="Z15" s="507"/>
      <c r="AA15" s="507"/>
      <c r="AB15" s="507"/>
      <c r="AC15" s="507"/>
      <c r="AD15" s="507">
        <f>Contract!F11</f>
        <v>0</v>
      </c>
      <c r="AE15" s="507"/>
      <c r="AF15" s="507"/>
      <c r="AG15" s="507"/>
      <c r="AH15" s="507"/>
      <c r="AI15" s="507"/>
      <c r="AJ15" s="291"/>
      <c r="AK15" s="508">
        <f>Contract!L11</f>
        <v>0</v>
      </c>
      <c r="AL15" s="508"/>
    </row>
    <row r="16" spans="1:40" ht="16.5" customHeight="1" thickBot="1">
      <c r="A16" s="199"/>
      <c r="B16" s="499"/>
      <c r="C16" s="499"/>
      <c r="D16" s="499"/>
      <c r="E16" s="499"/>
      <c r="F16" s="499"/>
      <c r="G16" s="499"/>
      <c r="H16" s="499"/>
      <c r="I16" s="499"/>
      <c r="J16" s="499"/>
      <c r="K16" s="499"/>
      <c r="L16" s="499"/>
      <c r="M16" s="499"/>
      <c r="N16" s="499"/>
      <c r="O16" s="499"/>
      <c r="P16" s="499"/>
      <c r="Q16" s="499"/>
      <c r="S16" s="509" t="s">
        <v>282</v>
      </c>
      <c r="T16" s="509"/>
      <c r="U16" s="509"/>
      <c r="V16" s="509"/>
      <c r="W16" s="509"/>
      <c r="X16" s="509"/>
      <c r="Y16" s="509"/>
      <c r="Z16" s="509"/>
      <c r="AA16" s="509"/>
      <c r="AB16" s="509"/>
      <c r="AC16" s="509"/>
      <c r="AD16" s="510" t="s">
        <v>281</v>
      </c>
      <c r="AE16" s="510"/>
      <c r="AF16" s="510"/>
      <c r="AG16" s="510"/>
      <c r="AH16" s="510"/>
      <c r="AI16" s="510"/>
      <c r="AJ16" s="279"/>
      <c r="AK16" s="279" t="s">
        <v>280</v>
      </c>
      <c r="AL16" s="298"/>
    </row>
    <row r="17" spans="1:49" ht="6.75" customHeight="1" thickTop="1" thickBot="1">
      <c r="A17" s="199"/>
      <c r="B17" s="499"/>
      <c r="C17" s="499"/>
      <c r="D17" s="499"/>
      <c r="E17" s="499"/>
      <c r="F17" s="499"/>
      <c r="G17" s="499"/>
      <c r="H17" s="499"/>
      <c r="I17" s="499"/>
      <c r="J17" s="499"/>
      <c r="K17" s="499"/>
      <c r="L17" s="499"/>
      <c r="M17" s="499"/>
      <c r="N17" s="499"/>
      <c r="O17" s="499"/>
      <c r="P17" s="499"/>
      <c r="Q17" s="499"/>
    </row>
    <row r="18" spans="1:49" s="295" customFormat="1" ht="3.75" customHeight="1" thickTop="1" thickBot="1">
      <c r="B18" s="499"/>
      <c r="C18" s="499"/>
      <c r="D18" s="499"/>
      <c r="E18" s="499"/>
      <c r="F18" s="499"/>
      <c r="G18" s="499"/>
      <c r="H18" s="499"/>
      <c r="I18" s="499"/>
      <c r="J18" s="499"/>
      <c r="K18" s="499"/>
      <c r="L18" s="499"/>
      <c r="M18" s="499"/>
      <c r="N18" s="499"/>
      <c r="O18" s="499"/>
      <c r="P18" s="499"/>
      <c r="Q18" s="499"/>
      <c r="S18" s="297"/>
      <c r="T18" s="296"/>
      <c r="U18" s="296"/>
      <c r="V18" s="296"/>
      <c r="W18" s="512" t="s">
        <v>377</v>
      </c>
      <c r="X18" s="512"/>
      <c r="Y18" s="512"/>
      <c r="Z18" s="512"/>
      <c r="AA18" s="512"/>
      <c r="AB18" s="512"/>
      <c r="AC18" s="512"/>
      <c r="AD18" s="512"/>
      <c r="AE18" s="296"/>
      <c r="AF18" s="296"/>
      <c r="AG18" s="511" t="s">
        <v>378</v>
      </c>
      <c r="AH18" s="511"/>
      <c r="AI18" s="511"/>
      <c r="AJ18" s="511"/>
      <c r="AK18" s="511"/>
      <c r="AL18" s="511"/>
    </row>
    <row r="19" spans="1:49" s="239" customFormat="1" ht="16.5" customHeight="1" thickTop="1">
      <c r="B19" s="499"/>
      <c r="C19" s="499"/>
      <c r="D19" s="499"/>
      <c r="E19" s="499"/>
      <c r="F19" s="499"/>
      <c r="G19" s="499"/>
      <c r="H19" s="499"/>
      <c r="I19" s="499"/>
      <c r="J19" s="499"/>
      <c r="K19" s="499"/>
      <c r="L19" s="499"/>
      <c r="M19" s="499"/>
      <c r="N19" s="499"/>
      <c r="O19" s="499"/>
      <c r="P19" s="499"/>
      <c r="Q19" s="499"/>
      <c r="R19" s="294"/>
      <c r="S19" s="293" t="s">
        <v>279</v>
      </c>
      <c r="T19" s="267"/>
      <c r="U19" s="292"/>
      <c r="V19" s="292"/>
      <c r="W19" s="513"/>
      <c r="X19" s="513"/>
      <c r="Y19" s="513"/>
      <c r="Z19" s="513"/>
      <c r="AA19" s="513"/>
      <c r="AB19" s="513"/>
      <c r="AC19" s="513"/>
      <c r="AD19" s="513"/>
      <c r="AE19" s="267"/>
      <c r="AF19" s="291" t="s">
        <v>278</v>
      </c>
      <c r="AG19" s="511"/>
      <c r="AH19" s="511"/>
      <c r="AI19" s="511"/>
      <c r="AJ19" s="511"/>
      <c r="AK19" s="511"/>
      <c r="AL19" s="511"/>
    </row>
    <row r="20" spans="1:49" s="239" customFormat="1" ht="0.75" customHeight="1" thickBot="1">
      <c r="B20" s="261"/>
      <c r="C20" s="290"/>
      <c r="D20" s="288"/>
      <c r="E20" s="290"/>
      <c r="F20" s="290"/>
      <c r="G20" s="286"/>
      <c r="H20" s="261"/>
      <c r="I20" s="289"/>
      <c r="J20" s="288"/>
      <c r="K20" s="288"/>
      <c r="L20" s="288"/>
      <c r="M20" s="288"/>
      <c r="N20" s="287"/>
      <c r="O20" s="286"/>
      <c r="P20" s="285"/>
      <c r="Q20" s="273"/>
      <c r="R20" s="271"/>
      <c r="S20" s="284"/>
      <c r="T20" s="280"/>
      <c r="U20" s="283"/>
      <c r="V20" s="283"/>
      <c r="W20" s="283"/>
      <c r="X20" s="280"/>
      <c r="Y20" s="279"/>
      <c r="Z20" s="280"/>
      <c r="AA20" s="280"/>
      <c r="AB20" s="279"/>
      <c r="AC20" s="282"/>
      <c r="AD20" s="282"/>
      <c r="AE20" s="279"/>
      <c r="AF20" s="279"/>
      <c r="AG20" s="281"/>
      <c r="AH20" s="280"/>
      <c r="AI20" s="280"/>
      <c r="AJ20" s="280"/>
      <c r="AK20" s="279"/>
      <c r="AL20" s="278"/>
    </row>
    <row r="21" spans="1:49" s="239" customFormat="1" ht="6.75" customHeight="1">
      <c r="C21" s="277"/>
      <c r="D21" s="271"/>
      <c r="E21" s="277"/>
      <c r="F21" s="277"/>
      <c r="G21" s="274"/>
      <c r="I21" s="276"/>
      <c r="J21" s="271"/>
      <c r="K21" s="271"/>
      <c r="L21" s="271"/>
      <c r="M21" s="271"/>
      <c r="N21" s="275"/>
      <c r="O21" s="274"/>
      <c r="P21" s="273"/>
      <c r="Q21" s="272"/>
      <c r="R21" s="271"/>
      <c r="S21" s="266"/>
      <c r="T21" s="266"/>
      <c r="U21" s="270"/>
      <c r="V21" s="270"/>
      <c r="W21" s="270"/>
      <c r="X21" s="266"/>
      <c r="Y21" s="267"/>
      <c r="Z21" s="266"/>
      <c r="AA21" s="266"/>
      <c r="AB21" s="267"/>
      <c r="AC21" s="269"/>
      <c r="AD21" s="269"/>
      <c r="AE21" s="267"/>
      <c r="AF21" s="267"/>
      <c r="AG21" s="268"/>
      <c r="AH21" s="266"/>
      <c r="AI21" s="266"/>
      <c r="AJ21" s="266"/>
      <c r="AK21" s="267"/>
      <c r="AL21" s="266"/>
    </row>
    <row r="22" spans="1:49" s="239" customFormat="1" ht="1.5" customHeight="1" thickBot="1">
      <c r="B22" s="262"/>
      <c r="C22" s="263"/>
      <c r="D22" s="262"/>
      <c r="E22" s="262"/>
      <c r="F22" s="262"/>
      <c r="G22" s="262"/>
      <c r="H22" s="262"/>
      <c r="I22" s="265"/>
      <c r="J22" s="263"/>
      <c r="K22" s="263"/>
      <c r="L22" s="263"/>
      <c r="M22" s="263"/>
      <c r="N22" s="262"/>
      <c r="O22" s="264"/>
      <c r="P22" s="262"/>
      <c r="Q22" s="262"/>
      <c r="R22" s="262"/>
      <c r="S22" s="262"/>
      <c r="T22" s="262"/>
      <c r="U22" s="262"/>
      <c r="V22" s="262"/>
      <c r="W22" s="262"/>
      <c r="X22" s="262"/>
      <c r="Y22" s="262"/>
      <c r="Z22" s="262"/>
      <c r="AA22" s="262"/>
      <c r="AB22" s="262"/>
      <c r="AC22" s="262"/>
      <c r="AD22" s="262"/>
      <c r="AE22" s="263"/>
      <c r="AF22" s="262"/>
      <c r="AG22" s="262"/>
      <c r="AH22" s="262"/>
      <c r="AI22" s="262"/>
      <c r="AJ22" s="262"/>
      <c r="AK22" s="261"/>
      <c r="AL22" s="261"/>
    </row>
    <row r="23" spans="1:49" s="242" customFormat="1" ht="9.75" customHeight="1">
      <c r="C23" s="257" t="s">
        <v>70</v>
      </c>
      <c r="D23" s="257" t="s">
        <v>277</v>
      </c>
      <c r="E23" s="257" t="s">
        <v>240</v>
      </c>
      <c r="F23" s="257" t="s">
        <v>357</v>
      </c>
      <c r="G23" s="257" t="s">
        <v>359</v>
      </c>
      <c r="H23" s="481" t="s">
        <v>276</v>
      </c>
      <c r="I23" s="482"/>
      <c r="J23" s="482"/>
      <c r="K23" s="483"/>
      <c r="L23" s="368" t="s">
        <v>360</v>
      </c>
      <c r="M23" s="257"/>
      <c r="N23" s="257" t="s">
        <v>268</v>
      </c>
      <c r="O23" s="257"/>
      <c r="P23" s="257" t="s">
        <v>257</v>
      </c>
      <c r="Q23" s="370" t="s">
        <v>362</v>
      </c>
      <c r="R23" s="260" t="s">
        <v>275</v>
      </c>
      <c r="S23" s="259"/>
      <c r="T23" s="258"/>
      <c r="U23" s="495" t="s">
        <v>274</v>
      </c>
      <c r="V23" s="495"/>
      <c r="W23" s="495"/>
      <c r="X23" s="257" t="s">
        <v>365</v>
      </c>
      <c r="Y23" s="368" t="s">
        <v>367</v>
      </c>
      <c r="Z23" s="368" t="s">
        <v>367</v>
      </c>
      <c r="AA23" s="257" t="s">
        <v>254</v>
      </c>
      <c r="AB23" s="242" t="s">
        <v>273</v>
      </c>
      <c r="AC23" s="256" t="s">
        <v>272</v>
      </c>
      <c r="AD23" s="256" t="s">
        <v>271</v>
      </c>
      <c r="AE23" s="255"/>
      <c r="AF23" s="254" t="s">
        <v>261</v>
      </c>
      <c r="AG23" s="253" t="s">
        <v>261</v>
      </c>
      <c r="AH23" s="496" t="s">
        <v>270</v>
      </c>
      <c r="AI23" s="496"/>
      <c r="AJ23" s="496"/>
      <c r="AK23" s="253" t="s">
        <v>261</v>
      </c>
      <c r="AL23" s="252" t="s">
        <v>269</v>
      </c>
      <c r="AP23" s="242" t="s">
        <v>236</v>
      </c>
      <c r="AQ23" s="242" t="s">
        <v>234</v>
      </c>
      <c r="AR23" s="242" t="s">
        <v>268</v>
      </c>
      <c r="AS23" s="242" t="s">
        <v>268</v>
      </c>
      <c r="AT23" s="242" t="s">
        <v>268</v>
      </c>
      <c r="AU23" s="242" t="s">
        <v>267</v>
      </c>
      <c r="AV23" s="242" t="s">
        <v>267</v>
      </c>
      <c r="AW23" s="242" t="s">
        <v>267</v>
      </c>
    </row>
    <row r="24" spans="1:49" s="242" customFormat="1" ht="9.75" customHeight="1">
      <c r="B24" s="251"/>
      <c r="C24" s="248"/>
      <c r="D24" s="247"/>
      <c r="E24" s="247" t="s">
        <v>266</v>
      </c>
      <c r="F24" s="247" t="s">
        <v>358</v>
      </c>
      <c r="G24" s="247" t="s">
        <v>358</v>
      </c>
      <c r="H24" s="250" t="s">
        <v>265</v>
      </c>
      <c r="I24" s="251" t="s">
        <v>264</v>
      </c>
      <c r="J24" s="251" t="s">
        <v>263</v>
      </c>
      <c r="K24" s="251" t="s">
        <v>262</v>
      </c>
      <c r="L24" s="369" t="s">
        <v>361</v>
      </c>
      <c r="M24" s="247"/>
      <c r="N24" s="247" t="s">
        <v>260</v>
      </c>
      <c r="O24" s="247" t="s">
        <v>259</v>
      </c>
      <c r="P24" s="247" t="s">
        <v>258</v>
      </c>
      <c r="Q24" s="369" t="s">
        <v>363</v>
      </c>
      <c r="R24" s="247" t="s">
        <v>256</v>
      </c>
      <c r="S24" s="497" t="s">
        <v>255</v>
      </c>
      <c r="T24" s="497"/>
      <c r="U24" s="514" t="s">
        <v>364</v>
      </c>
      <c r="V24" s="514"/>
      <c r="W24" s="514"/>
      <c r="X24" s="369" t="s">
        <v>366</v>
      </c>
      <c r="Y24" s="247" t="s">
        <v>368</v>
      </c>
      <c r="Z24" s="247" t="s">
        <v>369</v>
      </c>
      <c r="AA24" s="247" t="s">
        <v>253</v>
      </c>
      <c r="AB24" s="251" t="s">
        <v>252</v>
      </c>
      <c r="AC24" s="250" t="s">
        <v>251</v>
      </c>
      <c r="AD24" s="247" t="s">
        <v>250</v>
      </c>
      <c r="AE24" s="246"/>
      <c r="AF24" s="245" t="s">
        <v>249</v>
      </c>
      <c r="AG24" s="244" t="s">
        <v>248</v>
      </c>
      <c r="AH24" s="515" t="s">
        <v>247</v>
      </c>
      <c r="AI24" s="515"/>
      <c r="AJ24" s="515"/>
      <c r="AK24" s="244" t="s">
        <v>246</v>
      </c>
      <c r="AL24" s="243" t="s">
        <v>245</v>
      </c>
      <c r="AP24" s="242" t="s">
        <v>230</v>
      </c>
      <c r="AQ24" s="242" t="s">
        <v>230</v>
      </c>
      <c r="AR24" s="242" t="s">
        <v>221</v>
      </c>
      <c r="AS24" s="242" t="s">
        <v>244</v>
      </c>
      <c r="AT24" s="242" t="s">
        <v>243</v>
      </c>
      <c r="AU24" s="242" t="s">
        <v>221</v>
      </c>
      <c r="AV24" s="242" t="s">
        <v>244</v>
      </c>
      <c r="AW24" s="242" t="s">
        <v>243</v>
      </c>
    </row>
    <row r="25" spans="1:49" s="242" customFormat="1" ht="2.25" customHeight="1">
      <c r="B25" s="249"/>
      <c r="C25" s="248"/>
      <c r="D25" s="247"/>
      <c r="E25" s="247"/>
      <c r="F25" s="247"/>
      <c r="G25" s="247"/>
      <c r="H25" s="247"/>
      <c r="I25" s="247"/>
      <c r="J25" s="247"/>
      <c r="K25" s="247"/>
      <c r="L25" s="247"/>
      <c r="M25" s="247"/>
      <c r="N25" s="247"/>
      <c r="O25" s="247"/>
      <c r="P25" s="247"/>
      <c r="Q25" s="247"/>
      <c r="R25" s="247"/>
      <c r="S25" s="497"/>
      <c r="T25" s="497"/>
      <c r="U25" s="497"/>
      <c r="V25" s="497"/>
      <c r="W25" s="497"/>
      <c r="X25" s="247"/>
      <c r="Y25" s="247"/>
      <c r="Z25" s="247"/>
      <c r="AA25" s="247"/>
      <c r="AB25" s="247"/>
      <c r="AC25" s="247"/>
      <c r="AD25" s="247"/>
      <c r="AE25" s="246"/>
      <c r="AF25" s="245"/>
      <c r="AG25" s="244"/>
      <c r="AH25" s="498"/>
      <c r="AI25" s="498"/>
      <c r="AJ25" s="498"/>
      <c r="AK25" s="244"/>
      <c r="AL25" s="243"/>
    </row>
    <row r="26" spans="1:49" ht="15.75" hidden="1" customHeight="1">
      <c r="A26" s="199"/>
      <c r="B26" s="239"/>
      <c r="C26" s="225"/>
      <c r="D26" s="224"/>
      <c r="G26" s="225" t="s">
        <v>242</v>
      </c>
      <c r="H26" s="241"/>
      <c r="I26" s="230"/>
      <c r="J26" s="241"/>
      <c r="K26" s="241"/>
      <c r="L26" s="228"/>
      <c r="M26" s="228"/>
      <c r="N26" s="225"/>
      <c r="O26" s="225"/>
      <c r="Q26" s="225"/>
      <c r="R26" s="224"/>
      <c r="S26" s="480"/>
      <c r="T26" s="480"/>
      <c r="AE26" s="233"/>
      <c r="AF26" s="237" t="s">
        <v>241</v>
      </c>
      <c r="AG26" s="216" t="s">
        <v>240</v>
      </c>
      <c r="AH26" s="479" t="s">
        <v>236</v>
      </c>
      <c r="AI26" s="479"/>
      <c r="AJ26" s="479"/>
      <c r="AK26" s="216" t="s">
        <v>239</v>
      </c>
      <c r="AL26" s="215" t="s">
        <v>238</v>
      </c>
      <c r="AN26" s="214"/>
      <c r="AO26" s="214"/>
      <c r="AP26" s="213"/>
      <c r="AQ26" s="213"/>
      <c r="AR26" s="213"/>
      <c r="AS26" s="213"/>
      <c r="AT26" s="213"/>
      <c r="AU26" s="213"/>
      <c r="AV26" s="213"/>
      <c r="AW26" s="213"/>
    </row>
    <row r="27" spans="1:49" ht="15.75" hidden="1" customHeight="1">
      <c r="A27" s="199"/>
      <c r="B27" s="239"/>
      <c r="C27" s="225"/>
      <c r="D27" s="224"/>
      <c r="G27" s="225" t="s">
        <v>237</v>
      </c>
      <c r="H27" s="241"/>
      <c r="I27" s="230"/>
      <c r="J27" s="241"/>
      <c r="K27" s="241"/>
      <c r="L27" s="228"/>
      <c r="M27" s="228"/>
      <c r="N27" s="225"/>
      <c r="O27" s="225"/>
      <c r="Q27" s="225"/>
      <c r="R27" s="224"/>
      <c r="S27" s="223"/>
      <c r="T27" s="223"/>
      <c r="U27" s="480"/>
      <c r="V27" s="480"/>
      <c r="W27" s="480"/>
      <c r="X27" s="223"/>
      <c r="Y27" s="223"/>
      <c r="Z27" s="223"/>
      <c r="AA27" s="223"/>
      <c r="AB27" s="240"/>
      <c r="AC27" s="221"/>
      <c r="AD27" s="221"/>
      <c r="AE27" s="233"/>
      <c r="AF27" s="237" t="s">
        <v>236</v>
      </c>
      <c r="AG27" s="216" t="s">
        <v>235</v>
      </c>
      <c r="AH27" s="479" t="s">
        <v>234</v>
      </c>
      <c r="AI27" s="479"/>
      <c r="AJ27" s="479"/>
      <c r="AK27" s="216" t="s">
        <v>233</v>
      </c>
      <c r="AL27" s="215" t="s">
        <v>232</v>
      </c>
      <c r="AN27" s="214"/>
      <c r="AO27" s="214"/>
      <c r="AP27" s="213"/>
      <c r="AQ27" s="213"/>
      <c r="AR27" s="213"/>
      <c r="AS27" s="213"/>
      <c r="AT27" s="213"/>
      <c r="AU27" s="213"/>
      <c r="AV27" s="213"/>
      <c r="AW27" s="213"/>
    </row>
    <row r="28" spans="1:49" ht="15.75" hidden="1" customHeight="1">
      <c r="A28" s="199"/>
      <c r="B28" s="239"/>
      <c r="C28" s="225"/>
      <c r="D28" s="224"/>
      <c r="G28" s="225" t="s">
        <v>231</v>
      </c>
      <c r="H28" s="241"/>
      <c r="I28" s="230"/>
      <c r="J28" s="241"/>
      <c r="K28" s="241"/>
      <c r="L28" s="228"/>
      <c r="M28" s="228"/>
      <c r="N28" s="225"/>
      <c r="O28" s="225"/>
      <c r="Q28" s="225"/>
      <c r="R28" s="224"/>
      <c r="S28" s="223"/>
      <c r="T28" s="223"/>
      <c r="U28" s="480"/>
      <c r="V28" s="480"/>
      <c r="W28" s="480"/>
      <c r="X28" s="223"/>
      <c r="Y28" s="223"/>
      <c r="Z28" s="223"/>
      <c r="AA28" s="223"/>
      <c r="AB28" s="240"/>
      <c r="AC28" s="221"/>
      <c r="AD28" s="221"/>
      <c r="AE28" s="233"/>
      <c r="AF28" s="237" t="s">
        <v>230</v>
      </c>
      <c r="AG28" s="216" t="s">
        <v>229</v>
      </c>
      <c r="AH28" s="479" t="s">
        <v>228</v>
      </c>
      <c r="AI28" s="479"/>
      <c r="AJ28" s="479"/>
      <c r="AK28" s="216" t="s">
        <v>227</v>
      </c>
      <c r="AL28" s="215" t="s">
        <v>220</v>
      </c>
      <c r="AN28" s="214"/>
      <c r="AO28" s="214"/>
      <c r="AP28" s="213"/>
      <c r="AQ28" s="213"/>
      <c r="AR28" s="213"/>
      <c r="AS28" s="213"/>
      <c r="AT28" s="213"/>
      <c r="AU28" s="213"/>
      <c r="AV28" s="213"/>
      <c r="AW28" s="213"/>
    </row>
    <row r="29" spans="1:49" ht="15.75" hidden="1" customHeight="1">
      <c r="A29" s="199"/>
      <c r="B29" s="239"/>
      <c r="C29" s="225"/>
      <c r="D29" s="224"/>
      <c r="E29" s="225" t="s">
        <v>226</v>
      </c>
      <c r="F29" s="225"/>
      <c r="G29" s="225" t="s">
        <v>226</v>
      </c>
      <c r="H29" s="241"/>
      <c r="I29" s="230"/>
      <c r="J29" s="241"/>
      <c r="K29" s="241"/>
      <c r="L29" s="228"/>
      <c r="M29" s="228"/>
      <c r="N29" s="225"/>
      <c r="O29" s="225"/>
      <c r="P29" s="225"/>
      <c r="Q29" s="225"/>
      <c r="R29" s="224"/>
      <c r="S29" s="223"/>
      <c r="T29" s="223"/>
      <c r="AE29" s="233"/>
      <c r="AF29" s="237" t="s">
        <v>225</v>
      </c>
      <c r="AG29" s="216" t="s">
        <v>220</v>
      </c>
      <c r="AH29" s="479" t="s">
        <v>225</v>
      </c>
      <c r="AI29" s="479"/>
      <c r="AJ29" s="479"/>
      <c r="AK29" s="216" t="s">
        <v>220</v>
      </c>
      <c r="AL29" s="215" t="s">
        <v>220</v>
      </c>
      <c r="AN29" s="214"/>
      <c r="AO29" s="214"/>
      <c r="AP29" s="213"/>
      <c r="AQ29" s="213"/>
      <c r="AR29" s="213"/>
      <c r="AS29" s="213"/>
      <c r="AT29" s="213"/>
      <c r="AU29" s="213"/>
      <c r="AV29" s="213"/>
      <c r="AW29" s="213"/>
    </row>
    <row r="30" spans="1:49" ht="15.75" hidden="1" customHeight="1">
      <c r="A30" s="199"/>
      <c r="B30" s="239"/>
      <c r="C30" s="225"/>
      <c r="D30" s="224"/>
      <c r="E30" s="225" t="s">
        <v>224</v>
      </c>
      <c r="F30" s="225"/>
      <c r="G30" s="225" t="s">
        <v>223</v>
      </c>
      <c r="H30" s="241"/>
      <c r="I30" s="230"/>
      <c r="J30" s="241"/>
      <c r="K30" s="241"/>
      <c r="L30" s="238" t="s">
        <v>222</v>
      </c>
      <c r="M30" s="228"/>
      <c r="N30" s="225"/>
      <c r="O30" s="225"/>
      <c r="P30" s="225" t="s">
        <v>221</v>
      </c>
      <c r="Q30" s="225"/>
      <c r="R30" s="224"/>
      <c r="S30" s="223"/>
      <c r="T30" s="223"/>
      <c r="U30" s="480"/>
      <c r="V30" s="480"/>
      <c r="W30" s="480"/>
      <c r="X30" s="223"/>
      <c r="Y30" s="223"/>
      <c r="Z30" s="223"/>
      <c r="AA30" s="223"/>
      <c r="AB30" s="240"/>
      <c r="AC30" s="221"/>
      <c r="AD30" s="221"/>
      <c r="AE30" s="233"/>
      <c r="AF30" s="237" t="s">
        <v>220</v>
      </c>
      <c r="AG30" s="216" t="s">
        <v>220</v>
      </c>
      <c r="AH30" s="479" t="s">
        <v>220</v>
      </c>
      <c r="AI30" s="479"/>
      <c r="AJ30" s="479"/>
      <c r="AK30" s="216" t="s">
        <v>220</v>
      </c>
      <c r="AL30" s="215" t="s">
        <v>220</v>
      </c>
      <c r="AN30" s="214"/>
      <c r="AO30" s="214"/>
      <c r="AP30" s="213"/>
      <c r="AQ30" s="213"/>
      <c r="AR30" s="213"/>
      <c r="AS30" s="213"/>
      <c r="AT30" s="213"/>
      <c r="AU30" s="213"/>
      <c r="AV30" s="213"/>
      <c r="AW30" s="213"/>
    </row>
    <row r="31" spans="1:49" ht="14.25" customHeight="1">
      <c r="A31" s="199"/>
      <c r="B31" s="239">
        <v>1</v>
      </c>
      <c r="C31" s="225"/>
      <c r="D31" s="231"/>
      <c r="E31" s="225"/>
      <c r="F31" s="225"/>
      <c r="G31" s="225"/>
      <c r="H31" s="229"/>
      <c r="I31" s="230" t="s">
        <v>219</v>
      </c>
      <c r="J31" s="229"/>
      <c r="K31" s="229"/>
      <c r="L31" s="238"/>
      <c r="M31" s="227" t="str">
        <f t="shared" ref="M31:M54" si="0">IF(D31="","",LEFT(D31,1))</f>
        <v/>
      </c>
      <c r="N31" s="226"/>
      <c r="O31" s="225"/>
      <c r="P31" s="225" t="str">
        <f t="shared" ref="P31:P54" si="1">IF(D31="","",IF(LEFT(D31,1)="M","",IF(SolarZoneLeeQty&lt;&gt;"","LEE",IF(SolarZoneLeQty&lt;&gt;"","LE",""))))</f>
        <v/>
      </c>
      <c r="Q31" s="225"/>
      <c r="R31" s="224"/>
      <c r="S31" s="480"/>
      <c r="T31" s="480"/>
      <c r="U31" s="480"/>
      <c r="V31" s="480"/>
      <c r="W31" s="480"/>
      <c r="X31" s="223"/>
      <c r="Y31" s="223"/>
      <c r="Z31" s="223"/>
      <c r="AA31" s="223"/>
      <c r="AB31" s="234"/>
      <c r="AC31" s="221" t="str">
        <f t="shared" ref="AC31:AC54" si="2">IF(D31="","",IF(LEFT(D31,1)="M","","Y"))</f>
        <v/>
      </c>
      <c r="AD31" s="221"/>
      <c r="AE31" s="233"/>
      <c r="AF31" s="237"/>
      <c r="AG31" s="236"/>
      <c r="AH31" s="479"/>
      <c r="AI31" s="479"/>
      <c r="AJ31" s="479"/>
      <c r="AK31" s="216"/>
      <c r="AL31" s="215"/>
      <c r="AN31" s="214"/>
      <c r="AO31" s="214"/>
      <c r="AP31" s="213">
        <f t="shared" ref="AP31:AP54" si="3">IF(AND(AH31="ALUM",AF31="STUCCO"),C31,0)</f>
        <v>0</v>
      </c>
      <c r="AQ31" s="213">
        <f t="shared" ref="AQ31:AQ54" si="4">IF(AND(AH31="STEEL",AF31="STUCCO"),C31,0)</f>
        <v>0</v>
      </c>
      <c r="AR31" s="213">
        <f t="shared" ref="AR31:AR54" si="5">IF(AND(LEFT(D31,1)&lt;&gt;"6",P31="LE"),C31,0)</f>
        <v>0</v>
      </c>
      <c r="AS31" s="213">
        <f t="shared" ref="AS31:AS54" si="6">IF(AND(LEFT(D31,1)&lt;&gt;"6",P31="LEE"),C31,0)</f>
        <v>0</v>
      </c>
      <c r="AT31" s="213">
        <f t="shared" ref="AT31:AT54" si="7">IF(AND(LEFT(D31,1)&lt;&gt;"6",R31&gt;""),C31,0)</f>
        <v>0</v>
      </c>
      <c r="AU31" s="213">
        <f t="shared" ref="AU31:AU54" si="8">IF(AND(LEFT(D31,1)="6",P31="LE"),C31,0)</f>
        <v>0</v>
      </c>
      <c r="AV31" s="213">
        <f t="shared" ref="AV31:AV54" si="9">IF(AND(LEFT(D31,1)="6",P31="LEE"),C31,0)</f>
        <v>0</v>
      </c>
      <c r="AW31" s="213">
        <f t="shared" ref="AW31:AW54" si="10">IF(AND(LEFT(D31,1)="6",R31&gt;""),C31,0)</f>
        <v>0</v>
      </c>
    </row>
    <row r="32" spans="1:49" ht="14.25" customHeight="1">
      <c r="A32" s="199"/>
      <c r="B32" s="235">
        <v>2</v>
      </c>
      <c r="C32" s="225"/>
      <c r="D32" s="231"/>
      <c r="E32" s="225" t="str">
        <f t="shared" ref="E32:E54" si="11">IF(D32="","",IF(LEFT(D32,1)="M","",IF(BeigeColorQty&gt;0,"BG","WH")))</f>
        <v/>
      </c>
      <c r="F32" s="225"/>
      <c r="G32" s="225"/>
      <c r="H32" s="229"/>
      <c r="I32" s="230" t="s">
        <v>219</v>
      </c>
      <c r="J32" s="229"/>
      <c r="K32" s="229"/>
      <c r="L32" s="228"/>
      <c r="M32" s="227" t="str">
        <f t="shared" si="0"/>
        <v/>
      </c>
      <c r="N32" s="226"/>
      <c r="O32" s="225"/>
      <c r="P32" s="225" t="str">
        <f t="shared" si="1"/>
        <v/>
      </c>
      <c r="Q32" s="225"/>
      <c r="R32" s="224"/>
      <c r="S32" s="480"/>
      <c r="T32" s="480"/>
      <c r="U32" s="480"/>
      <c r="V32" s="480"/>
      <c r="W32" s="480"/>
      <c r="X32" s="223"/>
      <c r="Y32" s="223"/>
      <c r="Z32" s="223"/>
      <c r="AA32" s="223"/>
      <c r="AB32" s="234"/>
      <c r="AC32" s="221" t="str">
        <f t="shared" si="2"/>
        <v/>
      </c>
      <c r="AD32" s="221"/>
      <c r="AE32" s="233"/>
      <c r="AF32" s="218" t="str">
        <f t="shared" ref="AF32:AF54" si="12">IF(D32="","",IF(LEFT(D32,1)="M","",AF31))</f>
        <v/>
      </c>
      <c r="AG32" s="217" t="str">
        <f t="shared" ref="AG32:AG54" si="13">IF(D32="","",IF(LEFT(D32,1)="M","",AG31))</f>
        <v/>
      </c>
      <c r="AH32" s="478" t="str">
        <f t="shared" ref="AH32:AH54" si="14">IF(D32="","",IF(LEFT(D32,1)="M","",AH31))</f>
        <v/>
      </c>
      <c r="AI32" s="479"/>
      <c r="AJ32" s="479"/>
      <c r="AK32" s="216" t="str">
        <f t="shared" ref="AK32:AK54" si="15">IF(D32="","",IF(LEFT(D32,1)="M","",AK31))</f>
        <v/>
      </c>
      <c r="AL32" s="215"/>
      <c r="AN32" s="214"/>
      <c r="AO32" s="214"/>
      <c r="AP32" s="213">
        <f t="shared" si="3"/>
        <v>0</v>
      </c>
      <c r="AQ32" s="213">
        <f t="shared" si="4"/>
        <v>0</v>
      </c>
      <c r="AR32" s="213">
        <f t="shared" si="5"/>
        <v>0</v>
      </c>
      <c r="AS32" s="213">
        <f t="shared" si="6"/>
        <v>0</v>
      </c>
      <c r="AT32" s="213">
        <f t="shared" si="7"/>
        <v>0</v>
      </c>
      <c r="AU32" s="213">
        <f t="shared" si="8"/>
        <v>0</v>
      </c>
      <c r="AV32" s="213">
        <f t="shared" si="9"/>
        <v>0</v>
      </c>
      <c r="AW32" s="213">
        <f t="shared" si="10"/>
        <v>0</v>
      </c>
    </row>
    <row r="33" spans="1:49" ht="14.25" customHeight="1">
      <c r="A33" s="199"/>
      <c r="B33" s="235">
        <v>3</v>
      </c>
      <c r="C33" s="225"/>
      <c r="D33" s="231"/>
      <c r="E33" s="225" t="str">
        <f t="shared" si="11"/>
        <v/>
      </c>
      <c r="F33" s="225"/>
      <c r="G33" s="225"/>
      <c r="H33" s="229"/>
      <c r="I33" s="230" t="s">
        <v>219</v>
      </c>
      <c r="J33" s="229"/>
      <c r="K33" s="229"/>
      <c r="L33" s="228"/>
      <c r="M33" s="227" t="str">
        <f t="shared" si="0"/>
        <v/>
      </c>
      <c r="N33" s="226"/>
      <c r="O33" s="225"/>
      <c r="P33" s="225" t="str">
        <f t="shared" si="1"/>
        <v/>
      </c>
      <c r="Q33" s="225"/>
      <c r="R33" s="224"/>
      <c r="S33" s="480"/>
      <c r="T33" s="480"/>
      <c r="U33" s="480"/>
      <c r="V33" s="480"/>
      <c r="W33" s="480"/>
      <c r="X33" s="223"/>
      <c r="Y33" s="223"/>
      <c r="Z33" s="223"/>
      <c r="AA33" s="223"/>
      <c r="AB33" s="234"/>
      <c r="AC33" s="221" t="str">
        <f t="shared" si="2"/>
        <v/>
      </c>
      <c r="AD33" s="221"/>
      <c r="AE33" s="233"/>
      <c r="AF33" s="218" t="str">
        <f t="shared" si="12"/>
        <v/>
      </c>
      <c r="AG33" s="217" t="str">
        <f t="shared" si="13"/>
        <v/>
      </c>
      <c r="AH33" s="478" t="str">
        <f t="shared" si="14"/>
        <v/>
      </c>
      <c r="AI33" s="479"/>
      <c r="AJ33" s="479"/>
      <c r="AK33" s="216" t="str">
        <f t="shared" si="15"/>
        <v/>
      </c>
      <c r="AL33" s="215"/>
      <c r="AN33" s="214"/>
      <c r="AO33" s="214"/>
      <c r="AP33" s="213">
        <f t="shared" si="3"/>
        <v>0</v>
      </c>
      <c r="AQ33" s="213">
        <f t="shared" si="4"/>
        <v>0</v>
      </c>
      <c r="AR33" s="213">
        <f t="shared" si="5"/>
        <v>0</v>
      </c>
      <c r="AS33" s="213">
        <f t="shared" si="6"/>
        <v>0</v>
      </c>
      <c r="AT33" s="213">
        <f t="shared" si="7"/>
        <v>0</v>
      </c>
      <c r="AU33" s="213">
        <f t="shared" si="8"/>
        <v>0</v>
      </c>
      <c r="AV33" s="213">
        <f t="shared" si="9"/>
        <v>0</v>
      </c>
      <c r="AW33" s="213">
        <f t="shared" si="10"/>
        <v>0</v>
      </c>
    </row>
    <row r="34" spans="1:49" ht="14.25" customHeight="1">
      <c r="A34" s="199"/>
      <c r="B34" s="235">
        <v>4</v>
      </c>
      <c r="C34" s="225"/>
      <c r="D34" s="231"/>
      <c r="E34" s="225" t="str">
        <f t="shared" si="11"/>
        <v/>
      </c>
      <c r="F34" s="225"/>
      <c r="G34" s="225"/>
      <c r="H34" s="229"/>
      <c r="I34" s="230" t="s">
        <v>219</v>
      </c>
      <c r="J34" s="229"/>
      <c r="K34" s="229"/>
      <c r="L34" s="228"/>
      <c r="M34" s="227" t="str">
        <f t="shared" si="0"/>
        <v/>
      </c>
      <c r="N34" s="226"/>
      <c r="O34" s="225"/>
      <c r="P34" s="225" t="str">
        <f t="shared" si="1"/>
        <v/>
      </c>
      <c r="Q34" s="225"/>
      <c r="R34" s="224"/>
      <c r="S34" s="480"/>
      <c r="T34" s="480"/>
      <c r="U34" s="480"/>
      <c r="V34" s="480"/>
      <c r="W34" s="480"/>
      <c r="X34" s="223"/>
      <c r="Y34" s="223"/>
      <c r="Z34" s="223"/>
      <c r="AA34" s="223"/>
      <c r="AB34" s="234"/>
      <c r="AC34" s="221" t="str">
        <f t="shared" si="2"/>
        <v/>
      </c>
      <c r="AD34" s="221"/>
      <c r="AE34" s="233"/>
      <c r="AF34" s="218" t="str">
        <f t="shared" si="12"/>
        <v/>
      </c>
      <c r="AG34" s="217" t="str">
        <f t="shared" si="13"/>
        <v/>
      </c>
      <c r="AH34" s="478" t="str">
        <f t="shared" si="14"/>
        <v/>
      </c>
      <c r="AI34" s="479"/>
      <c r="AJ34" s="479"/>
      <c r="AK34" s="216" t="str">
        <f t="shared" si="15"/>
        <v/>
      </c>
      <c r="AL34" s="215"/>
      <c r="AN34" s="214"/>
      <c r="AO34" s="214"/>
      <c r="AP34" s="213">
        <f t="shared" si="3"/>
        <v>0</v>
      </c>
      <c r="AQ34" s="213">
        <f t="shared" si="4"/>
        <v>0</v>
      </c>
      <c r="AR34" s="213">
        <f t="shared" si="5"/>
        <v>0</v>
      </c>
      <c r="AS34" s="213">
        <f t="shared" si="6"/>
        <v>0</v>
      </c>
      <c r="AT34" s="213">
        <f t="shared" si="7"/>
        <v>0</v>
      </c>
      <c r="AU34" s="213">
        <f t="shared" si="8"/>
        <v>0</v>
      </c>
      <c r="AV34" s="213">
        <f t="shared" si="9"/>
        <v>0</v>
      </c>
      <c r="AW34" s="213">
        <f t="shared" si="10"/>
        <v>0</v>
      </c>
    </row>
    <row r="35" spans="1:49" ht="14.25" customHeight="1">
      <c r="A35" s="199"/>
      <c r="B35" s="235">
        <v>5</v>
      </c>
      <c r="C35" s="225"/>
      <c r="D35" s="231"/>
      <c r="E35" s="225" t="str">
        <f t="shared" si="11"/>
        <v/>
      </c>
      <c r="F35" s="225"/>
      <c r="G35" s="225"/>
      <c r="H35" s="229"/>
      <c r="I35" s="230" t="s">
        <v>219</v>
      </c>
      <c r="J35" s="229"/>
      <c r="K35" s="229"/>
      <c r="L35" s="228"/>
      <c r="M35" s="227" t="str">
        <f t="shared" si="0"/>
        <v/>
      </c>
      <c r="N35" s="226"/>
      <c r="O35" s="225"/>
      <c r="P35" s="225" t="str">
        <f t="shared" si="1"/>
        <v/>
      </c>
      <c r="Q35" s="225"/>
      <c r="R35" s="224"/>
      <c r="S35" s="480"/>
      <c r="T35" s="480"/>
      <c r="U35" s="480"/>
      <c r="V35" s="480"/>
      <c r="W35" s="480"/>
      <c r="X35" s="223"/>
      <c r="Y35" s="223"/>
      <c r="Z35" s="223"/>
      <c r="AA35" s="223"/>
      <c r="AB35" s="234"/>
      <c r="AC35" s="221" t="str">
        <f t="shared" si="2"/>
        <v/>
      </c>
      <c r="AD35" s="221"/>
      <c r="AE35" s="233"/>
      <c r="AF35" s="218" t="str">
        <f t="shared" si="12"/>
        <v/>
      </c>
      <c r="AG35" s="217" t="str">
        <f t="shared" si="13"/>
        <v/>
      </c>
      <c r="AH35" s="478" t="str">
        <f t="shared" si="14"/>
        <v/>
      </c>
      <c r="AI35" s="479"/>
      <c r="AJ35" s="479"/>
      <c r="AK35" s="216" t="str">
        <f t="shared" si="15"/>
        <v/>
      </c>
      <c r="AL35" s="215"/>
      <c r="AN35" s="214"/>
      <c r="AO35" s="214"/>
      <c r="AP35" s="213">
        <f t="shared" si="3"/>
        <v>0</v>
      </c>
      <c r="AQ35" s="213">
        <f t="shared" si="4"/>
        <v>0</v>
      </c>
      <c r="AR35" s="213">
        <f t="shared" si="5"/>
        <v>0</v>
      </c>
      <c r="AS35" s="213">
        <f t="shared" si="6"/>
        <v>0</v>
      </c>
      <c r="AT35" s="213">
        <f t="shared" si="7"/>
        <v>0</v>
      </c>
      <c r="AU35" s="213">
        <f t="shared" si="8"/>
        <v>0</v>
      </c>
      <c r="AV35" s="213">
        <f t="shared" si="9"/>
        <v>0</v>
      </c>
      <c r="AW35" s="213">
        <f t="shared" si="10"/>
        <v>0</v>
      </c>
    </row>
    <row r="36" spans="1:49" ht="14.25" customHeight="1">
      <c r="A36" s="199"/>
      <c r="B36" s="235">
        <v>6</v>
      </c>
      <c r="C36" s="225"/>
      <c r="D36" s="231"/>
      <c r="E36" s="225" t="str">
        <f t="shared" si="11"/>
        <v/>
      </c>
      <c r="F36" s="225"/>
      <c r="G36" s="225"/>
      <c r="H36" s="229"/>
      <c r="I36" s="230" t="s">
        <v>219</v>
      </c>
      <c r="J36" s="229"/>
      <c r="K36" s="229"/>
      <c r="L36" s="228"/>
      <c r="M36" s="227" t="str">
        <f t="shared" si="0"/>
        <v/>
      </c>
      <c r="N36" s="226"/>
      <c r="O36" s="225"/>
      <c r="P36" s="225" t="str">
        <f t="shared" si="1"/>
        <v/>
      </c>
      <c r="Q36" s="225"/>
      <c r="R36" s="224"/>
      <c r="S36" s="480"/>
      <c r="T36" s="480"/>
      <c r="U36" s="480"/>
      <c r="V36" s="480"/>
      <c r="W36" s="480"/>
      <c r="X36" s="223"/>
      <c r="Y36" s="223"/>
      <c r="Z36" s="223"/>
      <c r="AA36" s="223"/>
      <c r="AB36" s="234"/>
      <c r="AC36" s="221" t="str">
        <f t="shared" si="2"/>
        <v/>
      </c>
      <c r="AD36" s="221"/>
      <c r="AE36" s="233"/>
      <c r="AF36" s="218" t="str">
        <f t="shared" si="12"/>
        <v/>
      </c>
      <c r="AG36" s="217" t="str">
        <f t="shared" si="13"/>
        <v/>
      </c>
      <c r="AH36" s="478" t="str">
        <f t="shared" si="14"/>
        <v/>
      </c>
      <c r="AI36" s="479"/>
      <c r="AJ36" s="479"/>
      <c r="AK36" s="216" t="str">
        <f t="shared" si="15"/>
        <v/>
      </c>
      <c r="AL36" s="215"/>
      <c r="AN36" s="214"/>
      <c r="AO36" s="214"/>
      <c r="AP36" s="213">
        <f t="shared" si="3"/>
        <v>0</v>
      </c>
      <c r="AQ36" s="213">
        <f t="shared" si="4"/>
        <v>0</v>
      </c>
      <c r="AR36" s="213">
        <f t="shared" si="5"/>
        <v>0</v>
      </c>
      <c r="AS36" s="213">
        <f t="shared" si="6"/>
        <v>0</v>
      </c>
      <c r="AT36" s="213">
        <f t="shared" si="7"/>
        <v>0</v>
      </c>
      <c r="AU36" s="213">
        <f t="shared" si="8"/>
        <v>0</v>
      </c>
      <c r="AV36" s="213">
        <f t="shared" si="9"/>
        <v>0</v>
      </c>
      <c r="AW36" s="213">
        <f t="shared" si="10"/>
        <v>0</v>
      </c>
    </row>
    <row r="37" spans="1:49" ht="14.25" customHeight="1">
      <c r="A37" s="199"/>
      <c r="B37" s="235">
        <v>7</v>
      </c>
      <c r="C37" s="225"/>
      <c r="D37" s="231"/>
      <c r="E37" s="225" t="str">
        <f t="shared" si="11"/>
        <v/>
      </c>
      <c r="F37" s="225"/>
      <c r="G37" s="225"/>
      <c r="H37" s="229"/>
      <c r="I37" s="230" t="s">
        <v>219</v>
      </c>
      <c r="J37" s="229"/>
      <c r="K37" s="229"/>
      <c r="L37" s="228"/>
      <c r="M37" s="227" t="str">
        <f t="shared" si="0"/>
        <v/>
      </c>
      <c r="N37" s="226"/>
      <c r="O37" s="225"/>
      <c r="P37" s="225" t="str">
        <f t="shared" si="1"/>
        <v/>
      </c>
      <c r="Q37" s="225"/>
      <c r="R37" s="224"/>
      <c r="S37" s="480"/>
      <c r="T37" s="480"/>
      <c r="U37" s="480"/>
      <c r="V37" s="480"/>
      <c r="W37" s="480"/>
      <c r="X37" s="223"/>
      <c r="Y37" s="223"/>
      <c r="Z37" s="223"/>
      <c r="AA37" s="223"/>
      <c r="AB37" s="234"/>
      <c r="AC37" s="221" t="str">
        <f t="shared" si="2"/>
        <v/>
      </c>
      <c r="AD37" s="221"/>
      <c r="AE37" s="233"/>
      <c r="AF37" s="218" t="str">
        <f t="shared" si="12"/>
        <v/>
      </c>
      <c r="AG37" s="217" t="str">
        <f t="shared" si="13"/>
        <v/>
      </c>
      <c r="AH37" s="478" t="str">
        <f t="shared" si="14"/>
        <v/>
      </c>
      <c r="AI37" s="479"/>
      <c r="AJ37" s="479"/>
      <c r="AK37" s="216" t="str">
        <f t="shared" si="15"/>
        <v/>
      </c>
      <c r="AL37" s="215"/>
      <c r="AN37" s="214"/>
      <c r="AO37" s="214"/>
      <c r="AP37" s="213">
        <f t="shared" si="3"/>
        <v>0</v>
      </c>
      <c r="AQ37" s="213">
        <f t="shared" si="4"/>
        <v>0</v>
      </c>
      <c r="AR37" s="213">
        <f t="shared" si="5"/>
        <v>0</v>
      </c>
      <c r="AS37" s="213">
        <f t="shared" si="6"/>
        <v>0</v>
      </c>
      <c r="AT37" s="213">
        <f t="shared" si="7"/>
        <v>0</v>
      </c>
      <c r="AU37" s="213">
        <f t="shared" si="8"/>
        <v>0</v>
      </c>
      <c r="AV37" s="213">
        <f t="shared" si="9"/>
        <v>0</v>
      </c>
      <c r="AW37" s="213">
        <f t="shared" si="10"/>
        <v>0</v>
      </c>
    </row>
    <row r="38" spans="1:49" ht="14.25" customHeight="1">
      <c r="A38" s="199"/>
      <c r="B38" s="235">
        <v>8</v>
      </c>
      <c r="C38" s="225"/>
      <c r="D38" s="231"/>
      <c r="E38" s="225" t="str">
        <f t="shared" si="11"/>
        <v/>
      </c>
      <c r="F38" s="225"/>
      <c r="G38" s="225"/>
      <c r="H38" s="229"/>
      <c r="I38" s="230" t="s">
        <v>219</v>
      </c>
      <c r="J38" s="229"/>
      <c r="K38" s="229"/>
      <c r="L38" s="228"/>
      <c r="M38" s="227" t="str">
        <f t="shared" si="0"/>
        <v/>
      </c>
      <c r="N38" s="226"/>
      <c r="O38" s="225"/>
      <c r="P38" s="225" t="str">
        <f t="shared" si="1"/>
        <v/>
      </c>
      <c r="Q38" s="225"/>
      <c r="R38" s="224"/>
      <c r="S38" s="480"/>
      <c r="T38" s="480"/>
      <c r="U38" s="480"/>
      <c r="V38" s="480"/>
      <c r="W38" s="480"/>
      <c r="X38" s="223"/>
      <c r="Y38" s="223"/>
      <c r="Z38" s="223"/>
      <c r="AA38" s="223"/>
      <c r="AB38" s="234"/>
      <c r="AC38" s="221" t="str">
        <f t="shared" si="2"/>
        <v/>
      </c>
      <c r="AD38" s="221"/>
      <c r="AE38" s="233"/>
      <c r="AF38" s="218" t="str">
        <f t="shared" si="12"/>
        <v/>
      </c>
      <c r="AG38" s="217" t="str">
        <f t="shared" si="13"/>
        <v/>
      </c>
      <c r="AH38" s="478" t="str">
        <f t="shared" si="14"/>
        <v/>
      </c>
      <c r="AI38" s="479"/>
      <c r="AJ38" s="479"/>
      <c r="AK38" s="216" t="str">
        <f t="shared" si="15"/>
        <v/>
      </c>
      <c r="AL38" s="215"/>
      <c r="AN38" s="214"/>
      <c r="AO38" s="214"/>
      <c r="AP38" s="213">
        <f t="shared" si="3"/>
        <v>0</v>
      </c>
      <c r="AQ38" s="213">
        <f t="shared" si="4"/>
        <v>0</v>
      </c>
      <c r="AR38" s="213">
        <f t="shared" si="5"/>
        <v>0</v>
      </c>
      <c r="AS38" s="213">
        <f t="shared" si="6"/>
        <v>0</v>
      </c>
      <c r="AT38" s="213">
        <f t="shared" si="7"/>
        <v>0</v>
      </c>
      <c r="AU38" s="213">
        <f t="shared" si="8"/>
        <v>0</v>
      </c>
      <c r="AV38" s="213">
        <f t="shared" si="9"/>
        <v>0</v>
      </c>
      <c r="AW38" s="213">
        <f t="shared" si="10"/>
        <v>0</v>
      </c>
    </row>
    <row r="39" spans="1:49" ht="14.25" customHeight="1">
      <c r="A39" s="199"/>
      <c r="B39" s="235">
        <v>9</v>
      </c>
      <c r="C39" s="225"/>
      <c r="D39" s="231"/>
      <c r="E39" s="225" t="str">
        <f t="shared" si="11"/>
        <v/>
      </c>
      <c r="F39" s="225"/>
      <c r="G39" s="225"/>
      <c r="H39" s="229"/>
      <c r="I39" s="230" t="s">
        <v>219</v>
      </c>
      <c r="J39" s="229"/>
      <c r="K39" s="229"/>
      <c r="L39" s="228"/>
      <c r="M39" s="227" t="str">
        <f t="shared" si="0"/>
        <v/>
      </c>
      <c r="N39" s="226"/>
      <c r="O39" s="225"/>
      <c r="P39" s="225" t="str">
        <f t="shared" si="1"/>
        <v/>
      </c>
      <c r="Q39" s="225"/>
      <c r="R39" s="224"/>
      <c r="S39" s="480"/>
      <c r="T39" s="480"/>
      <c r="U39" s="480"/>
      <c r="V39" s="480"/>
      <c r="W39" s="480"/>
      <c r="X39" s="223"/>
      <c r="Y39" s="223"/>
      <c r="Z39" s="223"/>
      <c r="AA39" s="223"/>
      <c r="AB39" s="234"/>
      <c r="AC39" s="221" t="str">
        <f t="shared" si="2"/>
        <v/>
      </c>
      <c r="AD39" s="221"/>
      <c r="AE39" s="233"/>
      <c r="AF39" s="218" t="str">
        <f t="shared" si="12"/>
        <v/>
      </c>
      <c r="AG39" s="217" t="str">
        <f t="shared" si="13"/>
        <v/>
      </c>
      <c r="AH39" s="478" t="str">
        <f t="shared" si="14"/>
        <v/>
      </c>
      <c r="AI39" s="479"/>
      <c r="AJ39" s="479"/>
      <c r="AK39" s="216" t="str">
        <f t="shared" si="15"/>
        <v/>
      </c>
      <c r="AL39" s="215"/>
      <c r="AN39" s="214"/>
      <c r="AO39" s="214"/>
      <c r="AP39" s="213">
        <f t="shared" si="3"/>
        <v>0</v>
      </c>
      <c r="AQ39" s="213">
        <f t="shared" si="4"/>
        <v>0</v>
      </c>
      <c r="AR39" s="213">
        <f t="shared" si="5"/>
        <v>0</v>
      </c>
      <c r="AS39" s="213">
        <f t="shared" si="6"/>
        <v>0</v>
      </c>
      <c r="AT39" s="213">
        <f t="shared" si="7"/>
        <v>0</v>
      </c>
      <c r="AU39" s="213">
        <f t="shared" si="8"/>
        <v>0</v>
      </c>
      <c r="AV39" s="213">
        <f t="shared" si="9"/>
        <v>0</v>
      </c>
      <c r="AW39" s="213">
        <f t="shared" si="10"/>
        <v>0</v>
      </c>
    </row>
    <row r="40" spans="1:49" ht="14.25" customHeight="1">
      <c r="A40" s="199"/>
      <c r="B40" s="235">
        <v>10</v>
      </c>
      <c r="C40" s="225"/>
      <c r="D40" s="231"/>
      <c r="E40" s="225" t="str">
        <f t="shared" si="11"/>
        <v/>
      </c>
      <c r="F40" s="225"/>
      <c r="G40" s="225"/>
      <c r="H40" s="229"/>
      <c r="I40" s="230" t="s">
        <v>219</v>
      </c>
      <c r="J40" s="229"/>
      <c r="K40" s="229"/>
      <c r="L40" s="228"/>
      <c r="M40" s="227" t="str">
        <f t="shared" si="0"/>
        <v/>
      </c>
      <c r="N40" s="226"/>
      <c r="O40" s="225"/>
      <c r="P40" s="225" t="str">
        <f t="shared" si="1"/>
        <v/>
      </c>
      <c r="Q40" s="225"/>
      <c r="R40" s="224"/>
      <c r="S40" s="480"/>
      <c r="T40" s="480"/>
      <c r="U40" s="480"/>
      <c r="V40" s="480"/>
      <c r="W40" s="480"/>
      <c r="X40" s="223"/>
      <c r="Y40" s="223"/>
      <c r="Z40" s="223"/>
      <c r="AA40" s="223"/>
      <c r="AB40" s="234"/>
      <c r="AC40" s="221" t="str">
        <f t="shared" si="2"/>
        <v/>
      </c>
      <c r="AD40" s="221"/>
      <c r="AE40" s="233"/>
      <c r="AF40" s="218" t="str">
        <f t="shared" si="12"/>
        <v/>
      </c>
      <c r="AG40" s="217" t="str">
        <f t="shared" si="13"/>
        <v/>
      </c>
      <c r="AH40" s="478" t="str">
        <f t="shared" si="14"/>
        <v/>
      </c>
      <c r="AI40" s="479"/>
      <c r="AJ40" s="479"/>
      <c r="AK40" s="216" t="str">
        <f t="shared" si="15"/>
        <v/>
      </c>
      <c r="AL40" s="215"/>
      <c r="AN40" s="214"/>
      <c r="AO40" s="214"/>
      <c r="AP40" s="213">
        <f t="shared" si="3"/>
        <v>0</v>
      </c>
      <c r="AQ40" s="213">
        <f t="shared" si="4"/>
        <v>0</v>
      </c>
      <c r="AR40" s="213">
        <f t="shared" si="5"/>
        <v>0</v>
      </c>
      <c r="AS40" s="213">
        <f t="shared" si="6"/>
        <v>0</v>
      </c>
      <c r="AT40" s="213">
        <f t="shared" si="7"/>
        <v>0</v>
      </c>
      <c r="AU40" s="213">
        <f t="shared" si="8"/>
        <v>0</v>
      </c>
      <c r="AV40" s="213">
        <f t="shared" si="9"/>
        <v>0</v>
      </c>
      <c r="AW40" s="213">
        <f t="shared" si="10"/>
        <v>0</v>
      </c>
    </row>
    <row r="41" spans="1:49" ht="14.25" customHeight="1">
      <c r="A41" s="199"/>
      <c r="B41" s="235">
        <v>11</v>
      </c>
      <c r="C41" s="225"/>
      <c r="D41" s="231"/>
      <c r="E41" s="225" t="str">
        <f t="shared" si="11"/>
        <v/>
      </c>
      <c r="F41" s="225"/>
      <c r="G41" s="225"/>
      <c r="H41" s="229"/>
      <c r="I41" s="230" t="s">
        <v>219</v>
      </c>
      <c r="J41" s="229"/>
      <c r="K41" s="229"/>
      <c r="L41" s="228"/>
      <c r="M41" s="227" t="str">
        <f t="shared" si="0"/>
        <v/>
      </c>
      <c r="N41" s="226"/>
      <c r="O41" s="225"/>
      <c r="P41" s="225" t="str">
        <f t="shared" si="1"/>
        <v/>
      </c>
      <c r="Q41" s="225"/>
      <c r="R41" s="224"/>
      <c r="S41" s="480"/>
      <c r="T41" s="480"/>
      <c r="U41" s="480"/>
      <c r="V41" s="480"/>
      <c r="W41" s="480"/>
      <c r="X41" s="223"/>
      <c r="Y41" s="223"/>
      <c r="Z41" s="223"/>
      <c r="AA41" s="223"/>
      <c r="AB41" s="234"/>
      <c r="AC41" s="221" t="str">
        <f t="shared" si="2"/>
        <v/>
      </c>
      <c r="AD41" s="221"/>
      <c r="AE41" s="233"/>
      <c r="AF41" s="218" t="str">
        <f t="shared" si="12"/>
        <v/>
      </c>
      <c r="AG41" s="217" t="str">
        <f t="shared" si="13"/>
        <v/>
      </c>
      <c r="AH41" s="478" t="str">
        <f t="shared" si="14"/>
        <v/>
      </c>
      <c r="AI41" s="479"/>
      <c r="AJ41" s="479"/>
      <c r="AK41" s="216" t="str">
        <f t="shared" si="15"/>
        <v/>
      </c>
      <c r="AL41" s="215"/>
      <c r="AN41" s="214"/>
      <c r="AO41" s="214"/>
      <c r="AP41" s="213">
        <f t="shared" si="3"/>
        <v>0</v>
      </c>
      <c r="AQ41" s="213">
        <f t="shared" si="4"/>
        <v>0</v>
      </c>
      <c r="AR41" s="213">
        <f t="shared" si="5"/>
        <v>0</v>
      </c>
      <c r="AS41" s="213">
        <f t="shared" si="6"/>
        <v>0</v>
      </c>
      <c r="AT41" s="213">
        <f t="shared" si="7"/>
        <v>0</v>
      </c>
      <c r="AU41" s="213">
        <f t="shared" si="8"/>
        <v>0</v>
      </c>
      <c r="AV41" s="213">
        <f t="shared" si="9"/>
        <v>0</v>
      </c>
      <c r="AW41" s="213">
        <f t="shared" si="10"/>
        <v>0</v>
      </c>
    </row>
    <row r="42" spans="1:49" ht="14.25" customHeight="1">
      <c r="A42" s="199"/>
      <c r="B42" s="232">
        <v>12</v>
      </c>
      <c r="C42" s="225"/>
      <c r="D42" s="231"/>
      <c r="E42" s="225" t="str">
        <f t="shared" si="11"/>
        <v/>
      </c>
      <c r="F42" s="225"/>
      <c r="G42" s="225"/>
      <c r="H42" s="229"/>
      <c r="I42" s="230" t="s">
        <v>219</v>
      </c>
      <c r="J42" s="229"/>
      <c r="K42" s="229"/>
      <c r="L42" s="228"/>
      <c r="M42" s="227" t="str">
        <f t="shared" si="0"/>
        <v/>
      </c>
      <c r="N42" s="226"/>
      <c r="O42" s="225"/>
      <c r="P42" s="225" t="str">
        <f t="shared" si="1"/>
        <v/>
      </c>
      <c r="Q42" s="225"/>
      <c r="R42" s="224"/>
      <c r="S42" s="480"/>
      <c r="T42" s="480"/>
      <c r="U42" s="480"/>
      <c r="V42" s="480"/>
      <c r="W42" s="480"/>
      <c r="X42" s="223"/>
      <c r="Y42" s="223"/>
      <c r="Z42" s="223"/>
      <c r="AA42" s="223"/>
      <c r="AB42" s="222"/>
      <c r="AC42" s="221" t="str">
        <f t="shared" si="2"/>
        <v/>
      </c>
      <c r="AD42" s="221"/>
      <c r="AE42" s="233"/>
      <c r="AF42" s="218" t="str">
        <f t="shared" si="12"/>
        <v/>
      </c>
      <c r="AG42" s="217" t="str">
        <f t="shared" si="13"/>
        <v/>
      </c>
      <c r="AH42" s="478" t="str">
        <f t="shared" si="14"/>
        <v/>
      </c>
      <c r="AI42" s="479"/>
      <c r="AJ42" s="479"/>
      <c r="AK42" s="216" t="str">
        <f t="shared" si="15"/>
        <v/>
      </c>
      <c r="AL42" s="215"/>
      <c r="AN42" s="214"/>
      <c r="AO42" s="214"/>
      <c r="AP42" s="213">
        <f t="shared" si="3"/>
        <v>0</v>
      </c>
      <c r="AQ42" s="213">
        <f t="shared" si="4"/>
        <v>0</v>
      </c>
      <c r="AR42" s="213">
        <f t="shared" si="5"/>
        <v>0</v>
      </c>
      <c r="AS42" s="213">
        <f t="shared" si="6"/>
        <v>0</v>
      </c>
      <c r="AT42" s="213">
        <f t="shared" si="7"/>
        <v>0</v>
      </c>
      <c r="AU42" s="213">
        <f t="shared" si="8"/>
        <v>0</v>
      </c>
      <c r="AV42" s="213">
        <f t="shared" si="9"/>
        <v>0</v>
      </c>
      <c r="AW42" s="213">
        <f t="shared" si="10"/>
        <v>0</v>
      </c>
    </row>
    <row r="43" spans="1:49" ht="14.25" customHeight="1">
      <c r="A43" s="199"/>
      <c r="B43" s="232">
        <v>13</v>
      </c>
      <c r="C43" s="225"/>
      <c r="D43" s="231"/>
      <c r="E43" s="225" t="str">
        <f t="shared" si="11"/>
        <v/>
      </c>
      <c r="F43" s="225"/>
      <c r="G43" s="225"/>
      <c r="H43" s="229"/>
      <c r="I43" s="230" t="s">
        <v>219</v>
      </c>
      <c r="J43" s="229"/>
      <c r="K43" s="229"/>
      <c r="L43" s="228"/>
      <c r="M43" s="227" t="str">
        <f t="shared" si="0"/>
        <v/>
      </c>
      <c r="N43" s="226"/>
      <c r="O43" s="225"/>
      <c r="P43" s="225" t="str">
        <f t="shared" si="1"/>
        <v/>
      </c>
      <c r="Q43" s="225"/>
      <c r="R43" s="224"/>
      <c r="S43" s="480"/>
      <c r="T43" s="480"/>
      <c r="U43" s="480"/>
      <c r="V43" s="480"/>
      <c r="W43" s="480"/>
      <c r="X43" s="223"/>
      <c r="Y43" s="223"/>
      <c r="Z43" s="223"/>
      <c r="AA43" s="223"/>
      <c r="AB43" s="222"/>
      <c r="AC43" s="221" t="str">
        <f t="shared" si="2"/>
        <v/>
      </c>
      <c r="AD43" s="221"/>
      <c r="AE43" s="233"/>
      <c r="AF43" s="218" t="str">
        <f t="shared" si="12"/>
        <v/>
      </c>
      <c r="AG43" s="217" t="str">
        <f t="shared" si="13"/>
        <v/>
      </c>
      <c r="AH43" s="478" t="str">
        <f t="shared" si="14"/>
        <v/>
      </c>
      <c r="AI43" s="479"/>
      <c r="AJ43" s="479"/>
      <c r="AK43" s="216" t="str">
        <f t="shared" si="15"/>
        <v/>
      </c>
      <c r="AL43" s="215"/>
      <c r="AN43" s="214"/>
      <c r="AO43" s="214"/>
      <c r="AP43" s="213">
        <f t="shared" si="3"/>
        <v>0</v>
      </c>
      <c r="AQ43" s="213">
        <f t="shared" si="4"/>
        <v>0</v>
      </c>
      <c r="AR43" s="213">
        <f t="shared" si="5"/>
        <v>0</v>
      </c>
      <c r="AS43" s="213">
        <f t="shared" si="6"/>
        <v>0</v>
      </c>
      <c r="AT43" s="213">
        <f t="shared" si="7"/>
        <v>0</v>
      </c>
      <c r="AU43" s="213">
        <f t="shared" si="8"/>
        <v>0</v>
      </c>
      <c r="AV43" s="213">
        <f t="shared" si="9"/>
        <v>0</v>
      </c>
      <c r="AW43" s="213">
        <f t="shared" si="10"/>
        <v>0</v>
      </c>
    </row>
    <row r="44" spans="1:49" ht="14.25" customHeight="1">
      <c r="A44" s="199"/>
      <c r="B44" s="232">
        <v>14</v>
      </c>
      <c r="C44" s="225"/>
      <c r="D44" s="231"/>
      <c r="E44" s="225" t="str">
        <f t="shared" si="11"/>
        <v/>
      </c>
      <c r="F44" s="225"/>
      <c r="G44" s="225"/>
      <c r="H44" s="229"/>
      <c r="I44" s="230" t="s">
        <v>219</v>
      </c>
      <c r="J44" s="229"/>
      <c r="K44" s="229"/>
      <c r="L44" s="228"/>
      <c r="M44" s="227" t="str">
        <f t="shared" si="0"/>
        <v/>
      </c>
      <c r="N44" s="226"/>
      <c r="O44" s="225"/>
      <c r="P44" s="225" t="str">
        <f t="shared" si="1"/>
        <v/>
      </c>
      <c r="Q44" s="225"/>
      <c r="R44" s="224"/>
      <c r="S44" s="480"/>
      <c r="T44" s="480"/>
      <c r="U44" s="480"/>
      <c r="V44" s="480"/>
      <c r="W44" s="480"/>
      <c r="X44" s="223"/>
      <c r="Y44" s="223"/>
      <c r="Z44" s="223"/>
      <c r="AA44" s="223"/>
      <c r="AB44" s="222"/>
      <c r="AC44" s="221" t="str">
        <f t="shared" si="2"/>
        <v/>
      </c>
      <c r="AD44" s="221"/>
      <c r="AE44" s="233"/>
      <c r="AF44" s="218" t="str">
        <f t="shared" si="12"/>
        <v/>
      </c>
      <c r="AG44" s="217" t="str">
        <f t="shared" si="13"/>
        <v/>
      </c>
      <c r="AH44" s="478" t="str">
        <f t="shared" si="14"/>
        <v/>
      </c>
      <c r="AI44" s="479"/>
      <c r="AJ44" s="479"/>
      <c r="AK44" s="216" t="str">
        <f t="shared" si="15"/>
        <v/>
      </c>
      <c r="AL44" s="215"/>
      <c r="AN44" s="214"/>
      <c r="AO44" s="214"/>
      <c r="AP44" s="213">
        <f t="shared" si="3"/>
        <v>0</v>
      </c>
      <c r="AQ44" s="213">
        <f t="shared" si="4"/>
        <v>0</v>
      </c>
      <c r="AR44" s="213">
        <f t="shared" si="5"/>
        <v>0</v>
      </c>
      <c r="AS44" s="213">
        <f t="shared" si="6"/>
        <v>0</v>
      </c>
      <c r="AT44" s="213">
        <f t="shared" si="7"/>
        <v>0</v>
      </c>
      <c r="AU44" s="213">
        <f t="shared" si="8"/>
        <v>0</v>
      </c>
      <c r="AV44" s="213">
        <f t="shared" si="9"/>
        <v>0</v>
      </c>
      <c r="AW44" s="213">
        <f t="shared" si="10"/>
        <v>0</v>
      </c>
    </row>
    <row r="45" spans="1:49" ht="14.25" customHeight="1">
      <c r="A45" s="199"/>
      <c r="B45" s="232">
        <v>15</v>
      </c>
      <c r="C45" s="225"/>
      <c r="D45" s="231"/>
      <c r="E45" s="225" t="str">
        <f t="shared" si="11"/>
        <v/>
      </c>
      <c r="F45" s="225"/>
      <c r="G45" s="225"/>
      <c r="H45" s="229"/>
      <c r="I45" s="230" t="s">
        <v>219</v>
      </c>
      <c r="J45" s="229"/>
      <c r="K45" s="229"/>
      <c r="L45" s="228"/>
      <c r="M45" s="227" t="str">
        <f t="shared" si="0"/>
        <v/>
      </c>
      <c r="N45" s="226"/>
      <c r="O45" s="225"/>
      <c r="P45" s="225" t="str">
        <f t="shared" si="1"/>
        <v/>
      </c>
      <c r="Q45" s="225"/>
      <c r="R45" s="224"/>
      <c r="S45" s="480"/>
      <c r="T45" s="480"/>
      <c r="U45" s="480"/>
      <c r="V45" s="480"/>
      <c r="W45" s="480"/>
      <c r="X45" s="223"/>
      <c r="Y45" s="223"/>
      <c r="Z45" s="223"/>
      <c r="AA45" s="223"/>
      <c r="AB45" s="222"/>
      <c r="AC45" s="221" t="str">
        <f t="shared" si="2"/>
        <v/>
      </c>
      <c r="AD45" s="221"/>
      <c r="AE45" s="233"/>
      <c r="AF45" s="218" t="str">
        <f t="shared" si="12"/>
        <v/>
      </c>
      <c r="AG45" s="217" t="str">
        <f t="shared" si="13"/>
        <v/>
      </c>
      <c r="AH45" s="478" t="str">
        <f t="shared" si="14"/>
        <v/>
      </c>
      <c r="AI45" s="479"/>
      <c r="AJ45" s="479"/>
      <c r="AK45" s="216" t="str">
        <f t="shared" si="15"/>
        <v/>
      </c>
      <c r="AL45" s="215"/>
      <c r="AN45" s="214"/>
      <c r="AO45" s="214"/>
      <c r="AP45" s="213">
        <f t="shared" si="3"/>
        <v>0</v>
      </c>
      <c r="AQ45" s="213">
        <f t="shared" si="4"/>
        <v>0</v>
      </c>
      <c r="AR45" s="213">
        <f t="shared" si="5"/>
        <v>0</v>
      </c>
      <c r="AS45" s="213">
        <f t="shared" si="6"/>
        <v>0</v>
      </c>
      <c r="AT45" s="213">
        <f t="shared" si="7"/>
        <v>0</v>
      </c>
      <c r="AU45" s="213">
        <f t="shared" si="8"/>
        <v>0</v>
      </c>
      <c r="AV45" s="213">
        <f t="shared" si="9"/>
        <v>0</v>
      </c>
      <c r="AW45" s="213">
        <f t="shared" si="10"/>
        <v>0</v>
      </c>
    </row>
    <row r="46" spans="1:49" ht="14.25" customHeight="1">
      <c r="A46" s="199"/>
      <c r="B46" s="232">
        <v>16</v>
      </c>
      <c r="C46" s="225"/>
      <c r="D46" s="231"/>
      <c r="E46" s="225" t="str">
        <f t="shared" si="11"/>
        <v/>
      </c>
      <c r="F46" s="225"/>
      <c r="G46" s="225"/>
      <c r="H46" s="229"/>
      <c r="I46" s="230" t="s">
        <v>219</v>
      </c>
      <c r="J46" s="229"/>
      <c r="K46" s="229"/>
      <c r="L46" s="228"/>
      <c r="M46" s="227" t="str">
        <f t="shared" si="0"/>
        <v/>
      </c>
      <c r="N46" s="226"/>
      <c r="O46" s="225"/>
      <c r="P46" s="225" t="str">
        <f t="shared" si="1"/>
        <v/>
      </c>
      <c r="Q46" s="225"/>
      <c r="R46" s="224"/>
      <c r="S46" s="480"/>
      <c r="T46" s="480"/>
      <c r="U46" s="480"/>
      <c r="V46" s="480"/>
      <c r="W46" s="480"/>
      <c r="X46" s="223"/>
      <c r="Y46" s="223"/>
      <c r="Z46" s="223"/>
      <c r="AA46" s="223"/>
      <c r="AB46" s="222"/>
      <c r="AC46" s="221" t="str">
        <f t="shared" si="2"/>
        <v/>
      </c>
      <c r="AD46" s="221"/>
      <c r="AE46" s="233"/>
      <c r="AF46" s="218" t="str">
        <f t="shared" si="12"/>
        <v/>
      </c>
      <c r="AG46" s="217" t="str">
        <f t="shared" si="13"/>
        <v/>
      </c>
      <c r="AH46" s="478" t="str">
        <f t="shared" si="14"/>
        <v/>
      </c>
      <c r="AI46" s="479"/>
      <c r="AJ46" s="479"/>
      <c r="AK46" s="216" t="str">
        <f t="shared" si="15"/>
        <v/>
      </c>
      <c r="AL46" s="215"/>
      <c r="AN46" s="214"/>
      <c r="AO46" s="214"/>
      <c r="AP46" s="213">
        <f t="shared" si="3"/>
        <v>0</v>
      </c>
      <c r="AQ46" s="213">
        <f t="shared" si="4"/>
        <v>0</v>
      </c>
      <c r="AR46" s="213">
        <f t="shared" si="5"/>
        <v>0</v>
      </c>
      <c r="AS46" s="213">
        <f t="shared" si="6"/>
        <v>0</v>
      </c>
      <c r="AT46" s="213">
        <f t="shared" si="7"/>
        <v>0</v>
      </c>
      <c r="AU46" s="213">
        <f t="shared" si="8"/>
        <v>0</v>
      </c>
      <c r="AV46" s="213">
        <f t="shared" si="9"/>
        <v>0</v>
      </c>
      <c r="AW46" s="213">
        <f t="shared" si="10"/>
        <v>0</v>
      </c>
    </row>
    <row r="47" spans="1:49" ht="14.25" customHeight="1">
      <c r="A47" s="199"/>
      <c r="B47" s="232">
        <v>17</v>
      </c>
      <c r="C47" s="225"/>
      <c r="D47" s="231"/>
      <c r="E47" s="225" t="str">
        <f t="shared" si="11"/>
        <v/>
      </c>
      <c r="F47" s="225"/>
      <c r="G47" s="225"/>
      <c r="H47" s="229"/>
      <c r="I47" s="230" t="s">
        <v>219</v>
      </c>
      <c r="J47" s="229"/>
      <c r="K47" s="229"/>
      <c r="L47" s="228"/>
      <c r="M47" s="227" t="str">
        <f t="shared" si="0"/>
        <v/>
      </c>
      <c r="N47" s="226"/>
      <c r="O47" s="225"/>
      <c r="P47" s="225" t="str">
        <f t="shared" si="1"/>
        <v/>
      </c>
      <c r="Q47" s="225"/>
      <c r="R47" s="224"/>
      <c r="S47" s="480"/>
      <c r="T47" s="480"/>
      <c r="U47" s="480"/>
      <c r="V47" s="480"/>
      <c r="W47" s="480"/>
      <c r="X47" s="223"/>
      <c r="Y47" s="223"/>
      <c r="Z47" s="223"/>
      <c r="AA47" s="223"/>
      <c r="AB47" s="222"/>
      <c r="AC47" s="221" t="str">
        <f t="shared" si="2"/>
        <v/>
      </c>
      <c r="AD47" s="221"/>
      <c r="AE47" s="233"/>
      <c r="AF47" s="218" t="str">
        <f t="shared" si="12"/>
        <v/>
      </c>
      <c r="AG47" s="217" t="str">
        <f t="shared" si="13"/>
        <v/>
      </c>
      <c r="AH47" s="478" t="str">
        <f t="shared" si="14"/>
        <v/>
      </c>
      <c r="AI47" s="479"/>
      <c r="AJ47" s="479"/>
      <c r="AK47" s="216" t="str">
        <f t="shared" si="15"/>
        <v/>
      </c>
      <c r="AL47" s="215"/>
      <c r="AN47" s="214"/>
      <c r="AO47" s="214"/>
      <c r="AP47" s="213">
        <f t="shared" si="3"/>
        <v>0</v>
      </c>
      <c r="AQ47" s="213">
        <f t="shared" si="4"/>
        <v>0</v>
      </c>
      <c r="AR47" s="213">
        <f t="shared" si="5"/>
        <v>0</v>
      </c>
      <c r="AS47" s="213">
        <f t="shared" si="6"/>
        <v>0</v>
      </c>
      <c r="AT47" s="213">
        <f t="shared" si="7"/>
        <v>0</v>
      </c>
      <c r="AU47" s="213">
        <f t="shared" si="8"/>
        <v>0</v>
      </c>
      <c r="AV47" s="213">
        <f t="shared" si="9"/>
        <v>0</v>
      </c>
      <c r="AW47" s="213">
        <f t="shared" si="10"/>
        <v>0</v>
      </c>
    </row>
    <row r="48" spans="1:49" ht="14.25" customHeight="1">
      <c r="A48" s="199"/>
      <c r="B48" s="232">
        <v>18</v>
      </c>
      <c r="C48" s="225"/>
      <c r="D48" s="231"/>
      <c r="E48" s="225" t="str">
        <f t="shared" si="11"/>
        <v/>
      </c>
      <c r="F48" s="225"/>
      <c r="G48" s="225"/>
      <c r="H48" s="229"/>
      <c r="I48" s="230" t="s">
        <v>219</v>
      </c>
      <c r="J48" s="229"/>
      <c r="K48" s="229"/>
      <c r="L48" s="228"/>
      <c r="M48" s="227" t="str">
        <f t="shared" si="0"/>
        <v/>
      </c>
      <c r="N48" s="226"/>
      <c r="O48" s="225"/>
      <c r="P48" s="225" t="str">
        <f t="shared" si="1"/>
        <v/>
      </c>
      <c r="Q48" s="225"/>
      <c r="R48" s="224"/>
      <c r="S48" s="480"/>
      <c r="T48" s="480"/>
      <c r="U48" s="480"/>
      <c r="V48" s="480"/>
      <c r="W48" s="480"/>
      <c r="X48" s="223"/>
      <c r="Y48" s="223"/>
      <c r="Z48" s="223"/>
      <c r="AA48" s="223"/>
      <c r="AB48" s="222"/>
      <c r="AC48" s="221" t="str">
        <f t="shared" si="2"/>
        <v/>
      </c>
      <c r="AD48" s="221"/>
      <c r="AE48" s="233"/>
      <c r="AF48" s="218" t="str">
        <f t="shared" si="12"/>
        <v/>
      </c>
      <c r="AG48" s="217" t="str">
        <f t="shared" si="13"/>
        <v/>
      </c>
      <c r="AH48" s="478" t="str">
        <f t="shared" si="14"/>
        <v/>
      </c>
      <c r="AI48" s="479"/>
      <c r="AJ48" s="479"/>
      <c r="AK48" s="216" t="str">
        <f t="shared" si="15"/>
        <v/>
      </c>
      <c r="AL48" s="215"/>
      <c r="AN48" s="214"/>
      <c r="AO48" s="214"/>
      <c r="AP48" s="213">
        <f t="shared" si="3"/>
        <v>0</v>
      </c>
      <c r="AQ48" s="213">
        <f t="shared" si="4"/>
        <v>0</v>
      </c>
      <c r="AR48" s="213">
        <f t="shared" si="5"/>
        <v>0</v>
      </c>
      <c r="AS48" s="213">
        <f t="shared" si="6"/>
        <v>0</v>
      </c>
      <c r="AT48" s="213">
        <f t="shared" si="7"/>
        <v>0</v>
      </c>
      <c r="AU48" s="213">
        <f t="shared" si="8"/>
        <v>0</v>
      </c>
      <c r="AV48" s="213">
        <f t="shared" si="9"/>
        <v>0</v>
      </c>
      <c r="AW48" s="213">
        <f t="shared" si="10"/>
        <v>0</v>
      </c>
    </row>
    <row r="49" spans="1:49" ht="14.25" customHeight="1">
      <c r="A49" s="199"/>
      <c r="B49" s="232">
        <v>19</v>
      </c>
      <c r="C49" s="225"/>
      <c r="D49" s="231"/>
      <c r="E49" s="225" t="str">
        <f t="shared" si="11"/>
        <v/>
      </c>
      <c r="F49" s="225"/>
      <c r="G49" s="225"/>
      <c r="H49" s="229"/>
      <c r="I49" s="230" t="s">
        <v>219</v>
      </c>
      <c r="J49" s="229"/>
      <c r="K49" s="229"/>
      <c r="L49" s="228"/>
      <c r="M49" s="227" t="str">
        <f t="shared" si="0"/>
        <v/>
      </c>
      <c r="N49" s="226"/>
      <c r="O49" s="225"/>
      <c r="P49" s="225" t="str">
        <f t="shared" si="1"/>
        <v/>
      </c>
      <c r="Q49" s="225"/>
      <c r="R49" s="224"/>
      <c r="S49" s="480"/>
      <c r="T49" s="480"/>
      <c r="U49" s="480"/>
      <c r="V49" s="480"/>
      <c r="W49" s="480"/>
      <c r="X49" s="223"/>
      <c r="Y49" s="223"/>
      <c r="Z49" s="223"/>
      <c r="AA49" s="223"/>
      <c r="AB49" s="222"/>
      <c r="AC49" s="221" t="str">
        <f t="shared" si="2"/>
        <v/>
      </c>
      <c r="AD49" s="221"/>
      <c r="AE49" s="233"/>
      <c r="AF49" s="218" t="str">
        <f t="shared" si="12"/>
        <v/>
      </c>
      <c r="AG49" s="217" t="str">
        <f t="shared" si="13"/>
        <v/>
      </c>
      <c r="AH49" s="478" t="str">
        <f t="shared" si="14"/>
        <v/>
      </c>
      <c r="AI49" s="479"/>
      <c r="AJ49" s="479"/>
      <c r="AK49" s="216" t="str">
        <f t="shared" si="15"/>
        <v/>
      </c>
      <c r="AL49" s="215"/>
      <c r="AN49" s="214"/>
      <c r="AO49" s="214"/>
      <c r="AP49" s="213">
        <f t="shared" si="3"/>
        <v>0</v>
      </c>
      <c r="AQ49" s="213">
        <f t="shared" si="4"/>
        <v>0</v>
      </c>
      <c r="AR49" s="213">
        <f t="shared" si="5"/>
        <v>0</v>
      </c>
      <c r="AS49" s="213">
        <f t="shared" si="6"/>
        <v>0</v>
      </c>
      <c r="AT49" s="213">
        <f t="shared" si="7"/>
        <v>0</v>
      </c>
      <c r="AU49" s="213">
        <f t="shared" si="8"/>
        <v>0</v>
      </c>
      <c r="AV49" s="213">
        <f t="shared" si="9"/>
        <v>0</v>
      </c>
      <c r="AW49" s="213">
        <f t="shared" si="10"/>
        <v>0</v>
      </c>
    </row>
    <row r="50" spans="1:49" ht="14.25" customHeight="1">
      <c r="A50" s="199"/>
      <c r="B50" s="232">
        <v>20</v>
      </c>
      <c r="C50" s="225"/>
      <c r="D50" s="231"/>
      <c r="E50" s="225" t="str">
        <f t="shared" si="11"/>
        <v/>
      </c>
      <c r="F50" s="225"/>
      <c r="G50" s="225"/>
      <c r="H50" s="229"/>
      <c r="I50" s="230" t="s">
        <v>219</v>
      </c>
      <c r="J50" s="229"/>
      <c r="K50" s="229"/>
      <c r="L50" s="228"/>
      <c r="M50" s="227" t="str">
        <f t="shared" si="0"/>
        <v/>
      </c>
      <c r="N50" s="226"/>
      <c r="O50" s="225"/>
      <c r="P50" s="225" t="str">
        <f t="shared" si="1"/>
        <v/>
      </c>
      <c r="Q50" s="225"/>
      <c r="R50" s="224"/>
      <c r="S50" s="480"/>
      <c r="T50" s="480"/>
      <c r="U50" s="480"/>
      <c r="V50" s="480"/>
      <c r="W50" s="480"/>
      <c r="X50" s="223"/>
      <c r="Y50" s="223"/>
      <c r="Z50" s="223"/>
      <c r="AA50" s="223"/>
      <c r="AB50" s="222"/>
      <c r="AC50" s="221" t="str">
        <f t="shared" si="2"/>
        <v/>
      </c>
      <c r="AD50" s="221"/>
      <c r="AE50" s="233"/>
      <c r="AF50" s="218" t="str">
        <f t="shared" si="12"/>
        <v/>
      </c>
      <c r="AG50" s="217" t="str">
        <f t="shared" si="13"/>
        <v/>
      </c>
      <c r="AH50" s="478" t="str">
        <f t="shared" si="14"/>
        <v/>
      </c>
      <c r="AI50" s="479"/>
      <c r="AJ50" s="479"/>
      <c r="AK50" s="216" t="str">
        <f t="shared" si="15"/>
        <v/>
      </c>
      <c r="AL50" s="215"/>
      <c r="AN50" s="214"/>
      <c r="AO50" s="214"/>
      <c r="AP50" s="213">
        <f t="shared" si="3"/>
        <v>0</v>
      </c>
      <c r="AQ50" s="213">
        <f t="shared" si="4"/>
        <v>0</v>
      </c>
      <c r="AR50" s="213">
        <f t="shared" si="5"/>
        <v>0</v>
      </c>
      <c r="AS50" s="213">
        <f t="shared" si="6"/>
        <v>0</v>
      </c>
      <c r="AT50" s="213">
        <f t="shared" si="7"/>
        <v>0</v>
      </c>
      <c r="AU50" s="213">
        <f t="shared" si="8"/>
        <v>0</v>
      </c>
      <c r="AV50" s="213">
        <f t="shared" si="9"/>
        <v>0</v>
      </c>
      <c r="AW50" s="213">
        <f t="shared" si="10"/>
        <v>0</v>
      </c>
    </row>
    <row r="51" spans="1:49" ht="14.25" customHeight="1">
      <c r="A51" s="199"/>
      <c r="B51" s="232">
        <v>21</v>
      </c>
      <c r="C51" s="225"/>
      <c r="D51" s="231"/>
      <c r="E51" s="225" t="str">
        <f t="shared" si="11"/>
        <v/>
      </c>
      <c r="F51" s="225"/>
      <c r="G51" s="225"/>
      <c r="H51" s="229"/>
      <c r="I51" s="230" t="s">
        <v>219</v>
      </c>
      <c r="J51" s="229"/>
      <c r="K51" s="229"/>
      <c r="L51" s="228"/>
      <c r="M51" s="227" t="str">
        <f t="shared" si="0"/>
        <v/>
      </c>
      <c r="N51" s="226"/>
      <c r="O51" s="225"/>
      <c r="P51" s="225" t="str">
        <f t="shared" si="1"/>
        <v/>
      </c>
      <c r="Q51" s="225"/>
      <c r="R51" s="224"/>
      <c r="S51" s="480"/>
      <c r="T51" s="480"/>
      <c r="U51" s="480"/>
      <c r="V51" s="480"/>
      <c r="W51" s="480"/>
      <c r="X51" s="223"/>
      <c r="Y51" s="223"/>
      <c r="Z51" s="223"/>
      <c r="AA51" s="223"/>
      <c r="AB51" s="222"/>
      <c r="AC51" s="221" t="str">
        <f t="shared" si="2"/>
        <v/>
      </c>
      <c r="AD51" s="221"/>
      <c r="AE51" s="233"/>
      <c r="AF51" s="218" t="str">
        <f t="shared" si="12"/>
        <v/>
      </c>
      <c r="AG51" s="217" t="str">
        <f t="shared" si="13"/>
        <v/>
      </c>
      <c r="AH51" s="478" t="str">
        <f t="shared" si="14"/>
        <v/>
      </c>
      <c r="AI51" s="479"/>
      <c r="AJ51" s="479"/>
      <c r="AK51" s="216" t="str">
        <f t="shared" si="15"/>
        <v/>
      </c>
      <c r="AL51" s="215"/>
      <c r="AN51" s="214"/>
      <c r="AO51" s="214"/>
      <c r="AP51" s="213">
        <f t="shared" si="3"/>
        <v>0</v>
      </c>
      <c r="AQ51" s="213">
        <f t="shared" si="4"/>
        <v>0</v>
      </c>
      <c r="AR51" s="213">
        <f t="shared" si="5"/>
        <v>0</v>
      </c>
      <c r="AS51" s="213">
        <f t="shared" si="6"/>
        <v>0</v>
      </c>
      <c r="AT51" s="213">
        <f t="shared" si="7"/>
        <v>0</v>
      </c>
      <c r="AU51" s="213">
        <f t="shared" si="8"/>
        <v>0</v>
      </c>
      <c r="AV51" s="213">
        <f t="shared" si="9"/>
        <v>0</v>
      </c>
      <c r="AW51" s="213">
        <f t="shared" si="10"/>
        <v>0</v>
      </c>
    </row>
    <row r="52" spans="1:49" ht="14.25" customHeight="1">
      <c r="A52" s="199"/>
      <c r="B52" s="232">
        <v>22</v>
      </c>
      <c r="C52" s="225"/>
      <c r="D52" s="231"/>
      <c r="E52" s="225" t="str">
        <f t="shared" si="11"/>
        <v/>
      </c>
      <c r="F52" s="225"/>
      <c r="G52" s="225"/>
      <c r="H52" s="229"/>
      <c r="I52" s="230" t="s">
        <v>219</v>
      </c>
      <c r="J52" s="229"/>
      <c r="K52" s="229"/>
      <c r="L52" s="228"/>
      <c r="M52" s="227" t="str">
        <f t="shared" si="0"/>
        <v/>
      </c>
      <c r="N52" s="226"/>
      <c r="O52" s="225"/>
      <c r="P52" s="225" t="str">
        <f t="shared" si="1"/>
        <v/>
      </c>
      <c r="Q52" s="225"/>
      <c r="R52" s="224"/>
      <c r="S52" s="480"/>
      <c r="T52" s="480"/>
      <c r="U52" s="480"/>
      <c r="V52" s="480"/>
      <c r="W52" s="480"/>
      <c r="X52" s="223"/>
      <c r="Y52" s="223"/>
      <c r="Z52" s="223"/>
      <c r="AA52" s="223"/>
      <c r="AB52" s="222"/>
      <c r="AC52" s="221" t="str">
        <f t="shared" si="2"/>
        <v/>
      </c>
      <c r="AD52" s="221"/>
      <c r="AE52" s="233"/>
      <c r="AF52" s="218" t="str">
        <f t="shared" si="12"/>
        <v/>
      </c>
      <c r="AG52" s="217" t="str">
        <f t="shared" si="13"/>
        <v/>
      </c>
      <c r="AH52" s="478" t="str">
        <f t="shared" si="14"/>
        <v/>
      </c>
      <c r="AI52" s="479"/>
      <c r="AJ52" s="479"/>
      <c r="AK52" s="216" t="str">
        <f t="shared" si="15"/>
        <v/>
      </c>
      <c r="AL52" s="215"/>
      <c r="AN52" s="214"/>
      <c r="AO52" s="214"/>
      <c r="AP52" s="213">
        <f t="shared" si="3"/>
        <v>0</v>
      </c>
      <c r="AQ52" s="213">
        <f t="shared" si="4"/>
        <v>0</v>
      </c>
      <c r="AR52" s="213">
        <f t="shared" si="5"/>
        <v>0</v>
      </c>
      <c r="AS52" s="213">
        <f t="shared" si="6"/>
        <v>0</v>
      </c>
      <c r="AT52" s="213">
        <f t="shared" si="7"/>
        <v>0</v>
      </c>
      <c r="AU52" s="213">
        <f t="shared" si="8"/>
        <v>0</v>
      </c>
      <c r="AV52" s="213">
        <f t="shared" si="9"/>
        <v>0</v>
      </c>
      <c r="AW52" s="213">
        <f t="shared" si="10"/>
        <v>0</v>
      </c>
    </row>
    <row r="53" spans="1:49" ht="14.25" customHeight="1">
      <c r="A53" s="199"/>
      <c r="B53" s="232">
        <v>23</v>
      </c>
      <c r="C53" s="225"/>
      <c r="D53" s="231"/>
      <c r="E53" s="225" t="str">
        <f t="shared" si="11"/>
        <v/>
      </c>
      <c r="F53" s="225"/>
      <c r="G53" s="225"/>
      <c r="H53" s="229"/>
      <c r="I53" s="230" t="s">
        <v>219</v>
      </c>
      <c r="J53" s="229"/>
      <c r="K53" s="229"/>
      <c r="L53" s="228"/>
      <c r="M53" s="227" t="str">
        <f t="shared" si="0"/>
        <v/>
      </c>
      <c r="N53" s="226"/>
      <c r="O53" s="225"/>
      <c r="P53" s="225" t="str">
        <f t="shared" si="1"/>
        <v/>
      </c>
      <c r="Q53" s="225"/>
      <c r="R53" s="224"/>
      <c r="S53" s="480"/>
      <c r="T53" s="480"/>
      <c r="U53" s="480"/>
      <c r="V53" s="480"/>
      <c r="W53" s="480"/>
      <c r="X53" s="223"/>
      <c r="Y53" s="223"/>
      <c r="Z53" s="223"/>
      <c r="AA53" s="223"/>
      <c r="AB53" s="222"/>
      <c r="AC53" s="221" t="str">
        <f t="shared" si="2"/>
        <v/>
      </c>
      <c r="AD53" s="221"/>
      <c r="AE53" s="233"/>
      <c r="AF53" s="218" t="str">
        <f t="shared" si="12"/>
        <v/>
      </c>
      <c r="AG53" s="217" t="str">
        <f t="shared" si="13"/>
        <v/>
      </c>
      <c r="AH53" s="478" t="str">
        <f t="shared" si="14"/>
        <v/>
      </c>
      <c r="AI53" s="479"/>
      <c r="AJ53" s="479"/>
      <c r="AK53" s="216" t="str">
        <f t="shared" si="15"/>
        <v/>
      </c>
      <c r="AL53" s="215"/>
      <c r="AN53" s="214"/>
      <c r="AO53" s="214"/>
      <c r="AP53" s="213">
        <f t="shared" si="3"/>
        <v>0</v>
      </c>
      <c r="AQ53" s="213">
        <f t="shared" si="4"/>
        <v>0</v>
      </c>
      <c r="AR53" s="213">
        <f t="shared" si="5"/>
        <v>0</v>
      </c>
      <c r="AS53" s="213">
        <f t="shared" si="6"/>
        <v>0</v>
      </c>
      <c r="AT53" s="213">
        <f t="shared" si="7"/>
        <v>0</v>
      </c>
      <c r="AU53" s="213">
        <f t="shared" si="8"/>
        <v>0</v>
      </c>
      <c r="AV53" s="213">
        <f t="shared" si="9"/>
        <v>0</v>
      </c>
      <c r="AW53" s="213">
        <f t="shared" si="10"/>
        <v>0</v>
      </c>
    </row>
    <row r="54" spans="1:49" ht="14.25" customHeight="1">
      <c r="A54" s="199"/>
      <c r="B54" s="232">
        <v>24</v>
      </c>
      <c r="C54" s="225"/>
      <c r="D54" s="231"/>
      <c r="E54" s="225" t="str">
        <f t="shared" si="11"/>
        <v/>
      </c>
      <c r="F54" s="225"/>
      <c r="G54" s="225"/>
      <c r="H54" s="229"/>
      <c r="I54" s="230" t="s">
        <v>219</v>
      </c>
      <c r="J54" s="229"/>
      <c r="K54" s="229"/>
      <c r="L54" s="228"/>
      <c r="M54" s="227" t="str">
        <f t="shared" si="0"/>
        <v/>
      </c>
      <c r="N54" s="226"/>
      <c r="O54" s="225"/>
      <c r="P54" s="225" t="str">
        <f t="shared" si="1"/>
        <v/>
      </c>
      <c r="Q54" s="225"/>
      <c r="R54" s="224"/>
      <c r="S54" s="480"/>
      <c r="T54" s="480"/>
      <c r="U54" s="480"/>
      <c r="V54" s="480"/>
      <c r="W54" s="480"/>
      <c r="X54" s="223"/>
      <c r="Y54" s="223"/>
      <c r="Z54" s="223"/>
      <c r="AA54" s="223"/>
      <c r="AB54" s="222"/>
      <c r="AC54" s="221" t="str">
        <f t="shared" si="2"/>
        <v/>
      </c>
      <c r="AD54" s="220"/>
      <c r="AE54" s="219"/>
      <c r="AF54" s="218" t="str">
        <f t="shared" si="12"/>
        <v/>
      </c>
      <c r="AG54" s="217" t="str">
        <f t="shared" si="13"/>
        <v/>
      </c>
      <c r="AH54" s="478" t="str">
        <f t="shared" si="14"/>
        <v/>
      </c>
      <c r="AI54" s="479"/>
      <c r="AJ54" s="479"/>
      <c r="AK54" s="216" t="str">
        <f t="shared" si="15"/>
        <v/>
      </c>
      <c r="AL54" s="215"/>
      <c r="AN54" s="214"/>
      <c r="AO54" s="214"/>
      <c r="AP54" s="213">
        <f t="shared" si="3"/>
        <v>0</v>
      </c>
      <c r="AQ54" s="213">
        <f t="shared" si="4"/>
        <v>0</v>
      </c>
      <c r="AR54" s="213">
        <f t="shared" si="5"/>
        <v>0</v>
      </c>
      <c r="AS54" s="213">
        <f t="shared" si="6"/>
        <v>0</v>
      </c>
      <c r="AT54" s="213">
        <f t="shared" si="7"/>
        <v>0</v>
      </c>
      <c r="AU54" s="213">
        <f t="shared" si="8"/>
        <v>0</v>
      </c>
      <c r="AV54" s="213">
        <f t="shared" si="9"/>
        <v>0</v>
      </c>
      <c r="AW54" s="213">
        <f t="shared" si="10"/>
        <v>0</v>
      </c>
    </row>
    <row r="55" spans="1:49" ht="13.5" customHeight="1" thickBot="1">
      <c r="A55" s="199"/>
      <c r="B55" s="212" t="s">
        <v>218</v>
      </c>
      <c r="C55" s="211"/>
      <c r="D55" s="209"/>
      <c r="E55" s="209"/>
      <c r="F55" s="209"/>
      <c r="G55" s="209"/>
      <c r="H55" s="209"/>
      <c r="I55" s="210"/>
      <c r="J55" s="209"/>
      <c r="K55" s="209"/>
      <c r="L55" s="209"/>
      <c r="M55" s="209"/>
      <c r="N55" s="209"/>
      <c r="O55" s="209"/>
      <c r="P55" s="209"/>
      <c r="Q55" s="209"/>
      <c r="R55" s="491" t="str">
        <f>" NOTES: "</f>
        <v xml:space="preserve"> NOTES: </v>
      </c>
      <c r="S55" s="491"/>
      <c r="T55" s="491"/>
      <c r="U55" s="491"/>
      <c r="V55" s="491"/>
      <c r="W55" s="491"/>
      <c r="X55" s="491"/>
      <c r="Y55" s="491"/>
      <c r="Z55" s="491"/>
      <c r="AA55" s="491"/>
      <c r="AB55" s="491"/>
      <c r="AC55" s="491"/>
      <c r="AD55" s="491"/>
      <c r="AE55" s="208"/>
      <c r="AF55" s="492"/>
      <c r="AG55" s="493"/>
      <c r="AH55" s="492"/>
      <c r="AI55" s="492"/>
      <c r="AJ55" s="492"/>
      <c r="AK55" s="492"/>
      <c r="AL55" s="492"/>
    </row>
    <row r="56" spans="1:49" ht="13.5" customHeight="1" thickBot="1">
      <c r="A56" s="199"/>
      <c r="B56" s="200" t="s">
        <v>217</v>
      </c>
      <c r="C56" s="199"/>
      <c r="D56" s="199"/>
      <c r="E56" s="199"/>
      <c r="F56" s="199"/>
      <c r="G56" s="199"/>
      <c r="H56" s="199"/>
      <c r="J56" s="199"/>
      <c r="K56" s="199"/>
      <c r="L56" s="199"/>
      <c r="M56" s="199"/>
      <c r="N56" s="199"/>
      <c r="O56" s="199"/>
      <c r="P56" s="199"/>
      <c r="Q56" s="199"/>
      <c r="R56" s="494"/>
      <c r="S56" s="494"/>
      <c r="T56" s="494"/>
      <c r="U56" s="494"/>
      <c r="V56" s="494"/>
      <c r="W56" s="494"/>
      <c r="X56" s="494"/>
      <c r="Y56" s="494"/>
      <c r="Z56" s="494"/>
      <c r="AA56" s="494"/>
      <c r="AB56" s="494"/>
      <c r="AC56" s="494"/>
      <c r="AD56" s="494"/>
      <c r="AE56" s="207"/>
      <c r="AF56" s="492"/>
      <c r="AG56" s="492"/>
      <c r="AH56" s="492"/>
      <c r="AI56" s="492"/>
      <c r="AJ56" s="492"/>
      <c r="AK56" s="492"/>
      <c r="AL56" s="492"/>
    </row>
    <row r="57" spans="1:49" ht="13.5" customHeight="1" thickBot="1">
      <c r="A57" s="199"/>
      <c r="B57" s="200" t="s">
        <v>216</v>
      </c>
      <c r="C57" s="199"/>
      <c r="D57" s="199"/>
      <c r="E57" s="199"/>
      <c r="F57" s="199"/>
      <c r="G57" s="199"/>
      <c r="H57" s="199"/>
      <c r="J57" s="199"/>
      <c r="K57" s="199"/>
      <c r="L57" s="199"/>
      <c r="M57" s="199"/>
      <c r="N57" s="199"/>
      <c r="O57" s="199"/>
      <c r="P57" s="199"/>
      <c r="Q57" s="199"/>
      <c r="R57" s="494"/>
      <c r="S57" s="494"/>
      <c r="T57" s="494"/>
      <c r="U57" s="494"/>
      <c r="V57" s="494"/>
      <c r="W57" s="494"/>
      <c r="X57" s="494"/>
      <c r="Y57" s="494"/>
      <c r="Z57" s="494"/>
      <c r="AA57" s="494"/>
      <c r="AB57" s="494"/>
      <c r="AC57" s="494"/>
      <c r="AD57" s="494"/>
      <c r="AE57" s="207"/>
      <c r="AF57" s="492"/>
      <c r="AG57" s="492"/>
      <c r="AH57" s="492"/>
      <c r="AI57" s="492"/>
      <c r="AJ57" s="492"/>
      <c r="AK57" s="492"/>
      <c r="AL57" s="492"/>
    </row>
    <row r="58" spans="1:49" ht="4.5" customHeight="1" thickBot="1">
      <c r="A58" s="199"/>
      <c r="B58" s="200"/>
      <c r="C58" s="199"/>
      <c r="D58" s="199"/>
      <c r="E58" s="199"/>
      <c r="F58" s="199"/>
      <c r="G58" s="199"/>
      <c r="H58" s="199"/>
      <c r="J58" s="199"/>
      <c r="K58" s="199"/>
      <c r="L58" s="199"/>
      <c r="M58" s="199"/>
      <c r="N58" s="199"/>
      <c r="O58" s="199"/>
      <c r="P58" s="199"/>
      <c r="Q58" s="199"/>
      <c r="R58" s="494"/>
      <c r="S58" s="494"/>
      <c r="T58" s="494"/>
      <c r="U58" s="494"/>
      <c r="V58" s="494"/>
      <c r="W58" s="494"/>
      <c r="X58" s="494"/>
      <c r="Y58" s="494"/>
      <c r="Z58" s="494"/>
      <c r="AA58" s="494"/>
      <c r="AB58" s="494"/>
      <c r="AC58" s="494"/>
      <c r="AD58" s="494"/>
      <c r="AE58" s="207"/>
      <c r="AF58" s="492"/>
      <c r="AG58" s="492"/>
      <c r="AH58" s="492"/>
      <c r="AI58" s="492"/>
      <c r="AJ58" s="492"/>
      <c r="AK58" s="492"/>
      <c r="AL58" s="492"/>
    </row>
    <row r="59" spans="1:49" ht="16.5" customHeight="1" thickBot="1">
      <c r="A59" s="199"/>
      <c r="B59" s="489"/>
      <c r="C59" s="489"/>
      <c r="D59" s="489"/>
      <c r="E59" s="489"/>
      <c r="F59" s="489"/>
      <c r="G59" s="489"/>
      <c r="H59" s="489"/>
      <c r="I59" s="489"/>
      <c r="J59" s="489"/>
      <c r="K59" s="206"/>
      <c r="L59" s="490"/>
      <c r="M59" s="490"/>
      <c r="N59" s="490"/>
      <c r="O59" s="490"/>
      <c r="R59" s="494"/>
      <c r="S59" s="494"/>
      <c r="T59" s="494"/>
      <c r="U59" s="494"/>
      <c r="V59" s="494"/>
      <c r="W59" s="494"/>
      <c r="X59" s="494"/>
      <c r="Y59" s="494"/>
      <c r="Z59" s="494"/>
      <c r="AA59" s="494"/>
      <c r="AB59" s="494"/>
      <c r="AC59" s="494"/>
      <c r="AD59" s="494"/>
      <c r="AE59" s="205"/>
      <c r="AF59" s="492"/>
      <c r="AG59" s="492"/>
      <c r="AH59" s="492"/>
      <c r="AI59" s="492"/>
      <c r="AJ59" s="492"/>
      <c r="AK59" s="492"/>
      <c r="AL59" s="492"/>
    </row>
    <row r="60" spans="1:49" ht="12" customHeight="1">
      <c r="A60" s="199"/>
      <c r="C60" s="203" t="s">
        <v>215</v>
      </c>
      <c r="D60" s="200"/>
      <c r="E60" s="200"/>
      <c r="F60" s="200"/>
      <c r="G60" s="200"/>
      <c r="H60" s="200"/>
      <c r="I60" s="204"/>
      <c r="J60" s="200"/>
      <c r="K60" s="200"/>
      <c r="L60" s="200"/>
      <c r="M60" s="200"/>
      <c r="N60" s="203" t="s">
        <v>214</v>
      </c>
      <c r="R60" s="484" t="s">
        <v>213</v>
      </c>
      <c r="S60" s="484"/>
      <c r="T60" s="484"/>
      <c r="U60" s="484"/>
      <c r="V60" s="484"/>
      <c r="W60" s="484"/>
      <c r="X60" s="484"/>
      <c r="Y60" s="484"/>
      <c r="Z60" s="484"/>
      <c r="AA60" s="484"/>
      <c r="AB60" s="484"/>
      <c r="AC60" s="484"/>
      <c r="AD60" s="484"/>
      <c r="AE60" s="484"/>
      <c r="AF60" s="484"/>
      <c r="AG60" s="484"/>
      <c r="AH60" s="484"/>
      <c r="AI60" s="484"/>
      <c r="AK60" s="202" t="s">
        <v>212</v>
      </c>
      <c r="AL60" s="201"/>
    </row>
    <row r="62" spans="1:49">
      <c r="B62" s="200"/>
    </row>
    <row r="64" spans="1:49" ht="15" customHeight="1"/>
    <row r="66" spans="3:4" hidden="1">
      <c r="C66" s="197">
        <f>SUMIF(ModelRange,"0201",NumWinsRange)</f>
        <v>0</v>
      </c>
      <c r="D66" s="197" t="s">
        <v>211</v>
      </c>
    </row>
    <row r="67" spans="3:4" hidden="1">
      <c r="C67" s="197">
        <f>SUMIF(ModelRange,"0202",NumWinsRange)</f>
        <v>0</v>
      </c>
      <c r="D67" s="197" t="s">
        <v>210</v>
      </c>
    </row>
    <row r="68" spans="3:4" hidden="1">
      <c r="C68" s="197">
        <f>SUMIF(ModelRange,"0203",NumWinsRange)</f>
        <v>0</v>
      </c>
      <c r="D68" s="197" t="s">
        <v>209</v>
      </c>
    </row>
    <row r="69" spans="3:4" hidden="1">
      <c r="C69" s="197">
        <f>SUMIF(ModelRange,"0204",NumWinsRange)</f>
        <v>0</v>
      </c>
      <c r="D69" s="197" t="s">
        <v>208</v>
      </c>
    </row>
    <row r="70" spans="3:4" hidden="1">
      <c r="C70" s="197">
        <f>SUMIF(ModelRange,"0209",NumWinsRange)</f>
        <v>0</v>
      </c>
      <c r="D70" s="197" t="s">
        <v>207</v>
      </c>
    </row>
    <row r="71" spans="3:4" hidden="1">
      <c r="C71" s="197">
        <f>SUMIF(ModelRange,"0401",NumWinsRange)</f>
        <v>0</v>
      </c>
      <c r="D71" s="197" t="s">
        <v>206</v>
      </c>
    </row>
    <row r="72" spans="3:4" hidden="1">
      <c r="C72" s="197">
        <f>SUMIF(ModelRange,"0402",NumWinsRange)</f>
        <v>0</v>
      </c>
      <c r="D72" s="197" t="s">
        <v>205</v>
      </c>
    </row>
    <row r="73" spans="3:4" hidden="1">
      <c r="C73" s="197">
        <f>SUMIF(ModelRange,"0403",NumWinsRange)</f>
        <v>0</v>
      </c>
      <c r="D73" s="197" t="s">
        <v>204</v>
      </c>
    </row>
    <row r="74" spans="3:4" hidden="1">
      <c r="C74" s="197">
        <f>SUMIF(ModelRange,"0404",NumWinsRange)</f>
        <v>0</v>
      </c>
      <c r="D74" s="197" t="s">
        <v>203</v>
      </c>
    </row>
    <row r="75" spans="3:4" hidden="1">
      <c r="C75" s="197">
        <f>SUMIF(ModelRange,"0409",NumWinsRange)</f>
        <v>0</v>
      </c>
      <c r="D75" s="197" t="s">
        <v>202</v>
      </c>
    </row>
    <row r="76" spans="3:4" hidden="1">
      <c r="C76" s="197">
        <f>SUMIF(ModelRange,"0501",NumWinsRange)</f>
        <v>0</v>
      </c>
      <c r="D76" s="197" t="s">
        <v>201</v>
      </c>
    </row>
    <row r="77" spans="3:4" hidden="1">
      <c r="C77" s="197">
        <f>SUMIF(ModelRange,"0502",NumWinsRange)</f>
        <v>0</v>
      </c>
      <c r="D77" s="197" t="s">
        <v>200</v>
      </c>
    </row>
    <row r="78" spans="3:4" hidden="1">
      <c r="C78" s="197">
        <f>SUMIF(ModelRange,"0503",NumWinsRange)</f>
        <v>0</v>
      </c>
      <c r="D78" s="197" t="s">
        <v>199</v>
      </c>
    </row>
    <row r="79" spans="3:4" hidden="1">
      <c r="C79" s="197">
        <f>SUMIF(ModelRange,"0504",NumWinsRange)</f>
        <v>0</v>
      </c>
      <c r="D79" s="197" t="s">
        <v>198</v>
      </c>
    </row>
    <row r="80" spans="3:4" hidden="1">
      <c r="C80" s="197">
        <f>SUMIF(ModelRange,"0509",NumWinsRange)</f>
        <v>0</v>
      </c>
      <c r="D80" s="197" t="s">
        <v>197</v>
      </c>
    </row>
    <row r="81" spans="3:4" hidden="1">
      <c r="C81" s="197">
        <f>SUMIF(ModelRange,"0522",NumWinsRange)</f>
        <v>0</v>
      </c>
      <c r="D81" s="197" t="s">
        <v>196</v>
      </c>
    </row>
    <row r="82" spans="3:4" hidden="1">
      <c r="C82" s="197">
        <f>SUMIF(ModelRange,"0523",NumWinsRange)</f>
        <v>0</v>
      </c>
      <c r="D82" s="197" t="s">
        <v>195</v>
      </c>
    </row>
    <row r="83" spans="3:4" hidden="1">
      <c r="C83" s="197">
        <f>SUMIF(ModelRange,"0529",NumWinsRange)</f>
        <v>0</v>
      </c>
      <c r="D83" s="197" t="s">
        <v>194</v>
      </c>
    </row>
    <row r="84" spans="3:4" hidden="1">
      <c r="C84" s="197">
        <f>SUMIF(ModelRange,"0601",NumWinsRange)</f>
        <v>0</v>
      </c>
      <c r="D84" s="197" t="s">
        <v>193</v>
      </c>
    </row>
    <row r="85" spans="3:4" hidden="1">
      <c r="C85" s="197">
        <f>SUMIF(ModelRange,"0602",NumWinsRange)</f>
        <v>0</v>
      </c>
      <c r="D85" s="197" t="s">
        <v>192</v>
      </c>
    </row>
    <row r="86" spans="3:4" hidden="1">
      <c r="C86" s="197">
        <f>SUMIF(ModelRange,"0603",NumWinsRange)</f>
        <v>0</v>
      </c>
      <c r="D86" s="197" t="s">
        <v>191</v>
      </c>
    </row>
    <row r="87" spans="3:4" hidden="1">
      <c r="C87" s="197">
        <f>SUMIF(ModelRange,"0609",NumWinsRange)</f>
        <v>0</v>
      </c>
      <c r="D87" s="197" t="s">
        <v>190</v>
      </c>
    </row>
    <row r="88" spans="3:4" hidden="1">
      <c r="C88" s="197">
        <f>SUMIF(ModelRange,"0614",NumWinsRange)</f>
        <v>0</v>
      </c>
      <c r="D88" s="197" t="s">
        <v>189</v>
      </c>
    </row>
    <row r="89" spans="3:4" hidden="1">
      <c r="C89" s="197">
        <f>SUMIF(ModelRange,"0901",NumWinsRange)</f>
        <v>0</v>
      </c>
      <c r="D89" s="197" t="s">
        <v>188</v>
      </c>
    </row>
    <row r="90" spans="3:4" hidden="1">
      <c r="C90" s="197">
        <f>SUMIF(ModelRange,"0902",NumWinsRange)</f>
        <v>0</v>
      </c>
      <c r="D90" s="197" t="s">
        <v>187</v>
      </c>
    </row>
    <row r="91" spans="3:4" hidden="1">
      <c r="C91" s="197">
        <f>SUMIF(ModelRange,"0903",NumWinsRange)</f>
        <v>0</v>
      </c>
      <c r="D91" s="197" t="s">
        <v>186</v>
      </c>
    </row>
    <row r="92" spans="3:4" hidden="1">
      <c r="C92" s="197">
        <f>SUMIF(ModelRange,"0909",NumWinsRange)</f>
        <v>0</v>
      </c>
      <c r="D92" s="197" t="s">
        <v>185</v>
      </c>
    </row>
    <row r="93" spans="3:4" hidden="1">
      <c r="C93" s="197">
        <f>SUMIF(ModelRange,"0914",NumWinsRange)</f>
        <v>0</v>
      </c>
      <c r="D93" s="197" t="s">
        <v>184</v>
      </c>
    </row>
    <row r="94" spans="3:4" hidden="1">
      <c r="C94" s="197">
        <f>SUMIF(ModelRange,"0951",NumWinsRange)</f>
        <v>0</v>
      </c>
      <c r="D94" s="197" t="s">
        <v>183</v>
      </c>
    </row>
    <row r="95" spans="3:4" hidden="1">
      <c r="C95" s="197">
        <f>SUMIF(ModelRange,"0952",NumWinsRange)</f>
        <v>0</v>
      </c>
      <c r="D95" s="197" t="s">
        <v>182</v>
      </c>
    </row>
    <row r="96" spans="3:4" hidden="1">
      <c r="C96" s="197">
        <f>SUMIF(ModelRange,"0954",NumWinsRange)</f>
        <v>0</v>
      </c>
      <c r="D96" s="197" t="s">
        <v>181</v>
      </c>
    </row>
    <row r="97" spans="3:4" hidden="1">
      <c r="C97" s="197">
        <f>SUMIF(ModelRange,"0955",NumWinsRange)</f>
        <v>0</v>
      </c>
      <c r="D97" s="197" t="s">
        <v>180</v>
      </c>
    </row>
    <row r="98" spans="3:4" hidden="1">
      <c r="C98" s="197">
        <f>SUMIF(ModelRange,"0970",NumWinsRange)</f>
        <v>0</v>
      </c>
      <c r="D98" s="197" t="s">
        <v>179</v>
      </c>
    </row>
    <row r="99" spans="3:4" hidden="1">
      <c r="C99" s="197">
        <f>SUMIF(ModelRange,"0971",NumWinsRange)</f>
        <v>0</v>
      </c>
      <c r="D99" s="197" t="s">
        <v>178</v>
      </c>
    </row>
    <row r="100" spans="3:4" hidden="1">
      <c r="C100" s="197">
        <f>SUMIF(ModelRange,"0972",NumWinsRange)</f>
        <v>0</v>
      </c>
      <c r="D100" s="197" t="s">
        <v>177</v>
      </c>
    </row>
    <row r="101" spans="3:4" hidden="1">
      <c r="C101" s="197">
        <f>SUMIF(ModelRange,"0973",NumWinsRange)</f>
        <v>0</v>
      </c>
      <c r="D101" s="197" t="s">
        <v>176</v>
      </c>
    </row>
    <row r="102" spans="3:4" hidden="1">
      <c r="C102" s="197">
        <f>SUMIF(ModelRange,"0979",NumWinsRange)</f>
        <v>0</v>
      </c>
      <c r="D102" s="197" t="s">
        <v>175</v>
      </c>
    </row>
    <row r="103" spans="3:4" hidden="1">
      <c r="C103" s="197">
        <f>SUMIF(ModelRange,"6105",NumWinsRange)</f>
        <v>0</v>
      </c>
      <c r="D103" s="197" t="s">
        <v>174</v>
      </c>
    </row>
    <row r="104" spans="3:4" hidden="1">
      <c r="C104" s="197">
        <f>SUMIF(ModelRange,"6106",NumWinsRange)</f>
        <v>0</v>
      </c>
      <c r="D104" s="197" t="s">
        <v>173</v>
      </c>
    </row>
    <row r="105" spans="3:4" hidden="1">
      <c r="C105" s="197">
        <f>SUMIF(ModelRange,"6108",NumWinsRange)</f>
        <v>0</v>
      </c>
      <c r="D105" s="197" t="s">
        <v>172</v>
      </c>
    </row>
    <row r="106" spans="3:4" hidden="1">
      <c r="C106" s="197">
        <f>SUMIF(ModelRange,"6109",NumWinsRange)</f>
        <v>0</v>
      </c>
      <c r="D106" s="197" t="s">
        <v>171</v>
      </c>
    </row>
    <row r="107" spans="3:4" hidden="1">
      <c r="C107" s="197">
        <f>SUMIF(ModelRange,"6112",NumWinsRange)</f>
        <v>0</v>
      </c>
      <c r="D107" s="197" t="s">
        <v>170</v>
      </c>
    </row>
    <row r="108" spans="3:4" hidden="1">
      <c r="C108" s="197">
        <f>SUMIF(ModelRange,"6122",NumWinsRange)</f>
        <v>0</v>
      </c>
      <c r="D108" s="197" t="s">
        <v>169</v>
      </c>
    </row>
    <row r="109" spans="3:4" hidden="1">
      <c r="C109" s="197">
        <f>SUMIF(ModelRange,"S105",NumWinsRange)</f>
        <v>0</v>
      </c>
      <c r="D109" s="197" t="s">
        <v>168</v>
      </c>
    </row>
    <row r="110" spans="3:4" hidden="1">
      <c r="C110" s="197">
        <f>SUMIF(ModelRange,"S110",NumWinsRange)</f>
        <v>0</v>
      </c>
      <c r="D110" s="197" t="s">
        <v>167</v>
      </c>
    </row>
    <row r="111" spans="3:4" hidden="1">
      <c r="C111" s="197">
        <f>SUMIF(ModelRange,"S111",NumWinsRange)</f>
        <v>0</v>
      </c>
      <c r="D111" s="197" t="s">
        <v>166</v>
      </c>
    </row>
    <row r="112" spans="3:4" hidden="1">
      <c r="C112" s="197">
        <f>SUMIF(ModelRange,"S112",NumWinsRange)</f>
        <v>0</v>
      </c>
      <c r="D112" s="197" t="s">
        <v>165</v>
      </c>
    </row>
    <row r="113" spans="3:4" hidden="1">
      <c r="C113" s="197">
        <f>SUMIF(ModelRange,"S113",NumWinsRange)</f>
        <v>0</v>
      </c>
      <c r="D113" s="197" t="s">
        <v>164</v>
      </c>
    </row>
    <row r="114" spans="3:4" hidden="1">
      <c r="C114" s="197">
        <f>SUMIF(ModelRange,"S114",NumWinsRange)</f>
        <v>0</v>
      </c>
      <c r="D114" s="197" t="s">
        <v>163</v>
      </c>
    </row>
    <row r="115" spans="3:4" hidden="1">
      <c r="C115" s="197">
        <f>SUMIF(ModelRange,"S115",NumWinsRange)</f>
        <v>0</v>
      </c>
      <c r="D115" s="197" t="s">
        <v>162</v>
      </c>
    </row>
    <row r="116" spans="3:4" hidden="1">
      <c r="C116" s="197">
        <f>SUMIF(ModelRange,"S116",NumWinsRange)</f>
        <v>0</v>
      </c>
      <c r="D116" s="197" t="s">
        <v>161</v>
      </c>
    </row>
    <row r="117" spans="3:4" hidden="1">
      <c r="C117" s="197">
        <f>SUMIF(ModelRange,"S117",NumWinsRange)</f>
        <v>0</v>
      </c>
      <c r="D117" s="197" t="s">
        <v>160</v>
      </c>
    </row>
    <row r="118" spans="3:4" hidden="1">
      <c r="C118" s="197">
        <f>SUMIF(ModelRange,"S118",NumWinsRange)</f>
        <v>0</v>
      </c>
      <c r="D118" s="197" t="s">
        <v>159</v>
      </c>
    </row>
    <row r="119" spans="3:4" hidden="1">
      <c r="C119" s="197">
        <f>SUMIF(ModelRange,"S119",NumWinsRange)</f>
        <v>0</v>
      </c>
      <c r="D119" s="197" t="s">
        <v>158</v>
      </c>
    </row>
    <row r="120" spans="3:4" hidden="1">
      <c r="C120" s="197">
        <f>SUMIF(ModelRange,"S120",NumWinsRange)</f>
        <v>0</v>
      </c>
      <c r="D120" s="197" t="s">
        <v>157</v>
      </c>
    </row>
    <row r="121" spans="3:4" hidden="1">
      <c r="C121" s="197">
        <f>SUMIF(ModelRange,"S121",NumWinsRange)</f>
        <v>0</v>
      </c>
      <c r="D121" s="197" t="s">
        <v>156</v>
      </c>
    </row>
    <row r="122" spans="3:4" hidden="1">
      <c r="C122" s="197">
        <f>SUMIF(ModelRange,"S122",NumWinsRange)</f>
        <v>0</v>
      </c>
      <c r="D122" s="197" t="s">
        <v>155</v>
      </c>
    </row>
    <row r="123" spans="3:4" hidden="1">
      <c r="C123" s="197">
        <f>SUMIF(ModelRange,"S123",NumWinsRange)</f>
        <v>0</v>
      </c>
      <c r="D123" s="197" t="s">
        <v>154</v>
      </c>
    </row>
    <row r="124" spans="3:4" hidden="1">
      <c r="C124" s="197">
        <f>SUMIF(ModelRange,"S124",NumWinsRange)</f>
        <v>0</v>
      </c>
      <c r="D124" s="197" t="s">
        <v>153</v>
      </c>
    </row>
    <row r="125" spans="3:4" hidden="1">
      <c r="C125" s="197">
        <f>SUMIF(ModelRange,"S125",NumWinsRange)</f>
        <v>0</v>
      </c>
      <c r="D125" s="197" t="s">
        <v>152</v>
      </c>
    </row>
    <row r="126" spans="3:4" hidden="1">
      <c r="C126" s="197">
        <f>SUMIF(ModelRange,"S126",NumWinsRange)</f>
        <v>0</v>
      </c>
      <c r="D126" s="197" t="s">
        <v>151</v>
      </c>
    </row>
    <row r="127" spans="3:4" hidden="1">
      <c r="C127" s="197">
        <f>SUMIF(ModelRange,"S127",NumWinsRange)</f>
        <v>0</v>
      </c>
      <c r="D127" s="197" t="s">
        <v>150</v>
      </c>
    </row>
    <row r="128" spans="3:4" hidden="1">
      <c r="C128" s="197">
        <f>SUMIF(ModelRange,"S128",NumWinsRange)</f>
        <v>0</v>
      </c>
      <c r="D128" s="197" t="s">
        <v>149</v>
      </c>
    </row>
    <row r="129" spans="3:4" hidden="1">
      <c r="C129" s="197">
        <f>SUMIF(ModelRange,"S129",NumWinsRange)</f>
        <v>0</v>
      </c>
      <c r="D129" s="197" t="s">
        <v>148</v>
      </c>
    </row>
    <row r="130" spans="3:4" hidden="1">
      <c r="C130" s="197">
        <f>SUMIF(ModelRange,"S130",NumWinsRange)</f>
        <v>0</v>
      </c>
      <c r="D130" s="197" t="s">
        <v>147</v>
      </c>
    </row>
    <row r="131" spans="3:4" hidden="1">
      <c r="C131" s="197">
        <f>SUMIF(ModelRange,"S131",NumWinsRange)</f>
        <v>0</v>
      </c>
      <c r="D131" s="197" t="s">
        <v>146</v>
      </c>
    </row>
    <row r="132" spans="3:4" hidden="1">
      <c r="C132" s="197">
        <f>SUMIF(ModelRange,"S132",NumWinsRange)</f>
        <v>0</v>
      </c>
      <c r="D132" s="197" t="s">
        <v>145</v>
      </c>
    </row>
    <row r="133" spans="3:4" hidden="1">
      <c r="C133" s="197">
        <f>SUMIF(ModelRange,"S133",NumWinsRange)</f>
        <v>0</v>
      </c>
      <c r="D133" s="197" t="s">
        <v>144</v>
      </c>
    </row>
    <row r="134" spans="3:4" hidden="1">
      <c r="C134" s="197">
        <f>SUMIF(ModelRange,"S140",NumWinsRange)</f>
        <v>0</v>
      </c>
      <c r="D134" s="197" t="s">
        <v>143</v>
      </c>
    </row>
    <row r="135" spans="3:4" hidden="1">
      <c r="C135" s="197">
        <f>SUMIF(ModelRange,"S144",NumWinsRange)</f>
        <v>0</v>
      </c>
      <c r="D135" s="197" t="s">
        <v>142</v>
      </c>
    </row>
    <row r="136" spans="3:4" hidden="1">
      <c r="C136" s="197">
        <f>SUMIF(ModelRange,"S146",NumWinsRange)</f>
        <v>0</v>
      </c>
      <c r="D136" s="197" t="s">
        <v>141</v>
      </c>
    </row>
    <row r="137" spans="3:4" hidden="1">
      <c r="C137" s="197">
        <f>SUMIF(FullScreenRange,"&gt;''",NumWinsRange)</f>
        <v>0</v>
      </c>
      <c r="D137" s="197" t="s">
        <v>140</v>
      </c>
    </row>
    <row r="138" spans="3:4" hidden="1">
      <c r="C138" s="197">
        <f>SUMIF(ColorRange,"BG",NumWinsRange)</f>
        <v>0</v>
      </c>
      <c r="D138" s="197" t="s">
        <v>139</v>
      </c>
    </row>
    <row r="139" spans="3:4" hidden="1">
      <c r="C139" s="197">
        <f>SUMIF(WoodgrainRange,"&gt;''",NumWinsRange)</f>
        <v>0</v>
      </c>
      <c r="D139" s="197" t="s">
        <v>138</v>
      </c>
    </row>
    <row r="140" spans="3:4" hidden="1">
      <c r="C140" s="197">
        <f>SUMIF(GlassOptionRange,"LEE",NumWinsRange)</f>
        <v>0</v>
      </c>
      <c r="D140" s="197" t="s">
        <v>137</v>
      </c>
    </row>
    <row r="141" spans="3:4" hidden="1">
      <c r="C141" s="197">
        <f>SUMIF(GlassOptionRange,"LE",NumWinsRange)</f>
        <v>0</v>
      </c>
      <c r="D141" s="197" t="s">
        <v>136</v>
      </c>
    </row>
    <row r="142" spans="3:4" hidden="1">
      <c r="C142" s="197">
        <f>SUMIF(GridStyleRange,"&gt;''",NumWinsRange)</f>
        <v>0</v>
      </c>
      <c r="D142" s="197" t="s">
        <v>135</v>
      </c>
    </row>
    <row r="143" spans="3:4" hidden="1">
      <c r="C143" s="197">
        <f ca="1">SUMIF(ObscureFullRange,"&gt;''",NumWinsRange)+SUMIF(ObscureBottomRange,"&gt;''",NumWinsRange)</f>
        <v>0</v>
      </c>
      <c r="D143" s="197" t="s">
        <v>134</v>
      </c>
    </row>
    <row r="144" spans="3:4" hidden="1">
      <c r="C144" s="197">
        <f>SUMIF(FullScreenRange,"&gt;''",NumWinsRange)</f>
        <v>0</v>
      </c>
      <c r="D144" s="197" t="s">
        <v>133</v>
      </c>
    </row>
    <row r="145" spans="3:4" hidden="1">
      <c r="C145" s="197">
        <f ca="1">SUMIF(RemovalTypeRange,"STORM",NumWinsRange)</f>
        <v>0</v>
      </c>
      <c r="D145" s="197" t="s">
        <v>132</v>
      </c>
    </row>
    <row r="146" spans="3:4" hidden="1">
      <c r="C146" s="197">
        <f ca="1">SUMIF(RemovalTypeRange,"ALUM",NumWinsRange)</f>
        <v>0</v>
      </c>
      <c r="D146" s="197" t="s">
        <v>131</v>
      </c>
    </row>
    <row r="147" spans="3:4" hidden="1">
      <c r="C147" s="197">
        <f ca="1">SUMIF(RemovalTypeRange,"STEEL",NumWinsRange)</f>
        <v>0</v>
      </c>
      <c r="D147" s="197" t="s">
        <v>130</v>
      </c>
    </row>
    <row r="148" spans="3:4" hidden="1">
      <c r="C148" s="197">
        <f>SUM(AlumStuccoRemovalRange)</f>
        <v>0</v>
      </c>
      <c r="D148" s="197" t="s">
        <v>129</v>
      </c>
    </row>
    <row r="149" spans="3:4" hidden="1">
      <c r="C149" s="197">
        <f>SUM(SteelStuccoRemovalRange)</f>
        <v>0</v>
      </c>
      <c r="D149" s="197" t="s">
        <v>128</v>
      </c>
    </row>
    <row r="150" spans="3:4" hidden="1">
      <c r="C150" s="197">
        <f>SUMIF(TrimRange,"VINYL",NumWinsRange)</f>
        <v>0</v>
      </c>
      <c r="D150" s="197" t="s">
        <v>127</v>
      </c>
    </row>
    <row r="151" spans="3:4" hidden="1">
      <c r="C151" s="197">
        <f>SUMIF(TrimRange,"CUST",NumWinsRange)</f>
        <v>0</v>
      </c>
      <c r="D151" s="197" t="s">
        <v>126</v>
      </c>
    </row>
    <row r="152" spans="3:4" hidden="1">
      <c r="C152" s="197">
        <f>SUMIF(TrimRange,"CAP",NumWinsRange)</f>
        <v>0</v>
      </c>
      <c r="D152" s="197" t="s">
        <v>125</v>
      </c>
    </row>
    <row r="153" spans="3:4" hidden="1">
      <c r="C153" s="197">
        <f>SUMIF(TrimRange,"F&amp;T",NumWinsRange)</f>
        <v>0</v>
      </c>
      <c r="D153" s="197" t="s">
        <v>124</v>
      </c>
    </row>
    <row r="154" spans="3:4" hidden="1">
      <c r="C154" s="197">
        <f>SUMIF(OrielDimRange,"&gt;''",NumWinsRange)</f>
        <v>0</v>
      </c>
      <c r="D154" s="197" t="s">
        <v>123</v>
      </c>
    </row>
    <row r="155" spans="3:4" hidden="1">
      <c r="C155" s="197">
        <f>SUM(WindowLeRange)</f>
        <v>0</v>
      </c>
      <c r="D155" s="197" t="s">
        <v>122</v>
      </c>
    </row>
    <row r="156" spans="3:4" hidden="1">
      <c r="C156" s="197">
        <f>SUM(WindowLeeRange)</f>
        <v>0</v>
      </c>
      <c r="D156" s="197" t="s">
        <v>121</v>
      </c>
    </row>
    <row r="157" spans="3:4" hidden="1">
      <c r="C157" s="197">
        <f>SUM(DoorLeRange)</f>
        <v>0</v>
      </c>
      <c r="D157" s="197" t="s">
        <v>120</v>
      </c>
    </row>
    <row r="158" spans="3:4" hidden="1">
      <c r="C158" s="197">
        <f>SUM(DoorLeeRange)</f>
        <v>0</v>
      </c>
      <c r="D158" s="197" t="s">
        <v>119</v>
      </c>
    </row>
    <row r="159" spans="3:4" hidden="1">
      <c r="C159" s="197">
        <f>SUM(WindowGridRange)</f>
        <v>0</v>
      </c>
      <c r="D159" s="197" t="s">
        <v>118</v>
      </c>
    </row>
    <row r="160" spans="3:4" hidden="1">
      <c r="C160" s="197">
        <f>SUM(DoorGridRange)</f>
        <v>0</v>
      </c>
      <c r="D160" s="197" t="s">
        <v>117</v>
      </c>
    </row>
    <row r="161" spans="3:4" hidden="1">
      <c r="C161" s="197">
        <f>Model0204+Model0504+Model0614+Model0914+Model0970</f>
        <v>0</v>
      </c>
      <c r="D161" s="197" t="s">
        <v>116</v>
      </c>
    </row>
    <row r="162" spans="3:4" hidden="1">
      <c r="C162" s="197">
        <f>Model0202+Model0402+Model0402+Model0502+Model0522+Model0602+Model0902</f>
        <v>0</v>
      </c>
      <c r="D162" s="197" t="s">
        <v>115</v>
      </c>
    </row>
    <row r="163" spans="3:4" hidden="1">
      <c r="C163" s="197">
        <f>Model0203+Model0209+Model0403+Model0409+Model0503+Model0509+Model0603+Model0609+Model0903+Model0909</f>
        <v>0</v>
      </c>
      <c r="D163" s="197" t="s">
        <v>114</v>
      </c>
    </row>
    <row r="164" spans="3:4" hidden="1">
      <c r="C164" s="197">
        <f>Model0951+Model0971</f>
        <v>0</v>
      </c>
      <c r="D164" s="199" t="s">
        <v>113</v>
      </c>
    </row>
    <row r="165" spans="3:4" hidden="1">
      <c r="C165" s="197">
        <f>Model0952+Model0954+Model0955+Model0972</f>
        <v>0</v>
      </c>
      <c r="D165" s="199" t="s">
        <v>112</v>
      </c>
    </row>
    <row r="166" spans="3:4" hidden="1">
      <c r="C166" s="197">
        <f>Model0973+Model0979</f>
        <v>0</v>
      </c>
      <c r="D166" s="199" t="s">
        <v>111</v>
      </c>
    </row>
    <row r="167" spans="3:4" hidden="1">
      <c r="C167" s="197">
        <f>CasementAwning1+CasementAwning2*2+CasementAwning3*3</f>
        <v>0</v>
      </c>
      <c r="D167" s="199" t="s">
        <v>110</v>
      </c>
    </row>
    <row r="168" spans="3:4" hidden="1">
      <c r="C168" s="197">
        <f>Model0502+Model0503+Model0504+Model0509+Model0602+Model0603+Model0609+Model0614</f>
        <v>0</v>
      </c>
      <c r="D168" s="197" t="s">
        <v>109</v>
      </c>
    </row>
    <row r="169" spans="3:4" hidden="1">
      <c r="C169" s="197">
        <f>ModelS140+ModelS144+ModelS146</f>
        <v>0</v>
      </c>
      <c r="D169" s="197" t="s">
        <v>108</v>
      </c>
    </row>
    <row r="170" spans="3:4" hidden="1">
      <c r="C170" s="197">
        <f>SUMIF(MullTypeRange,"M",NumWinsRange)</f>
        <v>0</v>
      </c>
      <c r="D170" s="199" t="s">
        <v>107</v>
      </c>
    </row>
    <row r="171" spans="3:4">
      <c r="D171" s="199"/>
    </row>
  </sheetData>
  <mergeCells count="114">
    <mergeCell ref="S31:T31"/>
    <mergeCell ref="U31:W31"/>
    <mergeCell ref="AH31:AJ31"/>
    <mergeCell ref="B2:Q19"/>
    <mergeCell ref="S5:AL5"/>
    <mergeCell ref="AH9:AK9"/>
    <mergeCell ref="AG12:AL12"/>
    <mergeCell ref="S13:AC13"/>
    <mergeCell ref="AG13:AL13"/>
    <mergeCell ref="S14:AC14"/>
    <mergeCell ref="AG14:AL14"/>
    <mergeCell ref="AD15:AI15"/>
    <mergeCell ref="AK15:AL15"/>
    <mergeCell ref="S15:AC15"/>
    <mergeCell ref="S16:AC16"/>
    <mergeCell ref="AD16:AI16"/>
    <mergeCell ref="AG18:AL19"/>
    <mergeCell ref="W18:AD19"/>
    <mergeCell ref="S24:T24"/>
    <mergeCell ref="U24:W24"/>
    <mergeCell ref="AH24:AJ24"/>
    <mergeCell ref="S25:T25"/>
    <mergeCell ref="S26:T26"/>
    <mergeCell ref="AH26:AJ26"/>
    <mergeCell ref="U30:W30"/>
    <mergeCell ref="AH30:AJ30"/>
    <mergeCell ref="U23:W23"/>
    <mergeCell ref="AH23:AJ23"/>
    <mergeCell ref="AH29:AJ29"/>
    <mergeCell ref="U25:W25"/>
    <mergeCell ref="AH25:AJ25"/>
    <mergeCell ref="U27:W27"/>
    <mergeCell ref="AH27:AJ27"/>
    <mergeCell ref="U28:W28"/>
    <mergeCell ref="AH28:AJ28"/>
    <mergeCell ref="S37:T37"/>
    <mergeCell ref="U37:W37"/>
    <mergeCell ref="AH37:AJ37"/>
    <mergeCell ref="S38:T38"/>
    <mergeCell ref="U38:W38"/>
    <mergeCell ref="AH38:AJ38"/>
    <mergeCell ref="S39:T39"/>
    <mergeCell ref="U39:W39"/>
    <mergeCell ref="S32:T32"/>
    <mergeCell ref="U32:W32"/>
    <mergeCell ref="AH32:AJ32"/>
    <mergeCell ref="AH39:AJ39"/>
    <mergeCell ref="S34:T34"/>
    <mergeCell ref="U34:W34"/>
    <mergeCell ref="AH34:AJ34"/>
    <mergeCell ref="S35:T35"/>
    <mergeCell ref="U35:W35"/>
    <mergeCell ref="AH35:AJ35"/>
    <mergeCell ref="S33:T33"/>
    <mergeCell ref="U33:W33"/>
    <mergeCell ref="AH33:AJ33"/>
    <mergeCell ref="S36:T36"/>
    <mergeCell ref="U36:W36"/>
    <mergeCell ref="AH36:AJ36"/>
    <mergeCell ref="AH40:AJ40"/>
    <mergeCell ref="S41:T41"/>
    <mergeCell ref="AH50:AJ50"/>
    <mergeCell ref="S51:T51"/>
    <mergeCell ref="U51:W51"/>
    <mergeCell ref="AH51:AJ51"/>
    <mergeCell ref="S48:T48"/>
    <mergeCell ref="U48:W48"/>
    <mergeCell ref="AH48:AJ48"/>
    <mergeCell ref="U41:W41"/>
    <mergeCell ref="AH41:AJ41"/>
    <mergeCell ref="S42:T42"/>
    <mergeCell ref="S43:T43"/>
    <mergeCell ref="U43:W43"/>
    <mergeCell ref="AH43:AJ43"/>
    <mergeCell ref="U46:W46"/>
    <mergeCell ref="AH46:AJ46"/>
    <mergeCell ref="S47:T47"/>
    <mergeCell ref="U47:W47"/>
    <mergeCell ref="U42:W42"/>
    <mergeCell ref="AH42:AJ42"/>
    <mergeCell ref="H23:K23"/>
    <mergeCell ref="R60:AI60"/>
    <mergeCell ref="AB9:AC9"/>
    <mergeCell ref="U9:Y9"/>
    <mergeCell ref="S9:T9"/>
    <mergeCell ref="B59:J59"/>
    <mergeCell ref="L59:O59"/>
    <mergeCell ref="S54:T54"/>
    <mergeCell ref="U54:W54"/>
    <mergeCell ref="S50:T50"/>
    <mergeCell ref="AH54:AJ54"/>
    <mergeCell ref="R55:AD55"/>
    <mergeCell ref="AF55:AL59"/>
    <mergeCell ref="R56:AD59"/>
    <mergeCell ref="S52:T52"/>
    <mergeCell ref="U52:W52"/>
    <mergeCell ref="AH52:AJ52"/>
    <mergeCell ref="S53:T53"/>
    <mergeCell ref="U53:W53"/>
    <mergeCell ref="S45:T45"/>
    <mergeCell ref="U45:W45"/>
    <mergeCell ref="AH45:AJ45"/>
    <mergeCell ref="S40:T40"/>
    <mergeCell ref="U40:W40"/>
    <mergeCell ref="AH53:AJ53"/>
    <mergeCell ref="S49:T49"/>
    <mergeCell ref="U49:W49"/>
    <mergeCell ref="U50:W50"/>
    <mergeCell ref="AH49:AJ49"/>
    <mergeCell ref="AH47:AJ47"/>
    <mergeCell ref="S46:T46"/>
    <mergeCell ref="S44:T44"/>
    <mergeCell ref="U44:W44"/>
    <mergeCell ref="AH44:AJ44"/>
  </mergeCells>
  <printOptions horizontalCentered="1" verticalCentered="1"/>
  <pageMargins left="0.25" right="0.25" top="0.25" bottom="0.25" header="0" footer="0"/>
  <pageSetup scale="92" firstPageNumber="0" orientation="landscape" horizontalDpi="4294967293" verticalDpi="300"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40"/>
  <sheetViews>
    <sheetView zoomScaleNormal="100" workbookViewId="0">
      <selection activeCell="C8" sqref="C8"/>
    </sheetView>
  </sheetViews>
  <sheetFormatPr defaultRowHeight="13.2"/>
  <cols>
    <col min="5" max="5" width="10.77734375" customWidth="1"/>
    <col min="6" max="6" width="12" customWidth="1"/>
    <col min="7" max="7" width="11.44140625" customWidth="1"/>
    <col min="10" max="10" width="10.88671875" customWidth="1"/>
  </cols>
  <sheetData>
    <row r="1" spans="1:12">
      <c r="A1" s="516"/>
      <c r="B1" s="516"/>
      <c r="C1" s="516"/>
      <c r="D1" s="516"/>
      <c r="E1" s="516"/>
      <c r="F1" s="516"/>
      <c r="G1" s="516"/>
      <c r="H1" s="516"/>
      <c r="I1" s="516"/>
      <c r="J1" s="516"/>
      <c r="K1" s="132"/>
      <c r="L1" s="132"/>
    </row>
    <row r="2" spans="1:12">
      <c r="A2" s="516"/>
      <c r="B2" s="516"/>
      <c r="C2" s="516"/>
      <c r="D2" s="516"/>
      <c r="E2" s="516"/>
      <c r="F2" s="516"/>
      <c r="G2" s="516"/>
      <c r="H2" s="516"/>
      <c r="I2" s="516"/>
      <c r="J2" s="516"/>
      <c r="K2" s="132"/>
      <c r="L2" s="132"/>
    </row>
    <row r="3" spans="1:12">
      <c r="A3" s="516"/>
      <c r="B3" s="516"/>
      <c r="C3" s="516"/>
      <c r="D3" s="516"/>
      <c r="E3" s="516"/>
      <c r="F3" s="516"/>
      <c r="G3" s="516"/>
      <c r="H3" s="516"/>
      <c r="I3" s="516"/>
      <c r="J3" s="516"/>
      <c r="K3" s="132"/>
      <c r="L3" s="132"/>
    </row>
    <row r="4" spans="1:12" ht="18">
      <c r="A4" s="517" t="s">
        <v>313</v>
      </c>
      <c r="B4" s="517"/>
      <c r="C4" s="517"/>
      <c r="D4" s="517"/>
      <c r="E4" s="517"/>
      <c r="F4" s="517"/>
      <c r="G4" s="517"/>
      <c r="H4" s="517"/>
      <c r="I4" s="517"/>
      <c r="J4" s="517"/>
      <c r="K4" s="97"/>
      <c r="L4" s="97"/>
    </row>
    <row r="5" spans="1:12" ht="18">
      <c r="A5" s="97"/>
      <c r="B5" s="97"/>
      <c r="C5" s="330"/>
      <c r="D5" s="330"/>
      <c r="E5" s="330"/>
      <c r="F5" s="330"/>
      <c r="G5" s="330"/>
      <c r="H5" s="97"/>
      <c r="I5" s="97"/>
      <c r="J5" s="97"/>
      <c r="K5" s="97"/>
      <c r="L5" s="97"/>
    </row>
    <row r="6" spans="1:12">
      <c r="A6" s="518" t="s">
        <v>312</v>
      </c>
      <c r="B6" s="518"/>
      <c r="C6" s="522">
        <f>CustName</f>
        <v>0</v>
      </c>
      <c r="D6" s="522"/>
      <c r="E6" s="522"/>
      <c r="F6" s="132" t="s">
        <v>311</v>
      </c>
      <c r="G6" s="331">
        <f>Contract!K10</f>
        <v>0</v>
      </c>
      <c r="H6" s="132" t="s">
        <v>310</v>
      </c>
      <c r="I6" s="521">
        <f>WorkPhone</f>
        <v>0</v>
      </c>
      <c r="J6" s="521"/>
      <c r="K6" s="132"/>
      <c r="L6" s="132"/>
    </row>
    <row r="7" spans="1:12">
      <c r="A7" s="329" t="s">
        <v>5</v>
      </c>
      <c r="B7" s="522">
        <f>Contract!F10</f>
        <v>0</v>
      </c>
      <c r="C7" s="522"/>
      <c r="D7" s="522"/>
      <c r="E7" s="329" t="s">
        <v>7</v>
      </c>
      <c r="F7" s="328">
        <f>Contract!F11</f>
        <v>0</v>
      </c>
      <c r="G7" s="329" t="s">
        <v>8</v>
      </c>
      <c r="H7" s="328" t="str">
        <f>Contract!H11</f>
        <v>LA</v>
      </c>
      <c r="I7" s="329" t="s">
        <v>309</v>
      </c>
      <c r="J7" s="331">
        <f>Contract!L11</f>
        <v>0</v>
      </c>
      <c r="K7" s="132"/>
      <c r="L7" s="132"/>
    </row>
    <row r="8" spans="1:12">
      <c r="A8" s="518" t="s">
        <v>308</v>
      </c>
      <c r="B8" s="518"/>
      <c r="C8" s="327">
        <f>NumWins</f>
        <v>0</v>
      </c>
      <c r="D8" s="132"/>
      <c r="E8" s="132"/>
      <c r="F8" s="132"/>
      <c r="G8" s="132"/>
      <c r="H8" s="132"/>
      <c r="I8" s="132"/>
      <c r="J8" s="132"/>
      <c r="K8" s="132"/>
      <c r="L8" s="132"/>
    </row>
    <row r="9" spans="1:12">
      <c r="A9" s="519" t="s">
        <v>307</v>
      </c>
      <c r="B9" s="519"/>
      <c r="C9" s="519"/>
      <c r="D9" s="519"/>
      <c r="E9" s="519"/>
      <c r="F9" s="519"/>
      <c r="G9" s="519"/>
      <c r="H9" s="519"/>
      <c r="I9" s="519"/>
      <c r="J9" s="519"/>
    </row>
    <row r="10" spans="1:12">
      <c r="A10" s="519"/>
      <c r="B10" s="519"/>
      <c r="C10" s="519"/>
      <c r="D10" s="519"/>
      <c r="E10" s="519"/>
      <c r="F10" s="519"/>
      <c r="G10" s="519"/>
      <c r="H10" s="519"/>
      <c r="I10" s="519"/>
      <c r="J10" s="519"/>
    </row>
    <row r="11" spans="1:12">
      <c r="A11" s="519"/>
      <c r="B11" s="519"/>
      <c r="C11" s="519"/>
      <c r="D11" s="519"/>
      <c r="E11" s="519"/>
      <c r="F11" s="519"/>
      <c r="G11" s="519"/>
      <c r="H11" s="519"/>
      <c r="I11" s="519"/>
      <c r="J11" s="519"/>
    </row>
    <row r="12" spans="1:12">
      <c r="A12" s="519"/>
      <c r="B12" s="519"/>
      <c r="C12" s="519"/>
      <c r="D12" s="519"/>
      <c r="E12" s="519"/>
      <c r="F12" s="519"/>
      <c r="G12" s="519"/>
      <c r="H12" s="519"/>
      <c r="I12" s="519"/>
      <c r="J12" s="519"/>
    </row>
    <row r="13" spans="1:12" ht="41.25" customHeight="1" thickBot="1">
      <c r="A13" s="520"/>
      <c r="B13" s="520"/>
      <c r="C13" s="520"/>
      <c r="D13" s="520"/>
      <c r="E13" s="520"/>
      <c r="F13" s="520"/>
      <c r="G13" s="520"/>
      <c r="H13" s="520"/>
      <c r="I13" s="520"/>
      <c r="J13" s="520"/>
    </row>
    <row r="14" spans="1:12" ht="14.4">
      <c r="A14" s="326" t="s">
        <v>306</v>
      </c>
    </row>
    <row r="15" spans="1:12" ht="14.4">
      <c r="A15" s="325" t="s">
        <v>305</v>
      </c>
    </row>
    <row r="16" spans="1:12" ht="14.4">
      <c r="A16" s="325" t="s">
        <v>304</v>
      </c>
    </row>
    <row r="17" spans="1:12" ht="42.75" customHeight="1">
      <c r="A17" s="523" t="s">
        <v>303</v>
      </c>
      <c r="B17" s="523"/>
      <c r="C17" s="523"/>
      <c r="D17" s="523"/>
      <c r="E17" s="523"/>
      <c r="F17" s="523"/>
      <c r="G17" s="523"/>
      <c r="H17" s="523"/>
      <c r="I17" s="523"/>
      <c r="J17" s="523"/>
    </row>
    <row r="18" spans="1:12" ht="14.4">
      <c r="A18" s="325" t="s">
        <v>302</v>
      </c>
    </row>
    <row r="19" spans="1:12" ht="14.4">
      <c r="A19" s="325" t="s">
        <v>320</v>
      </c>
    </row>
    <row r="20" spans="1:12" ht="45" customHeight="1">
      <c r="A20" s="519" t="s">
        <v>322</v>
      </c>
      <c r="B20" s="519"/>
      <c r="C20" s="519"/>
      <c r="D20" s="519"/>
      <c r="E20" s="519"/>
      <c r="F20" s="519"/>
      <c r="G20" s="519"/>
      <c r="H20" s="519"/>
      <c r="I20" s="519"/>
      <c r="J20" s="519"/>
      <c r="K20" s="4"/>
      <c r="L20" s="4"/>
    </row>
    <row r="21" spans="1:12" ht="18">
      <c r="A21" s="524" t="s">
        <v>301</v>
      </c>
      <c r="B21" s="525"/>
      <c r="C21" s="525"/>
      <c r="D21" s="525"/>
      <c r="E21" s="525"/>
      <c r="F21" s="525"/>
      <c r="G21" s="525"/>
      <c r="H21" s="525"/>
      <c r="I21" s="525"/>
      <c r="J21" s="525"/>
    </row>
    <row r="22" spans="1:12" ht="14.4">
      <c r="A22" s="526" t="s">
        <v>300</v>
      </c>
      <c r="B22" s="526"/>
      <c r="C22" s="526"/>
      <c r="D22" s="526"/>
      <c r="E22" s="526"/>
      <c r="F22" s="526"/>
      <c r="G22" s="526"/>
      <c r="H22" s="526"/>
      <c r="I22" s="526"/>
      <c r="J22" s="526"/>
    </row>
    <row r="23" spans="1:12" ht="14.4">
      <c r="A23" s="527" t="s">
        <v>324</v>
      </c>
      <c r="B23" s="527"/>
      <c r="C23" s="527"/>
      <c r="D23" s="527"/>
      <c r="E23" s="527"/>
      <c r="F23" s="527"/>
      <c r="G23" s="527"/>
      <c r="H23" s="527"/>
      <c r="I23" s="527"/>
      <c r="J23" s="527"/>
    </row>
    <row r="24" spans="1:12" ht="14.4">
      <c r="A24" s="527" t="s">
        <v>325</v>
      </c>
      <c r="B24" s="527"/>
      <c r="C24" s="527"/>
      <c r="D24" s="527"/>
      <c r="E24" s="527"/>
      <c r="F24" s="527"/>
      <c r="G24" s="527"/>
      <c r="H24" s="527"/>
      <c r="I24" s="527"/>
      <c r="J24" s="527"/>
    </row>
    <row r="25" spans="1:12" ht="14.4">
      <c r="A25" s="528" t="s">
        <v>326</v>
      </c>
      <c r="B25" s="528"/>
      <c r="C25" s="528"/>
      <c r="D25" s="528"/>
      <c r="E25" s="528"/>
      <c r="F25" s="528"/>
      <c r="G25" s="528"/>
      <c r="H25" s="528"/>
      <c r="I25" s="528"/>
      <c r="J25" s="528"/>
    </row>
    <row r="26" spans="1:12" ht="34.5" customHeight="1">
      <c r="A26" s="519" t="s">
        <v>299</v>
      </c>
      <c r="B26" s="519"/>
      <c r="C26" s="519"/>
      <c r="D26" s="519"/>
      <c r="E26" s="519"/>
      <c r="F26" s="519"/>
      <c r="G26" s="519"/>
      <c r="H26" s="519"/>
      <c r="I26" s="519"/>
      <c r="J26" s="519"/>
    </row>
    <row r="27" spans="1:12" ht="31.5" customHeight="1">
      <c r="A27" s="519" t="s">
        <v>298</v>
      </c>
      <c r="B27" s="519"/>
      <c r="C27" s="519"/>
      <c r="D27" s="519"/>
      <c r="E27" s="519"/>
      <c r="F27" s="519"/>
      <c r="G27" s="519"/>
      <c r="H27" s="519"/>
      <c r="I27" s="519"/>
      <c r="J27" s="519"/>
    </row>
    <row r="28" spans="1:12" ht="15" customHeight="1">
      <c r="A28" s="519" t="s">
        <v>297</v>
      </c>
      <c r="B28" s="519"/>
      <c r="C28" s="519"/>
      <c r="D28" s="519"/>
      <c r="E28" s="519"/>
      <c r="F28" s="519"/>
      <c r="G28" s="519"/>
      <c r="H28" s="519"/>
      <c r="I28" s="519"/>
      <c r="J28" s="519"/>
    </row>
    <row r="29" spans="1:12" ht="27.75" customHeight="1">
      <c r="A29" s="519" t="s">
        <v>296</v>
      </c>
      <c r="B29" s="519"/>
      <c r="C29" s="519"/>
      <c r="D29" s="519"/>
      <c r="E29" s="519"/>
      <c r="F29" s="519"/>
      <c r="G29" s="519"/>
      <c r="H29" s="519"/>
      <c r="I29" s="519"/>
      <c r="J29" s="519"/>
    </row>
    <row r="30" spans="1:12" ht="12.75" customHeight="1">
      <c r="A30" s="519" t="s">
        <v>295</v>
      </c>
      <c r="B30" s="519"/>
      <c r="C30" s="519"/>
      <c r="D30" s="519"/>
      <c r="E30" s="519"/>
      <c r="F30" s="519"/>
      <c r="G30" s="519"/>
      <c r="H30" s="519"/>
      <c r="I30" s="519"/>
      <c r="J30" s="519"/>
    </row>
    <row r="31" spans="1:12" ht="13.8" thickBot="1">
      <c r="A31" s="531"/>
      <c r="B31" s="531"/>
      <c r="C31" s="531"/>
      <c r="D31" s="531"/>
      <c r="E31" s="531"/>
      <c r="F31" s="531"/>
      <c r="G31" s="531"/>
      <c r="H31" s="531"/>
      <c r="I31" s="531"/>
      <c r="J31" s="531"/>
    </row>
    <row r="33" spans="1:10" ht="20.25" customHeight="1">
      <c r="A33" t="s">
        <v>294</v>
      </c>
      <c r="B33" s="324"/>
      <c r="C33" s="324" t="s">
        <v>10</v>
      </c>
      <c r="D33" t="s">
        <v>293</v>
      </c>
      <c r="E33" s="324"/>
      <c r="F33" s="324"/>
      <c r="G33" s="529" t="s">
        <v>292</v>
      </c>
      <c r="H33" s="529"/>
      <c r="I33" s="529"/>
      <c r="J33" s="529"/>
    </row>
    <row r="35" spans="1:10">
      <c r="A35" s="3" t="s">
        <v>291</v>
      </c>
      <c r="B35" s="324"/>
      <c r="C35" s="324"/>
      <c r="D35" s="324"/>
      <c r="E35" s="324"/>
      <c r="F35" s="3" t="s">
        <v>290</v>
      </c>
      <c r="G35" s="324"/>
      <c r="H35" s="3" t="s">
        <v>289</v>
      </c>
      <c r="I35" s="324"/>
      <c r="J35" s="324"/>
    </row>
    <row r="36" spans="1:10">
      <c r="A36" s="334"/>
      <c r="B36" s="334"/>
      <c r="C36" s="334"/>
      <c r="D36" s="334"/>
    </row>
    <row r="37" spans="1:10">
      <c r="A37" s="335"/>
      <c r="B37" s="335"/>
      <c r="C37" s="335"/>
      <c r="D37" s="335"/>
      <c r="E37" s="332">
        <f ca="1">TODAY()</f>
        <v>46156</v>
      </c>
      <c r="J37" s="333">
        <f ca="1">TODAY()</f>
        <v>46156</v>
      </c>
    </row>
    <row r="38" spans="1:10" ht="12.75" customHeight="1">
      <c r="A38" s="525" t="s">
        <v>288</v>
      </c>
      <c r="B38" s="525"/>
      <c r="E38" t="s">
        <v>50</v>
      </c>
      <c r="G38" s="530" t="s">
        <v>287</v>
      </c>
      <c r="H38" s="530"/>
      <c r="I38" s="530"/>
      <c r="J38" s="530"/>
    </row>
    <row r="40" spans="1:10">
      <c r="J40" s="57" t="s">
        <v>327</v>
      </c>
    </row>
  </sheetData>
  <mergeCells count="24">
    <mergeCell ref="A24:J24"/>
    <mergeCell ref="A25:J25"/>
    <mergeCell ref="G33:J33"/>
    <mergeCell ref="A38:B38"/>
    <mergeCell ref="G38:J38"/>
    <mergeCell ref="A26:J26"/>
    <mergeCell ref="A27:J27"/>
    <mergeCell ref="A28:J28"/>
    <mergeCell ref="A29:J29"/>
    <mergeCell ref="A30:J30"/>
    <mergeCell ref="A31:J31"/>
    <mergeCell ref="A17:J17"/>
    <mergeCell ref="A20:J20"/>
    <mergeCell ref="A21:J21"/>
    <mergeCell ref="A22:J22"/>
    <mergeCell ref="A23:J23"/>
    <mergeCell ref="A1:J3"/>
    <mergeCell ref="A4:J4"/>
    <mergeCell ref="A6:B6"/>
    <mergeCell ref="A8:B8"/>
    <mergeCell ref="A9:J13"/>
    <mergeCell ref="I6:J6"/>
    <mergeCell ref="B7:D7"/>
    <mergeCell ref="C6:E6"/>
  </mergeCells>
  <pageMargins left="0.25" right="0.25" top="0.75" bottom="0.75" header="0.3" footer="0.3"/>
  <pageSetup orientation="portrait" horizontalDpi="300" verticalDpi="300" r:id="rId1"/>
  <ignoredErrors>
    <ignoredError sqref="C8 C6 G6 B7 F7 H7 J7" unlockedFormula="1"/>
  </ignoredError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35"/>
  <sheetViews>
    <sheetView showGridLines="0" zoomScaleNormal="100" workbookViewId="0">
      <selection activeCell="N19" sqref="N19"/>
    </sheetView>
  </sheetViews>
  <sheetFormatPr defaultRowHeight="13.2"/>
  <sheetData>
    <row r="1" spans="1:10" ht="12.75" customHeight="1">
      <c r="B1" s="532" t="s">
        <v>339</v>
      </c>
      <c r="C1" s="532"/>
      <c r="D1" s="532"/>
      <c r="E1" s="532"/>
      <c r="F1" s="532"/>
      <c r="G1" s="532"/>
      <c r="H1" s="532"/>
      <c r="I1" s="532"/>
      <c r="J1" s="353"/>
    </row>
    <row r="2" spans="1:10" ht="12.75" customHeight="1">
      <c r="B2" s="532"/>
      <c r="C2" s="532"/>
      <c r="D2" s="532"/>
      <c r="E2" s="532"/>
      <c r="F2" s="532"/>
      <c r="G2" s="532"/>
      <c r="H2" s="532"/>
      <c r="I2" s="532"/>
      <c r="J2" s="353"/>
    </row>
    <row r="3" spans="1:10" ht="12.75" customHeight="1">
      <c r="B3" s="532"/>
      <c r="C3" s="532"/>
      <c r="D3" s="532"/>
      <c r="E3" s="532"/>
      <c r="F3" s="532"/>
      <c r="G3" s="532"/>
      <c r="H3" s="532"/>
      <c r="I3" s="532"/>
      <c r="J3" s="353"/>
    </row>
    <row r="4" spans="1:10" ht="18" thickBot="1">
      <c r="A4" s="354"/>
      <c r="B4" s="533" t="s">
        <v>340</v>
      </c>
      <c r="C4" s="533"/>
      <c r="D4" s="533"/>
      <c r="E4" s="533"/>
      <c r="F4" s="533"/>
      <c r="G4" s="533"/>
      <c r="H4" s="533"/>
      <c r="I4" s="533"/>
    </row>
    <row r="5" spans="1:10" ht="22.8">
      <c r="A5" s="534" t="s">
        <v>341</v>
      </c>
      <c r="B5" s="535"/>
      <c r="C5" s="535"/>
      <c r="D5" s="355"/>
      <c r="E5" s="536" t="s">
        <v>342</v>
      </c>
      <c r="F5" s="536"/>
      <c r="G5" s="536"/>
      <c r="H5" s="536"/>
      <c r="I5" s="355"/>
      <c r="J5" s="151"/>
    </row>
    <row r="6" spans="1:10" ht="22.8">
      <c r="A6" s="81"/>
      <c r="B6" s="356"/>
      <c r="C6" s="356"/>
      <c r="D6" s="356"/>
      <c r="E6" s="356"/>
      <c r="F6" s="356"/>
      <c r="G6" s="356"/>
      <c r="H6" s="356"/>
      <c r="I6" s="356"/>
      <c r="J6" s="80"/>
    </row>
    <row r="7" spans="1:10" ht="13.8" thickBot="1">
      <c r="A7" s="81"/>
      <c r="J7" s="80"/>
    </row>
    <row r="8" spans="1:10" ht="13.2" customHeight="1" thickTop="1">
      <c r="A8" s="357"/>
      <c r="B8" s="537">
        <f>ROUNDUP(JobAmount/15,0)</f>
        <v>10</v>
      </c>
      <c r="C8" s="538"/>
      <c r="D8" s="541" t="s">
        <v>350</v>
      </c>
      <c r="E8" s="541"/>
      <c r="F8" s="541"/>
      <c r="G8" s="541"/>
      <c r="H8" s="541"/>
      <c r="I8" s="541"/>
      <c r="J8" s="80"/>
    </row>
    <row r="9" spans="1:10" ht="13.2" customHeight="1" thickBot="1">
      <c r="A9" s="357"/>
      <c r="B9" s="539"/>
      <c r="C9" s="540"/>
      <c r="D9" s="541"/>
      <c r="E9" s="541"/>
      <c r="F9" s="541"/>
      <c r="G9" s="541"/>
      <c r="H9" s="541"/>
      <c r="I9" s="541"/>
      <c r="J9" s="80"/>
    </row>
    <row r="10" spans="1:10" ht="18" customHeight="1" thickTop="1">
      <c r="A10" s="81"/>
      <c r="B10" s="358"/>
      <c r="C10" s="358"/>
      <c r="D10" s="541"/>
      <c r="E10" s="541"/>
      <c r="F10" s="541"/>
      <c r="G10" s="541"/>
      <c r="H10" s="541"/>
      <c r="I10" s="541"/>
      <c r="J10" s="80"/>
    </row>
    <row r="11" spans="1:10" ht="13.8" thickBot="1">
      <c r="A11" s="81"/>
      <c r="J11" s="80"/>
    </row>
    <row r="12" spans="1:10" ht="13.2" customHeight="1" thickTop="1">
      <c r="A12" s="81"/>
      <c r="B12" s="543">
        <f>ROUNDUP(JobAmount/18,0)</f>
        <v>9</v>
      </c>
      <c r="C12" s="538"/>
      <c r="D12" s="541" t="s">
        <v>370</v>
      </c>
      <c r="E12" s="541"/>
      <c r="F12" s="541"/>
      <c r="G12" s="541"/>
      <c r="H12" s="541"/>
      <c r="I12" s="541"/>
      <c r="J12" s="80"/>
    </row>
    <row r="13" spans="1:10" ht="13.2" customHeight="1" thickBot="1">
      <c r="A13" s="81"/>
      <c r="B13" s="544"/>
      <c r="C13" s="545"/>
      <c r="D13" s="541"/>
      <c r="E13" s="541"/>
      <c r="F13" s="541"/>
      <c r="G13" s="541"/>
      <c r="H13" s="541"/>
      <c r="I13" s="541"/>
      <c r="J13" s="80"/>
    </row>
    <row r="14" spans="1:10" ht="18" thickTop="1">
      <c r="A14" s="81"/>
      <c r="B14" s="1"/>
      <c r="C14" s="1"/>
      <c r="D14" s="359"/>
      <c r="E14" s="359"/>
      <c r="F14" s="359"/>
      <c r="G14" s="359"/>
      <c r="H14" s="359"/>
      <c r="I14" s="359"/>
      <c r="J14" s="80"/>
    </row>
    <row r="15" spans="1:10" ht="13.8" thickBot="1">
      <c r="A15" s="81"/>
      <c r="D15" s="1"/>
      <c r="E15" s="1"/>
      <c r="F15" s="1"/>
      <c r="G15" s="1"/>
      <c r="H15" s="1"/>
      <c r="I15" s="1"/>
      <c r="J15" s="80"/>
    </row>
    <row r="16" spans="1:10" ht="12.75" customHeight="1" thickTop="1">
      <c r="A16" s="81"/>
      <c r="B16" s="543">
        <f>ROUNDUP((JobAmount*0.020406),0)</f>
        <v>4</v>
      </c>
      <c r="C16" s="538"/>
      <c r="D16" s="546" t="s">
        <v>343</v>
      </c>
      <c r="E16" s="546"/>
      <c r="F16" s="546"/>
      <c r="G16" s="546"/>
      <c r="H16" s="546"/>
      <c r="I16" s="546"/>
      <c r="J16" s="80"/>
    </row>
    <row r="17" spans="1:10" ht="12.75" customHeight="1" thickBot="1">
      <c r="A17" s="81"/>
      <c r="B17" s="544"/>
      <c r="C17" s="545"/>
      <c r="D17" s="546"/>
      <c r="E17" s="546"/>
      <c r="F17" s="546"/>
      <c r="G17" s="546"/>
      <c r="H17" s="546"/>
      <c r="I17" s="546"/>
      <c r="J17" s="80"/>
    </row>
    <row r="18" spans="1:10" ht="14.4" thickTop="1" thickBot="1">
      <c r="A18" s="81"/>
      <c r="B18" s="360"/>
      <c r="C18" s="360"/>
      <c r="J18" s="80"/>
    </row>
    <row r="19" spans="1:10" ht="13.8" thickTop="1">
      <c r="A19" s="81"/>
      <c r="B19" s="543">
        <f>ROUNDUP(IF(JobAmount&gt;9999.99,(JobAmount*0.013252),0),0)</f>
        <v>0</v>
      </c>
      <c r="C19" s="538"/>
      <c r="D19" s="541" t="s">
        <v>344</v>
      </c>
      <c r="E19" s="541"/>
      <c r="F19" s="541"/>
      <c r="G19" s="541"/>
      <c r="H19" s="541"/>
      <c r="I19" s="541"/>
      <c r="J19" s="80"/>
    </row>
    <row r="20" spans="1:10" ht="13.8" thickBot="1">
      <c r="A20" s="81"/>
      <c r="B20" s="544"/>
      <c r="C20" s="545"/>
      <c r="D20" s="541"/>
      <c r="E20" s="541"/>
      <c r="F20" s="541"/>
      <c r="G20" s="541"/>
      <c r="H20" s="541"/>
      <c r="I20" s="541"/>
      <c r="J20" s="80"/>
    </row>
    <row r="21" spans="1:10" ht="13.8" thickTop="1">
      <c r="A21" s="81"/>
      <c r="D21" s="541"/>
      <c r="E21" s="541"/>
      <c r="F21" s="541"/>
      <c r="G21" s="541"/>
      <c r="H21" s="541"/>
      <c r="I21" s="541"/>
      <c r="J21" s="80"/>
    </row>
    <row r="22" spans="1:10">
      <c r="A22" s="81"/>
      <c r="J22" s="80"/>
    </row>
    <row r="23" spans="1:10" ht="17.399999999999999">
      <c r="A23" s="81"/>
      <c r="B23" s="542" t="s">
        <v>345</v>
      </c>
      <c r="C23" s="542"/>
      <c r="D23" s="542"/>
      <c r="E23" s="542"/>
      <c r="F23" s="542"/>
      <c r="G23" s="542"/>
      <c r="H23" s="542"/>
      <c r="I23" s="542"/>
      <c r="J23" s="80"/>
    </row>
    <row r="24" spans="1:10">
      <c r="A24" s="81"/>
      <c r="J24" s="80"/>
    </row>
    <row r="25" spans="1:10">
      <c r="A25" s="81"/>
      <c r="J25" s="80"/>
    </row>
    <row r="26" spans="1:10">
      <c r="A26" s="81"/>
      <c r="J26" s="80"/>
    </row>
    <row r="27" spans="1:10">
      <c r="A27" s="81"/>
      <c r="J27" s="80"/>
    </row>
    <row r="28" spans="1:10">
      <c r="A28" s="81"/>
      <c r="J28" s="80"/>
    </row>
    <row r="29" spans="1:10">
      <c r="A29" s="81"/>
      <c r="J29" s="80"/>
    </row>
    <row r="30" spans="1:10">
      <c r="A30" s="81"/>
      <c r="J30" s="80"/>
    </row>
    <row r="31" spans="1:10">
      <c r="A31" s="81"/>
      <c r="J31" s="80"/>
    </row>
    <row r="32" spans="1:10">
      <c r="A32" s="81"/>
      <c r="J32" s="80"/>
    </row>
    <row r="33" spans="1:10">
      <c r="A33" s="81"/>
      <c r="J33" s="80"/>
    </row>
    <row r="34" spans="1:10">
      <c r="A34" s="81"/>
      <c r="J34" s="80"/>
    </row>
    <row r="35" spans="1:10" ht="13.8" thickBot="1">
      <c r="A35" s="82"/>
      <c r="B35" s="79"/>
      <c r="C35" s="79"/>
      <c r="D35" s="79"/>
      <c r="E35" s="79"/>
      <c r="F35" s="79"/>
      <c r="G35" s="79"/>
      <c r="H35" s="79"/>
      <c r="I35" s="79"/>
      <c r="J35" s="189"/>
    </row>
  </sheetData>
  <mergeCells count="13">
    <mergeCell ref="B23:I23"/>
    <mergeCell ref="B12:C13"/>
    <mergeCell ref="D12:I13"/>
    <mergeCell ref="B16:C17"/>
    <mergeCell ref="D16:I17"/>
    <mergeCell ref="B19:C20"/>
    <mergeCell ref="D19:I21"/>
    <mergeCell ref="B1:I3"/>
    <mergeCell ref="B4:I4"/>
    <mergeCell ref="A5:C5"/>
    <mergeCell ref="E5:H5"/>
    <mergeCell ref="B8:C9"/>
    <mergeCell ref="D8:I10"/>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showGridLines="0" view="pageBreakPreview" zoomScaleNormal="100" zoomScaleSheetLayoutView="100" workbookViewId="0">
      <selection activeCell="P24" sqref="P24"/>
    </sheetView>
  </sheetViews>
  <sheetFormatPr defaultRowHeight="13.2"/>
  <sheetData/>
  <pageMargins left="0.7" right="0.7" top="0.75" bottom="0.75" header="0.3" footer="0.3"/>
  <pageSetup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showGridLines="0" view="pageBreakPreview" zoomScaleNormal="100" zoomScaleSheetLayoutView="100" workbookViewId="0">
      <selection activeCell="B6" sqref="B6"/>
    </sheetView>
  </sheetViews>
  <sheetFormatPr defaultRowHeight="13.2"/>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223</vt:i4>
      </vt:variant>
    </vt:vector>
  </HeadingPairs>
  <TitlesOfParts>
    <vt:vector size="230" baseType="lpstr">
      <vt:lpstr>Contract</vt:lpstr>
      <vt:lpstr>Warranty</vt:lpstr>
      <vt:lpstr>Order Form</vt:lpstr>
      <vt:lpstr>Maintenance Agreement </vt:lpstr>
      <vt:lpstr>Finance Options</vt:lpstr>
      <vt:lpstr>Contractors License</vt:lpstr>
      <vt:lpstr>COI</vt:lpstr>
      <vt:lpstr>_2Excel_BuiltIn_Print_Area_1</vt:lpstr>
      <vt:lpstr>'Order Form'!_3Excel_BuiltIn_Print_Area_3</vt:lpstr>
      <vt:lpstr>Address</vt:lpstr>
      <vt:lpstr>AdministrativeFee</vt:lpstr>
      <vt:lpstr>'Order Form'!AlumStuccoRemovalRange</vt:lpstr>
      <vt:lpstr>AmtFinanced</vt:lpstr>
      <vt:lpstr>ArgonGasQty</vt:lpstr>
      <vt:lpstr>BalanceToCollect</vt:lpstr>
      <vt:lpstr>BayWindowQty</vt:lpstr>
      <vt:lpstr>'Order Form'!BeigeColor</vt:lpstr>
      <vt:lpstr>BeigeColorQty</vt:lpstr>
      <vt:lpstr>'Order Form'!CapTrim</vt:lpstr>
      <vt:lpstr>'Order Form'!CasementAwning1</vt:lpstr>
      <vt:lpstr>'Order Form'!CasementAwning2</vt:lpstr>
      <vt:lpstr>'Order Form'!CasementAwning3</vt:lpstr>
      <vt:lpstr>'Order Form'!CasementAwningAll</vt:lpstr>
      <vt:lpstr>CasementAwningQty</vt:lpstr>
      <vt:lpstr>CellPhone</vt:lpstr>
      <vt:lpstr>City</vt:lpstr>
      <vt:lpstr>ColonialContouredGridsQty</vt:lpstr>
      <vt:lpstr>'Order Form'!ColorRange</vt:lpstr>
      <vt:lpstr>CustId</vt:lpstr>
      <vt:lpstr>CustName</vt:lpstr>
      <vt:lpstr>CustomJambQty</vt:lpstr>
      <vt:lpstr>'Order Form'!CustomTrim</vt:lpstr>
      <vt:lpstr>CustomTrimQty</vt:lpstr>
      <vt:lpstr>'Order Form'!DoorGridRange</vt:lpstr>
      <vt:lpstr>'Order Form'!DoorLe</vt:lpstr>
      <vt:lpstr>'Order Form'!DoorLee</vt:lpstr>
      <vt:lpstr>'Order Form'!DoorLeeRange</vt:lpstr>
      <vt:lpstr>'Order Form'!DoorLeRange</vt:lpstr>
      <vt:lpstr>DoubleHung4000Price</vt:lpstr>
      <vt:lpstr>DoubleHung4000Qty</vt:lpstr>
      <vt:lpstr>DoubleHung6000Price</vt:lpstr>
      <vt:lpstr>DoubleHung6000Qty</vt:lpstr>
      <vt:lpstr>DoubleLocksQty</vt:lpstr>
      <vt:lpstr>EmailAddress</vt:lpstr>
      <vt:lpstr>EnergyStarQty</vt:lpstr>
      <vt:lpstr>EnergyStarTGQty</vt:lpstr>
      <vt:lpstr>EnergyStarTKQty</vt:lpstr>
      <vt:lpstr>ESQty</vt:lpstr>
      <vt:lpstr>ESVPArgonQty</vt:lpstr>
      <vt:lpstr>ESVPQty</vt:lpstr>
      <vt:lpstr>ExteriorCappingQty</vt:lpstr>
      <vt:lpstr>ExternalColorQty</vt:lpstr>
      <vt:lpstr>'Order Form'!FinishAndTrim</vt:lpstr>
      <vt:lpstr>FoamInsulationWrapQty</vt:lpstr>
      <vt:lpstr>'Order Form'!FullScreen</vt:lpstr>
      <vt:lpstr>FullScreenPrice</vt:lpstr>
      <vt:lpstr>FullScreenQty</vt:lpstr>
      <vt:lpstr>'Order Form'!FullScreenRange</vt:lpstr>
      <vt:lpstr>'Order Form'!GlassOptionLe</vt:lpstr>
      <vt:lpstr>'Order Form'!GlassOptionLee</vt:lpstr>
      <vt:lpstr>'Order Form'!GlassOptionRange</vt:lpstr>
      <vt:lpstr>'Order Form'!GridsDoor</vt:lpstr>
      <vt:lpstr>GridsPatioDoorQty</vt:lpstr>
      <vt:lpstr>'Order Form'!GridStyleRange</vt:lpstr>
      <vt:lpstr>'Order Form'!GridsWindow</vt:lpstr>
      <vt:lpstr>HalfScreenQty</vt:lpstr>
      <vt:lpstr>HomePhone</vt:lpstr>
      <vt:lpstr>InstallExtCappingPrice</vt:lpstr>
      <vt:lpstr>JobAmount</vt:lpstr>
      <vt:lpstr>LifetimeGlassWarrantyQty</vt:lpstr>
      <vt:lpstr>MiscLabor1Desc</vt:lpstr>
      <vt:lpstr>MiscLabor1Price</vt:lpstr>
      <vt:lpstr>MiscLabor1Qty</vt:lpstr>
      <vt:lpstr>MiscLabor3Desc</vt:lpstr>
      <vt:lpstr>MiscLabor3Price</vt:lpstr>
      <vt:lpstr>MiscLabor3Qty</vt:lpstr>
      <vt:lpstr>MiscPatioDoorDesc</vt:lpstr>
      <vt:lpstr>MiscPatioDoorPrice</vt:lpstr>
      <vt:lpstr>MiscPatioDoorQty</vt:lpstr>
      <vt:lpstr>'Order Form'!Model0201</vt:lpstr>
      <vt:lpstr>'Order Form'!Model0202</vt:lpstr>
      <vt:lpstr>'Order Form'!Model0203</vt:lpstr>
      <vt:lpstr>'Order Form'!Model0204</vt:lpstr>
      <vt:lpstr>'Order Form'!Model0209</vt:lpstr>
      <vt:lpstr>'Order Form'!Model0401</vt:lpstr>
      <vt:lpstr>'Order Form'!Model0402</vt:lpstr>
      <vt:lpstr>'Order Form'!Model0403</vt:lpstr>
      <vt:lpstr>'Order Form'!Model0404</vt:lpstr>
      <vt:lpstr>'Order Form'!Model0409</vt:lpstr>
      <vt:lpstr>'Order Form'!Model0501</vt:lpstr>
      <vt:lpstr>'Order Form'!Model0502</vt:lpstr>
      <vt:lpstr>'Order Form'!Model0503</vt:lpstr>
      <vt:lpstr>'Order Form'!Model0504</vt:lpstr>
      <vt:lpstr>'Order Form'!Model0509</vt:lpstr>
      <vt:lpstr>'Order Form'!Model0522</vt:lpstr>
      <vt:lpstr>'Order Form'!Model0523</vt:lpstr>
      <vt:lpstr>'Order Form'!Model0529</vt:lpstr>
      <vt:lpstr>'Order Form'!Model0601</vt:lpstr>
      <vt:lpstr>'Order Form'!Model0602</vt:lpstr>
      <vt:lpstr>'Order Form'!Model0603</vt:lpstr>
      <vt:lpstr>'Order Form'!Model0609</vt:lpstr>
      <vt:lpstr>'Order Form'!Model0614</vt:lpstr>
      <vt:lpstr>'Order Form'!Model0901</vt:lpstr>
      <vt:lpstr>'Order Form'!Model0902</vt:lpstr>
      <vt:lpstr>'Order Form'!Model0903</vt:lpstr>
      <vt:lpstr>'Order Form'!Model0909</vt:lpstr>
      <vt:lpstr>'Order Form'!Model0914</vt:lpstr>
      <vt:lpstr>'Order Form'!Model0951</vt:lpstr>
      <vt:lpstr>'Order Form'!Model0952</vt:lpstr>
      <vt:lpstr>'Order Form'!Model0954</vt:lpstr>
      <vt:lpstr>'Order Form'!Model0955</vt:lpstr>
      <vt:lpstr>'Order Form'!Model0970</vt:lpstr>
      <vt:lpstr>'Order Form'!Model0971</vt:lpstr>
      <vt:lpstr>'Order Form'!Model0972</vt:lpstr>
      <vt:lpstr>'Order Form'!Model0973</vt:lpstr>
      <vt:lpstr>'Order Form'!Model0979</vt:lpstr>
      <vt:lpstr>'Order Form'!Model6105</vt:lpstr>
      <vt:lpstr>'Order Form'!Model6106</vt:lpstr>
      <vt:lpstr>'Order Form'!Model6108</vt:lpstr>
      <vt:lpstr>'Order Form'!Model6109</vt:lpstr>
      <vt:lpstr>'Order Form'!Model6112</vt:lpstr>
      <vt:lpstr>'Order Form'!Model6122</vt:lpstr>
      <vt:lpstr>'Order Form'!ModelRange</vt:lpstr>
      <vt:lpstr>'Order Form'!ModelS105</vt:lpstr>
      <vt:lpstr>'Order Form'!ModelS110</vt:lpstr>
      <vt:lpstr>'Order Form'!ModelS111</vt:lpstr>
      <vt:lpstr>'Order Form'!ModelS112</vt:lpstr>
      <vt:lpstr>'Order Form'!ModelS113</vt:lpstr>
      <vt:lpstr>'Order Form'!ModelS114</vt:lpstr>
      <vt:lpstr>'Order Form'!ModelS115</vt:lpstr>
      <vt:lpstr>'Order Form'!ModelS116</vt:lpstr>
      <vt:lpstr>'Order Form'!ModelS117</vt:lpstr>
      <vt:lpstr>'Order Form'!ModelS118</vt:lpstr>
      <vt:lpstr>'Order Form'!ModelS119</vt:lpstr>
      <vt:lpstr>'Order Form'!ModelS120</vt:lpstr>
      <vt:lpstr>'Order Form'!ModelS121</vt:lpstr>
      <vt:lpstr>'Order Form'!ModelS122</vt:lpstr>
      <vt:lpstr>'Order Form'!ModelS123</vt:lpstr>
      <vt:lpstr>'Order Form'!ModelS124</vt:lpstr>
      <vt:lpstr>'Order Form'!ModelS125</vt:lpstr>
      <vt:lpstr>'Order Form'!ModelS126</vt:lpstr>
      <vt:lpstr>'Order Form'!ModelS127</vt:lpstr>
      <vt:lpstr>'Order Form'!ModelS128</vt:lpstr>
      <vt:lpstr>'Order Form'!ModelS129</vt:lpstr>
      <vt:lpstr>'Order Form'!ModelS130</vt:lpstr>
      <vt:lpstr>'Order Form'!ModelS131</vt:lpstr>
      <vt:lpstr>'Order Form'!ModelS132</vt:lpstr>
      <vt:lpstr>'Order Form'!ModelS133</vt:lpstr>
      <vt:lpstr>'Order Form'!ModelS140</vt:lpstr>
      <vt:lpstr>'Order Form'!ModelS144</vt:lpstr>
      <vt:lpstr>'Order Form'!ModelS146</vt:lpstr>
      <vt:lpstr>'Order Form'!Mullion</vt:lpstr>
      <vt:lpstr>MullionQty</vt:lpstr>
      <vt:lpstr>'Order Form'!MullTypeRange</vt:lpstr>
      <vt:lpstr>NumWins</vt:lpstr>
      <vt:lpstr>'Order Form'!NumWinsRange</vt:lpstr>
      <vt:lpstr>'Order Form'!ObscureBottomRange</vt:lpstr>
      <vt:lpstr>'Order Form'!ObscureFullRange</vt:lpstr>
      <vt:lpstr>'Order Form'!ObscureGlass</vt:lpstr>
      <vt:lpstr>ObscureGlassQty</vt:lpstr>
      <vt:lpstr>Option1Desc</vt:lpstr>
      <vt:lpstr>Option1Price</vt:lpstr>
      <vt:lpstr>Option1Qty</vt:lpstr>
      <vt:lpstr>Option2Desc</vt:lpstr>
      <vt:lpstr>Option2Price</vt:lpstr>
      <vt:lpstr>Option2Qty</vt:lpstr>
      <vt:lpstr>'Order Form'!Oriel</vt:lpstr>
      <vt:lpstr>OrielCottageQty</vt:lpstr>
      <vt:lpstr>'Order Form'!OrielDimRange</vt:lpstr>
      <vt:lpstr>PatioDoor06Qty</vt:lpstr>
      <vt:lpstr>PatioDoor08Qty</vt:lpstr>
      <vt:lpstr>PatioDoor09Qty</vt:lpstr>
      <vt:lpstr>PatioDoor12Qty</vt:lpstr>
      <vt:lpstr>'Order Form'!PictureWindow</vt:lpstr>
      <vt:lpstr>PictureWindowPrice</vt:lpstr>
      <vt:lpstr>PictureWindowQty</vt:lpstr>
      <vt:lpstr>Contract!Print_Area</vt:lpstr>
      <vt:lpstr>'Order Form'!Print_Area</vt:lpstr>
      <vt:lpstr>'Order Form'!RegularMull</vt:lpstr>
      <vt:lpstr>'Order Form'!RemovalTypeRange</vt:lpstr>
      <vt:lpstr>'Order Form'!RemoveAlum</vt:lpstr>
      <vt:lpstr>'Order Form'!RemoveAlumStucco</vt:lpstr>
      <vt:lpstr>RemoveAlumStuccoQty</vt:lpstr>
      <vt:lpstr>RemoveAlumWindowQty</vt:lpstr>
      <vt:lpstr>'Order Form'!RemoveSteel</vt:lpstr>
      <vt:lpstr>'Order Form'!RemoveSteelStucco</vt:lpstr>
      <vt:lpstr>RemoveSteelStuccoQty</vt:lpstr>
      <vt:lpstr>RemoveSteelWindowQty</vt:lpstr>
      <vt:lpstr>'Order Form'!RemoveStorm</vt:lpstr>
      <vt:lpstr>RepairSillQty</vt:lpstr>
      <vt:lpstr>'Order Form'!ScreenTypeFull</vt:lpstr>
      <vt:lpstr>SecondStoryQty</vt:lpstr>
      <vt:lpstr>Series6000UpchargeQty</vt:lpstr>
      <vt:lpstr>'Order Form'!Series6000Upsell</vt:lpstr>
      <vt:lpstr>ShuttersQty</vt:lpstr>
      <vt:lpstr>SolarZoneLeDoorQty</vt:lpstr>
      <vt:lpstr>SolarZoneLeeDoorQty</vt:lpstr>
      <vt:lpstr>SolarZoneLeeQty</vt:lpstr>
      <vt:lpstr>SolarZoneLeQty</vt:lpstr>
      <vt:lpstr>'Order Form'!SpecialShapeOperatingSash</vt:lpstr>
      <vt:lpstr>SpecialtyWindow1Desc</vt:lpstr>
      <vt:lpstr>SpecialtyWindow1Price</vt:lpstr>
      <vt:lpstr>SpecialtyWindow1Qty</vt:lpstr>
      <vt:lpstr>SpecialtyWindowQty1</vt:lpstr>
      <vt:lpstr>State</vt:lpstr>
      <vt:lpstr>'Order Form'!SteelStuccoRemovalRange</vt:lpstr>
      <vt:lpstr>StructuralMullQty</vt:lpstr>
      <vt:lpstr>TemperedGlassQty</vt:lpstr>
      <vt:lpstr>TG2EnergyStarQty</vt:lpstr>
      <vt:lpstr>'Order Form'!ThreeLiteSlider</vt:lpstr>
      <vt:lpstr>ThreeLiteSliderPrice</vt:lpstr>
      <vt:lpstr>ThreeLiteSliderQty</vt:lpstr>
      <vt:lpstr>'Order Form'!TrimRange</vt:lpstr>
      <vt:lpstr>'Order Form'!TwoLiteSlider</vt:lpstr>
      <vt:lpstr>TwoLiteSliderPrice</vt:lpstr>
      <vt:lpstr>TwoLiteSliderQty</vt:lpstr>
      <vt:lpstr>ValuePlusQty</vt:lpstr>
      <vt:lpstr>'Order Form'!VinylTrim</vt:lpstr>
      <vt:lpstr>'Order Form'!WindowGrid</vt:lpstr>
      <vt:lpstr>'Order Form'!WindowGridRange</vt:lpstr>
      <vt:lpstr>'Order Form'!WindowLe</vt:lpstr>
      <vt:lpstr>'Order Form'!WindowLee</vt:lpstr>
      <vt:lpstr>'Order Form'!WindowLeeRange</vt:lpstr>
      <vt:lpstr>'Order Form'!WindowLeRange</vt:lpstr>
      <vt:lpstr>'Order Form'!WoodGrain</vt:lpstr>
      <vt:lpstr>WoodGrainQty</vt:lpstr>
      <vt:lpstr>'Order Form'!WoodgrainRange</vt:lpstr>
      <vt:lpstr>WorkPhone</vt:lpstr>
      <vt:lpstr>YearBuilt</vt:lpstr>
      <vt:lpstr>Zip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Heath Manuel</dc:creator>
  <cp:lastModifiedBy>Ned Pearson</cp:lastModifiedBy>
  <cp:lastPrinted>2022-08-11T15:07:07Z</cp:lastPrinted>
  <dcterms:created xsi:type="dcterms:W3CDTF">2011-12-02T22:06:19Z</dcterms:created>
  <dcterms:modified xsi:type="dcterms:W3CDTF">2026-05-14T20:46:54Z</dcterms:modified>
</cp:coreProperties>
</file>