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treachne_staff_vuw_ac_nz/Documents/MyHDocs/ORs/surface-morphology-comparison/"/>
    </mc:Choice>
  </mc:AlternateContent>
  <xr:revisionPtr revIDLastSave="421" documentId="8_{E08AA013-0D3C-449F-BA0B-9E814905CE6B}" xr6:coauthVersionLast="47" xr6:coauthVersionMax="47" xr10:uidLastSave="{58C67A36-5924-44F5-B920-8EBAE7630978}"/>
  <bookViews>
    <workbookView xWindow="-1590" yWindow="2265" windowWidth="131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0" i="1" l="1"/>
  <c r="M60" i="1"/>
  <c r="L60" i="1"/>
  <c r="Q36" i="1"/>
  <c r="M36" i="1"/>
  <c r="L36" i="1"/>
  <c r="M3" i="1"/>
  <c r="L3" i="1"/>
  <c r="Q3" i="1"/>
  <c r="F80" i="1"/>
  <c r="H80" i="1" s="1"/>
  <c r="F79" i="1"/>
  <c r="F78" i="1"/>
  <c r="F77" i="1"/>
  <c r="F76" i="1"/>
  <c r="E78" i="1"/>
  <c r="E77" i="1"/>
  <c r="E80" i="1"/>
  <c r="E79" i="1"/>
  <c r="E76" i="1"/>
  <c r="D80" i="1"/>
  <c r="D79" i="1"/>
  <c r="D78" i="1"/>
  <c r="D77" i="1"/>
  <c r="D76" i="1"/>
  <c r="C78" i="1"/>
  <c r="C80" i="1"/>
  <c r="C79" i="1"/>
  <c r="C77" i="1"/>
  <c r="C76" i="1"/>
  <c r="B80" i="1"/>
  <c r="B79" i="1"/>
  <c r="B78" i="1"/>
  <c r="G78" i="1" s="1"/>
  <c r="B77" i="1"/>
  <c r="G77" i="1" s="1"/>
  <c r="B76" i="1"/>
  <c r="H76" i="1" s="1"/>
  <c r="F75" i="1"/>
  <c r="F74" i="1"/>
  <c r="F73" i="1"/>
  <c r="F72" i="1"/>
  <c r="F71" i="1"/>
  <c r="E75" i="1"/>
  <c r="E74" i="1"/>
  <c r="E73" i="1"/>
  <c r="E72" i="1"/>
  <c r="E71" i="1"/>
  <c r="D75" i="1"/>
  <c r="D74" i="1"/>
  <c r="D73" i="1"/>
  <c r="D72" i="1"/>
  <c r="D71" i="1"/>
  <c r="C75" i="1"/>
  <c r="C74" i="1"/>
  <c r="C73" i="1"/>
  <c r="C72" i="1"/>
  <c r="C71" i="1"/>
  <c r="H71" i="1" s="1"/>
  <c r="B75" i="1"/>
  <c r="G75" i="1" s="1"/>
  <c r="B74" i="1"/>
  <c r="B73" i="1"/>
  <c r="H73" i="1" s="1"/>
  <c r="B72" i="1"/>
  <c r="H72" i="1" s="1"/>
  <c r="B71" i="1"/>
  <c r="F70" i="1"/>
  <c r="F69" i="1"/>
  <c r="F68" i="1"/>
  <c r="F67" i="1"/>
  <c r="F66" i="1"/>
  <c r="E70" i="1"/>
  <c r="E69" i="1"/>
  <c r="E68" i="1"/>
  <c r="E67" i="1"/>
  <c r="E66" i="1"/>
  <c r="D70" i="1"/>
  <c r="D69" i="1"/>
  <c r="D68" i="1"/>
  <c r="D67" i="1"/>
  <c r="D66" i="1"/>
  <c r="C70" i="1"/>
  <c r="C69" i="1"/>
  <c r="C68" i="1"/>
  <c r="C67" i="1"/>
  <c r="C66" i="1"/>
  <c r="B69" i="1"/>
  <c r="B70" i="1"/>
  <c r="B68" i="1"/>
  <c r="H68" i="1" s="1"/>
  <c r="B67" i="1"/>
  <c r="B66" i="1"/>
  <c r="F65" i="1"/>
  <c r="F64" i="1"/>
  <c r="F63" i="1"/>
  <c r="F62" i="1"/>
  <c r="F61" i="1"/>
  <c r="E65" i="1"/>
  <c r="E64" i="1"/>
  <c r="E63" i="1"/>
  <c r="E62" i="1"/>
  <c r="E61" i="1"/>
  <c r="D65" i="1"/>
  <c r="D64" i="1"/>
  <c r="D63" i="1"/>
  <c r="D62" i="1"/>
  <c r="D61" i="1"/>
  <c r="C65" i="1"/>
  <c r="C64" i="1"/>
  <c r="C63" i="1"/>
  <c r="C62" i="1"/>
  <c r="C61" i="1"/>
  <c r="B65" i="1"/>
  <c r="B64" i="1"/>
  <c r="H64" i="1" s="1"/>
  <c r="B63" i="1"/>
  <c r="B62" i="1"/>
  <c r="B61" i="1"/>
  <c r="F56" i="1"/>
  <c r="F55" i="1"/>
  <c r="F54" i="1"/>
  <c r="F53" i="1"/>
  <c r="F52" i="1"/>
  <c r="E56" i="1"/>
  <c r="E55" i="1"/>
  <c r="E54" i="1"/>
  <c r="E53" i="1"/>
  <c r="E52" i="1"/>
  <c r="D56" i="1"/>
  <c r="D55" i="1"/>
  <c r="D54" i="1"/>
  <c r="D53" i="1"/>
  <c r="D52" i="1"/>
  <c r="C56" i="1"/>
  <c r="C55" i="1"/>
  <c r="C54" i="1"/>
  <c r="C53" i="1"/>
  <c r="C52" i="1"/>
  <c r="B56" i="1"/>
  <c r="B55" i="1"/>
  <c r="B54" i="1"/>
  <c r="B53" i="1"/>
  <c r="B52" i="1"/>
  <c r="F51" i="1"/>
  <c r="F50" i="1"/>
  <c r="F49" i="1"/>
  <c r="F48" i="1"/>
  <c r="F47" i="1"/>
  <c r="E51" i="1"/>
  <c r="E50" i="1"/>
  <c r="E49" i="1"/>
  <c r="E48" i="1"/>
  <c r="E47" i="1"/>
  <c r="D51" i="1"/>
  <c r="D50" i="1"/>
  <c r="D49" i="1"/>
  <c r="D48" i="1"/>
  <c r="D47" i="1"/>
  <c r="C51" i="1"/>
  <c r="C50" i="1"/>
  <c r="C49" i="1"/>
  <c r="C48" i="1"/>
  <c r="C47" i="1"/>
  <c r="B51" i="1"/>
  <c r="B50" i="1"/>
  <c r="B49" i="1"/>
  <c r="B48" i="1"/>
  <c r="B47" i="1"/>
  <c r="F46" i="1"/>
  <c r="F45" i="1"/>
  <c r="F44" i="1"/>
  <c r="F43" i="1"/>
  <c r="F42" i="1"/>
  <c r="E46" i="1"/>
  <c r="E45" i="1"/>
  <c r="E44" i="1"/>
  <c r="E43" i="1"/>
  <c r="E42" i="1"/>
  <c r="D46" i="1"/>
  <c r="D45" i="1"/>
  <c r="D44" i="1"/>
  <c r="D43" i="1"/>
  <c r="D42" i="1"/>
  <c r="C46" i="1"/>
  <c r="C45" i="1"/>
  <c r="C44" i="1"/>
  <c r="C43" i="1"/>
  <c r="C42" i="1"/>
  <c r="B46" i="1"/>
  <c r="B45" i="1"/>
  <c r="B44" i="1"/>
  <c r="B43" i="1"/>
  <c r="B42" i="1"/>
  <c r="F41" i="1"/>
  <c r="F40" i="1"/>
  <c r="F39" i="1"/>
  <c r="F38" i="1"/>
  <c r="F37" i="1"/>
  <c r="E41" i="1"/>
  <c r="E40" i="1"/>
  <c r="E39" i="1"/>
  <c r="E38" i="1"/>
  <c r="E37" i="1"/>
  <c r="D41" i="1"/>
  <c r="D40" i="1"/>
  <c r="D39" i="1"/>
  <c r="D38" i="1"/>
  <c r="D37" i="1"/>
  <c r="C41" i="1"/>
  <c r="C40" i="1"/>
  <c r="C39" i="1"/>
  <c r="C38" i="1"/>
  <c r="C37" i="1"/>
  <c r="B41" i="1"/>
  <c r="B40" i="1"/>
  <c r="B39" i="1"/>
  <c r="B38" i="1"/>
  <c r="B37" i="1"/>
  <c r="F32" i="1"/>
  <c r="F31" i="1"/>
  <c r="F30" i="1"/>
  <c r="F29" i="1"/>
  <c r="F28" i="1"/>
  <c r="E32" i="1"/>
  <c r="E31" i="1"/>
  <c r="E30" i="1"/>
  <c r="E29" i="1"/>
  <c r="E28" i="1"/>
  <c r="D32" i="1"/>
  <c r="D31" i="1"/>
  <c r="D30" i="1"/>
  <c r="D29" i="1"/>
  <c r="D28" i="1"/>
  <c r="C32" i="1"/>
  <c r="C31" i="1"/>
  <c r="C30" i="1"/>
  <c r="C29" i="1"/>
  <c r="C28" i="1"/>
  <c r="B32" i="1"/>
  <c r="B31" i="1"/>
  <c r="B30" i="1"/>
  <c r="B29" i="1"/>
  <c r="B28" i="1"/>
  <c r="F27" i="1"/>
  <c r="F26" i="1"/>
  <c r="F25" i="1"/>
  <c r="F24" i="1"/>
  <c r="F23" i="1"/>
  <c r="E27" i="1"/>
  <c r="E26" i="1"/>
  <c r="E25" i="1"/>
  <c r="E24" i="1"/>
  <c r="E23" i="1"/>
  <c r="D27" i="1"/>
  <c r="D26" i="1"/>
  <c r="D25" i="1"/>
  <c r="D24" i="1"/>
  <c r="D23" i="1"/>
  <c r="C27" i="1"/>
  <c r="C26" i="1"/>
  <c r="C25" i="1"/>
  <c r="C24" i="1"/>
  <c r="C23" i="1"/>
  <c r="B27" i="1"/>
  <c r="B26" i="1"/>
  <c r="B25" i="1"/>
  <c r="B24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H4" i="1" s="1"/>
  <c r="F3" i="1"/>
  <c r="E3" i="1"/>
  <c r="D3" i="1"/>
  <c r="C3" i="1"/>
  <c r="B3" i="1"/>
  <c r="N60" i="1" l="1"/>
  <c r="N36" i="1"/>
  <c r="N3" i="1"/>
  <c r="G52" i="1"/>
  <c r="H22" i="1"/>
  <c r="H10" i="1"/>
  <c r="H49" i="1"/>
  <c r="H53" i="1"/>
  <c r="G55" i="1"/>
  <c r="H46" i="1"/>
  <c r="H50" i="1"/>
  <c r="H54" i="1"/>
  <c r="H45" i="1"/>
  <c r="H70" i="1"/>
  <c r="H74" i="1"/>
  <c r="H79" i="1"/>
  <c r="G74" i="1"/>
  <c r="H69" i="1"/>
  <c r="H62" i="1"/>
  <c r="H66" i="1"/>
  <c r="H63" i="1"/>
  <c r="H67" i="1"/>
  <c r="G69" i="1"/>
  <c r="H51" i="1"/>
  <c r="H55" i="1"/>
  <c r="H40" i="1"/>
  <c r="H56" i="1"/>
  <c r="G38" i="1"/>
  <c r="H38" i="1"/>
  <c r="H39" i="1"/>
  <c r="H37" i="1"/>
  <c r="H42" i="1"/>
  <c r="H43" i="1"/>
  <c r="H47" i="1"/>
  <c r="G49" i="1"/>
  <c r="G41" i="1"/>
  <c r="H41" i="1"/>
  <c r="H44" i="1"/>
  <c r="G46" i="1"/>
  <c r="H48" i="1"/>
  <c r="H52" i="1"/>
  <c r="G51" i="1"/>
  <c r="G54" i="1"/>
  <c r="G42" i="1"/>
  <c r="G50" i="1"/>
  <c r="G53" i="1"/>
  <c r="G37" i="1"/>
  <c r="G45" i="1"/>
  <c r="G48" i="1"/>
  <c r="G56" i="1"/>
  <c r="G40" i="1"/>
  <c r="G44" i="1"/>
  <c r="G47" i="1"/>
  <c r="G39" i="1"/>
  <c r="G43" i="1"/>
  <c r="G62" i="1"/>
  <c r="G65" i="1"/>
  <c r="H61" i="1"/>
  <c r="G76" i="1"/>
  <c r="G66" i="1"/>
  <c r="H78" i="1"/>
  <c r="H65" i="1"/>
  <c r="G72" i="1"/>
  <c r="H77" i="1"/>
  <c r="G64" i="1"/>
  <c r="G71" i="1"/>
  <c r="G68" i="1"/>
  <c r="G63" i="1"/>
  <c r="G70" i="1"/>
  <c r="H75" i="1"/>
  <c r="G67" i="1"/>
  <c r="G79" i="1"/>
  <c r="G61" i="1"/>
  <c r="G73" i="1"/>
  <c r="G80" i="1"/>
  <c r="G19" i="1"/>
  <c r="G27" i="1"/>
  <c r="H26" i="1"/>
  <c r="H23" i="1"/>
  <c r="G25" i="1"/>
  <c r="H20" i="1"/>
  <c r="G29" i="1"/>
  <c r="H8" i="1"/>
  <c r="H24" i="1"/>
  <c r="H32" i="1"/>
  <c r="H30" i="1"/>
  <c r="H29" i="1"/>
  <c r="H31" i="1"/>
  <c r="H25" i="1"/>
  <c r="G31" i="1"/>
  <c r="G23" i="1"/>
  <c r="G24" i="1"/>
  <c r="H28" i="1"/>
  <c r="G26" i="1"/>
  <c r="G30" i="1"/>
  <c r="G3" i="1"/>
  <c r="G32" i="1"/>
  <c r="G7" i="1"/>
  <c r="H27" i="1"/>
  <c r="G28" i="1"/>
  <c r="G14" i="1"/>
  <c r="G21" i="1"/>
  <c r="G15" i="1"/>
  <c r="H6" i="1"/>
  <c r="H12" i="1"/>
  <c r="H3" i="1"/>
  <c r="G10" i="1"/>
  <c r="H13" i="1"/>
  <c r="H19" i="1"/>
  <c r="G9" i="1"/>
  <c r="H11" i="1"/>
  <c r="H18" i="1"/>
  <c r="H17" i="1"/>
  <c r="H15" i="1"/>
  <c r="H16" i="1"/>
  <c r="G22" i="1"/>
  <c r="H5" i="1"/>
  <c r="G17" i="1"/>
  <c r="G12" i="1"/>
  <c r="G5" i="1"/>
  <c r="H7" i="1"/>
  <c r="H14" i="1"/>
  <c r="G4" i="1"/>
  <c r="H9" i="1"/>
  <c r="G16" i="1"/>
  <c r="H21" i="1"/>
  <c r="G11" i="1"/>
  <c r="G6" i="1"/>
  <c r="G18" i="1"/>
  <c r="G13" i="1"/>
  <c r="G8" i="1"/>
  <c r="G20" i="1"/>
  <c r="G33" i="1" l="1"/>
  <c r="G57" i="1"/>
  <c r="H57" i="1"/>
  <c r="G81" i="1"/>
  <c r="H81" i="1"/>
  <c r="H33" i="1"/>
</calcChain>
</file>

<file path=xl/sharedStrings.xml><?xml version="1.0" encoding="utf-8"?>
<sst xmlns="http://schemas.openxmlformats.org/spreadsheetml/2006/main" count="33" uniqueCount="12">
  <si>
    <t>NTQ24_20220125_00235</t>
  </si>
  <si>
    <t>(nm)</t>
  </si>
  <si>
    <t>average</t>
  </si>
  <si>
    <t>std dev</t>
  </si>
  <si>
    <t>NTQ8C7_w4_pristine</t>
  </si>
  <si>
    <t>background</t>
  </si>
  <si>
    <t>NT14D2_W4_pristine</t>
  </si>
  <si>
    <t>error</t>
  </si>
  <si>
    <t>diameter ratio</t>
  </si>
  <si>
    <t>max</t>
  </si>
  <si>
    <t>tubes</t>
  </si>
  <si>
    <t>max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</si>
</sst>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"/>
  <sheetViews>
    <sheetView tabSelected="1" topLeftCell="F55" workbookViewId="0">
      <selection activeCell="P64" sqref="P64"/>
    </sheetView>
  </sheetViews>
  <sheetFormatPr defaultRowHeight="15" x14ac:dyDescent="0.25"/>
  <cols>
    <col min="1" max="2" width="22.28515625" bestFit="1" customWidth="1"/>
    <col min="7" max="7" width="8.7109375" customWidth="1"/>
    <col min="12" max="12" width="8.7109375" customWidth="1"/>
    <col min="16" max="16" width="10.140625" bestFit="1" customWidth="1"/>
  </cols>
  <sheetData>
    <row r="1" spans="1:17" x14ac:dyDescent="0.25">
      <c r="A1" t="s">
        <v>1</v>
      </c>
      <c r="B1" t="s">
        <v>0</v>
      </c>
    </row>
    <row r="2" spans="1:17" x14ac:dyDescent="0.25">
      <c r="B2">
        <v>1</v>
      </c>
      <c r="C2">
        <v>2</v>
      </c>
      <c r="D2">
        <v>3</v>
      </c>
      <c r="E2">
        <v>4</v>
      </c>
      <c r="F2">
        <v>5</v>
      </c>
      <c r="G2" t="s">
        <v>2</v>
      </c>
      <c r="H2" t="s">
        <v>3</v>
      </c>
      <c r="J2" t="s">
        <v>5</v>
      </c>
      <c r="L2" t="s">
        <v>8</v>
      </c>
      <c r="M2" t="s">
        <v>3</v>
      </c>
      <c r="N2" t="s">
        <v>9</v>
      </c>
      <c r="O2" t="s">
        <v>10</v>
      </c>
      <c r="P2" t="s">
        <v>11</v>
      </c>
      <c r="Q2" t="s">
        <v>7</v>
      </c>
    </row>
    <row r="3" spans="1:17" x14ac:dyDescent="0.25">
      <c r="A3">
        <v>1</v>
      </c>
      <c r="B3">
        <f>25.881-J3</f>
        <v>17.527000000000001</v>
      </c>
      <c r="C3">
        <f>25.95-J3</f>
        <v>17.596</v>
      </c>
      <c r="D3">
        <f>25.77-J3</f>
        <v>17.416</v>
      </c>
      <c r="E3">
        <f>24.44-J3</f>
        <v>16.086000000000002</v>
      </c>
      <c r="F3">
        <f>25.45-J3</f>
        <v>17.096</v>
      </c>
      <c r="G3">
        <f t="shared" ref="G3:G9" si="0">AVERAGE(B3:F3)</f>
        <v>17.144200000000001</v>
      </c>
      <c r="H3">
        <f>_xlfn.STDEV.S(B3:F3)</f>
        <v>0.62182087452899104</v>
      </c>
      <c r="J3">
        <v>8.3539999999999992</v>
      </c>
      <c r="L3">
        <f>G33/1.45</f>
        <v>6.0714712643678164</v>
      </c>
      <c r="M3">
        <f>L3*SQRT((H33/G33)^2+(0.125/1.45)^2)</f>
        <v>2.7927628731259251</v>
      </c>
      <c r="N3">
        <f>L3+M3</f>
        <v>8.8642341374937423</v>
      </c>
      <c r="O3">
        <v>28</v>
      </c>
      <c r="P3">
        <v>62</v>
      </c>
      <c r="Q3">
        <f>P3-O3</f>
        <v>34</v>
      </c>
    </row>
    <row r="4" spans="1:17" x14ac:dyDescent="0.25">
      <c r="A4">
        <v>2</v>
      </c>
      <c r="B4">
        <f>21.175-J3</f>
        <v>12.821000000000002</v>
      </c>
      <c r="C4">
        <f>21.13-J3</f>
        <v>12.776</v>
      </c>
      <c r="D4">
        <f>21.14-J3</f>
        <v>12.786000000000001</v>
      </c>
      <c r="E4">
        <f>21.15-J3</f>
        <v>12.795999999999999</v>
      </c>
      <c r="F4">
        <f>19.81-J3</f>
        <v>11.456</v>
      </c>
      <c r="G4">
        <f t="shared" si="0"/>
        <v>12.527000000000001</v>
      </c>
      <c r="H4">
        <f>_xlfn.STDEV.S(B4:F4)</f>
        <v>0.59894073162542594</v>
      </c>
    </row>
    <row r="5" spans="1:17" x14ac:dyDescent="0.25">
      <c r="A5">
        <v>3</v>
      </c>
      <c r="B5">
        <f>19.609-J3</f>
        <v>11.255000000000003</v>
      </c>
      <c r="C5">
        <f>19.66-J3</f>
        <v>11.306000000000001</v>
      </c>
      <c r="D5">
        <f>20.8-J3</f>
        <v>12.446000000000002</v>
      </c>
      <c r="E5">
        <f>20.01-J3</f>
        <v>11.656000000000002</v>
      </c>
      <c r="F5">
        <f>17.2-J3</f>
        <v>8.8460000000000001</v>
      </c>
      <c r="G5">
        <f t="shared" si="0"/>
        <v>11.101800000000003</v>
      </c>
      <c r="H5">
        <f t="shared" ref="H5:H27" si="1">_xlfn.STDEV.S(B5:F5)</f>
        <v>1.3479440641213356</v>
      </c>
    </row>
    <row r="6" spans="1:17" x14ac:dyDescent="0.25">
      <c r="A6">
        <v>4</v>
      </c>
      <c r="B6">
        <f>26.38-J3</f>
        <v>18.026</v>
      </c>
      <c r="C6">
        <f>26.54-J3</f>
        <v>18.186</v>
      </c>
      <c r="D6">
        <f>23.15-J3</f>
        <v>14.795999999999999</v>
      </c>
      <c r="E6">
        <f>26.39-J3</f>
        <v>18.036000000000001</v>
      </c>
      <c r="F6">
        <f>26.14-J3</f>
        <v>17.786000000000001</v>
      </c>
      <c r="G6">
        <f t="shared" si="0"/>
        <v>17.366000000000003</v>
      </c>
      <c r="H6">
        <f t="shared" si="1"/>
        <v>1.443797077154543</v>
      </c>
    </row>
    <row r="7" spans="1:17" x14ac:dyDescent="0.25">
      <c r="A7">
        <v>5</v>
      </c>
      <c r="B7">
        <f>17.84-J3</f>
        <v>9.4860000000000007</v>
      </c>
      <c r="C7">
        <f>17.22-J3</f>
        <v>8.8659999999999997</v>
      </c>
      <c r="D7">
        <f>17.96-J3</f>
        <v>9.6060000000000016</v>
      </c>
      <c r="E7">
        <f>14.85-J3</f>
        <v>6.4960000000000004</v>
      </c>
      <c r="F7">
        <f>17.91-J3</f>
        <v>9.5560000000000009</v>
      </c>
      <c r="G7">
        <f t="shared" si="0"/>
        <v>8.8020000000000014</v>
      </c>
      <c r="H7">
        <f t="shared" si="1"/>
        <v>1.3233026864629229</v>
      </c>
    </row>
    <row r="8" spans="1:17" x14ac:dyDescent="0.25">
      <c r="A8">
        <v>6</v>
      </c>
      <c r="B8">
        <f>18.01-J3</f>
        <v>9.6560000000000024</v>
      </c>
      <c r="C8">
        <f>18.09-J3</f>
        <v>9.7360000000000007</v>
      </c>
      <c r="D8">
        <f>13.36-J3</f>
        <v>5.0060000000000002</v>
      </c>
      <c r="E8">
        <f>17.81-J3</f>
        <v>9.4559999999999995</v>
      </c>
      <c r="F8">
        <f>14.29-J3</f>
        <v>5.9359999999999999</v>
      </c>
      <c r="G8">
        <f t="shared" si="0"/>
        <v>7.9580000000000002</v>
      </c>
      <c r="H8">
        <f t="shared" si="1"/>
        <v>2.2962621801527794</v>
      </c>
    </row>
    <row r="9" spans="1:17" x14ac:dyDescent="0.25">
      <c r="A9">
        <v>7</v>
      </c>
      <c r="B9">
        <f>16.93-J3</f>
        <v>8.5760000000000005</v>
      </c>
      <c r="C9">
        <f>17.65-J3</f>
        <v>9.2959999999999994</v>
      </c>
      <c r="D9">
        <f>17.59-J3</f>
        <v>9.2360000000000007</v>
      </c>
      <c r="E9">
        <f>16.38-J3</f>
        <v>8.0259999999999998</v>
      </c>
      <c r="F9">
        <f>17.6-J3</f>
        <v>9.2460000000000022</v>
      </c>
      <c r="G9">
        <f t="shared" si="0"/>
        <v>8.8760000000000012</v>
      </c>
      <c r="H9">
        <f t="shared" si="1"/>
        <v>0.56022316981717246</v>
      </c>
    </row>
    <row r="10" spans="1:17" x14ac:dyDescent="0.25">
      <c r="A10">
        <v>8</v>
      </c>
      <c r="B10">
        <f>17.47-J3</f>
        <v>9.1159999999999997</v>
      </c>
      <c r="C10">
        <f>17.09-J3</f>
        <v>8.7360000000000007</v>
      </c>
      <c r="D10">
        <f>17.46-J3</f>
        <v>9.1060000000000016</v>
      </c>
      <c r="E10">
        <f>15.87-J3</f>
        <v>7.516</v>
      </c>
      <c r="F10">
        <f>17.39-J3</f>
        <v>9.0360000000000014</v>
      </c>
      <c r="G10">
        <f t="shared" ref="G10:G27" si="2">AVERAGE(B10:F10)</f>
        <v>8.7020000000000017</v>
      </c>
      <c r="H10">
        <f t="shared" si="1"/>
        <v>0.68079365449451756</v>
      </c>
    </row>
    <row r="11" spans="1:17" x14ac:dyDescent="0.25">
      <c r="A11">
        <v>9</v>
      </c>
      <c r="B11">
        <f>23.61-J3</f>
        <v>15.256</v>
      </c>
      <c r="C11">
        <f>19.42-J3</f>
        <v>11.066000000000003</v>
      </c>
      <c r="D11">
        <f>22.23-J3</f>
        <v>13.876000000000001</v>
      </c>
      <c r="E11">
        <f>23.8-J3</f>
        <v>15.446000000000002</v>
      </c>
      <c r="F11">
        <f>22.25-J3</f>
        <v>13.896000000000001</v>
      </c>
      <c r="G11">
        <f t="shared" si="2"/>
        <v>13.908000000000001</v>
      </c>
      <c r="H11">
        <f t="shared" si="1"/>
        <v>1.7507626909435852</v>
      </c>
    </row>
    <row r="12" spans="1:17" x14ac:dyDescent="0.25">
      <c r="A12">
        <v>10</v>
      </c>
      <c r="B12">
        <f>19.58-J3</f>
        <v>11.225999999999999</v>
      </c>
      <c r="C12">
        <f>19.64-J3</f>
        <v>11.286000000000001</v>
      </c>
      <c r="D12">
        <f>19.91-J3</f>
        <v>11.556000000000001</v>
      </c>
      <c r="E12">
        <f>19.32-J3</f>
        <v>10.966000000000001</v>
      </c>
      <c r="F12">
        <f>19.52-J3</f>
        <v>11.166</v>
      </c>
      <c r="G12">
        <f t="shared" si="2"/>
        <v>11.24</v>
      </c>
      <c r="H12">
        <f t="shared" si="1"/>
        <v>0.2137288001182808</v>
      </c>
    </row>
    <row r="13" spans="1:17" x14ac:dyDescent="0.25">
      <c r="A13">
        <v>11</v>
      </c>
      <c r="B13">
        <f>15.77-J3</f>
        <v>7.4160000000000004</v>
      </c>
      <c r="C13">
        <f>15.41-J3</f>
        <v>7.0560000000000009</v>
      </c>
      <c r="D13">
        <f>15.99-J3</f>
        <v>7.636000000000001</v>
      </c>
      <c r="E13">
        <f>16.71-J3</f>
        <v>8.3560000000000016</v>
      </c>
      <c r="F13">
        <f>16.59-J3</f>
        <v>8.2360000000000007</v>
      </c>
      <c r="G13">
        <f t="shared" si="2"/>
        <v>7.74</v>
      </c>
      <c r="H13">
        <f t="shared" si="1"/>
        <v>0.54979996362313466</v>
      </c>
    </row>
    <row r="14" spans="1:17" x14ac:dyDescent="0.25">
      <c r="A14">
        <v>12</v>
      </c>
      <c r="B14">
        <f>17.32-J3</f>
        <v>8.9660000000000011</v>
      </c>
      <c r="C14">
        <f>16.49-J3</f>
        <v>8.1359999999999992</v>
      </c>
      <c r="D14">
        <f>17.41-J3</f>
        <v>9.0560000000000009</v>
      </c>
      <c r="E14">
        <f>15.26-J3</f>
        <v>6.9060000000000006</v>
      </c>
      <c r="F14">
        <f>18.51-J3</f>
        <v>10.156000000000002</v>
      </c>
      <c r="G14">
        <f t="shared" si="2"/>
        <v>8.6440000000000001</v>
      </c>
      <c r="H14">
        <f t="shared" si="1"/>
        <v>1.2081266489900915</v>
      </c>
    </row>
    <row r="15" spans="1:17" x14ac:dyDescent="0.25">
      <c r="A15">
        <v>13</v>
      </c>
      <c r="B15">
        <f>11.91-J3</f>
        <v>3.5560000000000009</v>
      </c>
      <c r="C15">
        <f>10.33-J3</f>
        <v>1.9760000000000009</v>
      </c>
      <c r="D15">
        <f>11.94-J3</f>
        <v>3.5860000000000003</v>
      </c>
      <c r="E15">
        <f>11.29-J3</f>
        <v>2.9359999999999999</v>
      </c>
      <c r="F15">
        <f>11.89-J3</f>
        <v>3.5360000000000014</v>
      </c>
      <c r="G15">
        <f t="shared" si="2"/>
        <v>3.1180000000000008</v>
      </c>
      <c r="H15">
        <f t="shared" si="1"/>
        <v>0.69333974356010919</v>
      </c>
    </row>
    <row r="16" spans="1:17" x14ac:dyDescent="0.25">
      <c r="A16">
        <v>14</v>
      </c>
      <c r="B16">
        <f>16.98-J3</f>
        <v>8.6260000000000012</v>
      </c>
      <c r="C16">
        <f>16.44-J3</f>
        <v>8.0860000000000021</v>
      </c>
      <c r="D16">
        <f>15.08-J3</f>
        <v>6.7260000000000009</v>
      </c>
      <c r="E16">
        <f>17.05-J3</f>
        <v>8.6960000000000015</v>
      </c>
      <c r="F16">
        <f>16.4-J3</f>
        <v>8.0459999999999994</v>
      </c>
      <c r="G16">
        <f t="shared" si="2"/>
        <v>8.0359999999999996</v>
      </c>
      <c r="H16">
        <f t="shared" si="1"/>
        <v>0.79094879733140777</v>
      </c>
    </row>
    <row r="17" spans="1:8" x14ac:dyDescent="0.25">
      <c r="A17">
        <v>15</v>
      </c>
      <c r="B17">
        <f>11.97-J3</f>
        <v>3.6160000000000014</v>
      </c>
      <c r="C17">
        <f>12-J3</f>
        <v>3.6460000000000008</v>
      </c>
      <c r="D17">
        <f>11.62-J3</f>
        <v>3.266</v>
      </c>
      <c r="E17">
        <f>11.48-J3</f>
        <v>3.1260000000000012</v>
      </c>
      <c r="F17">
        <f>11.69-J3</f>
        <v>3.3360000000000003</v>
      </c>
      <c r="G17">
        <f t="shared" si="2"/>
        <v>3.3980000000000006</v>
      </c>
      <c r="H17">
        <f t="shared" si="1"/>
        <v>0.22598672527385338</v>
      </c>
    </row>
    <row r="18" spans="1:8" x14ac:dyDescent="0.25">
      <c r="A18">
        <v>16</v>
      </c>
      <c r="B18">
        <f>12.53-J3</f>
        <v>4.1760000000000002</v>
      </c>
      <c r="C18">
        <f>12.52-J3</f>
        <v>4.1660000000000004</v>
      </c>
      <c r="D18">
        <f>10.97-J3</f>
        <v>2.6160000000000014</v>
      </c>
      <c r="E18">
        <f>12.23-J3</f>
        <v>3.8760000000000012</v>
      </c>
      <c r="F18">
        <f>12.53-J3</f>
        <v>4.1760000000000002</v>
      </c>
      <c r="G18">
        <f t="shared" si="2"/>
        <v>3.8020000000000009</v>
      </c>
      <c r="H18">
        <f t="shared" si="1"/>
        <v>0.67533695293534246</v>
      </c>
    </row>
    <row r="19" spans="1:8" x14ac:dyDescent="0.25">
      <c r="A19">
        <v>17</v>
      </c>
      <c r="B19">
        <f>16.22-J3</f>
        <v>7.8659999999999997</v>
      </c>
      <c r="C19">
        <f>12.31-J3</f>
        <v>3.9560000000000013</v>
      </c>
      <c r="D19">
        <f>15.71-J3</f>
        <v>7.3560000000000016</v>
      </c>
      <c r="E19">
        <f>13.26-J3</f>
        <v>4.9060000000000006</v>
      </c>
      <c r="F19">
        <f>16.45-J3</f>
        <v>8.0960000000000001</v>
      </c>
      <c r="G19">
        <f t="shared" si="2"/>
        <v>6.4360000000000017</v>
      </c>
      <c r="H19">
        <f t="shared" si="1"/>
        <v>1.8800398931937539</v>
      </c>
    </row>
    <row r="20" spans="1:8" x14ac:dyDescent="0.25">
      <c r="A20">
        <v>18</v>
      </c>
      <c r="B20">
        <f>16.18-J3</f>
        <v>7.8260000000000005</v>
      </c>
      <c r="C20">
        <f>14.82-J3</f>
        <v>6.4660000000000011</v>
      </c>
      <c r="D20">
        <f>16.25-J3</f>
        <v>7.8960000000000008</v>
      </c>
      <c r="E20">
        <f>13.51-J3</f>
        <v>5.1560000000000006</v>
      </c>
      <c r="F20">
        <f>15.98-J3</f>
        <v>7.6260000000000012</v>
      </c>
      <c r="G20">
        <f t="shared" si="2"/>
        <v>6.9939999999999998</v>
      </c>
      <c r="H20">
        <f t="shared" si="1"/>
        <v>1.1792243213231421</v>
      </c>
    </row>
    <row r="21" spans="1:8" x14ac:dyDescent="0.25">
      <c r="A21">
        <v>19</v>
      </c>
      <c r="B21">
        <f>14.13-J3</f>
        <v>5.7760000000000016</v>
      </c>
      <c r="C21">
        <f>14.64-J3</f>
        <v>6.2860000000000014</v>
      </c>
      <c r="D21">
        <f>16.04-J3</f>
        <v>7.6859999999999999</v>
      </c>
      <c r="E21">
        <f>14.64-J3</f>
        <v>6.2860000000000014</v>
      </c>
      <c r="F21">
        <f>14.19-J3</f>
        <v>5.8360000000000003</v>
      </c>
      <c r="G21">
        <f t="shared" si="2"/>
        <v>6.3740000000000006</v>
      </c>
      <c r="H21">
        <f t="shared" si="1"/>
        <v>0.7719909325892379</v>
      </c>
    </row>
    <row r="22" spans="1:8" x14ac:dyDescent="0.25">
      <c r="A22">
        <v>20</v>
      </c>
      <c r="B22">
        <f>14.57-J3</f>
        <v>6.2160000000000011</v>
      </c>
      <c r="C22">
        <f>12.93-J3</f>
        <v>4.5760000000000005</v>
      </c>
      <c r="D22">
        <f>11.87-J3</f>
        <v>3.516</v>
      </c>
      <c r="E22">
        <f>15.04-J3</f>
        <v>6.6859999999999999</v>
      </c>
      <c r="F22">
        <f>14.93-J3</f>
        <v>6.5760000000000005</v>
      </c>
      <c r="G22">
        <f t="shared" si="2"/>
        <v>5.5140000000000002</v>
      </c>
      <c r="H22">
        <f t="shared" si="1"/>
        <v>1.4023266381267963</v>
      </c>
    </row>
    <row r="23" spans="1:8" x14ac:dyDescent="0.25">
      <c r="A23">
        <v>21</v>
      </c>
      <c r="B23">
        <f>10.74-J3</f>
        <v>2.386000000000001</v>
      </c>
      <c r="C23">
        <f>10.28-J3</f>
        <v>1.9260000000000002</v>
      </c>
      <c r="D23">
        <f>11.21-J3</f>
        <v>2.8560000000000016</v>
      </c>
      <c r="E23">
        <f>10.3-J3</f>
        <v>1.9460000000000015</v>
      </c>
      <c r="F23">
        <f>11.03-J3</f>
        <v>2.6760000000000002</v>
      </c>
      <c r="G23">
        <f t="shared" si="2"/>
        <v>2.358000000000001</v>
      </c>
      <c r="H23">
        <f t="shared" si="1"/>
        <v>0.42020233221627767</v>
      </c>
    </row>
    <row r="24" spans="1:8" x14ac:dyDescent="0.25">
      <c r="A24">
        <v>22</v>
      </c>
      <c r="B24">
        <f>12.15-J3</f>
        <v>3.7960000000000012</v>
      </c>
      <c r="C24">
        <f>11.21-J3</f>
        <v>2.8560000000000016</v>
      </c>
      <c r="D24">
        <f>11.69-J3</f>
        <v>3.3360000000000003</v>
      </c>
      <c r="E24">
        <f>12.3-J3</f>
        <v>3.9460000000000015</v>
      </c>
      <c r="F24">
        <f>12.2-J3</f>
        <v>3.8460000000000001</v>
      </c>
      <c r="G24">
        <f t="shared" si="2"/>
        <v>3.5560000000000009</v>
      </c>
      <c r="H24">
        <f t="shared" si="1"/>
        <v>0.45612498287202141</v>
      </c>
    </row>
    <row r="25" spans="1:8" x14ac:dyDescent="0.25">
      <c r="A25">
        <v>23</v>
      </c>
      <c r="B25">
        <f>22.64-J3</f>
        <v>14.286000000000001</v>
      </c>
      <c r="C25">
        <f>20.91-J3</f>
        <v>12.556000000000001</v>
      </c>
      <c r="D25">
        <f>22.72-J3</f>
        <v>14.366</v>
      </c>
      <c r="E25">
        <f>23.1-J3</f>
        <v>14.746000000000002</v>
      </c>
      <c r="F25">
        <f>22.81-J3</f>
        <v>14.456</v>
      </c>
      <c r="G25">
        <f t="shared" si="2"/>
        <v>14.081999999999999</v>
      </c>
      <c r="H25">
        <f t="shared" si="1"/>
        <v>0.87059175277508805</v>
      </c>
    </row>
    <row r="26" spans="1:8" x14ac:dyDescent="0.25">
      <c r="A26">
        <v>24</v>
      </c>
      <c r="B26">
        <f>17.24-J3</f>
        <v>8.8859999999999992</v>
      </c>
      <c r="C26">
        <f>18.19-J3</f>
        <v>9.8360000000000021</v>
      </c>
      <c r="D26">
        <f>18.42-J3</f>
        <v>10.066000000000003</v>
      </c>
      <c r="E26">
        <f>18.25-J3</f>
        <v>9.8960000000000008</v>
      </c>
      <c r="F26">
        <f>18.46-J3</f>
        <v>10.106000000000002</v>
      </c>
      <c r="G26">
        <f t="shared" si="2"/>
        <v>9.7580000000000009</v>
      </c>
      <c r="H26">
        <f t="shared" si="1"/>
        <v>0.50036986320121357</v>
      </c>
    </row>
    <row r="27" spans="1:8" x14ac:dyDescent="0.25">
      <c r="A27">
        <v>25</v>
      </c>
      <c r="B27">
        <f>15.85-J3</f>
        <v>7.4960000000000004</v>
      </c>
      <c r="C27">
        <f>15.02-J3</f>
        <v>6.6660000000000004</v>
      </c>
      <c r="D27">
        <f>15.55-J3</f>
        <v>7.1960000000000015</v>
      </c>
      <c r="E27">
        <f>15.26-J3</f>
        <v>6.9060000000000006</v>
      </c>
      <c r="F27">
        <f>15.39-J3</f>
        <v>7.0360000000000014</v>
      </c>
      <c r="G27">
        <f t="shared" si="2"/>
        <v>7.0600000000000005</v>
      </c>
      <c r="H27">
        <f t="shared" si="1"/>
        <v>0.31149638842208116</v>
      </c>
    </row>
    <row r="28" spans="1:8" x14ac:dyDescent="0.25">
      <c r="A28">
        <v>26</v>
      </c>
      <c r="B28">
        <f>19.35-J3</f>
        <v>10.996000000000002</v>
      </c>
      <c r="C28">
        <f>16.46-J3</f>
        <v>8.1060000000000016</v>
      </c>
      <c r="D28">
        <f>19.35-J3</f>
        <v>10.996000000000002</v>
      </c>
      <c r="E28">
        <f>16.22-J3</f>
        <v>7.8659999999999997</v>
      </c>
      <c r="F28">
        <f>17.72-J3</f>
        <v>9.3659999999999997</v>
      </c>
      <c r="G28">
        <f t="shared" ref="G28:G32" si="3">AVERAGE(B28:F28)</f>
        <v>9.4660000000000011</v>
      </c>
      <c r="H28">
        <f t="shared" ref="H28:H32" si="4">_xlfn.STDEV.S(B28:F28)</f>
        <v>1.5084263323079417</v>
      </c>
    </row>
    <row r="29" spans="1:8" x14ac:dyDescent="0.25">
      <c r="A29">
        <v>27</v>
      </c>
      <c r="B29">
        <f>14.88-J3</f>
        <v>6.5260000000000016</v>
      </c>
      <c r="C29">
        <f>14.89-J3</f>
        <v>6.5360000000000014</v>
      </c>
      <c r="D29">
        <f>14.97-J3</f>
        <v>6.6160000000000014</v>
      </c>
      <c r="E29">
        <f>13.5-J3</f>
        <v>5.1460000000000008</v>
      </c>
      <c r="F29">
        <f>14.96-J3</f>
        <v>6.6060000000000016</v>
      </c>
      <c r="G29">
        <f t="shared" si="3"/>
        <v>6.2860000000000014</v>
      </c>
      <c r="H29">
        <f t="shared" si="4"/>
        <v>0.63855305182889888</v>
      </c>
    </row>
    <row r="30" spans="1:8" x14ac:dyDescent="0.25">
      <c r="A30">
        <v>28</v>
      </c>
      <c r="B30">
        <f>22.34-J3</f>
        <v>13.986000000000001</v>
      </c>
      <c r="C30">
        <f>23.41-J3</f>
        <v>15.056000000000001</v>
      </c>
      <c r="D30">
        <f>23.41-J3</f>
        <v>15.056000000000001</v>
      </c>
      <c r="E30">
        <f>16.41-J3</f>
        <v>8.0560000000000009</v>
      </c>
      <c r="F30">
        <f>23.15-J3</f>
        <v>14.795999999999999</v>
      </c>
      <c r="G30">
        <f t="shared" si="3"/>
        <v>13.389999999999997</v>
      </c>
      <c r="H30">
        <f t="shared" si="4"/>
        <v>3.0139143982535477</v>
      </c>
    </row>
    <row r="31" spans="1:8" x14ac:dyDescent="0.25">
      <c r="A31">
        <v>29</v>
      </c>
      <c r="B31">
        <f>21.3-J3</f>
        <v>12.946000000000002</v>
      </c>
      <c r="C31">
        <f>21.67-J3</f>
        <v>13.316000000000003</v>
      </c>
      <c r="D31">
        <f>21.72-J3</f>
        <v>13.366</v>
      </c>
      <c r="E31">
        <f>21.66-J3</f>
        <v>13.306000000000001</v>
      </c>
      <c r="F31">
        <f>21.34-J3</f>
        <v>12.986000000000001</v>
      </c>
      <c r="G31">
        <f t="shared" si="3"/>
        <v>13.184000000000001</v>
      </c>
      <c r="H31">
        <f t="shared" si="4"/>
        <v>0.20079840636817797</v>
      </c>
    </row>
    <row r="32" spans="1:8" x14ac:dyDescent="0.25">
      <c r="A32">
        <v>30</v>
      </c>
      <c r="B32">
        <f>15.47-J3</f>
        <v>7.1160000000000014</v>
      </c>
      <c r="C32">
        <f>15.88-J3</f>
        <v>7.5260000000000016</v>
      </c>
      <c r="D32">
        <f>15.53-J3</f>
        <v>7.1760000000000002</v>
      </c>
      <c r="E32">
        <f>15.51-J3</f>
        <v>7.1560000000000006</v>
      </c>
      <c r="F32">
        <f>15.82-J3</f>
        <v>7.4660000000000011</v>
      </c>
      <c r="G32">
        <f t="shared" si="3"/>
        <v>7.2880000000000011</v>
      </c>
      <c r="H32">
        <f t="shared" si="4"/>
        <v>0.19227584351654817</v>
      </c>
    </row>
    <row r="33" spans="1:17" x14ac:dyDescent="0.25">
      <c r="G33">
        <f>AVERAGE(G3:G32)</f>
        <v>8.8036333333333339</v>
      </c>
      <c r="H33">
        <f>_xlfn.STDEV.S(G3:G32)</f>
        <v>3.9777530732756698</v>
      </c>
    </row>
    <row r="35" spans="1:17" x14ac:dyDescent="0.25">
      <c r="A35" t="s">
        <v>1</v>
      </c>
      <c r="B35" t="s">
        <v>4</v>
      </c>
      <c r="J35" t="s">
        <v>5</v>
      </c>
      <c r="L35" t="s">
        <v>8</v>
      </c>
      <c r="M35" t="s">
        <v>3</v>
      </c>
      <c r="N35" t="s">
        <v>9</v>
      </c>
      <c r="O35" t="s">
        <v>10</v>
      </c>
      <c r="P35" t="s">
        <v>11</v>
      </c>
      <c r="Q35" t="s">
        <v>7</v>
      </c>
    </row>
    <row r="36" spans="1:17" x14ac:dyDescent="0.25">
      <c r="B36">
        <v>1</v>
      </c>
      <c r="C36">
        <v>2</v>
      </c>
      <c r="D36">
        <v>3</v>
      </c>
      <c r="E36">
        <v>4</v>
      </c>
      <c r="F36">
        <v>5</v>
      </c>
      <c r="G36" t="s">
        <v>2</v>
      </c>
      <c r="H36" t="s">
        <v>3</v>
      </c>
      <c r="J36">
        <v>4.3230000000000004</v>
      </c>
      <c r="L36">
        <f>G57/1.45</f>
        <v>3.493951724137931</v>
      </c>
      <c r="M36">
        <f>L36*SQRT((H57/G57)^2+(0.125/1.45)^2)</f>
        <v>1.028520676687801</v>
      </c>
      <c r="N36">
        <f>L36+M36</f>
        <v>4.5224724008257322</v>
      </c>
      <c r="O36">
        <v>8</v>
      </c>
      <c r="P36">
        <v>15</v>
      </c>
      <c r="Q36">
        <f>P36-O36</f>
        <v>7</v>
      </c>
    </row>
    <row r="37" spans="1:17" x14ac:dyDescent="0.25">
      <c r="A37">
        <v>1</v>
      </c>
      <c r="B37">
        <f>11.87-J36</f>
        <v>7.5469999999999988</v>
      </c>
      <c r="C37">
        <f>11.59-J36</f>
        <v>7.2669999999999995</v>
      </c>
      <c r="D37">
        <f>11.81-J36</f>
        <v>7.4870000000000001</v>
      </c>
      <c r="E37">
        <f>11.72-J36</f>
        <v>7.3970000000000002</v>
      </c>
      <c r="F37">
        <f>11.04-J36</f>
        <v>6.7169999999999987</v>
      </c>
      <c r="G37">
        <f>AVERAGE(B37:F37)</f>
        <v>7.2829999999999995</v>
      </c>
      <c r="H37">
        <f>_xlfn.STDEV.S(B37:F37)</f>
        <v>0.33351161898800502</v>
      </c>
    </row>
    <row r="38" spans="1:17" x14ac:dyDescent="0.25">
      <c r="A38">
        <v>2</v>
      </c>
      <c r="B38">
        <f>10.84-J36</f>
        <v>6.5169999999999995</v>
      </c>
      <c r="C38">
        <f>11.03-J36</f>
        <v>6.706999999999999</v>
      </c>
      <c r="D38">
        <f>10.85-J36</f>
        <v>6.5269999999999992</v>
      </c>
      <c r="E38">
        <f>12.34-J36</f>
        <v>8.0169999999999995</v>
      </c>
      <c r="F38">
        <f>11.63-J36</f>
        <v>7.3070000000000004</v>
      </c>
      <c r="G38">
        <f t="shared" ref="G38:G41" si="5">AVERAGE(B38:F38)</f>
        <v>7.0149999999999988</v>
      </c>
      <c r="H38">
        <f t="shared" ref="H38:H56" si="6">_xlfn.STDEV.S(B38:F38)</f>
        <v>0.64619656452197283</v>
      </c>
    </row>
    <row r="39" spans="1:17" x14ac:dyDescent="0.25">
      <c r="A39">
        <v>3</v>
      </c>
      <c r="B39">
        <f>12.95-J36</f>
        <v>8.6269999999999989</v>
      </c>
      <c r="C39">
        <f>11.93-J36</f>
        <v>7.6069999999999993</v>
      </c>
      <c r="D39">
        <f>10.6-J36</f>
        <v>6.2769999999999992</v>
      </c>
      <c r="E39">
        <f>12.91-J36</f>
        <v>8.5869999999999997</v>
      </c>
      <c r="F39">
        <f>12.13-J36</f>
        <v>7.8070000000000004</v>
      </c>
      <c r="G39">
        <f t="shared" si="5"/>
        <v>7.7809999999999988</v>
      </c>
      <c r="H39">
        <f t="shared" si="6"/>
        <v>0.95633676076997853</v>
      </c>
    </row>
    <row r="40" spans="1:17" x14ac:dyDescent="0.25">
      <c r="A40">
        <v>4</v>
      </c>
      <c r="B40">
        <f>9.623-4.23</f>
        <v>5.3929999999999989</v>
      </c>
      <c r="C40">
        <f>9.441-J36</f>
        <v>5.1180000000000003</v>
      </c>
      <c r="D40">
        <f>9.047-J36</f>
        <v>4.7240000000000002</v>
      </c>
      <c r="E40">
        <f>9.533-J36</f>
        <v>5.2099999999999991</v>
      </c>
      <c r="F40">
        <f>8.648-J36</f>
        <v>4.3249999999999993</v>
      </c>
      <c r="G40">
        <f t="shared" si="5"/>
        <v>4.9539999999999997</v>
      </c>
      <c r="H40">
        <f t="shared" si="6"/>
        <v>0.4282796983280901</v>
      </c>
    </row>
    <row r="41" spans="1:17" x14ac:dyDescent="0.25">
      <c r="A41">
        <v>5</v>
      </c>
      <c r="B41">
        <f>8.818-J36</f>
        <v>4.4949999999999992</v>
      </c>
      <c r="C41">
        <f>9.753-J36</f>
        <v>5.43</v>
      </c>
      <c r="D41">
        <f>8.745-J36</f>
        <v>4.4219999999999988</v>
      </c>
      <c r="E41">
        <f>9.678-J36</f>
        <v>5.3550000000000004</v>
      </c>
      <c r="F41">
        <f>9.033-J36</f>
        <v>4.7099999999999991</v>
      </c>
      <c r="G41">
        <f t="shared" si="5"/>
        <v>4.8823999999999996</v>
      </c>
      <c r="H41">
        <f t="shared" si="6"/>
        <v>0.47827429368512009</v>
      </c>
    </row>
    <row r="42" spans="1:17" x14ac:dyDescent="0.25">
      <c r="A42">
        <v>6</v>
      </c>
      <c r="B42">
        <f>9.477-J36</f>
        <v>5.1539999999999999</v>
      </c>
      <c r="C42">
        <f>11.85-J36</f>
        <v>7.5269999999999992</v>
      </c>
      <c r="D42">
        <f>11.04-J36</f>
        <v>6.7169999999999987</v>
      </c>
      <c r="E42">
        <f>8.377-J36</f>
        <v>4.0540000000000003</v>
      </c>
      <c r="F42">
        <f>10.38-J36</f>
        <v>6.0570000000000004</v>
      </c>
      <c r="G42">
        <f>AVERAGE(B42:F42)</f>
        <v>5.9017999999999997</v>
      </c>
      <c r="H42">
        <f t="shared" si="6"/>
        <v>1.351247830710558</v>
      </c>
    </row>
    <row r="43" spans="1:17" x14ac:dyDescent="0.25">
      <c r="A43">
        <v>7</v>
      </c>
      <c r="B43">
        <f>9.587-J36</f>
        <v>5.2639999999999993</v>
      </c>
      <c r="C43">
        <f>9.037-J36</f>
        <v>4.7140000000000004</v>
      </c>
      <c r="D43">
        <f>10.21-J36</f>
        <v>5.8870000000000005</v>
      </c>
      <c r="E43">
        <f>9.898-J36</f>
        <v>5.5749999999999993</v>
      </c>
      <c r="F43">
        <f>10.41-J36</f>
        <v>6.0869999999999997</v>
      </c>
      <c r="G43">
        <f t="shared" ref="G43:G56" si="7">AVERAGE(B43:F43)</f>
        <v>5.5053999999999998</v>
      </c>
      <c r="H43">
        <f t="shared" si="6"/>
        <v>0.54159699039045617</v>
      </c>
    </row>
    <row r="44" spans="1:17" x14ac:dyDescent="0.25">
      <c r="A44">
        <v>8</v>
      </c>
      <c r="B44">
        <f>8.133-J36</f>
        <v>3.8099999999999987</v>
      </c>
      <c r="C44">
        <f>8.179-J36</f>
        <v>3.8559999999999999</v>
      </c>
      <c r="D44">
        <f>9.55-J36</f>
        <v>5.2270000000000003</v>
      </c>
      <c r="E44">
        <f>8.252-J36</f>
        <v>3.9290000000000003</v>
      </c>
      <c r="F44">
        <f>8.106-J36</f>
        <v>3.7829999999999995</v>
      </c>
      <c r="G44">
        <f t="shared" si="7"/>
        <v>4.1209999999999996</v>
      </c>
      <c r="H44">
        <f t="shared" si="6"/>
        <v>0.620743505805743</v>
      </c>
    </row>
    <row r="45" spans="1:17" x14ac:dyDescent="0.25">
      <c r="A45">
        <v>9</v>
      </c>
      <c r="B45">
        <f>8.084-J36</f>
        <v>3.7609999999999992</v>
      </c>
      <c r="C45">
        <f>8.455-J36</f>
        <v>4.1319999999999997</v>
      </c>
      <c r="D45">
        <f>7.847-J36</f>
        <v>3.524</v>
      </c>
      <c r="E45">
        <f>8.218-J36</f>
        <v>3.8949999999999996</v>
      </c>
      <c r="F45">
        <f>7.924-J36</f>
        <v>3.601</v>
      </c>
      <c r="G45">
        <f t="shared" si="7"/>
        <v>3.7825999999999995</v>
      </c>
      <c r="H45">
        <f t="shared" si="6"/>
        <v>0.24240111385882684</v>
      </c>
    </row>
    <row r="46" spans="1:17" x14ac:dyDescent="0.25">
      <c r="A46">
        <v>10</v>
      </c>
      <c r="B46">
        <f>12.36-J36</f>
        <v>8.036999999999999</v>
      </c>
      <c r="C46">
        <f>11.55-J36</f>
        <v>7.2270000000000003</v>
      </c>
      <c r="D46">
        <f>10.77-J36</f>
        <v>6.4469999999999992</v>
      </c>
      <c r="E46">
        <f>10.34-J36</f>
        <v>6.0169999999999995</v>
      </c>
      <c r="F46">
        <f>11.14-J36</f>
        <v>6.8170000000000002</v>
      </c>
      <c r="G46">
        <f t="shared" si="7"/>
        <v>6.9090000000000007</v>
      </c>
      <c r="H46">
        <f t="shared" si="6"/>
        <v>0.77315587044269407</v>
      </c>
    </row>
    <row r="47" spans="1:17" x14ac:dyDescent="0.25">
      <c r="A47">
        <v>11</v>
      </c>
      <c r="B47">
        <f>7.548-J36</f>
        <v>3.2249999999999996</v>
      </c>
      <c r="C47">
        <f>7.515-J36</f>
        <v>3.1919999999999993</v>
      </c>
      <c r="D47">
        <f>7.786-J36</f>
        <v>3.4629999999999992</v>
      </c>
      <c r="E47">
        <f>7.561-J36</f>
        <v>3.2379999999999995</v>
      </c>
      <c r="F47">
        <f>7.589-J36</f>
        <v>3.266</v>
      </c>
      <c r="G47">
        <f t="shared" si="7"/>
        <v>3.2768000000000002</v>
      </c>
      <c r="H47">
        <f t="shared" si="6"/>
        <v>0.1074323042664541</v>
      </c>
    </row>
    <row r="48" spans="1:17" x14ac:dyDescent="0.25">
      <c r="A48">
        <v>12</v>
      </c>
      <c r="B48">
        <f>9.824-J36</f>
        <v>5.5009999999999994</v>
      </c>
      <c r="C48">
        <f>9.283-J36</f>
        <v>4.9599999999999991</v>
      </c>
      <c r="D48">
        <f>9.698-J36</f>
        <v>5.375</v>
      </c>
      <c r="E48">
        <f>9.542-J36</f>
        <v>5.2189999999999994</v>
      </c>
      <c r="F48">
        <f>9.542-J36</f>
        <v>5.2189999999999994</v>
      </c>
      <c r="G48">
        <f t="shared" si="7"/>
        <v>5.2548000000000004</v>
      </c>
      <c r="H48">
        <f t="shared" si="6"/>
        <v>0.2028132145596043</v>
      </c>
    </row>
    <row r="49" spans="1:17" x14ac:dyDescent="0.25">
      <c r="A49">
        <v>13</v>
      </c>
      <c r="B49">
        <f>8.628-J36</f>
        <v>4.3049999999999997</v>
      </c>
      <c r="C49">
        <f>9.077-J36</f>
        <v>4.7539999999999996</v>
      </c>
      <c r="D49">
        <f>8.888-J36</f>
        <v>4.5649999999999995</v>
      </c>
      <c r="E49">
        <f>9.011-J36</f>
        <v>4.6879999999999988</v>
      </c>
      <c r="F49">
        <f>9.072-J36</f>
        <v>4.7489999999999988</v>
      </c>
      <c r="G49">
        <f t="shared" si="7"/>
        <v>4.6121999999999996</v>
      </c>
      <c r="H49">
        <f t="shared" si="6"/>
        <v>0.18786085276075987</v>
      </c>
    </row>
    <row r="50" spans="1:17" x14ac:dyDescent="0.25">
      <c r="A50">
        <v>14</v>
      </c>
      <c r="B50">
        <f>10.26-J36</f>
        <v>5.9369999999999994</v>
      </c>
      <c r="C50">
        <f>9.657-J36</f>
        <v>5.3339999999999996</v>
      </c>
      <c r="D50">
        <f>9.936-J36</f>
        <v>5.6129999999999995</v>
      </c>
      <c r="E50">
        <f>9.428-J36</f>
        <v>5.1050000000000004</v>
      </c>
      <c r="F50">
        <f>9.901-J36</f>
        <v>5.5779999999999994</v>
      </c>
      <c r="G50">
        <f t="shared" si="7"/>
        <v>5.5133999999999999</v>
      </c>
      <c r="H50">
        <f t="shared" si="6"/>
        <v>0.31325117717256828</v>
      </c>
    </row>
    <row r="51" spans="1:17" x14ac:dyDescent="0.25">
      <c r="A51">
        <v>15</v>
      </c>
      <c r="B51">
        <f>8.095-J36</f>
        <v>3.7720000000000002</v>
      </c>
      <c r="C51">
        <f>8.341-J36</f>
        <v>4.0179999999999989</v>
      </c>
      <c r="D51">
        <f>7.962-J36</f>
        <v>3.6389999999999993</v>
      </c>
      <c r="E51">
        <f>8.198-J36</f>
        <v>3.875</v>
      </c>
      <c r="F51">
        <f>8.389-J36</f>
        <v>4.0659999999999989</v>
      </c>
      <c r="G51">
        <f t="shared" si="7"/>
        <v>3.8739999999999997</v>
      </c>
      <c r="H51">
        <f t="shared" si="6"/>
        <v>0.17552065405529882</v>
      </c>
    </row>
    <row r="52" spans="1:17" x14ac:dyDescent="0.25">
      <c r="A52">
        <v>16</v>
      </c>
      <c r="B52">
        <f>10.47-J36</f>
        <v>6.1470000000000002</v>
      </c>
      <c r="C52">
        <f>10.75-J36</f>
        <v>6.4269999999999996</v>
      </c>
      <c r="D52">
        <f>8.996-J36</f>
        <v>4.673</v>
      </c>
      <c r="E52">
        <f>9.806-J36</f>
        <v>5.4829999999999988</v>
      </c>
      <c r="F52">
        <f>9.806-J36</f>
        <v>5.4829999999999988</v>
      </c>
      <c r="G52">
        <f t="shared" si="7"/>
        <v>5.6425999999999989</v>
      </c>
      <c r="H52">
        <f t="shared" si="6"/>
        <v>0.68205043801760823</v>
      </c>
    </row>
    <row r="53" spans="1:17" x14ac:dyDescent="0.25">
      <c r="A53">
        <v>17</v>
      </c>
      <c r="B53">
        <f>7.74-J36</f>
        <v>3.4169999999999998</v>
      </c>
      <c r="C53">
        <f>7.771-J36</f>
        <v>3.4479999999999995</v>
      </c>
      <c r="D53">
        <f>7.891-J36</f>
        <v>3.5679999999999996</v>
      </c>
      <c r="E53">
        <f>7.826-J36</f>
        <v>3.5029999999999992</v>
      </c>
      <c r="F53">
        <f>7.549-J36</f>
        <v>3.226</v>
      </c>
      <c r="G53">
        <f t="shared" si="7"/>
        <v>3.4323999999999999</v>
      </c>
      <c r="H53">
        <f t="shared" si="6"/>
        <v>0.12889259094300165</v>
      </c>
    </row>
    <row r="54" spans="1:17" x14ac:dyDescent="0.25">
      <c r="A54">
        <v>18</v>
      </c>
      <c r="B54">
        <f>8.02-J36</f>
        <v>3.6969999999999992</v>
      </c>
      <c r="C54">
        <f>8.944-J36</f>
        <v>4.6210000000000004</v>
      </c>
      <c r="D54">
        <f>7.566-J36</f>
        <v>3.2429999999999994</v>
      </c>
      <c r="E54">
        <f>8.155-J36</f>
        <v>3.831999999999999</v>
      </c>
      <c r="F54">
        <f>7.459-J36</f>
        <v>3.1359999999999992</v>
      </c>
      <c r="G54">
        <f t="shared" si="7"/>
        <v>3.7057999999999991</v>
      </c>
      <c r="H54">
        <f t="shared" si="6"/>
        <v>0.59001076261370444</v>
      </c>
    </row>
    <row r="55" spans="1:17" x14ac:dyDescent="0.25">
      <c r="A55">
        <v>19</v>
      </c>
      <c r="B55">
        <f>6.86-J36</f>
        <v>2.5369999999999999</v>
      </c>
      <c r="C55">
        <f>6.877-J36</f>
        <v>2.5539999999999994</v>
      </c>
      <c r="D55">
        <f>7.137-J36</f>
        <v>2.8139999999999992</v>
      </c>
      <c r="E55">
        <f>6.717-J36</f>
        <v>2.3939999999999992</v>
      </c>
      <c r="F55">
        <f>7.375-J36</f>
        <v>3.0519999999999996</v>
      </c>
      <c r="G55">
        <f t="shared" si="7"/>
        <v>2.6701999999999995</v>
      </c>
      <c r="H55">
        <f t="shared" si="6"/>
        <v>0.26171587647676248</v>
      </c>
    </row>
    <row r="56" spans="1:17" x14ac:dyDescent="0.25">
      <c r="A56">
        <v>20</v>
      </c>
      <c r="B56">
        <f>9.588-J36</f>
        <v>5.2649999999999988</v>
      </c>
      <c r="C56">
        <f>9.392-J36</f>
        <v>5.0689999999999991</v>
      </c>
      <c r="D56">
        <f>9.201-J36</f>
        <v>4.8780000000000001</v>
      </c>
      <c r="E56">
        <f>9.828-J36</f>
        <v>5.504999999999999</v>
      </c>
      <c r="F56">
        <f>9.642-J36</f>
        <v>5.3189999999999991</v>
      </c>
      <c r="G56">
        <f t="shared" si="7"/>
        <v>5.2071999999999994</v>
      </c>
      <c r="H56">
        <f t="shared" si="6"/>
        <v>0.24083023066052114</v>
      </c>
    </row>
    <row r="57" spans="1:17" x14ac:dyDescent="0.25">
      <c r="G57">
        <f>AVERAGE(G37:G56)</f>
        <v>5.06623</v>
      </c>
      <c r="H57">
        <f>_xlfn.STDEV.S(G37:G56)</f>
        <v>1.4259713841891455</v>
      </c>
    </row>
    <row r="59" spans="1:17" x14ac:dyDescent="0.25">
      <c r="A59" t="s">
        <v>1</v>
      </c>
      <c r="B59" t="s">
        <v>6</v>
      </c>
      <c r="J59" t="s">
        <v>5</v>
      </c>
      <c r="L59" t="s">
        <v>8</v>
      </c>
      <c r="M59" t="s">
        <v>3</v>
      </c>
      <c r="N59" t="s">
        <v>9</v>
      </c>
      <c r="O59" t="s">
        <v>10</v>
      </c>
      <c r="P59" t="s">
        <v>11</v>
      </c>
      <c r="Q59" t="s">
        <v>7</v>
      </c>
    </row>
    <row r="60" spans="1:17" x14ac:dyDescent="0.25">
      <c r="B60">
        <v>1</v>
      </c>
      <c r="C60">
        <v>2</v>
      </c>
      <c r="D60">
        <v>3</v>
      </c>
      <c r="E60">
        <v>4</v>
      </c>
      <c r="F60">
        <v>5</v>
      </c>
      <c r="G60" t="s">
        <v>2</v>
      </c>
      <c r="H60" t="s">
        <v>3</v>
      </c>
      <c r="J60">
        <v>3.3479999999999999</v>
      </c>
      <c r="L60">
        <f>G81/1.45</f>
        <v>2.183648275862069</v>
      </c>
      <c r="M60">
        <f>L60*SQRT((H81/G81)^2+(0.125/1.45)^2)</f>
        <v>0.7883546569814367</v>
      </c>
      <c r="N60">
        <f>L60+M60</f>
        <v>2.9720029328435058</v>
      </c>
      <c r="O60">
        <v>3</v>
      </c>
      <c r="P60">
        <v>5</v>
      </c>
      <c r="Q60" s="1">
        <f>5-3</f>
        <v>2</v>
      </c>
    </row>
    <row r="61" spans="1:17" x14ac:dyDescent="0.25">
      <c r="A61">
        <v>1</v>
      </c>
      <c r="B61">
        <f>5.474-J60</f>
        <v>2.1260000000000003</v>
      </c>
      <c r="C61">
        <f>5.534-J60</f>
        <v>2.1859999999999999</v>
      </c>
      <c r="D61">
        <f>5.589-J60</f>
        <v>2.2410000000000005</v>
      </c>
      <c r="E61">
        <f>5.451-J60</f>
        <v>2.1029999999999998</v>
      </c>
      <c r="F61">
        <f>5.55-J60</f>
        <v>2.202</v>
      </c>
      <c r="G61">
        <f>AVERAGE(B61:F61)</f>
        <v>2.1716000000000002</v>
      </c>
      <c r="H61">
        <f>_xlfn.STDEV.S(B61:F61)</f>
        <v>5.6420740867167092E-2</v>
      </c>
    </row>
    <row r="62" spans="1:17" x14ac:dyDescent="0.25">
      <c r="A62">
        <v>2</v>
      </c>
      <c r="B62">
        <f>5.134-J60</f>
        <v>1.7860000000000005</v>
      </c>
      <c r="C62">
        <f>5.236-J60</f>
        <v>1.8879999999999999</v>
      </c>
      <c r="D62">
        <f>5.115-J60</f>
        <v>1.7670000000000003</v>
      </c>
      <c r="E62">
        <f>5.168-J60</f>
        <v>1.8200000000000003</v>
      </c>
      <c r="F62">
        <f>5.179-J60</f>
        <v>1.8310000000000004</v>
      </c>
      <c r="G62">
        <f t="shared" ref="G62:G65" si="8">AVERAGE(B62:F62)</f>
        <v>1.8184000000000005</v>
      </c>
      <c r="H62">
        <f t="shared" ref="H62:H80" si="9">_xlfn.STDEV.S(B62:F62)</f>
        <v>4.6629389873769335E-2</v>
      </c>
    </row>
    <row r="63" spans="1:17" x14ac:dyDescent="0.25">
      <c r="A63">
        <v>3</v>
      </c>
      <c r="B63">
        <f>5.657-J60</f>
        <v>2.3090000000000002</v>
      </c>
      <c r="C63">
        <f>6.756-J60</f>
        <v>3.4080000000000004</v>
      </c>
      <c r="D63">
        <f>6.404-J60</f>
        <v>3.056</v>
      </c>
      <c r="E63">
        <f>6.829-J60</f>
        <v>3.4809999999999999</v>
      </c>
      <c r="F63">
        <f>6.327-J60</f>
        <v>2.9790000000000001</v>
      </c>
      <c r="G63">
        <f t="shared" si="8"/>
        <v>3.0466000000000002</v>
      </c>
      <c r="H63">
        <f t="shared" si="9"/>
        <v>0.46583934999095744</v>
      </c>
    </row>
    <row r="64" spans="1:17" x14ac:dyDescent="0.25">
      <c r="A64">
        <v>4</v>
      </c>
      <c r="B64">
        <f>5.556-J60</f>
        <v>2.2080000000000002</v>
      </c>
      <c r="C64">
        <f>5.577-J60</f>
        <v>2.2290000000000001</v>
      </c>
      <c r="D64">
        <f>5.388-J60</f>
        <v>2.04</v>
      </c>
      <c r="E64">
        <f>5.304-J60</f>
        <v>1.9560000000000004</v>
      </c>
      <c r="F64">
        <f>5.301-J60</f>
        <v>1.9530000000000003</v>
      </c>
      <c r="G64">
        <f t="shared" si="8"/>
        <v>2.0771999999999999</v>
      </c>
      <c r="H64">
        <f t="shared" si="9"/>
        <v>0.13383833531540945</v>
      </c>
      <c r="P64" s="2"/>
    </row>
    <row r="65" spans="1:8" x14ac:dyDescent="0.25">
      <c r="A65">
        <v>5</v>
      </c>
      <c r="B65">
        <f>6.639-J60</f>
        <v>3.2910000000000004</v>
      </c>
      <c r="C65">
        <f>6.645-J60</f>
        <v>3.2969999999999997</v>
      </c>
      <c r="D65">
        <f>6.545-J60</f>
        <v>3.1970000000000001</v>
      </c>
      <c r="E65">
        <f>6.376-J60</f>
        <v>3.0280000000000005</v>
      </c>
      <c r="F65">
        <f>6.541-J60</f>
        <v>3.1930000000000005</v>
      </c>
      <c r="G65">
        <f t="shared" si="8"/>
        <v>3.2012</v>
      </c>
      <c r="H65">
        <f t="shared" si="9"/>
        <v>0.10877131974927931</v>
      </c>
    </row>
    <row r="66" spans="1:8" x14ac:dyDescent="0.25">
      <c r="A66">
        <v>6</v>
      </c>
      <c r="B66">
        <f>9.566-J60</f>
        <v>6.2180000000000009</v>
      </c>
      <c r="C66">
        <f>9.11-J60</f>
        <v>5.7619999999999996</v>
      </c>
      <c r="D66">
        <f>9.548-J60</f>
        <v>6.2</v>
      </c>
      <c r="E66">
        <f>9.649-J60</f>
        <v>6.3009999999999993</v>
      </c>
      <c r="F66">
        <f>9.339-J60</f>
        <v>5.9910000000000005</v>
      </c>
      <c r="G66">
        <f>AVERAGE(B66:F66)</f>
        <v>6.0943999999999994</v>
      </c>
      <c r="H66">
        <f t="shared" si="9"/>
        <v>0.21811304408494239</v>
      </c>
    </row>
    <row r="67" spans="1:8" x14ac:dyDescent="0.25">
      <c r="A67">
        <v>7</v>
      </c>
      <c r="B67">
        <f>7.234-J60</f>
        <v>3.8860000000000001</v>
      </c>
      <c r="C67">
        <f>7.027-J60</f>
        <v>3.6790000000000003</v>
      </c>
      <c r="D67">
        <f>7.219-J60</f>
        <v>3.8710000000000004</v>
      </c>
      <c r="E67">
        <f>7.292-J60</f>
        <v>3.944</v>
      </c>
      <c r="F67">
        <f>7.301-J60</f>
        <v>3.9530000000000003</v>
      </c>
      <c r="G67">
        <f t="shared" ref="G67:G80" si="10">AVERAGE(B67:F67)</f>
        <v>3.8665999999999996</v>
      </c>
      <c r="H67">
        <f t="shared" si="9"/>
        <v>0.11073075453549475</v>
      </c>
    </row>
    <row r="68" spans="1:8" x14ac:dyDescent="0.25">
      <c r="A68">
        <v>8</v>
      </c>
      <c r="B68">
        <f>5.868-J60</f>
        <v>2.5200000000000005</v>
      </c>
      <c r="C68">
        <f>5.856-J60</f>
        <v>2.508</v>
      </c>
      <c r="D68">
        <f>6.303-J60</f>
        <v>2.9550000000000001</v>
      </c>
      <c r="E68">
        <f>6.182-J60</f>
        <v>2.8340000000000005</v>
      </c>
      <c r="F68">
        <f>6.203-J60</f>
        <v>2.8550000000000004</v>
      </c>
      <c r="G68">
        <f t="shared" si="10"/>
        <v>2.7343999999999999</v>
      </c>
      <c r="H68">
        <f t="shared" si="9"/>
        <v>0.20636932911651387</v>
      </c>
    </row>
    <row r="69" spans="1:8" x14ac:dyDescent="0.25">
      <c r="A69">
        <v>9</v>
      </c>
      <c r="B69">
        <f>5.355-J60</f>
        <v>2.0070000000000006</v>
      </c>
      <c r="C69">
        <f>5.38-J60</f>
        <v>2.032</v>
      </c>
      <c r="D69">
        <f>6.544-J60</f>
        <v>3.1959999999999997</v>
      </c>
      <c r="E69">
        <f>6.387-J60</f>
        <v>3.0389999999999997</v>
      </c>
      <c r="F69">
        <f>6.742-J60</f>
        <v>3.3940000000000001</v>
      </c>
      <c r="G69">
        <f t="shared" si="10"/>
        <v>2.7336</v>
      </c>
      <c r="H69">
        <f t="shared" si="9"/>
        <v>0.66396558645761095</v>
      </c>
    </row>
    <row r="70" spans="1:8" x14ac:dyDescent="0.25">
      <c r="A70">
        <v>10</v>
      </c>
      <c r="B70">
        <f>5.05-J60</f>
        <v>1.702</v>
      </c>
      <c r="C70">
        <f>5.761-J60</f>
        <v>2.4130000000000003</v>
      </c>
      <c r="D70">
        <f>7.12-J60</f>
        <v>3.7720000000000002</v>
      </c>
      <c r="E70">
        <f>6.89-J60</f>
        <v>3.5419999999999998</v>
      </c>
      <c r="F70">
        <f>6.829-J60</f>
        <v>3.4809999999999999</v>
      </c>
      <c r="G70">
        <f t="shared" si="10"/>
        <v>2.9820000000000002</v>
      </c>
      <c r="H70">
        <f t="shared" si="9"/>
        <v>0.88725165539434303</v>
      </c>
    </row>
    <row r="71" spans="1:8" x14ac:dyDescent="0.25">
      <c r="A71">
        <v>11</v>
      </c>
      <c r="B71">
        <f>7.083-J60</f>
        <v>3.7350000000000003</v>
      </c>
      <c r="C71">
        <f>6.916-J60</f>
        <v>3.5680000000000005</v>
      </c>
      <c r="D71">
        <f>6.951-J60</f>
        <v>3.6029999999999998</v>
      </c>
      <c r="E71">
        <f>6.966-J60</f>
        <v>3.6180000000000003</v>
      </c>
      <c r="F71">
        <f>7.048-J60</f>
        <v>3.7</v>
      </c>
      <c r="G71">
        <f t="shared" si="10"/>
        <v>3.6448</v>
      </c>
      <c r="H71">
        <f t="shared" si="9"/>
        <v>6.9904935448078354E-2</v>
      </c>
    </row>
    <row r="72" spans="1:8" x14ac:dyDescent="0.25">
      <c r="A72">
        <v>12</v>
      </c>
      <c r="B72">
        <f>9.539-J60</f>
        <v>6.1909999999999998</v>
      </c>
      <c r="C72">
        <f>9.486-J60</f>
        <v>6.1380000000000008</v>
      </c>
      <c r="D72">
        <f>9.534-J60</f>
        <v>6.1860000000000008</v>
      </c>
      <c r="E72">
        <f>8.751-J60</f>
        <v>5.4029999999999996</v>
      </c>
      <c r="F72">
        <f>9.413-J60</f>
        <v>6.0650000000000004</v>
      </c>
      <c r="G72">
        <f t="shared" si="10"/>
        <v>5.9965999999999999</v>
      </c>
      <c r="H72">
        <f t="shared" si="9"/>
        <v>0.33566992716059663</v>
      </c>
    </row>
    <row r="73" spans="1:8" x14ac:dyDescent="0.25">
      <c r="A73">
        <v>13</v>
      </c>
      <c r="B73">
        <f>5.914-J60</f>
        <v>2.5659999999999998</v>
      </c>
      <c r="C73">
        <f>6.579-J60</f>
        <v>3.2309999999999999</v>
      </c>
      <c r="D73">
        <f>6.517-J60</f>
        <v>3.1690000000000005</v>
      </c>
      <c r="E73">
        <f>6.117-J60</f>
        <v>2.7690000000000001</v>
      </c>
      <c r="F73">
        <f>6.398-J60</f>
        <v>3.05</v>
      </c>
      <c r="G73">
        <f t="shared" si="10"/>
        <v>2.9569999999999999</v>
      </c>
      <c r="H73">
        <f t="shared" si="9"/>
        <v>0.28146669429969873</v>
      </c>
    </row>
    <row r="74" spans="1:8" x14ac:dyDescent="0.25">
      <c r="A74">
        <v>14</v>
      </c>
      <c r="B74">
        <f>6.738-J60</f>
        <v>3.3900000000000006</v>
      </c>
      <c r="C74">
        <f>6.881-J60</f>
        <v>3.5330000000000004</v>
      </c>
      <c r="D74">
        <f>6.74-J60</f>
        <v>3.3920000000000003</v>
      </c>
      <c r="E74">
        <f>6.657-J60</f>
        <v>3.3090000000000002</v>
      </c>
      <c r="F74">
        <f>6.679-J60</f>
        <v>3.3310000000000004</v>
      </c>
      <c r="G74">
        <f t="shared" si="10"/>
        <v>3.3910000000000005</v>
      </c>
      <c r="H74">
        <f t="shared" si="9"/>
        <v>8.7306929850957463E-2</v>
      </c>
    </row>
    <row r="75" spans="1:8" x14ac:dyDescent="0.25">
      <c r="A75">
        <v>15</v>
      </c>
      <c r="B75">
        <f>6.187-J60</f>
        <v>2.8390000000000004</v>
      </c>
      <c r="C75">
        <f>6.483-J60</f>
        <v>3.1349999999999998</v>
      </c>
      <c r="D75">
        <f>6.515-J60</f>
        <v>3.1669999999999998</v>
      </c>
      <c r="E75">
        <f>6.414-J60</f>
        <v>3.0659999999999998</v>
      </c>
      <c r="F75">
        <f>6.154-J60</f>
        <v>2.806</v>
      </c>
      <c r="G75">
        <f t="shared" si="10"/>
        <v>3.0026000000000002</v>
      </c>
      <c r="H75">
        <f t="shared" si="9"/>
        <v>0.1688143951207951</v>
      </c>
    </row>
    <row r="76" spans="1:8" x14ac:dyDescent="0.25">
      <c r="A76">
        <v>16</v>
      </c>
      <c r="B76">
        <f>6.813-J60</f>
        <v>3.4649999999999999</v>
      </c>
      <c r="C76">
        <f>6.326-J60</f>
        <v>2.9779999999999998</v>
      </c>
      <c r="D76">
        <f>6.855-J60</f>
        <v>3.5070000000000006</v>
      </c>
      <c r="E76">
        <f>6.271-J60</f>
        <v>2.923</v>
      </c>
      <c r="F76">
        <f>6.42-J60</f>
        <v>3.0720000000000001</v>
      </c>
      <c r="G76">
        <f t="shared" si="10"/>
        <v>3.1890000000000001</v>
      </c>
      <c r="H76">
        <f t="shared" si="9"/>
        <v>0.27670652323355172</v>
      </c>
    </row>
    <row r="77" spans="1:8" x14ac:dyDescent="0.25">
      <c r="A77">
        <v>17</v>
      </c>
      <c r="B77">
        <f>5.618-J60</f>
        <v>2.2700000000000005</v>
      </c>
      <c r="C77">
        <f>5.574-J60</f>
        <v>2.226</v>
      </c>
      <c r="D77">
        <f>5.609-J60</f>
        <v>2.2610000000000001</v>
      </c>
      <c r="E77">
        <f>5.653-J60</f>
        <v>2.3049999999999997</v>
      </c>
      <c r="F77">
        <f>5.51-J60</f>
        <v>2.1619999999999999</v>
      </c>
      <c r="G77">
        <f t="shared" si="10"/>
        <v>2.2448000000000001</v>
      </c>
      <c r="H77">
        <f t="shared" si="9"/>
        <v>5.4154408869454031E-2</v>
      </c>
    </row>
    <row r="78" spans="1:8" x14ac:dyDescent="0.25">
      <c r="A78">
        <v>18</v>
      </c>
      <c r="B78">
        <f>6.047-J60</f>
        <v>2.6989999999999998</v>
      </c>
      <c r="C78">
        <f>5.946-J60</f>
        <v>2.5979999999999999</v>
      </c>
      <c r="D78">
        <f>5.978-J60</f>
        <v>2.63</v>
      </c>
      <c r="E78">
        <f>6.018-J60</f>
        <v>2.67</v>
      </c>
      <c r="F78">
        <f>6.015-J60</f>
        <v>2.6669999999999998</v>
      </c>
      <c r="G78">
        <f t="shared" si="10"/>
        <v>2.6528</v>
      </c>
      <c r="H78">
        <f t="shared" si="9"/>
        <v>3.9226266709948318E-2</v>
      </c>
    </row>
    <row r="79" spans="1:8" x14ac:dyDescent="0.25">
      <c r="A79">
        <v>19</v>
      </c>
      <c r="B79">
        <f>5.823-J60</f>
        <v>2.4750000000000005</v>
      </c>
      <c r="C79">
        <f>5.694-J60</f>
        <v>2.3460000000000001</v>
      </c>
      <c r="D79">
        <f>6.052-J60</f>
        <v>2.7039999999999997</v>
      </c>
      <c r="E79">
        <f>5.74-J60</f>
        <v>2.3920000000000003</v>
      </c>
      <c r="F79">
        <f>5.965-J60</f>
        <v>2.617</v>
      </c>
      <c r="G79">
        <f t="shared" si="10"/>
        <v>2.5068000000000006</v>
      </c>
      <c r="H79">
        <f t="shared" si="9"/>
        <v>0.15089632202277145</v>
      </c>
    </row>
    <row r="80" spans="1:8" x14ac:dyDescent="0.25">
      <c r="A80">
        <v>20</v>
      </c>
      <c r="B80">
        <f>6.396-J60</f>
        <v>3.048</v>
      </c>
      <c r="C80">
        <f>6.332-J60</f>
        <v>2.984</v>
      </c>
      <c r="D80">
        <f>6.398-J60</f>
        <v>3.05</v>
      </c>
      <c r="E80">
        <f>6.459-J60</f>
        <v>3.1109999999999998</v>
      </c>
      <c r="F80">
        <f>6.227-J60</f>
        <v>2.8790000000000004</v>
      </c>
      <c r="G80">
        <f t="shared" si="10"/>
        <v>3.0144000000000006</v>
      </c>
      <c r="H80">
        <f t="shared" si="9"/>
        <v>8.8013067211636001E-2</v>
      </c>
    </row>
    <row r="81" spans="7:8" x14ac:dyDescent="0.25">
      <c r="G81">
        <f>AVERAGE(G61:G80)</f>
        <v>3.16629</v>
      </c>
      <c r="H81">
        <f>_xlfn.STDEV.S(G61:G80)</f>
        <v>1.1100473853802264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Treacher</dc:creator>
  <cp:lastModifiedBy>Ned Treacher</cp:lastModifiedBy>
  <dcterms:created xsi:type="dcterms:W3CDTF">2015-06-05T18:17:20Z</dcterms:created>
  <dcterms:modified xsi:type="dcterms:W3CDTF">2023-09-17T20:46:07Z</dcterms:modified>
</cp:coreProperties>
</file>