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ori\Downloads\"/>
    </mc:Choice>
  </mc:AlternateContent>
  <xr:revisionPtr revIDLastSave="0" documentId="13_ncr:1_{9CED1C59-9992-4A49-8B3E-3959E9989C5E}" xr6:coauthVersionLast="47" xr6:coauthVersionMax="47" xr10:uidLastSave="{00000000-0000-0000-0000-000000000000}"/>
  <bookViews>
    <workbookView xWindow="-98" yWindow="-98" windowWidth="23236" windowHeight="13875" xr2:uid="{73F90317-CE55-4AA6-81CD-379532854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2" i="1"/>
  <c r="D26" i="1"/>
  <c r="I24" i="1"/>
  <c r="I23" i="1"/>
  <c r="F24" i="1"/>
  <c r="F23" i="1"/>
  <c r="D24" i="1"/>
  <c r="N23" i="1"/>
  <c r="O24" i="1"/>
  <c r="D22" i="1"/>
  <c r="F22" i="1"/>
  <c r="I22" i="1"/>
  <c r="H22" i="1"/>
  <c r="H23" i="1"/>
  <c r="H24" i="1"/>
  <c r="G22" i="1"/>
  <c r="G23" i="1"/>
  <c r="G24" i="1"/>
  <c r="D21" i="1"/>
  <c r="F21" i="1"/>
  <c r="G21" i="1"/>
  <c r="H21" i="1"/>
  <c r="I21" i="1"/>
  <c r="L22" i="1"/>
  <c r="K21" i="1"/>
  <c r="O17" i="1"/>
  <c r="N17" i="1"/>
  <c r="O16" i="1"/>
  <c r="N16" i="1"/>
  <c r="F13" i="1"/>
  <c r="I13" i="1" s="1"/>
  <c r="K13" i="1" s="1"/>
  <c r="F8" i="1"/>
  <c r="I8" i="1" s="1"/>
  <c r="K8" i="1" s="1"/>
  <c r="F9" i="1"/>
  <c r="I9" i="1" s="1"/>
  <c r="L9" i="1" s="1"/>
  <c r="F10" i="1"/>
  <c r="I10" i="1" s="1"/>
  <c r="K10" i="1" s="1"/>
  <c r="F11" i="1"/>
  <c r="I11" i="1" s="1"/>
  <c r="K11" i="1" s="1"/>
  <c r="F12" i="1"/>
  <c r="I12" i="1" s="1"/>
  <c r="K12" i="1" s="1"/>
  <c r="F7" i="1"/>
  <c r="I7" i="1" s="1"/>
  <c r="K7" i="1" s="1"/>
  <c r="D23" i="1" l="1"/>
  <c r="L12" i="1"/>
  <c r="L13" i="1"/>
  <c r="L11" i="1"/>
  <c r="K16" i="1"/>
  <c r="K9" i="1"/>
  <c r="K17" i="1" s="1"/>
  <c r="L10" i="1"/>
  <c r="L7" i="1"/>
  <c r="L8" i="1"/>
  <c r="L16" i="1" l="1"/>
  <c r="L17" i="1"/>
</calcChain>
</file>

<file path=xl/sharedStrings.xml><?xml version="1.0" encoding="utf-8"?>
<sst xmlns="http://schemas.openxmlformats.org/spreadsheetml/2006/main" count="35" uniqueCount="35">
  <si>
    <t>Company Name</t>
  </si>
  <si>
    <t>Share Price</t>
  </si>
  <si>
    <t>Number of Shares Outstanding</t>
  </si>
  <si>
    <t>Market Cap</t>
  </si>
  <si>
    <t>Debt</t>
  </si>
  <si>
    <t>Enterprise Value</t>
  </si>
  <si>
    <t>EV/Sales</t>
  </si>
  <si>
    <t>EV/EBITDA</t>
  </si>
  <si>
    <t>P/E</t>
  </si>
  <si>
    <t>P/B</t>
  </si>
  <si>
    <t>Comps Analysis IT Companies</t>
  </si>
  <si>
    <t>Infosys</t>
  </si>
  <si>
    <t>KPIT</t>
  </si>
  <si>
    <t>Wipro</t>
  </si>
  <si>
    <t>TCS</t>
  </si>
  <si>
    <t>HCL</t>
  </si>
  <si>
    <t>L&amp;T Infotech</t>
  </si>
  <si>
    <t>Cash</t>
  </si>
  <si>
    <t>Enterprise Ratios</t>
  </si>
  <si>
    <t>Market Ratios</t>
  </si>
  <si>
    <t>Financial Data</t>
  </si>
  <si>
    <t>Tech Mahindra</t>
  </si>
  <si>
    <t>Average</t>
  </si>
  <si>
    <t>Median</t>
  </si>
  <si>
    <t>Happiest Minds Technologies</t>
  </si>
  <si>
    <t>Average Share Price</t>
  </si>
  <si>
    <t>All figures in crores.</t>
  </si>
  <si>
    <t>Share Price Range</t>
  </si>
  <si>
    <t>₹403-₹457</t>
  </si>
  <si>
    <t>Happiest Minds Current Share Price</t>
  </si>
  <si>
    <t>Expected Share Price</t>
  </si>
  <si>
    <t>Buy/Short Recommendation</t>
  </si>
  <si>
    <t>Short</t>
  </si>
  <si>
    <t>Return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</si>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</sst>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&quot;x&quot;"/>
    <numFmt numFmtId="172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37" fontId="0" fillId="0" borderId="0" xfId="0" applyNumberFormat="1"/>
    <xf numFmtId="37" fontId="0" fillId="2" borderId="0" xfId="0" applyNumberFormat="1" applyFill="1"/>
    <xf numFmtId="37" fontId="1" fillId="2" borderId="0" xfId="0" applyNumberFormat="1" applyFont="1" applyFill="1"/>
    <xf numFmtId="37" fontId="2" fillId="2" borderId="0" xfId="0" applyNumberFormat="1" applyFont="1" applyFill="1" applyAlignment="1">
      <alignment horizontal="left"/>
    </xf>
    <xf numFmtId="37" fontId="1" fillId="2" borderId="0" xfId="0" applyNumberFormat="1" applyFont="1" applyFill="1" applyAlignment="1">
      <alignment horizontal="left"/>
    </xf>
    <xf numFmtId="37" fontId="3" fillId="2" borderId="0" xfId="0" applyNumberFormat="1" applyFont="1" applyFill="1" applyBorder="1" applyAlignment="1">
      <alignment horizontal="center"/>
    </xf>
    <xf numFmtId="37" fontId="1" fillId="2" borderId="0" xfId="0" applyNumberFormat="1" applyFont="1" applyFill="1" applyBorder="1"/>
    <xf numFmtId="37" fontId="1" fillId="2" borderId="1" xfId="0" applyNumberFormat="1" applyFont="1" applyFill="1" applyBorder="1"/>
    <xf numFmtId="39" fontId="0" fillId="0" borderId="0" xfId="0" applyNumberFormat="1"/>
    <xf numFmtId="37" fontId="3" fillId="2" borderId="2" xfId="0" applyNumberFormat="1" applyFont="1" applyFill="1" applyBorder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center"/>
    </xf>
    <xf numFmtId="171" fontId="0" fillId="0" borderId="0" xfId="0" applyNumberFormat="1"/>
    <xf numFmtId="37" fontId="0" fillId="0" borderId="3" xfId="0" applyNumberFormat="1" applyBorder="1"/>
    <xf numFmtId="37" fontId="6" fillId="0" borderId="3" xfId="0" applyNumberFormat="1" applyFont="1" applyBorder="1"/>
    <xf numFmtId="37" fontId="6" fillId="0" borderId="0" xfId="0" applyNumberFormat="1" applyFont="1"/>
    <xf numFmtId="37" fontId="5" fillId="3" borderId="0" xfId="0" applyNumberFormat="1" applyFont="1" applyFill="1"/>
    <xf numFmtId="37" fontId="5" fillId="3" borderId="0" xfId="0" applyNumberFormat="1" applyFont="1" applyFill="1" applyBorder="1"/>
    <xf numFmtId="172" fontId="5" fillId="3" borderId="4" xfId="0" applyNumberFormat="1" applyFont="1" applyFill="1" applyBorder="1" applyAlignment="1">
      <alignment horizontal="right"/>
    </xf>
    <xf numFmtId="172" fontId="5" fillId="3" borderId="4" xfId="0" applyNumberFormat="1" applyFont="1" applyFill="1" applyBorder="1"/>
    <xf numFmtId="37" fontId="0" fillId="0" borderId="0" xfId="0" applyNumberFormat="1" applyAlignment="1">
      <alignment horizontal="right"/>
    </xf>
    <xf numFmtId="9" fontId="6" fillId="0" borderId="0" xfId="1" applyFont="1"/>
    <xf numFmtId="37" fontId="1" fillId="3" borderId="0" xfId="0" applyNumberFormat="1" applyFont="1" applyFill="1"/>
    <xf numFmtId="171" fontId="1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8450-4B27-4516-804A-7CAB09523FF2}">
  <dimension ref="A1:AB34"/>
  <sheetViews>
    <sheetView showGridLines="0" tabSelected="1" workbookViewId="0">
      <selection activeCell="B22" sqref="B22"/>
    </sheetView>
  </sheetViews>
  <sheetFormatPr defaultColWidth="9.1328125" defaultRowHeight="14.25" x14ac:dyDescent="0.45"/>
  <cols>
    <col min="1" max="1" width="10.86328125" style="1" customWidth="1"/>
    <col min="2" max="2" width="3" style="1" customWidth="1"/>
    <col min="3" max="3" width="17.9296875" style="1" customWidth="1"/>
    <col min="4" max="4" width="13" style="1" customWidth="1"/>
    <col min="5" max="5" width="29.3984375" style="1" customWidth="1"/>
    <col min="6" max="6" width="16.3984375" style="1" customWidth="1"/>
    <col min="7" max="8" width="11" style="1" customWidth="1"/>
    <col min="9" max="9" width="15.86328125" style="1" bestFit="1" customWidth="1"/>
    <col min="10" max="10" width="4.265625" style="1" customWidth="1"/>
    <col min="11" max="11" width="12" style="1" customWidth="1"/>
    <col min="12" max="12" width="10.3984375" style="1" bestFit="1" customWidth="1"/>
    <col min="13" max="13" width="7.86328125" style="1" customWidth="1"/>
    <col min="14" max="14" width="10" style="1" customWidth="1"/>
    <col min="15" max="15" width="9.73046875" style="1" customWidth="1"/>
    <col min="16" max="16" width="2.33203125" style="1" customWidth="1"/>
    <col min="17" max="16384" width="9.1328125" style="1"/>
  </cols>
  <sheetData>
    <row r="1" spans="1:28" ht="15" customHeight="1" x14ac:dyDescent="0.75">
      <c r="A1" s="5" t="s">
        <v>26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2"/>
    </row>
    <row r="2" spans="1:28" ht="28.5" customHeight="1" x14ac:dyDescent="0.75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</row>
    <row r="4" spans="1:28" ht="5.25" customHeight="1" x14ac:dyDescent="0.45"/>
    <row r="5" spans="1:28" ht="21" x14ac:dyDescent="0.65">
      <c r="B5" s="7"/>
      <c r="C5" s="10" t="s">
        <v>20</v>
      </c>
      <c r="D5" s="10"/>
      <c r="E5" s="10"/>
      <c r="F5" s="10"/>
      <c r="G5" s="10"/>
      <c r="H5" s="10"/>
      <c r="I5" s="10"/>
      <c r="J5" s="7"/>
      <c r="K5" s="11" t="s">
        <v>18</v>
      </c>
      <c r="L5" s="11"/>
      <c r="M5" s="6"/>
      <c r="N5" s="11" t="s">
        <v>19</v>
      </c>
      <c r="O5" s="11"/>
      <c r="P5" s="7"/>
    </row>
    <row r="6" spans="1:28" x14ac:dyDescent="0.45">
      <c r="B6" s="7"/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17</v>
      </c>
      <c r="I6" s="3" t="s">
        <v>5</v>
      </c>
      <c r="J6" s="3"/>
      <c r="K6" s="8" t="s">
        <v>6</v>
      </c>
      <c r="L6" s="8" t="s">
        <v>7</v>
      </c>
      <c r="M6" s="3"/>
      <c r="N6" s="12" t="s">
        <v>8</v>
      </c>
      <c r="O6" s="12" t="s">
        <v>9</v>
      </c>
      <c r="P6" s="7"/>
    </row>
    <row r="7" spans="1:28" x14ac:dyDescent="0.45">
      <c r="C7" s="1" t="s">
        <v>11</v>
      </c>
      <c r="D7" s="1">
        <v>1900</v>
      </c>
      <c r="E7" s="9">
        <v>420.56</v>
      </c>
      <c r="F7" s="1">
        <f>D7*E7</f>
        <v>799064</v>
      </c>
      <c r="G7" s="1">
        <v>0</v>
      </c>
      <c r="H7" s="1">
        <v>27056</v>
      </c>
      <c r="I7" s="1">
        <f>F7+G7-H7</f>
        <v>772008</v>
      </c>
      <c r="K7" s="13">
        <f>I7/109736</f>
        <v>7.0351388787635782</v>
      </c>
      <c r="L7" s="13">
        <f>I7/30090</f>
        <v>25.656630109670989</v>
      </c>
      <c r="M7" s="13"/>
      <c r="N7" s="13">
        <v>38.04</v>
      </c>
      <c r="O7" s="13">
        <v>11.36</v>
      </c>
    </row>
    <row r="8" spans="1:28" x14ac:dyDescent="0.45">
      <c r="C8" s="1" t="s">
        <v>12</v>
      </c>
      <c r="D8" s="1">
        <v>609</v>
      </c>
      <c r="E8" s="9">
        <v>27.41</v>
      </c>
      <c r="F8" s="1">
        <f t="shared" ref="F8:F13" si="0">D8*E8</f>
        <v>16692.689999999999</v>
      </c>
      <c r="G8" s="1">
        <v>3.13</v>
      </c>
      <c r="H8" s="1">
        <v>826.96</v>
      </c>
      <c r="I8" s="1">
        <f t="shared" ref="I8:I13" si="1">F8+G8-H8</f>
        <v>15868.86</v>
      </c>
      <c r="K8" s="13">
        <f>I8/2215.83</f>
        <v>7.1615873058853801</v>
      </c>
      <c r="L8" s="13">
        <f>I8/408.8</f>
        <v>38.81815068493151</v>
      </c>
      <c r="M8" s="13"/>
      <c r="N8" s="13">
        <v>78.56</v>
      </c>
      <c r="O8" s="13">
        <v>13.14</v>
      </c>
    </row>
    <row r="9" spans="1:28" x14ac:dyDescent="0.45">
      <c r="C9" s="1" t="s">
        <v>13</v>
      </c>
      <c r="D9" s="1">
        <v>719</v>
      </c>
      <c r="E9" s="9">
        <v>548.13</v>
      </c>
      <c r="F9" s="1">
        <f t="shared" si="0"/>
        <v>394105.47</v>
      </c>
      <c r="G9" s="1">
        <v>8333.2000000000007</v>
      </c>
      <c r="H9" s="1">
        <v>34550</v>
      </c>
      <c r="I9" s="1">
        <f t="shared" si="1"/>
        <v>367888.67</v>
      </c>
      <c r="K9" s="13">
        <f>I9/70051.7</f>
        <v>5.2516736924300194</v>
      </c>
      <c r="L9" s="13">
        <f>I9/17162.1</f>
        <v>21.436110382762017</v>
      </c>
      <c r="M9" s="13"/>
      <c r="N9" s="13">
        <v>32.36</v>
      </c>
      <c r="O9" s="13">
        <v>6.35</v>
      </c>
    </row>
    <row r="10" spans="1:28" x14ac:dyDescent="0.45">
      <c r="C10" s="1" t="s">
        <v>14</v>
      </c>
      <c r="D10" s="1">
        <v>3815</v>
      </c>
      <c r="E10" s="9">
        <v>369.90513729999998</v>
      </c>
      <c r="F10" s="1">
        <f t="shared" si="0"/>
        <v>1411188.0987994999</v>
      </c>
      <c r="G10" s="1">
        <v>0</v>
      </c>
      <c r="H10" s="1">
        <v>38489</v>
      </c>
      <c r="I10" s="1">
        <f t="shared" si="1"/>
        <v>1372699.0987994999</v>
      </c>
      <c r="K10" s="13">
        <f>I10/177998</f>
        <v>7.7118793402144963</v>
      </c>
      <c r="L10" s="13">
        <f>I10/49680</f>
        <v>27.630819218991544</v>
      </c>
      <c r="M10" s="13"/>
      <c r="N10" s="13">
        <v>37.79</v>
      </c>
      <c r="O10" s="13">
        <v>14.38</v>
      </c>
    </row>
    <row r="11" spans="1:28" x14ac:dyDescent="0.45">
      <c r="C11" s="1" t="s">
        <v>15</v>
      </c>
      <c r="D11" s="1">
        <v>1324</v>
      </c>
      <c r="E11" s="9">
        <v>271.36650959999997</v>
      </c>
      <c r="F11" s="1">
        <f t="shared" si="0"/>
        <v>359289.25871039997</v>
      </c>
      <c r="G11" s="1">
        <v>3907</v>
      </c>
      <c r="H11" s="1">
        <v>15661</v>
      </c>
      <c r="I11" s="1">
        <f t="shared" si="1"/>
        <v>347535.25871039997</v>
      </c>
      <c r="K11" s="13">
        <f>I11/79666</f>
        <v>4.3624037696181555</v>
      </c>
      <c r="L11" s="13">
        <f>I11/20975</f>
        <v>16.569023061282479</v>
      </c>
      <c r="M11" s="13"/>
      <c r="N11" s="13">
        <v>31.02</v>
      </c>
      <c r="O11" s="13">
        <v>5.9</v>
      </c>
    </row>
    <row r="12" spans="1:28" x14ac:dyDescent="0.45">
      <c r="C12" s="1" t="s">
        <v>16</v>
      </c>
      <c r="D12" s="1">
        <v>7520</v>
      </c>
      <c r="E12" s="9">
        <v>17.522279600000001</v>
      </c>
      <c r="F12" s="1">
        <f t="shared" si="0"/>
        <v>131767.54259200001</v>
      </c>
      <c r="G12" s="1">
        <v>41.4</v>
      </c>
      <c r="H12" s="1">
        <v>4387.6000000000004</v>
      </c>
      <c r="I12" s="1">
        <f t="shared" si="1"/>
        <v>127421.342592</v>
      </c>
      <c r="K12" s="13">
        <f>I12/13651.7</f>
        <v>9.3337344500684889</v>
      </c>
      <c r="L12" s="13">
        <f>I12/2999.5</f>
        <v>42.480861007501254</v>
      </c>
      <c r="M12" s="13"/>
      <c r="N12" s="13">
        <v>60.81</v>
      </c>
      <c r="O12" s="13">
        <v>16.47</v>
      </c>
    </row>
    <row r="13" spans="1:28" x14ac:dyDescent="0.45">
      <c r="C13" s="1" t="s">
        <v>21</v>
      </c>
      <c r="D13" s="1">
        <v>1783.15</v>
      </c>
      <c r="E13" s="9">
        <v>97.058995300000007</v>
      </c>
      <c r="F13" s="1">
        <f t="shared" si="0"/>
        <v>173070.74746919502</v>
      </c>
      <c r="G13" s="1">
        <v>1692.8</v>
      </c>
      <c r="H13" s="1">
        <v>12497.1</v>
      </c>
      <c r="I13" s="1">
        <f t="shared" si="1"/>
        <v>162266.447469195</v>
      </c>
      <c r="K13" s="13">
        <f>I13/40455.9</f>
        <v>4.0109464248526168</v>
      </c>
      <c r="L13" s="13">
        <f>I13/7583.4</f>
        <v>21.397585182002139</v>
      </c>
      <c r="M13" s="13"/>
      <c r="N13" s="13">
        <v>34.19</v>
      </c>
      <c r="O13" s="13">
        <v>6.9</v>
      </c>
    </row>
    <row r="14" spans="1:28" x14ac:dyDescent="0.45">
      <c r="K14" s="13"/>
      <c r="L14" s="13"/>
      <c r="M14" s="13"/>
      <c r="N14" s="13"/>
      <c r="O14" s="13"/>
    </row>
    <row r="15" spans="1:28" x14ac:dyDescent="0.45">
      <c r="K15" s="13"/>
      <c r="L15" s="13"/>
      <c r="M15" s="13"/>
      <c r="N15" s="13"/>
      <c r="O15" s="13"/>
    </row>
    <row r="16" spans="1:28" x14ac:dyDescent="0.45">
      <c r="I16" s="18" t="s">
        <v>22</v>
      </c>
      <c r="J16" s="23"/>
      <c r="K16" s="24">
        <f>AVERAGE(K7:K13)</f>
        <v>6.409623408833248</v>
      </c>
      <c r="L16" s="24">
        <f t="shared" ref="L16" si="2">AVERAGE(L7:L13)</f>
        <v>27.712739949591704</v>
      </c>
      <c r="M16" s="24"/>
      <c r="N16" s="24">
        <f>AVERAGE(N7:N13)</f>
        <v>44.681428571428569</v>
      </c>
      <c r="O16" s="24">
        <f t="shared" ref="O16" si="3">AVERAGE(O7:O13)</f>
        <v>10.642857142857142</v>
      </c>
      <c r="P16" s="23"/>
    </row>
    <row r="17" spans="3:16" x14ac:dyDescent="0.45">
      <c r="I17" s="17" t="s">
        <v>23</v>
      </c>
      <c r="J17" s="23"/>
      <c r="K17" s="24">
        <f>MEDIAN(K7:K13)</f>
        <v>7.0351388787635782</v>
      </c>
      <c r="L17" s="24">
        <f t="shared" ref="L17" si="4">MEDIAN(L7:L13)</f>
        <v>25.656630109670989</v>
      </c>
      <c r="M17" s="24"/>
      <c r="N17" s="24">
        <f>MEDIAN(N7:N13)</f>
        <v>37.79</v>
      </c>
      <c r="O17" s="24">
        <f t="shared" ref="O17" si="5">MEDIAN(O7:O13)</f>
        <v>11.36</v>
      </c>
      <c r="P17" s="23"/>
    </row>
    <row r="20" spans="3:16" ht="14.65" thickBot="1" x14ac:dyDescent="0.5">
      <c r="C20" s="15" t="s">
        <v>24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ht="14.65" thickTop="1" x14ac:dyDescent="0.45">
      <c r="D21" s="16">
        <f>F21/E21</f>
        <v>427.70688618600173</v>
      </c>
      <c r="E21" s="9">
        <v>14.686355600000001</v>
      </c>
      <c r="F21" s="1">
        <f>I21+H21-G21</f>
        <v>6281.4554230963495</v>
      </c>
      <c r="G21" s="1">
        <f>166.3</f>
        <v>166.3</v>
      </c>
      <c r="H21" s="1">
        <f>533.66</f>
        <v>533.66</v>
      </c>
      <c r="I21" s="1">
        <f>K21*922.69</f>
        <v>5914.0954230963498</v>
      </c>
      <c r="K21" s="13">
        <f>K16</f>
        <v>6.409623408833248</v>
      </c>
      <c r="L21" s="13"/>
      <c r="M21" s="13"/>
      <c r="N21" s="13"/>
      <c r="O21" s="13"/>
    </row>
    <row r="22" spans="3:16" x14ac:dyDescent="0.45">
      <c r="D22" s="16">
        <f t="shared" ref="D22:D24" si="6">F22/E22</f>
        <v>432.09013605291005</v>
      </c>
      <c r="E22" s="9">
        <v>14.686355600000001</v>
      </c>
      <c r="F22" s="1">
        <f t="shared" ref="F22:F24" si="7">I22+H22-G22</f>
        <v>6345.8293893254177</v>
      </c>
      <c r="G22" s="1">
        <f t="shared" ref="G22:G24" si="8">166.3</f>
        <v>166.3</v>
      </c>
      <c r="H22" s="1">
        <f t="shared" ref="H22:H24" si="9">533.66</f>
        <v>533.66</v>
      </c>
      <c r="I22" s="1">
        <f>L22*215.73</f>
        <v>5978.469389325418</v>
      </c>
      <c r="K22" s="13"/>
      <c r="L22" s="13">
        <f>L16</f>
        <v>27.712739949591704</v>
      </c>
      <c r="M22" s="13"/>
      <c r="N22" s="13"/>
      <c r="O22" s="13"/>
    </row>
    <row r="23" spans="3:16" x14ac:dyDescent="0.45">
      <c r="D23" s="16">
        <f>I23/E23</f>
        <v>456.80753112481784</v>
      </c>
      <c r="E23" s="9">
        <v>14.686355600000001</v>
      </c>
      <c r="F23" s="1">
        <f>N23*158.37</f>
        <v>7076.1978428571429</v>
      </c>
      <c r="G23" s="1">
        <f t="shared" si="8"/>
        <v>166.3</v>
      </c>
      <c r="H23" s="1">
        <f t="shared" si="9"/>
        <v>533.66</v>
      </c>
      <c r="I23" s="1">
        <f>F23+G23-H23</f>
        <v>6708.8378428571432</v>
      </c>
      <c r="K23" s="13"/>
      <c r="L23" s="13"/>
      <c r="M23" s="13"/>
      <c r="N23" s="13">
        <f>N16</f>
        <v>44.681428571428569</v>
      </c>
      <c r="O23" s="13"/>
    </row>
    <row r="24" spans="3:16" x14ac:dyDescent="0.45">
      <c r="D24" s="16">
        <f t="shared" si="6"/>
        <v>403.29697975873989</v>
      </c>
      <c r="E24" s="9">
        <v>14.686355600000001</v>
      </c>
      <c r="F24" s="1">
        <f>O24*556.52</f>
        <v>5922.9628571428566</v>
      </c>
      <c r="G24" s="1">
        <f t="shared" si="8"/>
        <v>166.3</v>
      </c>
      <c r="H24" s="1">
        <f t="shared" si="9"/>
        <v>533.66</v>
      </c>
      <c r="I24" s="1">
        <f>F24+G24-H24</f>
        <v>5555.6028571428569</v>
      </c>
      <c r="K24" s="13"/>
      <c r="L24" s="13"/>
      <c r="M24" s="13"/>
      <c r="N24" s="13"/>
      <c r="O24" s="13">
        <f>O16</f>
        <v>10.642857142857142</v>
      </c>
    </row>
    <row r="26" spans="3:16" x14ac:dyDescent="0.45">
      <c r="C26" s="18" t="s">
        <v>25</v>
      </c>
      <c r="D26" s="20">
        <f>AVERAGE(D21:D24)</f>
        <v>429.97538328061739</v>
      </c>
    </row>
    <row r="27" spans="3:16" x14ac:dyDescent="0.45">
      <c r="C27" s="18" t="s">
        <v>27</v>
      </c>
      <c r="D27" s="19" t="s">
        <v>28</v>
      </c>
    </row>
    <row r="30" spans="3:16" ht="14.65" thickBot="1" x14ac:dyDescent="0.5">
      <c r="C30" s="15" t="s">
        <v>34</v>
      </c>
      <c r="D30" s="14"/>
      <c r="E30" s="14"/>
    </row>
    <row r="31" spans="3:16" ht="14.65" thickTop="1" x14ac:dyDescent="0.45">
      <c r="C31" s="1" t="s">
        <v>29</v>
      </c>
      <c r="E31" s="9">
        <v>1338.3</v>
      </c>
    </row>
    <row r="32" spans="3:16" x14ac:dyDescent="0.45">
      <c r="C32" s="1" t="s">
        <v>30</v>
      </c>
      <c r="E32" s="9">
        <f>D26</f>
        <v>429.97538328061739</v>
      </c>
    </row>
    <row r="33" spans="3:5" x14ac:dyDescent="0.45">
      <c r="C33" s="1" t="s">
        <v>31</v>
      </c>
      <c r="E33" s="21" t="s">
        <v>32</v>
      </c>
    </row>
    <row r="34" spans="3:5" x14ac:dyDescent="0.45">
      <c r="C34" s="1" t="s">
        <v>33</v>
      </c>
      <c r="E34" s="22">
        <f>(E31-E32)/E32</f>
        <v>2.1125037665855797</v>
      </c>
    </row>
  </sheetData>
  <mergeCells count="3">
    <mergeCell ref="C5:I5"/>
    <mergeCell ref="K5:L5"/>
    <mergeCell ref="N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Hilori</cp:lastModifiedBy>
  <dcterms:created xsi:type="dcterms:W3CDTF">2022-01-03T10:44:58Z</dcterms:created>
  <dcterms:modified xsi:type="dcterms:W3CDTF">2022-01-03T18:25:56Z</dcterms:modified>
</cp:coreProperties>
</file>