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tmp" ContentType="image/png"/>
  <Default Extension="xlsrvcdf" ContentType="image/jpe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WebImage.xml" ContentType="application/vnd.ms-excel.rdrichvaluewebimage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slicers/slicer1.xml" ContentType="application/vnd.ms-excel.slicer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slicers/slicer2.xml" ContentType="application/vnd.ms-excel.slicer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featurePropertyBag/featurePropertyBag.xml" ContentType="application/vnd.ms-excel.featurepropertybag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microsoft.com/office/2011/relationships/webextensiontaskpanes" Target="xl/webextensions/taskpanes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19"/>
  <workbookPr hidePivotFieldList="1"/>
  <xr:revisionPtr revIDLastSave="0" documentId="8_{12165A1D-A64C-4E54-BAE6-E0298AE62888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Updated_2024" sheetId="1" r:id="rId1"/>
    <sheet name="Excel_Practice_Online" sheetId="12" r:id="rId2"/>
    <sheet name="Finance_&amp;_Accounting" sheetId="10" r:id="rId3"/>
    <sheet name="Extra Data" sheetId="13" r:id="rId4"/>
    <sheet name="Advance_Excel" sheetId="2" r:id="rId5"/>
    <sheet name="Advance_Excel1" sheetId="3" r:id="rId6"/>
    <sheet name="Sheet1" sheetId="4" r:id="rId7"/>
    <sheet name="Detail1" sheetId="8" r:id="rId8"/>
    <sheet name="Detail2" sheetId="9" r:id="rId9"/>
    <sheet name="Pivot_Table_Data" sheetId="7" r:id="rId10"/>
    <sheet name="Chart_Pivot_Table" sheetId="11" r:id="rId11"/>
  </sheets>
  <definedNames>
    <definedName name="_xlnm._FilterDatabase" localSheetId="4" hidden="1">Advance_Excel!#REF!</definedName>
    <definedName name="_xlnm._FilterDatabase" localSheetId="9" hidden="1">Pivot_Table_Data!$B$3:$O$33</definedName>
    <definedName name="_xlnm.Print_Area" localSheetId="4">Advance_Excel!$B$273:$O$284</definedName>
    <definedName name="Slicer_Department">#N/A</definedName>
    <definedName name="Slicer_Employee__Name">#N/A</definedName>
    <definedName name="Slicer_Employee__Name1">#N/A</definedName>
    <definedName name="Slicer_Employee_DOJ">#N/A</definedName>
    <definedName name="Slicer_Employee_DOJ1">#N/A</definedName>
    <definedName name="Slicer_Salary">#N/A</definedName>
    <definedName name="Slicer_Salary1">#N/A</definedName>
  </definedNames>
  <calcPr calcId="191028"/>
  <pivotCaches>
    <pivotCache cacheId="1303" r:id="rId12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13"/>
        <x14:slicerCache r:id="rId14"/>
        <x14:slicerCache r:id="rId15"/>
        <x14:slicerCache r:id="rId16"/>
        <x14:slicerCache r:id="rId17"/>
        <x14:slicerCache r:id="rId18"/>
        <x14:slicerCache r:id="rId19"/>
      </x15:slicerCache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16" i="13"/>
  <c r="D17" i="13"/>
  <c r="D18" i="13"/>
  <c r="D19" i="13"/>
  <c r="D14" i="13"/>
  <c r="H10" i="13"/>
  <c r="H9" i="13"/>
  <c r="H8" i="13"/>
  <c r="H7" i="13"/>
  <c r="H6" i="13"/>
  <c r="H5" i="13"/>
  <c r="D10" i="13"/>
  <c r="D9" i="13"/>
  <c r="D8" i="13"/>
  <c r="D7" i="13"/>
  <c r="D6" i="13"/>
  <c r="D5" i="13"/>
  <c r="E1010" i="12"/>
  <c r="E1011" i="12"/>
  <c r="E1012" i="12"/>
  <c r="E1013" i="12"/>
  <c r="E1014" i="12"/>
  <c r="E1009" i="12"/>
  <c r="E1001" i="12"/>
  <c r="E1002" i="12"/>
  <c r="E1003" i="12"/>
  <c r="E1004" i="12"/>
  <c r="E1005" i="12"/>
  <c r="E1000" i="12"/>
  <c r="D187" i="10"/>
  <c r="D182" i="10"/>
  <c r="D103" i="10"/>
  <c r="D60" i="10"/>
  <c r="C52" i="10"/>
  <c r="C977" i="12" a="1"/>
  <c r="C977" i="12"/>
  <c r="C969" i="12" a="1"/>
  <c r="C969" i="12"/>
  <c r="C953" i="12" a="1"/>
  <c r="C953" i="12"/>
  <c r="C916" i="12" a="1"/>
  <c r="C916" i="12"/>
  <c r="C902" i="12" a="1"/>
  <c r="C902" i="12"/>
  <c r="C888" i="12" a="1"/>
  <c r="C888" i="12"/>
  <c r="C878" i="12" a="1"/>
  <c r="C878" i="12"/>
  <c r="C875" i="12" a="1"/>
  <c r="C875" i="12"/>
  <c r="C868" i="12" a="1"/>
  <c r="C868" i="12"/>
  <c r="C861" i="12" a="1"/>
  <c r="C861" i="12"/>
  <c r="E995" i="12"/>
  <c r="G838" i="12"/>
  <c r="G837" i="12"/>
  <c r="G833" i="12"/>
  <c r="G832" i="12"/>
  <c r="D995" i="12"/>
  <c r="D829" i="12"/>
  <c r="E838" i="12"/>
  <c r="D838" i="12"/>
  <c r="F829" i="12"/>
  <c r="E829" i="12"/>
  <c r="C817" i="12" a="1"/>
  <c r="C817" i="12"/>
  <c r="C810" i="12" a="1"/>
  <c r="C810" i="12"/>
  <c r="D802" i="12" a="1"/>
  <c r="D802" i="12"/>
  <c r="I757" i="12" a="1"/>
  <c r="I757" i="12"/>
  <c r="D791" i="12" a="1"/>
  <c r="D791" i="12"/>
  <c r="D768" i="12" a="1"/>
  <c r="D768" i="12"/>
  <c r="E730" i="12" a="1"/>
  <c r="E730" i="12"/>
  <c r="E745" i="12" a="1"/>
  <c r="E745" i="12"/>
  <c r="E737" i="12" a="1"/>
  <c r="E737" i="12"/>
  <c r="E712" i="12" a="1"/>
  <c r="E712" i="12"/>
  <c r="E695" i="12" a="1"/>
  <c r="E695" i="12"/>
  <c r="E425" i="12"/>
  <c r="F663" i="12"/>
  <c r="D678" i="12"/>
  <c r="D663" i="12"/>
  <c r="F641" i="12"/>
  <c r="E623" i="12"/>
  <c r="E624" i="12"/>
  <c r="E625" i="12"/>
  <c r="E626" i="12"/>
  <c r="E627" i="12"/>
  <c r="E622" i="12"/>
  <c r="E615" i="12"/>
  <c r="E613" i="12"/>
  <c r="G605" i="12"/>
  <c r="G604" i="12"/>
  <c r="E596" i="12"/>
  <c r="E594" i="12"/>
  <c r="E592" i="12"/>
  <c r="E584" i="12"/>
  <c r="E582" i="12"/>
  <c r="E580" i="12"/>
  <c r="E571" i="12"/>
  <c r="E569" i="12"/>
  <c r="F561" i="12"/>
  <c r="F560" i="12"/>
  <c r="F552" i="12"/>
  <c r="F551" i="12"/>
  <c r="E543" i="12"/>
  <c r="E541" i="12"/>
  <c r="D535" i="12"/>
  <c r="E521" i="12"/>
  <c r="H505" i="12"/>
  <c r="H506" i="12"/>
  <c r="H504" i="12"/>
  <c r="G505" i="12"/>
  <c r="G506" i="12"/>
  <c r="G504" i="12"/>
  <c r="F487" i="12" a="1"/>
  <c r="F487" i="12"/>
  <c r="F490" i="12" a="1"/>
  <c r="F490" i="12"/>
  <c r="F493" i="12" a="1"/>
  <c r="F493" i="12"/>
  <c r="F484" i="12" a="1"/>
  <c r="F484" i="12"/>
  <c r="O542" i="12" a="1"/>
  <c r="O542" i="12" s="1"/>
  <c r="O538" i="12" a="1"/>
  <c r="O538" i="12" s="1"/>
  <c r="O537" i="12" a="1"/>
  <c r="O537" i="12" s="1"/>
  <c r="O536" i="12" a="1"/>
  <c r="O536" i="12" s="1"/>
  <c r="O533" i="12" a="1"/>
  <c r="O533" i="12" s="1"/>
  <c r="O532" i="12" a="1"/>
  <c r="O532" i="12" s="1"/>
  <c r="O531" i="12" a="1"/>
  <c r="O531" i="12" s="1"/>
  <c r="P525" i="12"/>
  <c r="P524" i="12"/>
  <c r="P523" i="12"/>
  <c r="P522" i="12"/>
  <c r="P521" i="12"/>
  <c r="P520" i="12"/>
  <c r="P519" i="12"/>
  <c r="Q514" i="12"/>
  <c r="P514" i="12"/>
  <c r="R525" i="12" s="1"/>
  <c r="Q513" i="12"/>
  <c r="P513" i="12"/>
  <c r="R524" i="12" s="1"/>
  <c r="Q512" i="12"/>
  <c r="P512" i="12"/>
  <c r="R523" i="12" s="1"/>
  <c r="Q511" i="12"/>
  <c r="P511" i="12"/>
  <c r="R522" i="12" s="1"/>
  <c r="Q510" i="12"/>
  <c r="P510" i="12"/>
  <c r="R521" i="12" s="1"/>
  <c r="Q509" i="12"/>
  <c r="P509" i="12"/>
  <c r="R520" i="12" s="1"/>
  <c r="Q508" i="12"/>
  <c r="P508" i="12"/>
  <c r="R519" i="12" s="1"/>
  <c r="Q501" i="12"/>
  <c r="P501" i="12"/>
  <c r="Q500" i="12"/>
  <c r="P500" i="12"/>
  <c r="Q499" i="12"/>
  <c r="P499" i="12"/>
  <c r="O499" i="12"/>
  <c r="N499" i="12"/>
  <c r="M499" i="12"/>
  <c r="Q498" i="12"/>
  <c r="P498" i="12"/>
  <c r="O498" i="12"/>
  <c r="N498" i="12"/>
  <c r="M498" i="12"/>
  <c r="Q497" i="12"/>
  <c r="P497" i="12"/>
  <c r="O497" i="12"/>
  <c r="N497" i="12"/>
  <c r="M497" i="12"/>
  <c r="Q496" i="12"/>
  <c r="P496" i="12"/>
  <c r="O496" i="12"/>
  <c r="N496" i="12"/>
  <c r="M496" i="12"/>
  <c r="Q495" i="12"/>
  <c r="P495" i="12"/>
  <c r="O495" i="12"/>
  <c r="N495" i="12"/>
  <c r="M495" i="12"/>
  <c r="Q494" i="12"/>
  <c r="P494" i="12"/>
  <c r="O494" i="12"/>
  <c r="N494" i="12"/>
  <c r="M494" i="12"/>
  <c r="Q493" i="12"/>
  <c r="P493" i="12"/>
  <c r="O493" i="12"/>
  <c r="N493" i="12"/>
  <c r="M493" i="12"/>
  <c r="Q492" i="12"/>
  <c r="P492" i="12"/>
  <c r="O492" i="12"/>
  <c r="N492" i="12"/>
  <c r="M492" i="12"/>
  <c r="Q491" i="12"/>
  <c r="P491" i="12"/>
  <c r="O491" i="12"/>
  <c r="N491" i="12"/>
  <c r="M491" i="12"/>
  <c r="Q490" i="12"/>
  <c r="P490" i="12"/>
  <c r="O490" i="12"/>
  <c r="N490" i="12"/>
  <c r="M490" i="12"/>
  <c r="Q489" i="12"/>
  <c r="P489" i="12"/>
  <c r="O489" i="12"/>
  <c r="N489" i="12"/>
  <c r="M489" i="12"/>
  <c r="Q488" i="12"/>
  <c r="P488" i="12"/>
  <c r="O488" i="12"/>
  <c r="N488" i="12"/>
  <c r="M488" i="12"/>
  <c r="Q487" i="12"/>
  <c r="P487" i="12"/>
  <c r="O487" i="12"/>
  <c r="N487" i="12"/>
  <c r="M487" i="12"/>
  <c r="Q486" i="12"/>
  <c r="P486" i="12"/>
  <c r="O486" i="12"/>
  <c r="N486" i="12"/>
  <c r="M486" i="12"/>
  <c r="Q485" i="12"/>
  <c r="P485" i="12"/>
  <c r="O485" i="12"/>
  <c r="N485" i="12"/>
  <c r="M485" i="12"/>
  <c r="Q484" i="12"/>
  <c r="P484" i="12"/>
  <c r="O484" i="12"/>
  <c r="N484" i="12"/>
  <c r="M484" i="12"/>
  <c r="Q483" i="12"/>
  <c r="P483" i="12"/>
  <c r="O483" i="12"/>
  <c r="N483" i="12"/>
  <c r="M483" i="12"/>
  <c r="Q482" i="12"/>
  <c r="P482" i="12"/>
  <c r="O482" i="12"/>
  <c r="N482" i="12"/>
  <c r="M482" i="12"/>
  <c r="Q481" i="12"/>
  <c r="P481" i="12"/>
  <c r="O481" i="12"/>
  <c r="N481" i="12"/>
  <c r="M481" i="12"/>
  <c r="Q480" i="12"/>
  <c r="P480" i="12"/>
  <c r="O480" i="12"/>
  <c r="N480" i="12"/>
  <c r="M480" i="12"/>
  <c r="Q479" i="12"/>
  <c r="P479" i="12"/>
  <c r="O479" i="12"/>
  <c r="N479" i="12"/>
  <c r="M479" i="12"/>
  <c r="Q478" i="12"/>
  <c r="P478" i="12"/>
  <c r="O478" i="12"/>
  <c r="N478" i="12"/>
  <c r="M478" i="12"/>
  <c r="Q477" i="12"/>
  <c r="P477" i="12"/>
  <c r="O477" i="12"/>
  <c r="N477" i="12"/>
  <c r="M477" i="12"/>
  <c r="Q476" i="12"/>
  <c r="P476" i="12"/>
  <c r="O476" i="12"/>
  <c r="N476" i="12"/>
  <c r="M476" i="12"/>
  <c r="Q475" i="12"/>
  <c r="P475" i="12"/>
  <c r="O475" i="12"/>
  <c r="N475" i="12"/>
  <c r="M475" i="12"/>
  <c r="Q474" i="12"/>
  <c r="P474" i="12"/>
  <c r="O474" i="12"/>
  <c r="N474" i="12"/>
  <c r="M474" i="12"/>
  <c r="Q473" i="12"/>
  <c r="P473" i="12"/>
  <c r="O473" i="12"/>
  <c r="N473" i="12"/>
  <c r="M473" i="12"/>
  <c r="Q472" i="12"/>
  <c r="P472" i="12"/>
  <c r="O472" i="12"/>
  <c r="N472" i="12"/>
  <c r="M472" i="12"/>
  <c r="E471" i="12" a="1"/>
  <c r="E471" i="12"/>
  <c r="E472" i="12" a="1"/>
  <c r="E472" i="12"/>
  <c r="E473" i="12" a="1"/>
  <c r="E473" i="12"/>
  <c r="E474" i="12" a="1"/>
  <c r="E474" i="12"/>
  <c r="E475" i="12" a="1"/>
  <c r="E475" i="12"/>
  <c r="E476" i="12" a="1"/>
  <c r="E476" i="12"/>
  <c r="E477" i="12" a="1"/>
  <c r="E477" i="12"/>
  <c r="E478" i="12" a="1"/>
  <c r="E478" i="12"/>
  <c r="E479" i="12" a="1"/>
  <c r="E479" i="12"/>
  <c r="E470" i="12" a="1"/>
  <c r="E470" i="12"/>
  <c r="G457" i="12"/>
  <c r="G458" i="12"/>
  <c r="G459" i="12"/>
  <c r="G460" i="12"/>
  <c r="G461" i="12"/>
  <c r="G462" i="12"/>
  <c r="G463" i="12"/>
  <c r="G464" i="12"/>
  <c r="G465" i="12"/>
  <c r="G456" i="12"/>
  <c r="F457" i="12"/>
  <c r="F458" i="12"/>
  <c r="F459" i="12"/>
  <c r="F460" i="12"/>
  <c r="F461" i="12"/>
  <c r="F462" i="12"/>
  <c r="F463" i="12"/>
  <c r="F464" i="12"/>
  <c r="F465" i="12"/>
  <c r="F456" i="12"/>
  <c r="E437" i="12"/>
  <c r="E436" i="12"/>
  <c r="E435" i="12"/>
  <c r="E431" i="12"/>
  <c r="E428" i="12"/>
  <c r="E414" i="12"/>
  <c r="J400" i="12" a="1"/>
  <c r="J400" i="12"/>
  <c r="J397" i="12" a="1"/>
  <c r="J397" i="12"/>
  <c r="J394" i="12" a="1"/>
  <c r="J394" i="12"/>
  <c r="K378" i="12"/>
  <c r="K375" i="12"/>
  <c r="G350" i="12"/>
  <c r="F350" i="12"/>
  <c r="E350" i="12"/>
  <c r="D350" i="12"/>
  <c r="C350" i="12"/>
  <c r="D321" i="12"/>
  <c r="I322" i="12"/>
  <c r="H336" i="12"/>
  <c r="H332" i="12"/>
  <c r="H328" i="12"/>
  <c r="D301" i="12"/>
  <c r="D304" i="12" s="1"/>
  <c r="F281" i="12"/>
  <c r="E281" i="12"/>
  <c r="E264" i="12"/>
  <c r="D264" i="12"/>
  <c r="E263" i="12"/>
  <c r="D263" i="12"/>
  <c r="E258" i="12"/>
  <c r="E236" i="12"/>
  <c r="D236" i="12"/>
  <c r="E235" i="12"/>
  <c r="D235" i="12"/>
  <c r="D216" i="12"/>
  <c r="D217" i="12"/>
  <c r="D210" i="12"/>
  <c r="D195" i="12"/>
  <c r="D194" i="12"/>
  <c r="D188" i="12"/>
  <c r="D187" i="12"/>
  <c r="E180" i="12"/>
  <c r="E175" i="12"/>
  <c r="D154" i="12"/>
  <c r="D138" i="12"/>
  <c r="D121" i="12"/>
  <c r="D120" i="12"/>
  <c r="D105" i="12"/>
  <c r="D89" i="12"/>
  <c r="D77" i="12"/>
  <c r="D59" i="12"/>
  <c r="C43" i="12"/>
  <c r="D32" i="12"/>
  <c r="C18" i="12"/>
  <c r="C16" i="12"/>
  <c r="C17" i="12" s="1"/>
  <c r="C21" i="12" s="1"/>
  <c r="D327" i="1"/>
  <c r="D328" i="1"/>
  <c r="D329" i="1"/>
  <c r="D4" i="12"/>
  <c r="D3" i="12"/>
  <c r="C6" i="12"/>
  <c r="B318" i="1"/>
  <c r="B315" i="1"/>
  <c r="C176" i="10"/>
  <c r="C280" i="1"/>
  <c r="D166" i="10"/>
  <c r="C166" i="10"/>
  <c r="E161" i="10"/>
  <c r="E162" i="10"/>
  <c r="E163" i="10"/>
  <c r="E164" i="10"/>
  <c r="E160" i="10"/>
  <c r="E166" i="10"/>
  <c r="G166" i="10"/>
  <c r="E143" i="10"/>
  <c r="E144" i="10"/>
  <c r="E145" i="10"/>
  <c r="E146" i="10"/>
  <c r="E147" i="10"/>
  <c r="E148" i="10"/>
  <c r="E149" i="10"/>
  <c r="E150" i="10"/>
  <c r="E151" i="10"/>
  <c r="E152" i="10"/>
  <c r="C154" i="10"/>
  <c r="E142" i="10"/>
  <c r="D152" i="10"/>
  <c r="D151" i="10"/>
  <c r="D150" i="10"/>
  <c r="D149" i="10"/>
  <c r="D148" i="10"/>
  <c r="D147" i="10"/>
  <c r="D146" i="10"/>
  <c r="D145" i="10"/>
  <c r="D144" i="10"/>
  <c r="D143" i="10"/>
  <c r="D142" i="10"/>
  <c r="C135" i="10"/>
  <c r="E128" i="10"/>
  <c r="D128" i="10"/>
  <c r="C128" i="10"/>
  <c r="D111" i="10"/>
  <c r="D112" i="10"/>
  <c r="D113" i="10"/>
  <c r="D114" i="10"/>
  <c r="D115" i="10"/>
  <c r="D116" i="10"/>
  <c r="D117" i="10"/>
  <c r="D118" i="10"/>
  <c r="D119" i="10"/>
  <c r="D120" i="10"/>
  <c r="D110" i="10"/>
  <c r="C103" i="10"/>
  <c r="C92" i="10"/>
  <c r="C90" i="10"/>
  <c r="D80" i="10"/>
  <c r="C80" i="10"/>
  <c r="E71" i="10"/>
  <c r="D71" i="10"/>
  <c r="C71" i="10"/>
  <c r="E60" i="10"/>
  <c r="C60" i="10"/>
  <c r="D52" i="10"/>
  <c r="I37" i="10"/>
  <c r="L37" i="10"/>
  <c r="H37" i="10"/>
  <c r="I36" i="10"/>
  <c r="L36" i="10"/>
  <c r="H36" i="10"/>
  <c r="I35" i="10"/>
  <c r="L35" i="10"/>
  <c r="H35" i="10"/>
  <c r="I34" i="10"/>
  <c r="L34" i="10"/>
  <c r="H34" i="10"/>
  <c r="I33" i="10"/>
  <c r="L33" i="10"/>
  <c r="H33" i="10"/>
  <c r="I32" i="10"/>
  <c r="L32" i="10"/>
  <c r="H32" i="10"/>
  <c r="I31" i="10"/>
  <c r="L31" i="10"/>
  <c r="H31" i="10"/>
  <c r="I30" i="10"/>
  <c r="L30" i="10"/>
  <c r="H30" i="10"/>
  <c r="I29" i="10"/>
  <c r="L29" i="10"/>
  <c r="H29" i="10"/>
  <c r="I28" i="10"/>
  <c r="L28" i="10"/>
  <c r="H28" i="10"/>
  <c r="I27" i="10"/>
  <c r="L27" i="10"/>
  <c r="H27" i="10"/>
  <c r="I26" i="10"/>
  <c r="L26" i="10"/>
  <c r="H26" i="10"/>
  <c r="I25" i="10"/>
  <c r="L25" i="10"/>
  <c r="H25" i="10"/>
  <c r="I24" i="10"/>
  <c r="L24" i="10"/>
  <c r="H24" i="10"/>
  <c r="I23" i="10"/>
  <c r="L23" i="10"/>
  <c r="H23" i="10"/>
  <c r="I22" i="10"/>
  <c r="L22" i="10"/>
  <c r="H22" i="10"/>
  <c r="I21" i="10"/>
  <c r="L21" i="10"/>
  <c r="H21" i="10"/>
  <c r="I20" i="10"/>
  <c r="L20" i="10"/>
  <c r="H20" i="10"/>
  <c r="I19" i="10"/>
  <c r="L19" i="10"/>
  <c r="H19" i="10"/>
  <c r="I18" i="10"/>
  <c r="L18" i="10"/>
  <c r="H18" i="10"/>
  <c r="I17" i="10"/>
  <c r="L17" i="10"/>
  <c r="H17" i="10"/>
  <c r="I16" i="10"/>
  <c r="L16" i="10"/>
  <c r="H16" i="10"/>
  <c r="I15" i="10"/>
  <c r="L15" i="10"/>
  <c r="H15" i="10"/>
  <c r="I14" i="10"/>
  <c r="L14" i="10"/>
  <c r="H14" i="10"/>
  <c r="D14" i="10"/>
  <c r="I13" i="10"/>
  <c r="L13" i="10"/>
  <c r="H13" i="10"/>
  <c r="I12" i="10"/>
  <c r="L12" i="10"/>
  <c r="H12" i="10"/>
  <c r="D12" i="10"/>
  <c r="D16" i="10"/>
  <c r="D17" i="10"/>
  <c r="I11" i="10"/>
  <c r="L11" i="10"/>
  <c r="H11" i="10"/>
  <c r="I10" i="10"/>
  <c r="L10" i="10"/>
  <c r="H10" i="10"/>
  <c r="I9" i="10"/>
  <c r="L9" i="10"/>
  <c r="H9" i="10"/>
  <c r="I8" i="10"/>
  <c r="L8" i="10"/>
  <c r="H8" i="10"/>
  <c r="E237" i="1"/>
  <c r="C269" i="1"/>
  <c r="H272" i="1"/>
  <c r="C267" i="1"/>
  <c r="D237" i="1"/>
  <c r="C237" i="1"/>
  <c r="D257" i="1"/>
  <c r="C257" i="1"/>
  <c r="C248" i="1"/>
  <c r="D248" i="1"/>
  <c r="C229" i="1"/>
  <c r="E248" i="1"/>
  <c r="D229" i="1"/>
  <c r="J25" i="7"/>
  <c r="J4" i="7"/>
  <c r="J13" i="7"/>
  <c r="J21" i="7"/>
  <c r="J26" i="7"/>
  <c r="J5" i="7"/>
  <c r="J14" i="7"/>
  <c r="J27" i="7"/>
  <c r="J6" i="7"/>
  <c r="J15" i="7"/>
  <c r="J22" i="7"/>
  <c r="J28" i="7"/>
  <c r="J7" i="7"/>
  <c r="J29" i="7"/>
  <c r="J8" i="7"/>
  <c r="J16" i="7"/>
  <c r="J23" i="7"/>
  <c r="J30" i="7"/>
  <c r="J9" i="7"/>
  <c r="J17" i="7"/>
  <c r="J31" i="7"/>
  <c r="J10" i="7"/>
  <c r="J18" i="7"/>
  <c r="J24" i="7"/>
  <c r="J32" i="7"/>
  <c r="J11" i="7"/>
  <c r="J19" i="7"/>
  <c r="J33" i="7"/>
  <c r="J12" i="7"/>
  <c r="J20" i="7"/>
  <c r="L20" i="7" s="1"/>
  <c r="N20" i="7" s="1"/>
  <c r="O20" i="7" s="1"/>
  <c r="C194" i="1"/>
  <c r="D194" i="1"/>
  <c r="D193" i="1"/>
  <c r="E194" i="1"/>
  <c r="D195" i="1"/>
  <c r="D196" i="1"/>
  <c r="D197" i="1"/>
  <c r="D198" i="1"/>
  <c r="D199" i="1"/>
  <c r="D200" i="1"/>
  <c r="D201" i="1"/>
  <c r="D202" i="1"/>
  <c r="C202" i="1"/>
  <c r="C201" i="1"/>
  <c r="C200" i="1"/>
  <c r="C198" i="1"/>
  <c r="C197" i="1"/>
  <c r="C195" i="1"/>
  <c r="C193" i="1"/>
  <c r="C196" i="1"/>
  <c r="C199" i="1"/>
  <c r="D192" i="1"/>
  <c r="C192" i="1"/>
  <c r="D191" i="1"/>
  <c r="C191" i="1"/>
  <c r="K172" i="1"/>
  <c r="C185" i="1" a="1"/>
  <c r="C185" i="1"/>
  <c r="D337" i="2"/>
  <c r="E337" i="2"/>
  <c r="C337" i="2"/>
  <c r="G336" i="2"/>
  <c r="G334" i="2"/>
  <c r="G332" i="2"/>
  <c r="B312" i="2" a="1"/>
  <c r="B312" i="2"/>
  <c r="M275" i="2"/>
  <c r="M276" i="2"/>
  <c r="M277" i="2"/>
  <c r="M278" i="2"/>
  <c r="M279" i="2"/>
  <c r="M280" i="2"/>
  <c r="M281" i="2"/>
  <c r="M282" i="2"/>
  <c r="M283" i="2"/>
  <c r="M284" i="2"/>
  <c r="K276" i="2"/>
  <c r="L276" i="2"/>
  <c r="O276" i="2"/>
  <c r="K277" i="2"/>
  <c r="L277" i="2"/>
  <c r="O277" i="2"/>
  <c r="K278" i="2"/>
  <c r="L278" i="2"/>
  <c r="O278" i="2"/>
  <c r="K279" i="2"/>
  <c r="L279" i="2"/>
  <c r="O279" i="2"/>
  <c r="K280" i="2"/>
  <c r="L280" i="2"/>
  <c r="O280" i="2"/>
  <c r="K281" i="2"/>
  <c r="L281" i="2"/>
  <c r="O281" i="2"/>
  <c r="K282" i="2"/>
  <c r="L282" i="2"/>
  <c r="O282" i="2"/>
  <c r="K283" i="2"/>
  <c r="L283" i="2"/>
  <c r="O283" i="2"/>
  <c r="K284" i="2"/>
  <c r="L284" i="2"/>
  <c r="O284" i="2"/>
  <c r="K275" i="2"/>
  <c r="L275" i="2"/>
  <c r="O275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AN28" i="2"/>
  <c r="AN15" i="2"/>
  <c r="H211" i="2"/>
  <c r="H210" i="2"/>
  <c r="H209" i="2"/>
  <c r="H208" i="2"/>
  <c r="H207" i="2"/>
  <c r="C219" i="2"/>
  <c r="C218" i="2"/>
  <c r="C217" i="2"/>
  <c r="C216" i="2"/>
  <c r="D208" i="2"/>
  <c r="D209" i="2"/>
  <c r="D210" i="2"/>
  <c r="D211" i="2"/>
  <c r="D207" i="2"/>
  <c r="C199" i="2"/>
  <c r="C200" i="2"/>
  <c r="C201" i="2"/>
  <c r="C198" i="2"/>
  <c r="H179" i="2"/>
  <c r="G179" i="2"/>
  <c r="F179" i="2"/>
  <c r="E179" i="2"/>
  <c r="D179" i="2"/>
  <c r="H178" i="2"/>
  <c r="G178" i="2"/>
  <c r="F178" i="2"/>
  <c r="E178" i="2"/>
  <c r="D178" i="2"/>
  <c r="H177" i="2"/>
  <c r="G177" i="2"/>
  <c r="F177" i="2"/>
  <c r="E177" i="2"/>
  <c r="D177" i="2"/>
  <c r="H176" i="2"/>
  <c r="G176" i="2"/>
  <c r="F176" i="2"/>
  <c r="E176" i="2"/>
  <c r="D176" i="2"/>
  <c r="H175" i="2"/>
  <c r="G175" i="2"/>
  <c r="F175" i="2"/>
  <c r="E175" i="2"/>
  <c r="D175" i="2"/>
  <c r="H174" i="2"/>
  <c r="G174" i="2"/>
  <c r="F174" i="2"/>
  <c r="E174" i="2"/>
  <c r="D174" i="2"/>
  <c r="H173" i="2"/>
  <c r="G173" i="2"/>
  <c r="F173" i="2"/>
  <c r="E173" i="2"/>
  <c r="D173" i="2"/>
  <c r="H172" i="2"/>
  <c r="G172" i="2"/>
  <c r="F172" i="2"/>
  <c r="E172" i="2"/>
  <c r="D172" i="2"/>
  <c r="H171" i="2"/>
  <c r="G171" i="2"/>
  <c r="F171" i="2"/>
  <c r="E171" i="2"/>
  <c r="D171" i="2"/>
  <c r="H170" i="2"/>
  <c r="G170" i="2"/>
  <c r="F170" i="2"/>
  <c r="E170" i="2"/>
  <c r="D170" i="2"/>
  <c r="H169" i="2"/>
  <c r="G169" i="2"/>
  <c r="F169" i="2"/>
  <c r="E169" i="2"/>
  <c r="D169" i="2"/>
  <c r="H168" i="2"/>
  <c r="G168" i="2"/>
  <c r="F168" i="2"/>
  <c r="E168" i="2"/>
  <c r="D168" i="2"/>
  <c r="H167" i="2"/>
  <c r="G167" i="2"/>
  <c r="F167" i="2"/>
  <c r="E167" i="2"/>
  <c r="D167" i="2"/>
  <c r="H166" i="2"/>
  <c r="G166" i="2"/>
  <c r="F166" i="2"/>
  <c r="E166" i="2"/>
  <c r="D166" i="2"/>
  <c r="H165" i="2"/>
  <c r="G165" i="2"/>
  <c r="F165" i="2"/>
  <c r="E165" i="2"/>
  <c r="D165" i="2"/>
  <c r="H164" i="2"/>
  <c r="G164" i="2"/>
  <c r="F164" i="2"/>
  <c r="E164" i="2"/>
  <c r="D164" i="2"/>
  <c r="H163" i="2"/>
  <c r="G163" i="2"/>
  <c r="F163" i="2"/>
  <c r="E163" i="2"/>
  <c r="D163" i="2"/>
  <c r="H162" i="2"/>
  <c r="G162" i="2"/>
  <c r="F162" i="2"/>
  <c r="E162" i="2"/>
  <c r="D162" i="2"/>
  <c r="H161" i="2"/>
  <c r="G161" i="2"/>
  <c r="F161" i="2"/>
  <c r="E161" i="2"/>
  <c r="D161" i="2"/>
  <c r="H160" i="2"/>
  <c r="G160" i="2"/>
  <c r="F160" i="2"/>
  <c r="E160" i="2"/>
  <c r="D160" i="2"/>
  <c r="H159" i="2"/>
  <c r="G159" i="2"/>
  <c r="F159" i="2"/>
  <c r="E159" i="2"/>
  <c r="D159" i="2"/>
  <c r="H158" i="2"/>
  <c r="G158" i="2"/>
  <c r="F158" i="2"/>
  <c r="E158" i="2"/>
  <c r="D158" i="2"/>
  <c r="H157" i="2"/>
  <c r="G157" i="2"/>
  <c r="F157" i="2"/>
  <c r="E157" i="2"/>
  <c r="D157" i="2"/>
  <c r="H156" i="2"/>
  <c r="G156" i="2"/>
  <c r="F156" i="2"/>
  <c r="E156" i="2"/>
  <c r="D156" i="2"/>
  <c r="H155" i="2"/>
  <c r="G155" i="2"/>
  <c r="F155" i="2"/>
  <c r="E155" i="2"/>
  <c r="D155" i="2"/>
  <c r="H154" i="2"/>
  <c r="G154" i="2"/>
  <c r="F154" i="2"/>
  <c r="E154" i="2"/>
  <c r="D154" i="2"/>
  <c r="H153" i="2"/>
  <c r="G153" i="2"/>
  <c r="F153" i="2"/>
  <c r="E153" i="2"/>
  <c r="D153" i="2"/>
  <c r="H152" i="2"/>
  <c r="G152" i="2"/>
  <c r="F152" i="2"/>
  <c r="E152" i="2"/>
  <c r="D152" i="2"/>
  <c r="H151" i="2"/>
  <c r="G151" i="2"/>
  <c r="F151" i="2"/>
  <c r="E151" i="2"/>
  <c r="D151" i="2"/>
  <c r="H150" i="2"/>
  <c r="G150" i="2"/>
  <c r="F150" i="2"/>
  <c r="E150" i="2"/>
  <c r="D150" i="2"/>
  <c r="K91" i="2"/>
  <c r="K89" i="2"/>
  <c r="K86" i="2"/>
  <c r="K84" i="2"/>
  <c r="K79" i="2"/>
  <c r="K75" i="2"/>
  <c r="K72" i="2"/>
  <c r="K70" i="2"/>
  <c r="K65" i="2"/>
  <c r="K61" i="2"/>
  <c r="K60" i="2"/>
  <c r="K62" i="2"/>
  <c r="K63" i="2"/>
  <c r="K64" i="2"/>
  <c r="K66" i="2"/>
  <c r="K67" i="2"/>
  <c r="K68" i="2"/>
  <c r="K69" i="2"/>
  <c r="K71" i="2"/>
  <c r="K73" i="2"/>
  <c r="K74" i="2"/>
  <c r="K76" i="2"/>
  <c r="K77" i="2"/>
  <c r="K78" i="2"/>
  <c r="K80" i="2"/>
  <c r="K81" i="2"/>
  <c r="K82" i="2"/>
  <c r="K83" i="2"/>
  <c r="K85" i="2"/>
  <c r="K87" i="2"/>
  <c r="K88" i="2"/>
  <c r="K90" i="2"/>
  <c r="K92" i="2"/>
  <c r="F104" i="1"/>
  <c r="F105" i="1"/>
  <c r="F106" i="1"/>
  <c r="F107" i="1"/>
  <c r="F108" i="1"/>
  <c r="F109" i="1"/>
  <c r="F110" i="1"/>
  <c r="F111" i="1"/>
  <c r="F112" i="1"/>
  <c r="F113" i="1"/>
  <c r="F114" i="1"/>
  <c r="F103" i="1"/>
  <c r="H117" i="1"/>
  <c r="H118" i="1"/>
  <c r="H119" i="1"/>
  <c r="H120" i="1"/>
  <c r="H121" i="1"/>
  <c r="H122" i="1"/>
  <c r="H123" i="1"/>
  <c r="H124" i="1"/>
  <c r="H116" i="1"/>
  <c r="G117" i="1"/>
  <c r="G118" i="1"/>
  <c r="G119" i="1"/>
  <c r="G120" i="1"/>
  <c r="G121" i="1"/>
  <c r="G122" i="1"/>
  <c r="G123" i="1"/>
  <c r="G124" i="1"/>
  <c r="G116" i="1"/>
  <c r="E104" i="1"/>
  <c r="E105" i="1"/>
  <c r="E106" i="1"/>
  <c r="E107" i="1"/>
  <c r="E108" i="1"/>
  <c r="E109" i="1"/>
  <c r="E110" i="1"/>
  <c r="E111" i="1"/>
  <c r="E112" i="1"/>
  <c r="E113" i="1"/>
  <c r="E103" i="1"/>
  <c r="I104" i="1"/>
  <c r="K31" i="2"/>
  <c r="K32" i="2"/>
  <c r="K33" i="2"/>
  <c r="K34" i="2"/>
  <c r="K35" i="2"/>
  <c r="K36" i="2"/>
  <c r="K30" i="2"/>
  <c r="I31" i="2"/>
  <c r="I32" i="2"/>
  <c r="I33" i="2"/>
  <c r="I34" i="2"/>
  <c r="I35" i="2"/>
  <c r="I36" i="2"/>
  <c r="I30" i="2"/>
  <c r="H31" i="2"/>
  <c r="H32" i="2"/>
  <c r="H33" i="2"/>
  <c r="H34" i="2"/>
  <c r="H35" i="2"/>
  <c r="H36" i="2"/>
  <c r="H30" i="2"/>
  <c r="G31" i="2"/>
  <c r="G32" i="2"/>
  <c r="G33" i="2"/>
  <c r="G34" i="2"/>
  <c r="G35" i="2"/>
  <c r="G36" i="2"/>
  <c r="G30" i="2"/>
  <c r="F31" i="2"/>
  <c r="F32" i="2"/>
  <c r="F33" i="2"/>
  <c r="F34" i="2"/>
  <c r="F35" i="2"/>
  <c r="F36" i="2"/>
  <c r="F30" i="2"/>
  <c r="I22" i="2"/>
  <c r="I19" i="2"/>
  <c r="G6" i="2"/>
  <c r="G7" i="2"/>
  <c r="G8" i="2"/>
  <c r="G9" i="2"/>
  <c r="G10" i="2"/>
  <c r="G11" i="2"/>
  <c r="G12" i="2"/>
  <c r="G13" i="2"/>
  <c r="G14" i="2"/>
  <c r="G5" i="2"/>
  <c r="F6" i="2"/>
  <c r="F7" i="2"/>
  <c r="F8" i="2"/>
  <c r="F9" i="2"/>
  <c r="F10" i="2"/>
  <c r="F11" i="2"/>
  <c r="F12" i="2"/>
  <c r="F13" i="2"/>
  <c r="F14" i="2"/>
  <c r="F5" i="2"/>
  <c r="AH19" i="1"/>
  <c r="AF14" i="1"/>
  <c r="AF11" i="1"/>
  <c r="I99" i="1"/>
  <c r="H99" i="1"/>
  <c r="I98" i="1"/>
  <c r="H98" i="1"/>
  <c r="I97" i="1"/>
  <c r="H97" i="1"/>
  <c r="I96" i="1"/>
  <c r="H96" i="1"/>
  <c r="I95" i="1"/>
  <c r="H95" i="1"/>
  <c r="I94" i="1"/>
  <c r="H94" i="1"/>
  <c r="I93" i="1"/>
  <c r="H93" i="1"/>
  <c r="I92" i="1"/>
  <c r="H92" i="1"/>
  <c r="I91" i="1"/>
  <c r="H91" i="1"/>
  <c r="O73" i="1" a="1"/>
  <c r="O73" i="1"/>
  <c r="O74" i="1" a="1"/>
  <c r="O74" i="1"/>
  <c r="O75" i="1" a="1"/>
  <c r="O75" i="1"/>
  <c r="O76" i="1" a="1"/>
  <c r="O76" i="1"/>
  <c r="O77" i="1" a="1"/>
  <c r="O77" i="1"/>
  <c r="O78" i="1" a="1"/>
  <c r="O78" i="1"/>
  <c r="O79" i="1" a="1"/>
  <c r="O79" i="1"/>
  <c r="O80" i="1" a="1"/>
  <c r="O80" i="1"/>
  <c r="O81" i="1" a="1"/>
  <c r="O81" i="1"/>
  <c r="O82" i="1" a="1"/>
  <c r="O82" i="1"/>
  <c r="M73" i="1" a="1"/>
  <c r="M73" i="1"/>
  <c r="M74" i="1" a="1"/>
  <c r="M74" i="1"/>
  <c r="M75" i="1" a="1"/>
  <c r="M75" i="1"/>
  <c r="M76" i="1" a="1"/>
  <c r="M76" i="1"/>
  <c r="M77" i="1" a="1"/>
  <c r="M77" i="1"/>
  <c r="M78" i="1" a="1"/>
  <c r="M78" i="1"/>
  <c r="M79" i="1" a="1"/>
  <c r="M79" i="1"/>
  <c r="M80" i="1" a="1"/>
  <c r="M80" i="1"/>
  <c r="M81" i="1" a="1"/>
  <c r="M81" i="1"/>
  <c r="M82" i="1" a="1"/>
  <c r="M82" i="1"/>
  <c r="E58" i="1"/>
  <c r="E59" i="1"/>
  <c r="E60" i="1"/>
  <c r="E61" i="1"/>
  <c r="E62" i="1"/>
  <c r="E63" i="1"/>
  <c r="E64" i="1"/>
  <c r="E65" i="1"/>
  <c r="E66" i="1"/>
  <c r="E57" i="1"/>
  <c r="H58" i="1"/>
  <c r="H59" i="1"/>
  <c r="H60" i="1"/>
  <c r="H61" i="1"/>
  <c r="H62" i="1"/>
  <c r="H63" i="1"/>
  <c r="H64" i="1"/>
  <c r="H65" i="1"/>
  <c r="H66" i="1"/>
  <c r="H57" i="1"/>
  <c r="G58" i="1"/>
  <c r="G59" i="1"/>
  <c r="G60" i="1"/>
  <c r="G61" i="1"/>
  <c r="G62" i="1"/>
  <c r="G63" i="1"/>
  <c r="G64" i="1"/>
  <c r="G65" i="1"/>
  <c r="G66" i="1"/>
  <c r="G57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10" i="1"/>
  <c r="M45" i="1"/>
  <c r="M46" i="1"/>
  <c r="M47" i="1"/>
  <c r="M48" i="1"/>
  <c r="M49" i="1"/>
  <c r="M50" i="1"/>
  <c r="M44" i="1"/>
  <c r="M51" i="1"/>
  <c r="M52" i="1"/>
  <c r="H53" i="1"/>
  <c r="I53" i="1"/>
  <c r="J53" i="1"/>
  <c r="K53" i="1"/>
  <c r="L53" i="1"/>
  <c r="G53" i="1"/>
  <c r="M4" i="1"/>
  <c r="H4" i="1"/>
  <c r="R6" i="1"/>
  <c r="R3" i="1"/>
  <c r="K91" i="1" a="1"/>
  <c r="K91" i="1"/>
  <c r="J92" i="1"/>
  <c r="K92" i="1" a="1"/>
  <c r="K92" i="1"/>
  <c r="K93" i="1" a="1"/>
  <c r="K93" i="1"/>
  <c r="K94" i="1" a="1"/>
  <c r="K94" i="1"/>
  <c r="J96" i="1"/>
  <c r="K96" i="1" a="1"/>
  <c r="K96" i="1"/>
  <c r="K97" i="1" a="1"/>
  <c r="K97" i="1"/>
  <c r="K98" i="1" a="1"/>
  <c r="K98" i="1"/>
  <c r="J99" i="1"/>
  <c r="K99" i="1" a="1"/>
  <c r="K99" i="1"/>
  <c r="K95" i="1" a="1"/>
  <c r="K95" i="1"/>
  <c r="J91" i="1"/>
  <c r="J93" i="1"/>
  <c r="J94" i="1"/>
  <c r="J95" i="1"/>
  <c r="J97" i="1"/>
  <c r="J98" i="1"/>
  <c r="K20" i="7"/>
  <c r="K12" i="7"/>
  <c r="L12" i="7"/>
  <c r="N12" i="7"/>
  <c r="O12" i="7"/>
  <c r="K33" i="7"/>
  <c r="L33" i="7"/>
  <c r="N33" i="7"/>
  <c r="O33" i="7"/>
  <c r="K19" i="7"/>
  <c r="L19" i="7"/>
  <c r="N19" i="7"/>
  <c r="O19" i="7"/>
  <c r="K11" i="7"/>
  <c r="L11" i="7"/>
  <c r="N11" i="7"/>
  <c r="O11" i="7"/>
  <c r="K32" i="7"/>
  <c r="L32" i="7"/>
  <c r="N32" i="7"/>
  <c r="O32" i="7"/>
  <c r="K24" i="7"/>
  <c r="L24" i="7"/>
  <c r="N24" i="7"/>
  <c r="O24" i="7"/>
  <c r="K18" i="7"/>
  <c r="L18" i="7"/>
  <c r="N18" i="7"/>
  <c r="O18" i="7"/>
  <c r="K10" i="7"/>
  <c r="L10" i="7"/>
  <c r="N10" i="7"/>
  <c r="O10" i="7"/>
  <c r="K31" i="7"/>
  <c r="L31" i="7"/>
  <c r="N31" i="7"/>
  <c r="O31" i="7"/>
  <c r="K17" i="7"/>
  <c r="L17" i="7"/>
  <c r="N17" i="7"/>
  <c r="O17" i="7"/>
  <c r="K9" i="7"/>
  <c r="L9" i="7"/>
  <c r="N9" i="7"/>
  <c r="O9" i="7"/>
  <c r="K30" i="7"/>
  <c r="L30" i="7"/>
  <c r="N30" i="7"/>
  <c r="O30" i="7"/>
  <c r="K23" i="7"/>
  <c r="L23" i="7"/>
  <c r="N23" i="7"/>
  <c r="O23" i="7"/>
  <c r="K16" i="7"/>
  <c r="L16" i="7"/>
  <c r="N16" i="7"/>
  <c r="O16" i="7"/>
  <c r="K8" i="7"/>
  <c r="L8" i="7"/>
  <c r="N8" i="7"/>
  <c r="O8" i="7"/>
  <c r="K29" i="7"/>
  <c r="L29" i="7"/>
  <c r="N29" i="7"/>
  <c r="O29" i="7"/>
  <c r="K7" i="7"/>
  <c r="L7" i="7"/>
  <c r="N7" i="7"/>
  <c r="O7" i="7"/>
  <c r="K28" i="7"/>
  <c r="L28" i="7"/>
  <c r="N28" i="7"/>
  <c r="O28" i="7"/>
  <c r="K22" i="7"/>
  <c r="L22" i="7"/>
  <c r="N22" i="7"/>
  <c r="O22" i="7"/>
  <c r="K15" i="7"/>
  <c r="L15" i="7"/>
  <c r="N15" i="7"/>
  <c r="O15" i="7"/>
  <c r="K6" i="7"/>
  <c r="L6" i="7"/>
  <c r="N6" i="7"/>
  <c r="O6" i="7"/>
  <c r="K27" i="7"/>
  <c r="L27" i="7"/>
  <c r="N27" i="7"/>
  <c r="O27" i="7"/>
  <c r="K14" i="7"/>
  <c r="L14" i="7"/>
  <c r="N14" i="7"/>
  <c r="O14" i="7"/>
  <c r="K5" i="7"/>
  <c r="L5" i="7"/>
  <c r="N5" i="7"/>
  <c r="O5" i="7"/>
  <c r="K26" i="7"/>
  <c r="L26" i="7"/>
  <c r="N26" i="7"/>
  <c r="O26" i="7"/>
  <c r="K21" i="7"/>
  <c r="L21" i="7"/>
  <c r="N21" i="7"/>
  <c r="O21" i="7"/>
  <c r="K13" i="7"/>
  <c r="L13" i="7"/>
  <c r="N13" i="7"/>
  <c r="O13" i="7"/>
  <c r="K4" i="7"/>
  <c r="L4" i="7"/>
  <c r="N4" i="7" s="1"/>
  <c r="O4" i="7" s="1"/>
  <c r="K25" i="7"/>
  <c r="L25" i="7"/>
  <c r="N25" i="7"/>
  <c r="O25" i="7"/>
  <c r="G202" i="1"/>
  <c r="G201" i="1"/>
  <c r="G200" i="1"/>
  <c r="G199" i="1"/>
  <c r="G198" i="1"/>
  <c r="G197" i="1"/>
  <c r="G196" i="1"/>
  <c r="G195" i="1"/>
  <c r="G193" i="1"/>
  <c r="F194" i="1"/>
  <c r="G194" i="1"/>
  <c r="E202" i="1"/>
  <c r="F202" i="1"/>
  <c r="E201" i="1"/>
  <c r="F201" i="1"/>
  <c r="E200" i="1"/>
  <c r="F200" i="1"/>
  <c r="E199" i="1"/>
  <c r="F199" i="1"/>
  <c r="E198" i="1"/>
  <c r="F198" i="1"/>
  <c r="E197" i="1"/>
  <c r="F197" i="1"/>
  <c r="E196" i="1"/>
  <c r="F196" i="1"/>
  <c r="E195" i="1"/>
  <c r="F195" i="1"/>
  <c r="E193" i="1"/>
  <c r="F193" i="1"/>
  <c r="G191" i="1"/>
  <c r="G192" i="1"/>
  <c r="E192" i="1"/>
  <c r="F192" i="1"/>
  <c r="E191" i="1"/>
  <c r="F191" i="1"/>
  <c r="K8" i="10"/>
  <c r="J8" i="10"/>
  <c r="K9" i="10"/>
  <c r="J9" i="10"/>
  <c r="M9" i="10"/>
  <c r="K10" i="10"/>
  <c r="J10" i="10"/>
  <c r="M10" i="10"/>
  <c r="K11" i="10"/>
  <c r="J11" i="10"/>
  <c r="M11" i="10"/>
  <c r="K12" i="10"/>
  <c r="J12" i="10"/>
  <c r="M12" i="10"/>
  <c r="K13" i="10"/>
  <c r="J13" i="10"/>
  <c r="M13" i="10"/>
  <c r="K14" i="10"/>
  <c r="J14" i="10"/>
  <c r="M14" i="10"/>
  <c r="K15" i="10"/>
  <c r="J15" i="10"/>
  <c r="M15" i="10"/>
  <c r="K16" i="10"/>
  <c r="J16" i="10"/>
  <c r="M16" i="10"/>
  <c r="K17" i="10"/>
  <c r="J17" i="10"/>
  <c r="M17" i="10"/>
  <c r="K18" i="10"/>
  <c r="J18" i="10"/>
  <c r="M18" i="10"/>
  <c r="K19" i="10"/>
  <c r="J19" i="10"/>
  <c r="M19" i="10"/>
  <c r="K20" i="10"/>
  <c r="J20" i="10"/>
  <c r="M20" i="10"/>
  <c r="K21" i="10"/>
  <c r="J21" i="10"/>
  <c r="M21" i="10"/>
  <c r="K22" i="10"/>
  <c r="J22" i="10"/>
  <c r="M22" i="10"/>
  <c r="K23" i="10"/>
  <c r="J23" i="10"/>
  <c r="M23" i="10"/>
  <c r="K24" i="10"/>
  <c r="J24" i="10"/>
  <c r="M24" i="10"/>
  <c r="K25" i="10"/>
  <c r="J25" i="10"/>
  <c r="M25" i="10"/>
  <c r="K26" i="10"/>
  <c r="J26" i="10"/>
  <c r="M26" i="10"/>
  <c r="K27" i="10"/>
  <c r="J27" i="10"/>
  <c r="M27" i="10"/>
  <c r="K28" i="10"/>
  <c r="J28" i="10"/>
  <c r="M28" i="10"/>
  <c r="K29" i="10"/>
  <c r="J29" i="10"/>
  <c r="M29" i="10"/>
  <c r="K30" i="10"/>
  <c r="J30" i="10"/>
  <c r="M30" i="10"/>
  <c r="K31" i="10"/>
  <c r="J31" i="10"/>
  <c r="M31" i="10"/>
  <c r="K32" i="10"/>
  <c r="J32" i="10"/>
  <c r="M32" i="10"/>
  <c r="K33" i="10"/>
  <c r="J33" i="10"/>
  <c r="M33" i="10"/>
  <c r="K34" i="10"/>
  <c r="J34" i="10"/>
  <c r="M34" i="10"/>
  <c r="K35" i="10"/>
  <c r="J35" i="10"/>
  <c r="M35" i="10"/>
  <c r="K36" i="10"/>
  <c r="J36" i="10"/>
  <c r="M36" i="10"/>
  <c r="K37" i="10"/>
  <c r="J37" i="10"/>
  <c r="M37" i="10"/>
  <c r="J39" i="10"/>
  <c r="M8" i="10"/>
  <c r="D189" i="10" l="1"/>
  <c r="D188" i="10"/>
  <c r="D191" i="10" s="1"/>
  <c r="D192" i="10" s="1"/>
  <c r="D183" i="10"/>
  <c r="C923" i="12" a="1"/>
  <c r="C923" i="12" s="1"/>
  <c r="D923" i="12" a="1"/>
  <c r="D923" i="12" s="1"/>
  <c r="G355" i="12"/>
  <c r="F355" i="12"/>
  <c r="E355" i="12"/>
  <c r="D355" i="12"/>
  <c r="C355" i="1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<sst xmlns="http://schemas.openxmlformats.org/spreadsheetml/2006/main" count="2681" uniqueCount="909">
  <si>
    <t>Region (WorldWide)</t>
  </si>
  <si>
    <t>Unit Sold</t>
  </si>
  <si>
    <t xml:space="preserve"> Category</t>
  </si>
  <si>
    <t>Profit</t>
  </si>
  <si>
    <t xml:space="preserve">Seller Name </t>
  </si>
  <si>
    <t>Revenue</t>
  </si>
  <si>
    <t>North</t>
  </si>
  <si>
    <t xml:space="preserve">Mobile &amp; Electronics </t>
  </si>
  <si>
    <t xml:space="preserve">South </t>
  </si>
  <si>
    <t>ND APPARELS</t>
  </si>
  <si>
    <t>ID No.</t>
  </si>
  <si>
    <t xml:space="preserve">Order Date </t>
  </si>
  <si>
    <t>Picode</t>
  </si>
  <si>
    <t>Brands</t>
  </si>
  <si>
    <t>Price</t>
  </si>
  <si>
    <t>Tax (2.5%)</t>
  </si>
  <si>
    <t>AND</t>
  </si>
  <si>
    <t>IF</t>
  </si>
  <si>
    <t>IF/AND</t>
  </si>
  <si>
    <t>ND001</t>
  </si>
  <si>
    <t>Apple</t>
  </si>
  <si>
    <t>Column1</t>
  </si>
  <si>
    <t>ND002</t>
  </si>
  <si>
    <t>SD APPARELS</t>
  </si>
  <si>
    <t>Fashion &amp; Clothing</t>
  </si>
  <si>
    <t>Samsung</t>
  </si>
  <si>
    <t>ND003</t>
  </si>
  <si>
    <t>AD APPARELS</t>
  </si>
  <si>
    <t>Sports &amp; Fitness</t>
  </si>
  <si>
    <t xml:space="preserve">EAST </t>
  </si>
  <si>
    <t>Vivo</t>
  </si>
  <si>
    <t>ND004</t>
  </si>
  <si>
    <t>MD APPARELS</t>
  </si>
  <si>
    <t>Home &amp; Furniture</t>
  </si>
  <si>
    <t>Realme</t>
  </si>
  <si>
    <t>ND005</t>
  </si>
  <si>
    <t>Book &amp; Education</t>
  </si>
  <si>
    <t>Oppo</t>
  </si>
  <si>
    <t>40</t>
  </si>
  <si>
    <t>ND006</t>
  </si>
  <si>
    <t>ZARA</t>
  </si>
  <si>
    <t>ND007</t>
  </si>
  <si>
    <t>Adidas</t>
  </si>
  <si>
    <t>ND008</t>
  </si>
  <si>
    <t>WEST</t>
  </si>
  <si>
    <t>Puma</t>
  </si>
  <si>
    <t>ND009</t>
  </si>
  <si>
    <t>Levi's</t>
  </si>
  <si>
    <t>ND010</t>
  </si>
  <si>
    <t>Tommy Hilfigure</t>
  </si>
  <si>
    <t>ND011</t>
  </si>
  <si>
    <t>Nike</t>
  </si>
  <si>
    <t>ND012</t>
  </si>
  <si>
    <t>Peloton</t>
  </si>
  <si>
    <t>ND013</t>
  </si>
  <si>
    <t>ZenFit</t>
  </si>
  <si>
    <t>ND014</t>
  </si>
  <si>
    <t>EliteEdge</t>
  </si>
  <si>
    <t>ND015</t>
  </si>
  <si>
    <t>Ollivia</t>
  </si>
  <si>
    <t>ND016</t>
  </si>
  <si>
    <t>Godrej</t>
  </si>
  <si>
    <t>ND017</t>
  </si>
  <si>
    <t>Indigo Interiors</t>
  </si>
  <si>
    <t>ND018</t>
  </si>
  <si>
    <t>Hometown</t>
  </si>
  <si>
    <t>ND019</t>
  </si>
  <si>
    <t>Savya Home</t>
  </si>
  <si>
    <t>ND020</t>
  </si>
  <si>
    <t>Indigo Architecture</t>
  </si>
  <si>
    <t>ND021</t>
  </si>
  <si>
    <t>WoodenStreet</t>
  </si>
  <si>
    <t>ND022</t>
  </si>
  <si>
    <t>Power</t>
  </si>
  <si>
    <t>ND023</t>
  </si>
  <si>
    <t xml:space="preserve">Atomic Habit </t>
  </si>
  <si>
    <t>ND024</t>
  </si>
  <si>
    <t>Psychology Of Money</t>
  </si>
  <si>
    <t>ND025</t>
  </si>
  <si>
    <t>Zero To One</t>
  </si>
  <si>
    <t>ND026</t>
  </si>
  <si>
    <t>Deep Work</t>
  </si>
  <si>
    <t>ND027</t>
  </si>
  <si>
    <t>ND028</t>
  </si>
  <si>
    <t>ND029</t>
  </si>
  <si>
    <t>ND030</t>
  </si>
  <si>
    <t xml:space="preserve">Sales Target </t>
  </si>
  <si>
    <t>Total Sales</t>
  </si>
  <si>
    <t xml:space="preserve">Higher | Lower | Equal </t>
  </si>
  <si>
    <t>20000</t>
  </si>
  <si>
    <t>Locked Cell</t>
  </si>
  <si>
    <t>Unlocked Cell</t>
  </si>
  <si>
    <t>Lower</t>
  </si>
  <si>
    <t>L</t>
  </si>
  <si>
    <t>Higher</t>
  </si>
  <si>
    <t>H</t>
  </si>
  <si>
    <t>Equal</t>
  </si>
  <si>
    <t>Subjects</t>
  </si>
  <si>
    <t xml:space="preserve">English </t>
  </si>
  <si>
    <t>Hindi</t>
  </si>
  <si>
    <t>Physics</t>
  </si>
  <si>
    <t>Chemistry</t>
  </si>
  <si>
    <t>Average</t>
  </si>
  <si>
    <t>Result</t>
  </si>
  <si>
    <t>Grade</t>
  </si>
  <si>
    <t>Years</t>
  </si>
  <si>
    <t>Sales</t>
  </si>
  <si>
    <t>OR</t>
  </si>
  <si>
    <t>Average Sales</t>
  </si>
  <si>
    <t>Financial Calculations</t>
  </si>
  <si>
    <t>Date</t>
  </si>
  <si>
    <t>Invested Amount</t>
  </si>
  <si>
    <t>Datedif</t>
  </si>
  <si>
    <t xml:space="preserve">Employee Name </t>
  </si>
  <si>
    <t>DOJ</t>
  </si>
  <si>
    <t>Today</t>
  </si>
  <si>
    <t>Working Years</t>
  </si>
  <si>
    <t>Working Months</t>
  </si>
  <si>
    <t>Working Days</t>
  </si>
  <si>
    <t xml:space="preserve">Lalit </t>
  </si>
  <si>
    <t>Rammehar</t>
  </si>
  <si>
    <t>Tushar Taak</t>
  </si>
  <si>
    <t>Rahul Sharma</t>
  </si>
  <si>
    <t xml:space="preserve">Priya Saini </t>
  </si>
  <si>
    <t>Shalini Dhiman</t>
  </si>
  <si>
    <t>Aayush Sharma</t>
  </si>
  <si>
    <t>Preeti Saini</t>
  </si>
  <si>
    <t>Yash Saini</t>
  </si>
  <si>
    <t>Ajay Chauhan</t>
  </si>
  <si>
    <t>Poni Chauhan</t>
  </si>
  <si>
    <t>Aman Dhiman</t>
  </si>
  <si>
    <t xml:space="preserve">Attendence </t>
  </si>
  <si>
    <t xml:space="preserve">Finance &amp; Accounting </t>
  </si>
  <si>
    <t>Present Value (PV)</t>
  </si>
  <si>
    <t>Fixed Amount</t>
  </si>
  <si>
    <t>Future Value (FV)</t>
  </si>
  <si>
    <t xml:space="preserve">Fixed Interest </t>
  </si>
  <si>
    <t xml:space="preserve">Loan Terms </t>
  </si>
  <si>
    <t xml:space="preserve">Payment </t>
  </si>
  <si>
    <t>Principal Loan Amount (PV)</t>
  </si>
  <si>
    <t>Discount Rate (r)</t>
  </si>
  <si>
    <t>Time Period in Years (n)</t>
  </si>
  <si>
    <t>Payment (PMT)</t>
  </si>
  <si>
    <t>P.A / P.M</t>
  </si>
  <si>
    <t>Compounding</t>
  </si>
  <si>
    <t>Annually</t>
  </si>
  <si>
    <t xml:space="preserve">Monthly </t>
  </si>
  <si>
    <t xml:space="preserve">Absolute Value </t>
  </si>
  <si>
    <t>Present Value Of Annuity</t>
  </si>
  <si>
    <t>Annual Rate (r)</t>
  </si>
  <si>
    <t>Payments (Annual)</t>
  </si>
  <si>
    <t>Future Value Of Annuity</t>
  </si>
  <si>
    <t>Compounded Annual Growth Rate</t>
  </si>
  <si>
    <t>Year</t>
  </si>
  <si>
    <t>5years</t>
  </si>
  <si>
    <t>Value</t>
  </si>
  <si>
    <t>Growth Rate</t>
  </si>
  <si>
    <t>CAGR (5 years ) - Method 1</t>
  </si>
  <si>
    <t>CAGR (5 years ) - Method 2</t>
  </si>
  <si>
    <t>Flash Fill</t>
  </si>
  <si>
    <t>E-Mail Adderss</t>
  </si>
  <si>
    <t>Name</t>
  </si>
  <si>
    <t>Location</t>
  </si>
  <si>
    <t>Location Number</t>
  </si>
  <si>
    <t>Aayush.Delhi@4512.com</t>
  </si>
  <si>
    <t>Aayush</t>
  </si>
  <si>
    <t>Delhi</t>
  </si>
  <si>
    <t>Mahi.Banglore@5886.com</t>
  </si>
  <si>
    <t>Mahi</t>
  </si>
  <si>
    <t>Banglore</t>
  </si>
  <si>
    <t>Shiwani.Karnataka@2356.com</t>
  </si>
  <si>
    <t>Shiwani</t>
  </si>
  <si>
    <t>Karnataka</t>
  </si>
  <si>
    <t>Shalini.Jaipur@5689.com</t>
  </si>
  <si>
    <t>Shalini</t>
  </si>
  <si>
    <t>Jaipur</t>
  </si>
  <si>
    <t>Kartik.Channai@4589.com</t>
  </si>
  <si>
    <t>Kartik</t>
  </si>
  <si>
    <t>Channai</t>
  </si>
  <si>
    <t>Kajal.Hydrabad@2589.com</t>
  </si>
  <si>
    <t>Kajal</t>
  </si>
  <si>
    <t>Hydrabad</t>
  </si>
  <si>
    <t>Rahul.Goa@9564.com</t>
  </si>
  <si>
    <t>Rahul</t>
  </si>
  <si>
    <t>Goa</t>
  </si>
  <si>
    <t>Arjun.Utterpadesh@5463.com</t>
  </si>
  <si>
    <t>Arjun</t>
  </si>
  <si>
    <t>Utterpadesh</t>
  </si>
  <si>
    <t>Amit.Jaipur@7825.com</t>
  </si>
  <si>
    <t>Amit</t>
  </si>
  <si>
    <t>Sneha.Gurugram@4422.com</t>
  </si>
  <si>
    <t>Sneha</t>
  </si>
  <si>
    <t>Gurugram</t>
  </si>
  <si>
    <t>values</t>
  </si>
  <si>
    <t>SUMIF</t>
  </si>
  <si>
    <t>AVERAGEIF</t>
  </si>
  <si>
    <t>In UCLA online store, only full-time students with GPA over 4.5 get a discount otherwise they don't; 
The system generates a random user - check if she/he gets a discount and return "Yes" for discount, else "No".</t>
  </si>
  <si>
    <t>DATA:</t>
  </si>
  <si>
    <t>User number</t>
  </si>
  <si>
    <t>Data always changes. Beware! 
Make sure you use Cells reference (exmple =B9) and not hard-coded values.</t>
  </si>
  <si>
    <t>Full time/Part-Time</t>
  </si>
  <si>
    <t>GPA</t>
  </si>
  <si>
    <t>&lt;= Insert formula here!</t>
  </si>
  <si>
    <t>Answer:</t>
  </si>
  <si>
    <t>Age</t>
  </si>
  <si>
    <t>Receives gift?</t>
  </si>
  <si>
    <t>Tommy</t>
  </si>
  <si>
    <t>Jim</t>
  </si>
  <si>
    <t>Check:</t>
  </si>
  <si>
    <t>What is the income of all rappers who like the yellow color?</t>
  </si>
  <si>
    <t>Rapper</t>
  </si>
  <si>
    <t>Favorite color</t>
  </si>
  <si>
    <t>Income (millions)</t>
  </si>
  <si>
    <t xml:space="preserve">Biz </t>
  </si>
  <si>
    <t>Black</t>
  </si>
  <si>
    <t>Ice Cone</t>
  </si>
  <si>
    <t>Yellow</t>
  </si>
  <si>
    <t>Snoop Catt</t>
  </si>
  <si>
    <t>Cardi C</t>
  </si>
  <si>
    <t>Ray Z</t>
  </si>
  <si>
    <t>3Pac</t>
  </si>
  <si>
    <t>Sum:</t>
  </si>
  <si>
    <t>&lt; - Insert formula here!</t>
  </si>
  <si>
    <t>How many rappers like the color yellow?</t>
  </si>
  <si>
    <t>Count:</t>
  </si>
  <si>
    <t>What is the average yearly income in Ohio?</t>
  </si>
  <si>
    <t>State</t>
  </si>
  <si>
    <t>Employee Name</t>
  </si>
  <si>
    <t>Income (thousands)</t>
  </si>
  <si>
    <t>Minnesota</t>
  </si>
  <si>
    <t>John</t>
  </si>
  <si>
    <t>Ohio</t>
  </si>
  <si>
    <t>Jake</t>
  </si>
  <si>
    <t>New York</t>
  </si>
  <si>
    <t>Jill</t>
  </si>
  <si>
    <t>Dilip</t>
  </si>
  <si>
    <t>Dana</t>
  </si>
  <si>
    <t>Texas</t>
  </si>
  <si>
    <t>Kumar</t>
  </si>
  <si>
    <t>California</t>
  </si>
  <si>
    <t>Jose</t>
  </si>
  <si>
    <t>Muhammad</t>
  </si>
  <si>
    <t>Elise</t>
  </si>
  <si>
    <t>Average income:</t>
  </si>
  <si>
    <t>&lt;= Insert formula here</t>
  </si>
  <si>
    <t>The following table details the revenue by bank account number</t>
  </si>
  <si>
    <t>Calculate the total revenue from "Gold" accounts in the State of NY</t>
  </si>
  <si>
    <t>Account #</t>
  </si>
  <si>
    <t>Type</t>
  </si>
  <si>
    <t>Gold</t>
  </si>
  <si>
    <t>NY</t>
  </si>
  <si>
    <t>Silver</t>
  </si>
  <si>
    <t>PA</t>
  </si>
  <si>
    <t>NJ</t>
  </si>
  <si>
    <t>Bronze</t>
  </si>
  <si>
    <t>MA</t>
  </si>
  <si>
    <t>Use COUNTIFS to  calculate the number of boys over the age of 13</t>
  </si>
  <si>
    <t>Boy/Girl</t>
  </si>
  <si>
    <t>Alex</t>
  </si>
  <si>
    <t>Boy</t>
  </si>
  <si>
    <t>Danny</t>
  </si>
  <si>
    <t>Gabby</t>
  </si>
  <si>
    <t>Girl</t>
  </si>
  <si>
    <t>Kris</t>
  </si>
  <si>
    <t>Taylor</t>
  </si>
  <si>
    <t>Vic</t>
  </si>
  <si>
    <t>&lt;- Insert formula here!</t>
  </si>
  <si>
    <t>Ex-1</t>
  </si>
  <si>
    <t>Return the highest annual income in California (amount):</t>
  </si>
  <si>
    <t>City</t>
  </si>
  <si>
    <t>San Fransisco</t>
  </si>
  <si>
    <t>Dallas</t>
  </si>
  <si>
    <t>San Diego</t>
  </si>
  <si>
    <t>Cleveland</t>
  </si>
  <si>
    <t>Austin</t>
  </si>
  <si>
    <t>San Jose</t>
  </si>
  <si>
    <t>Rochester</t>
  </si>
  <si>
    <t>Los Angeles</t>
  </si>
  <si>
    <t>Highest Income:</t>
  </si>
  <si>
    <t>Ex-2</t>
  </si>
  <si>
    <t>Return the highest annual income in California in Banking Sector (amount):</t>
  </si>
  <si>
    <t>Sector</t>
  </si>
  <si>
    <t>Banking</t>
  </si>
  <si>
    <t>Hi Tech</t>
  </si>
  <si>
    <t>Pharma</t>
  </si>
  <si>
    <t>Media</t>
  </si>
  <si>
    <t>Farming</t>
  </si>
  <si>
    <t>Biology</t>
  </si>
  <si>
    <t>Retail</t>
  </si>
  <si>
    <t>State:</t>
  </si>
  <si>
    <t>Sector:</t>
  </si>
  <si>
    <t>What is the lowest interest rate in Europe?</t>
  </si>
  <si>
    <t>Continent</t>
  </si>
  <si>
    <t>Country</t>
  </si>
  <si>
    <t>Interest Rate</t>
  </si>
  <si>
    <t>Europe</t>
  </si>
  <si>
    <t>Romania</t>
  </si>
  <si>
    <t>South America</t>
  </si>
  <si>
    <t>Paraguay</t>
  </si>
  <si>
    <t>Czech Republic</t>
  </si>
  <si>
    <t>North America</t>
  </si>
  <si>
    <t>Canada</t>
  </si>
  <si>
    <t>USA</t>
  </si>
  <si>
    <t>Asia</t>
  </si>
  <si>
    <t>Saudi Arabia</t>
  </si>
  <si>
    <t>Serbia</t>
  </si>
  <si>
    <t>Malaysia</t>
  </si>
  <si>
    <t>Lowest rate:</t>
  </si>
  <si>
    <t>What is the lowest interest rate for countries in Europe with a population of more than 15M?</t>
  </si>
  <si>
    <t>Population (In millions)</t>
  </si>
  <si>
    <t>Denmark</t>
  </si>
  <si>
    <t>Netherlands</t>
  </si>
  <si>
    <t>Functions Explained</t>
  </si>
  <si>
    <t>AND/OR functions allow the user to check if multiple criteria are met. They are extremely useful when combined with the IF function. </t>
  </si>
  <si>
    <r>
      <t>The AND function is used for checking if </t>
    </r>
    <r>
      <rPr>
        <sz val="11"/>
        <color rgb="FF3A3A3A"/>
        <rFont val="Inherit"/>
        <charset val="1"/>
      </rPr>
      <t>all</t>
    </r>
    <r>
      <rPr>
        <sz val="11"/>
        <color rgb="FF3A3A3A"/>
        <rFont val="Poppins"/>
        <charset val="1"/>
      </rPr>
      <t> criteria are met</t>
    </r>
  </si>
  <si>
    <r>
      <t>The OR function is used for checking if </t>
    </r>
    <r>
      <rPr>
        <sz val="11"/>
        <color rgb="FF3A3A3A"/>
        <rFont val="Inherit"/>
        <charset val="1"/>
      </rPr>
      <t>at least one</t>
    </r>
    <r>
      <rPr>
        <sz val="11"/>
        <color rgb="FF3A3A3A"/>
        <rFont val="Poppins"/>
        <charset val="1"/>
      </rPr>
      <t> criterion is met. </t>
    </r>
  </si>
  <si>
    <t>AND combined with IF function:</t>
  </si>
  <si>
    <t>=IF(AND(logical1, logical2),value if true, value if false)</t>
  </si>
  <si>
    <r>
      <t>In this example, if </t>
    </r>
    <r>
      <rPr>
        <sz val="11"/>
        <color rgb="FF3A3A3A"/>
        <rFont val="Inherit"/>
        <charset val="1"/>
      </rPr>
      <t>logical1 </t>
    </r>
    <r>
      <rPr>
        <sz val="11"/>
        <color rgb="FF3A3A3A"/>
        <rFont val="Poppins"/>
        <charset val="1"/>
      </rPr>
      <t>and </t>
    </r>
    <r>
      <rPr>
        <sz val="11"/>
        <color rgb="FF3A3A3A"/>
        <rFont val="Inherit"/>
        <charset val="1"/>
      </rPr>
      <t>logical2</t>
    </r>
    <r>
      <rPr>
        <sz val="11"/>
        <color rgb="FF3A3A3A"/>
        <rFont val="Poppins"/>
        <charset val="1"/>
      </rPr>
      <t> criteria are met, the IF function will return </t>
    </r>
    <r>
      <rPr>
        <sz val="11"/>
        <color rgb="FF3A3A3A"/>
        <rFont val="Inherit"/>
        <charset val="1"/>
      </rPr>
      <t>value if true</t>
    </r>
    <r>
      <rPr>
        <sz val="11"/>
        <color rgb="FF3A3A3A"/>
        <rFont val="Poppins"/>
        <charset val="1"/>
      </rPr>
      <t>. If any of these criteria are not met, the IF function will return </t>
    </r>
    <r>
      <rPr>
        <sz val="11"/>
        <color rgb="FF3A3A3A"/>
        <rFont val="Inherit"/>
        <charset val="1"/>
      </rPr>
      <t>value if false.</t>
    </r>
  </si>
  <si>
    <t>OR combined with IF function:</t>
  </si>
  <si>
    <t>=IF(OR(logical1, logical2),value if true, value if false)</t>
  </si>
  <si>
    <r>
      <t>In this example, if at least one of the following criteria is met – either </t>
    </r>
    <r>
      <rPr>
        <sz val="11"/>
        <color rgb="FF3A3A3A"/>
        <rFont val="Inherit"/>
        <charset val="1"/>
      </rPr>
      <t>logical1</t>
    </r>
    <r>
      <rPr>
        <sz val="11"/>
        <color rgb="FF3A3A3A"/>
        <rFont val="Poppins"/>
        <charset val="1"/>
      </rPr>
      <t> or </t>
    </r>
    <r>
      <rPr>
        <sz val="11"/>
        <color rgb="FF3A3A3A"/>
        <rFont val="Inherit"/>
        <charset val="1"/>
      </rPr>
      <t>logical2</t>
    </r>
    <r>
      <rPr>
        <sz val="11"/>
        <color rgb="FF3A3A3A"/>
        <rFont val="Poppins"/>
        <charset val="1"/>
      </rPr>
      <t> – the IF function will return </t>
    </r>
    <r>
      <rPr>
        <sz val="11"/>
        <color rgb="FF3A3A3A"/>
        <rFont val="Inherit"/>
        <charset val="1"/>
      </rPr>
      <t>value if true</t>
    </r>
    <r>
      <rPr>
        <sz val="11"/>
        <color rgb="FF3A3A3A"/>
        <rFont val="Poppins"/>
        <charset val="1"/>
      </rPr>
      <t>. If all of these criteria are not met, the IF function will return </t>
    </r>
    <r>
      <rPr>
        <sz val="11"/>
        <color rgb="FF3A3A3A"/>
        <rFont val="Inherit"/>
        <charset val="1"/>
      </rPr>
      <t>value if false</t>
    </r>
  </si>
  <si>
    <r>
      <t xml:space="preserve">If </t>
    </r>
    <r>
      <rPr>
        <b/>
        <u/>
        <sz val="11"/>
        <color theme="1"/>
        <rFont val="Calibri"/>
        <family val="2"/>
        <scheme val="minor"/>
      </rPr>
      <t>all</t>
    </r>
    <r>
      <rPr>
        <b/>
        <sz val="11"/>
        <color theme="1"/>
        <rFont val="Calibri"/>
        <family val="2"/>
        <scheme val="minor"/>
      </rPr>
      <t xml:space="preserve"> numbers are greater than 30, return "Good", otherwise return "Bad"</t>
    </r>
  </si>
  <si>
    <t>Number 1</t>
  </si>
  <si>
    <t>Number 2</t>
  </si>
  <si>
    <r>
      <t xml:space="preserve">If </t>
    </r>
    <r>
      <rPr>
        <b/>
        <u/>
        <sz val="11"/>
        <color theme="1"/>
        <rFont val="Calibri"/>
        <family val="2"/>
        <scheme val="minor"/>
      </rPr>
      <t>at least one</t>
    </r>
    <r>
      <rPr>
        <b/>
        <sz val="11"/>
        <color theme="1"/>
        <rFont val="Calibri"/>
        <family val="2"/>
        <scheme val="minor"/>
      </rPr>
      <t xml:space="preserve"> number is greater than 30, return "Good", otherwise return "Bad"</t>
    </r>
  </si>
  <si>
    <t>Check if the following cell is blank:</t>
  </si>
  <si>
    <t>Cell</t>
  </si>
  <si>
    <t>Is it blank?</t>
  </si>
  <si>
    <t>Bla bla bla</t>
  </si>
  <si>
    <t>Check if the following cell is blank. If so, return "No data", otherwise return "Cell is ok":</t>
  </si>
  <si>
    <t>The cat</t>
  </si>
  <si>
    <t>ID Number</t>
  </si>
  <si>
    <t>Yoav</t>
  </si>
  <si>
    <t>Guy</t>
  </si>
  <si>
    <t>Rafi</t>
  </si>
  <si>
    <t>Lev</t>
  </si>
  <si>
    <t>What is the age of ID 57564? </t>
  </si>
  <si>
    <t>&lt;- Please enter formula</t>
  </si>
  <si>
    <t>Use the VLOOKUP function to find where Tina and Dani work:</t>
  </si>
  <si>
    <t>Workplace</t>
  </si>
  <si>
    <t xml:space="preserve"> Dani</t>
  </si>
  <si>
    <t>Tina</t>
  </si>
  <si>
    <t>List of employees:</t>
  </si>
  <si>
    <t>Company</t>
  </si>
  <si>
    <t>Sean</t>
  </si>
  <si>
    <t>Amazon</t>
  </si>
  <si>
    <t>Sarah</t>
  </si>
  <si>
    <t>Google</t>
  </si>
  <si>
    <t>Microsoft</t>
  </si>
  <si>
    <t>Joe</t>
  </si>
  <si>
    <t>Netflix</t>
  </si>
  <si>
    <t>Disney</t>
  </si>
  <si>
    <t>Sharon</t>
  </si>
  <si>
    <t>Tesla</t>
  </si>
  <si>
    <t>Gil</t>
  </si>
  <si>
    <t>Facebook</t>
  </si>
  <si>
    <t>Dani</t>
  </si>
  <si>
    <t>Go back to the question</t>
  </si>
  <si>
    <t xml:space="preserve">Why did we get an #N/A error for Dani? </t>
  </si>
  <si>
    <t>#N/A error means that the value you were looking for was not found.</t>
  </si>
  <si>
    <t>But wait - there is a Dani in row 14! He works for Netflix!</t>
  </si>
  <si>
    <t xml:space="preserve">The reason why we still didn't find anything, is because there is a whitespace before "Dani". </t>
  </si>
  <si>
    <t>Excel treats whitespace as a character, so basically, these two are not the same:</t>
  </si>
  <si>
    <t>With whitespace</t>
  </si>
  <si>
    <t>Without whitespace</t>
  </si>
  <si>
    <t>Same?</t>
  </si>
  <si>
    <t>If we wish to make this work, we need to make sure we compare apples to apples, so one way would be to remove the whitespace before Dani in the table:</t>
  </si>
  <si>
    <t>Fixed table - No whitespace before Dani:</t>
  </si>
  <si>
    <t>As an alternative, we can apply the TRIM function, to remove unnecessary whitespaces. You can read more about it here.</t>
  </si>
  <si>
    <t>Before TRIM</t>
  </si>
  <si>
    <t>After TRIM</t>
  </si>
  <si>
    <t>Syntax</t>
  </si>
  <si>
    <t>=XLOOKUP(lookup_value, lookup_array, return_array, [if_not_found], [match_mode], [search_mode]) </t>
  </si>
  <si>
    <r>
      <t>lookup_value</t>
    </r>
    <r>
      <rPr>
        <sz val="11"/>
        <color rgb="FF3A3A3A"/>
        <rFont val="Poppins"/>
        <charset val="1"/>
      </rPr>
      <t> – What is the value we are looking for?</t>
    </r>
  </si>
  <si>
    <r>
      <t>lookup_array</t>
    </r>
    <r>
      <rPr>
        <sz val="11"/>
        <color rgb="FF3A3A3A"/>
        <rFont val="Poppins"/>
        <charset val="1"/>
      </rPr>
      <t> – Where should we lookup our value?</t>
    </r>
  </si>
  <si>
    <r>
      <t>return_array</t>
    </r>
    <r>
      <rPr>
        <sz val="11"/>
        <color rgb="FF3A3A3A"/>
        <rFont val="Poppins"/>
        <charset val="1"/>
      </rPr>
      <t> – From where should the corresponding value be returned? This could be a column, row or even a range – Meaning we can return more than one cell per match. Note that unlike </t>
    </r>
    <r>
      <rPr>
        <u/>
        <sz val="11"/>
        <color rgb="FF1E73BE"/>
        <rFont val="Inherit"/>
        <charset val="1"/>
      </rPr>
      <t>VLOOKUP</t>
    </r>
    <r>
      <rPr>
        <sz val="11"/>
        <color rgb="FF3A3A3A"/>
        <rFont val="Poppins"/>
        <charset val="1"/>
      </rPr>
      <t>, and similar to </t>
    </r>
    <r>
      <rPr>
        <u/>
        <sz val="11"/>
        <color rgb="FF1E73BE"/>
        <rFont val="Inherit"/>
        <charset val="1"/>
      </rPr>
      <t>INDEX MATCH</t>
    </r>
    <r>
      <rPr>
        <sz val="11"/>
        <color rgb="FF3A3A3A"/>
        <rFont val="Poppins"/>
        <charset val="1"/>
      </rPr>
      <t> – return_array can be </t>
    </r>
    <r>
      <rPr>
        <u/>
        <sz val="11"/>
        <color rgb="FF3A3A3A"/>
        <rFont val="Inherit"/>
        <charset val="1"/>
      </rPr>
      <t>before</t>
    </r>
    <r>
      <rPr>
        <sz val="11"/>
        <color rgb="FF3A3A3A"/>
        <rFont val="Poppins"/>
        <charset val="1"/>
      </rPr>
      <t> the lookup</t>
    </r>
  </si>
  <si>
    <t>Use XLOOKUP to find the age of Jack</t>
  </si>
  <si>
    <t>Michael</t>
  </si>
  <si>
    <t>Russel</t>
  </si>
  <si>
    <t>Jack</t>
  </si>
  <si>
    <t>Dan</t>
  </si>
  <si>
    <t>Name:</t>
  </si>
  <si>
    <t>Mark</t>
  </si>
  <si>
    <t xml:space="preserve">What is Dina's favorite color? </t>
  </si>
  <si>
    <t>Note that some names appear more than once in the table!</t>
  </si>
  <si>
    <t xml:space="preserve">In case of duplicates, return last matching value. </t>
  </si>
  <si>
    <t xml:space="preserve">Note that some names appear more than once. </t>
  </si>
  <si>
    <t>Favorite Color</t>
  </si>
  <si>
    <t>Dina</t>
  </si>
  <si>
    <t>Blue</t>
  </si>
  <si>
    <t>London</t>
  </si>
  <si>
    <t>Green</t>
  </si>
  <si>
    <t>Joel</t>
  </si>
  <si>
    <t>Tel Aviv</t>
  </si>
  <si>
    <t>Red</t>
  </si>
  <si>
    <t>Melbourne</t>
  </si>
  <si>
    <t>Sam</t>
  </si>
  <si>
    <t>Syndey</t>
  </si>
  <si>
    <t>Ralph</t>
  </si>
  <si>
    <t>Beijing</t>
  </si>
  <si>
    <t>Favorite Color:</t>
  </si>
  <si>
    <t>&lt;- Insert formula here</t>
  </si>
  <si>
    <t>=XLOOKUP(B14,A6:A12,C6:C12,,,-1)</t>
  </si>
  <si>
    <t xml:space="preserve">Here are some possible solutions - </t>
  </si>
  <si>
    <t>All solutions rely on using -1 in Search Mode (last argument):</t>
  </si>
  <si>
    <t>Method #1:</t>
  </si>
  <si>
    <t>Here we keep "not found" and "match mode" empty.</t>
  </si>
  <si>
    <t>Method #2:</t>
  </si>
  <si>
    <t>=XLOOKUP(B14,A6:A12,C6:C12,"not found",,-1)</t>
  </si>
  <si>
    <t>Here we use "not found" message in our if_not_found argument</t>
  </si>
  <si>
    <t>Method #3:</t>
  </si>
  <si>
    <t>=XLOOKUP(B14,A6:A12,C6:C12,,0,-1)</t>
  </si>
  <si>
    <t>Using match mode 0 means using exact match (default behavior)</t>
  </si>
  <si>
    <t>Ex-3</t>
  </si>
  <si>
    <t>Return all car details for the car with Plate Number 5544667</t>
  </si>
  <si>
    <t>Car</t>
  </si>
  <si>
    <t>Plate Number</t>
  </si>
  <si>
    <t>Color</t>
  </si>
  <si>
    <t>Model Year</t>
  </si>
  <si>
    <t>Toyota</t>
  </si>
  <si>
    <t>Corola</t>
  </si>
  <si>
    <t>Nissan</t>
  </si>
  <si>
    <t>X Trail</t>
  </si>
  <si>
    <t>Subaru</t>
  </si>
  <si>
    <t>Impreza</t>
  </si>
  <si>
    <t>Mercedes</t>
  </si>
  <si>
    <t>S 600</t>
  </si>
  <si>
    <t>Honda</t>
  </si>
  <si>
    <t>Civic</t>
  </si>
  <si>
    <t>Plate Number:</t>
  </si>
  <si>
    <t>^ Insert formula above</t>
  </si>
  <si>
    <t>MATCH Function</t>
  </si>
  <si>
    <t>Working As</t>
  </si>
  <si>
    <t>Salary</t>
  </si>
  <si>
    <t>Software Engineer</t>
  </si>
  <si>
    <t>Web Developer</t>
  </si>
  <si>
    <t>Priya Saini</t>
  </si>
  <si>
    <t>Graphic Designer</t>
  </si>
  <si>
    <t>AI Manager</t>
  </si>
  <si>
    <t>Data Analyst</t>
  </si>
  <si>
    <t>Data Manager</t>
  </si>
  <si>
    <t xml:space="preserve">Bhumii </t>
  </si>
  <si>
    <t>Business Analyst</t>
  </si>
  <si>
    <t xml:space="preserve">Position Number </t>
  </si>
  <si>
    <t>INDEX Function</t>
  </si>
  <si>
    <t>Employee Data</t>
  </si>
  <si>
    <t>Priyaa Saini</t>
  </si>
  <si>
    <t>Serial Number</t>
  </si>
  <si>
    <t>Index Match</t>
  </si>
  <si>
    <t>Using Index&amp;Match, find the ID Number of David</t>
  </si>
  <si>
    <t>Bob</t>
  </si>
  <si>
    <t>Rami</t>
  </si>
  <si>
    <t>David</t>
  </si>
  <si>
    <t>Frank</t>
  </si>
  <si>
    <t>UI Design</t>
  </si>
  <si>
    <t>Profession</t>
  </si>
  <si>
    <t xml:space="preserve">Phone Number </t>
  </si>
  <si>
    <t>Left</t>
  </si>
  <si>
    <t>Mid</t>
  </si>
  <si>
    <t>Right</t>
  </si>
  <si>
    <t>TEXTBEFORE</t>
  </si>
  <si>
    <t>TEXTAFTER</t>
  </si>
  <si>
    <t>TEXTSPLIT</t>
  </si>
  <si>
    <t>TEXT FUNCTION</t>
  </si>
  <si>
    <t>Month</t>
  </si>
  <si>
    <t>Day</t>
  </si>
  <si>
    <t>Use CONCATENATE in order to complete columns D and F. For example, for John Smith the result in Column D would be JohnSmit and in column F John-Smith</t>
  </si>
  <si>
    <t>Employee Code</t>
  </si>
  <si>
    <t>First Name</t>
  </si>
  <si>
    <t>Last Name</t>
  </si>
  <si>
    <t>First and last name (no space)</t>
  </si>
  <si>
    <t>First and last name (with dash)</t>
  </si>
  <si>
    <t>A100</t>
  </si>
  <si>
    <t>Smith</t>
  </si>
  <si>
    <t>A101</t>
  </si>
  <si>
    <t>Jane</t>
  </si>
  <si>
    <t>Doe</t>
  </si>
  <si>
    <t>A102</t>
  </si>
  <si>
    <t>Johnson</t>
  </si>
  <si>
    <t xml:space="preserve">First Name </t>
  </si>
  <si>
    <t xml:space="preserve">Last Name </t>
  </si>
  <si>
    <t>Tushar.Taak</t>
  </si>
  <si>
    <t>Rahul.Sharma</t>
  </si>
  <si>
    <t>Preeti.Saini</t>
  </si>
  <si>
    <t xml:space="preserve">Use Textjoin, to combine Cells B5:B9. </t>
  </si>
  <si>
    <t>Shalini.Dhiman</t>
  </si>
  <si>
    <t>Use the space character as delimiter and ignore empty cells.</t>
  </si>
  <si>
    <t>Aayush.Sharma</t>
  </si>
  <si>
    <t>Word</t>
  </si>
  <si>
    <t>Bhumii.Malhotra</t>
  </si>
  <si>
    <t>Mary</t>
  </si>
  <si>
    <t>had</t>
  </si>
  <si>
    <t>TEXTJOIN FUNCTION</t>
  </si>
  <si>
    <t>A</t>
  </si>
  <si>
    <t>Little</t>
  </si>
  <si>
    <t>ALPHABATE</t>
  </si>
  <si>
    <t>TEXTJOIN</t>
  </si>
  <si>
    <t xml:space="preserve">Lamb </t>
  </si>
  <si>
    <t>B</t>
  </si>
  <si>
    <t>C</t>
  </si>
  <si>
    <t>D</t>
  </si>
  <si>
    <t>E</t>
  </si>
  <si>
    <t>F</t>
  </si>
  <si>
    <t>Answer</t>
  </si>
  <si>
    <t>Good Job!</t>
  </si>
  <si>
    <t>G</t>
  </si>
  <si>
    <t>I</t>
  </si>
  <si>
    <t>J</t>
  </si>
  <si>
    <t>K</t>
  </si>
  <si>
    <t>M</t>
  </si>
  <si>
    <t>N</t>
  </si>
  <si>
    <t>O</t>
  </si>
  <si>
    <t>P</t>
  </si>
  <si>
    <t>Q</t>
  </si>
  <si>
    <t>R</t>
  </si>
  <si>
    <t>Using CONCAT - Combine cells A4 to A9</t>
  </si>
  <si>
    <t>S</t>
  </si>
  <si>
    <t>T</t>
  </si>
  <si>
    <t>U</t>
  </si>
  <si>
    <t>Are</t>
  </si>
  <si>
    <t>TEXTSPLIT FUNCTIONS</t>
  </si>
  <si>
    <t xml:space="preserve"> </t>
  </si>
  <si>
    <t xml:space="preserve">You Sleeping </t>
  </si>
  <si>
    <t>Skills/Companies</t>
  </si>
  <si>
    <t>Skill (1)</t>
  </si>
  <si>
    <t>Skill (2)</t>
  </si>
  <si>
    <t>Skill (3)</t>
  </si>
  <si>
    <t>Skill (4)</t>
  </si>
  <si>
    <t>Skill (5)</t>
  </si>
  <si>
    <t>MS Paint,MS Word,MS Excel,MS Power Point</t>
  </si>
  <si>
    <t>Brother John</t>
  </si>
  <si>
    <t>HTML,CSS,JAVA,JAVA SCRIPT,PYTHON,</t>
  </si>
  <si>
    <t>?</t>
  </si>
  <si>
    <t>Google,Microsoft,Linkedln,Tesla,Apple</t>
  </si>
  <si>
    <t>MS Paint,MS Word,MS Excel-MS Power Point</t>
  </si>
  <si>
    <t>HTML,CSS;JAVA,JAVA SCRIPT,PYTHON</t>
  </si>
  <si>
    <t>Google,Microsoft,Linkedln:Tesla,Apple</t>
  </si>
  <si>
    <t>What is the length of the following cells?</t>
  </si>
  <si>
    <t>Alice</t>
  </si>
  <si>
    <t>Column Conversation</t>
  </si>
  <si>
    <t>Rahul=5200,Mahi=4500,Kartik=5600,Arman=2500</t>
  </si>
  <si>
    <t>Excel is cool</t>
  </si>
  <si>
    <t>Find the position of the following texts:</t>
  </si>
  <si>
    <t>Find</t>
  </si>
  <si>
    <t>Within:</t>
  </si>
  <si>
    <t>Pepper</t>
  </si>
  <si>
    <t>Blue Cold Cayenne Peppers</t>
  </si>
  <si>
    <t>Maid</t>
  </si>
  <si>
    <t>Iron Maiden</t>
  </si>
  <si>
    <t>PEPPER</t>
  </si>
  <si>
    <t>maid</t>
  </si>
  <si>
    <t>Remove the extra spaces:</t>
  </si>
  <si>
    <t xml:space="preserve">              Welcome</t>
  </si>
  <si>
    <t xml:space="preserve">     Good      Morning </t>
  </si>
  <si>
    <t>Return the following text converted to lowercase, uppercase and proper:</t>
  </si>
  <si>
    <t>I lOvE wATchInG CaRToOns</t>
  </si>
  <si>
    <t>Lowercase</t>
  </si>
  <si>
    <t>Correct! Good Job!</t>
  </si>
  <si>
    <t>Uppercase</t>
  </si>
  <si>
    <t>Proper</t>
  </si>
  <si>
    <t>Extract the day, month and year from the following date:</t>
  </si>
  <si>
    <t>Date:</t>
  </si>
  <si>
    <t>Create a valid date from the following values:</t>
  </si>
  <si>
    <t>Find the last day of the month for the following date:</t>
  </si>
  <si>
    <t>(Reference the date by clicking the cell)</t>
  </si>
  <si>
    <t>In 5 months time</t>
  </si>
  <si>
    <t>3 months ago</t>
  </si>
  <si>
    <t>Output</t>
  </si>
  <si>
    <r>
      <t xml:space="preserve">Use IFERROR to check each cell of cells A2-A7, in case of an error - return the word </t>
    </r>
    <r>
      <rPr>
        <b/>
        <u/>
        <sz val="11"/>
        <color rgb="FF000000"/>
        <rFont val="Calibri"/>
        <family val="2"/>
      </rPr>
      <t>"Error"</t>
    </r>
  </si>
  <si>
    <t>&lt;&lt;Check cell A2 here</t>
  </si>
  <si>
    <t>&lt;&lt;Check cell A3 here</t>
  </si>
  <si>
    <t>&lt;&lt;Check cell A4 here</t>
  </si>
  <si>
    <t>&lt;&lt;Check cell A5 here</t>
  </si>
  <si>
    <t>&lt;&lt;Check cell A6 here</t>
  </si>
  <si>
    <t>&lt;&lt;Check cell A7 here</t>
  </si>
  <si>
    <r>
      <t>By using SUMPRODUCT:</t>
    </r>
    <r>
      <rPr>
        <sz val="11"/>
        <color rgb="FF000000"/>
        <rFont val="Calibri"/>
        <family val="2"/>
      </rPr>
      <t xml:space="preserve">
1. Multiply each transaction by its corresponding exchange rate
2. Sum all the products</t>
    </r>
  </si>
  <si>
    <t>Amount</t>
  </si>
  <si>
    <t>Exchange rate</t>
  </si>
  <si>
    <t xml:space="preserve">£84.20 </t>
  </si>
  <si>
    <t xml:space="preserve">₪ 43.40 </t>
  </si>
  <si>
    <t xml:space="preserve">₪ 294.20 </t>
  </si>
  <si>
    <t xml:space="preserve">£194.30 </t>
  </si>
  <si>
    <t>Excel Wildcard</t>
  </si>
  <si>
    <t>Excel wildcards can be used to replace any character in Excel and allow the user to perform advanced searches and partial matching.                                  There are two wildcards in Excel:</t>
  </si>
  <si>
    <t>? (Question Mark) – Replaces one character</t>
  </si>
  <si>
    <r>
      <t>* (Asterisk) –</t>
    </r>
    <r>
      <rPr>
        <sz val="11"/>
        <color rgb="FF3A3A3A"/>
        <rFont val="Poppins"/>
        <charset val="1"/>
      </rPr>
      <t> Replaces between 0 to any amount of characters.</t>
    </r>
  </si>
  <si>
    <t>Total points of players whose name has four letters and ends with a "oel"?</t>
  </si>
  <si>
    <t>Points</t>
  </si>
  <si>
    <t>Noel</t>
  </si>
  <si>
    <t>Tom</t>
  </si>
  <si>
    <t>Yoel</t>
  </si>
  <si>
    <t>Charlie</t>
  </si>
  <si>
    <t>Chris</t>
  </si>
  <si>
    <t>Kirk</t>
  </si>
  <si>
    <t>How many names contain the "ie" letters?</t>
  </si>
  <si>
    <t>Leslie</t>
  </si>
  <si>
    <t>Avril</t>
  </si>
  <si>
    <t>Daniel</t>
  </si>
  <si>
    <t>Donald</t>
  </si>
  <si>
    <t>Maggie</t>
  </si>
  <si>
    <t>Use UNIQUE to extract only unique values from list:</t>
  </si>
  <si>
    <t>Numbers</t>
  </si>
  <si>
    <t>SORT the following contestants by their rank, lowest to highest</t>
  </si>
  <si>
    <t>Rank</t>
  </si>
  <si>
    <t>Leroy</t>
  </si>
  <si>
    <t>Adi</t>
  </si>
  <si>
    <t>Anya</t>
  </si>
  <si>
    <t>Nemo</t>
  </si>
  <si>
    <t>Answer: (insert formula in the yellow cell)</t>
  </si>
  <si>
    <r>
      <t xml:space="preserve">Use SORTBY to sort the names by number of points in a </t>
    </r>
    <r>
      <rPr>
        <b/>
        <sz val="11"/>
        <color rgb="FF000000"/>
        <rFont val="Calibri"/>
        <family val="2"/>
      </rPr>
      <t>descending</t>
    </r>
    <r>
      <rPr>
        <sz val="11"/>
        <color rgb="FF000000"/>
        <rFont val="Calibri"/>
        <family val="2"/>
      </rPr>
      <t xml:space="preserve"> order. For each column separately.</t>
    </r>
  </si>
  <si>
    <t>Points Round 1</t>
  </si>
  <si>
    <t>Points Round 2</t>
  </si>
  <si>
    <t>Total Points</t>
  </si>
  <si>
    <t>Hayley</t>
  </si>
  <si>
    <t>Jonny</t>
  </si>
  <si>
    <t>Jackey</t>
  </si>
  <si>
    <t>Carey</t>
  </si>
  <si>
    <t>Round 1</t>
  </si>
  <si>
    <t>Answer: (insert formulas in the yellow cells)</t>
  </si>
  <si>
    <t>Round 2</t>
  </si>
  <si>
    <t>Sort the following range by the following criteria simultaneously:</t>
  </si>
  <si>
    <t>1. Group - by ascending order</t>
  </si>
  <si>
    <t>2. Country - by ascending order</t>
  </si>
  <si>
    <t>Group</t>
  </si>
  <si>
    <t>Score</t>
  </si>
  <si>
    <t>Filter</t>
  </si>
  <si>
    <t>Robert</t>
  </si>
  <si>
    <t>Israel</t>
  </si>
  <si>
    <t>UK</t>
  </si>
  <si>
    <t>Dean</t>
  </si>
  <si>
    <t>Jay Jay</t>
  </si>
  <si>
    <t>Brazil</t>
  </si>
  <si>
    <t>Nigeria</t>
  </si>
  <si>
    <t>James</t>
  </si>
  <si>
    <t>Use filter to extract only the companies from the Tech industry and their Market Cap. Ignore empty cells argument.</t>
  </si>
  <si>
    <t>Industry</t>
  </si>
  <si>
    <t>Market Cap (US Dollars Billions)</t>
  </si>
  <si>
    <t>Tech</t>
  </si>
  <si>
    <t>Walmart</t>
  </si>
  <si>
    <t>Dell</t>
  </si>
  <si>
    <t>Market Cap (Billions US$)</t>
  </si>
  <si>
    <t>&lt;Insert formula in the yellow cell</t>
  </si>
  <si>
    <t>Row</t>
  </si>
  <si>
    <t>Column</t>
  </si>
  <si>
    <t xml:space="preserve">Start </t>
  </si>
  <si>
    <t>Step</t>
  </si>
  <si>
    <t>Starting</t>
  </si>
  <si>
    <t>Assign the following values to names:</t>
  </si>
  <si>
    <t>Cat - 5, Dog - 3, Mouse - 10</t>
  </si>
  <si>
    <t>Calculate the result of CAT + DOG + MOUSE:</t>
  </si>
  <si>
    <t>How much will you have left to pay after 20 yearly payments? (Please return a positive number by adding minus to the PV)</t>
  </si>
  <si>
    <t xml:space="preserve">A </t>
  </si>
  <si>
    <t>VSTAKE</t>
  </si>
  <si>
    <t>VSTAKE ERROR</t>
  </si>
  <si>
    <t>Use VSTACK to stack the following arrays - B3:D3,B4:E4,B5:D5. Replace #N/A with "Missing"</t>
  </si>
  <si>
    <t>Array 1</t>
  </si>
  <si>
    <t>Jina</t>
  </si>
  <si>
    <t>Array 2</t>
  </si>
  <si>
    <t>Liza</t>
  </si>
  <si>
    <t>Thomas</t>
  </si>
  <si>
    <t>Array 3</t>
  </si>
  <si>
    <t>Insert formula below:</t>
  </si>
  <si>
    <t>Use HSTACK to stack the following arrays: A3:A6, C3:C6, G3:G6</t>
  </si>
  <si>
    <t>India</t>
  </si>
  <si>
    <t>Use HSTACK to stack the following arrays - A3:A7, C3:C6, E3:E6. Replace #N/A with "No value"</t>
  </si>
  <si>
    <t>Shani</t>
  </si>
  <si>
    <t>Tamer</t>
  </si>
  <si>
    <t>HSTAKE</t>
  </si>
  <si>
    <t>Return rows 2,4,6 from the table below using CHOOSEROWS:</t>
  </si>
  <si>
    <t>Hyundai</t>
  </si>
  <si>
    <t>Mitsubishi</t>
  </si>
  <si>
    <t>BMW</t>
  </si>
  <si>
    <t>Audi</t>
  </si>
  <si>
    <t>Return columns 1 &amp; 3 from the table below using CHOOSECOLS:</t>
  </si>
  <si>
    <t>You have decided to take the following loan:</t>
  </si>
  <si>
    <t>Loan Amount</t>
  </si>
  <si>
    <t>Yearly Payment</t>
  </si>
  <si>
    <t>Years to return</t>
  </si>
  <si>
    <t>Yearly interest rate</t>
  </si>
  <si>
    <t xml:space="preserve">Payments are made at the end of each period. </t>
  </si>
  <si>
    <t xml:space="preserve">Numbers </t>
  </si>
  <si>
    <t>Percent</t>
  </si>
  <si>
    <t>Percentage Type-1</t>
  </si>
  <si>
    <t>Percentage Type-2</t>
  </si>
  <si>
    <t>Finance &amp; Accounting</t>
  </si>
  <si>
    <t>EMI Calculations</t>
  </si>
  <si>
    <t>EMI CALCULATION</t>
  </si>
  <si>
    <t>MONTHS</t>
  </si>
  <si>
    <t>PPMT (Principal Amount )</t>
  </si>
  <si>
    <t>IPMT (Interest Amount)</t>
  </si>
  <si>
    <t>PMT/EMI</t>
  </si>
  <si>
    <t>Per Day Principal</t>
  </si>
  <si>
    <t>Per Day Interest</t>
  </si>
  <si>
    <t>Per Day EMI</t>
  </si>
  <si>
    <t xml:space="preserve">Rate </t>
  </si>
  <si>
    <t>Annually Interest Rate</t>
  </si>
  <si>
    <t>Period (M)/(Y)</t>
  </si>
  <si>
    <t>PMT/EMI (M)</t>
  </si>
  <si>
    <t>PMT/EMI (Y)</t>
  </si>
  <si>
    <t>Total Pay Amount</t>
  </si>
  <si>
    <t>Total Interest Amount</t>
  </si>
  <si>
    <t>Maxium Amount</t>
  </si>
  <si>
    <t>Options</t>
  </si>
  <si>
    <t>Discount Rate (r) Inflation</t>
  </si>
  <si>
    <t>Rrgular Amount</t>
  </si>
  <si>
    <t>Calculating Returns</t>
  </si>
  <si>
    <t>Absolute Return</t>
  </si>
  <si>
    <t>Salary Increment Calculation</t>
  </si>
  <si>
    <t>Increment</t>
  </si>
  <si>
    <t>Last Amount After Increment</t>
  </si>
  <si>
    <t>Before Increment</t>
  </si>
  <si>
    <t>After Increment</t>
  </si>
  <si>
    <t>Increment In %</t>
  </si>
  <si>
    <t>Calculating Returns In CAGR</t>
  </si>
  <si>
    <t>CAGR</t>
  </si>
  <si>
    <t>Portfolio</t>
  </si>
  <si>
    <t>Asset</t>
  </si>
  <si>
    <t>Returns</t>
  </si>
  <si>
    <t>Ab Returns</t>
  </si>
  <si>
    <t>sum</t>
  </si>
  <si>
    <t>Actuall</t>
  </si>
  <si>
    <t>Future Value</t>
  </si>
  <si>
    <t>Starting Amount</t>
  </si>
  <si>
    <t>Regular Amount</t>
  </si>
  <si>
    <t>Growth</t>
  </si>
  <si>
    <t>Period</t>
  </si>
  <si>
    <t>End Of Period</t>
  </si>
  <si>
    <t>Home Price</t>
  </si>
  <si>
    <t>Down Payment</t>
  </si>
  <si>
    <t>Financing %</t>
  </si>
  <si>
    <t>Interest Rate (Yearly)</t>
  </si>
  <si>
    <t>Loan Term (Years)</t>
  </si>
  <si>
    <t>Number of Payments</t>
  </si>
  <si>
    <t>Monthly Payment</t>
  </si>
  <si>
    <t>Total Interest Paid</t>
  </si>
  <si>
    <t>Total Annual Payment</t>
  </si>
  <si>
    <t>Total Payments</t>
  </si>
  <si>
    <t>Basic Math &amp; Arithematic</t>
  </si>
  <si>
    <t>Factors</t>
  </si>
  <si>
    <t xml:space="preserve">Formula </t>
  </si>
  <si>
    <t>5*4*3*2*1</t>
  </si>
  <si>
    <t>Data Available In Grouping Format</t>
  </si>
  <si>
    <t>15466</t>
  </si>
  <si>
    <t>661</t>
  </si>
  <si>
    <t>261656</t>
  </si>
  <si>
    <t>33</t>
  </si>
  <si>
    <t>965</t>
  </si>
  <si>
    <t>Software Engneer</t>
  </si>
  <si>
    <t>Graphics Designer</t>
  </si>
  <si>
    <t>Web Devloper</t>
  </si>
  <si>
    <t>Financial Manager</t>
  </si>
  <si>
    <t>SEO Manager</t>
  </si>
  <si>
    <t>Marketing Manager</t>
  </si>
  <si>
    <t>ND0012</t>
  </si>
  <si>
    <t>App Devloper</t>
  </si>
  <si>
    <t>Data Analytics</t>
  </si>
  <si>
    <t>Social Media Manager</t>
  </si>
  <si>
    <t>Col 1</t>
  </si>
  <si>
    <t>Col 2</t>
  </si>
  <si>
    <t xml:space="preserve">Ford India </t>
  </si>
  <si>
    <t xml:space="preserve">Ford </t>
  </si>
  <si>
    <t>Tata</t>
  </si>
  <si>
    <t xml:space="preserve">Mahindra  and Mahindra </t>
  </si>
  <si>
    <t>Mahindra</t>
  </si>
  <si>
    <t>Maruti Suzuki</t>
  </si>
  <si>
    <t>Maruti</t>
  </si>
  <si>
    <t xml:space="preserve">Hyundai India </t>
  </si>
  <si>
    <t xml:space="preserve">Honda India </t>
  </si>
  <si>
    <t>Column12</t>
  </si>
  <si>
    <t>Column2</t>
  </si>
  <si>
    <t>Column3</t>
  </si>
  <si>
    <t>Column4</t>
  </si>
  <si>
    <t>Column5</t>
  </si>
  <si>
    <t>Column6</t>
  </si>
  <si>
    <t>Column7</t>
  </si>
  <si>
    <t>Column72</t>
  </si>
  <si>
    <t>Column8</t>
  </si>
  <si>
    <t>MD</t>
  </si>
  <si>
    <t>Furniture</t>
  </si>
  <si>
    <t>AD</t>
  </si>
  <si>
    <t>Fitness</t>
  </si>
  <si>
    <t>EAST</t>
  </si>
  <si>
    <t>SD</t>
  </si>
  <si>
    <t>Electronics</t>
  </si>
  <si>
    <t>South</t>
  </si>
  <si>
    <t>Education</t>
  </si>
  <si>
    <t>Clothing</t>
  </si>
  <si>
    <t xml:space="preserve">Amount </t>
  </si>
  <si>
    <t>Combin Data</t>
  </si>
  <si>
    <t xml:space="preserve">Date </t>
  </si>
  <si>
    <t>Time</t>
  </si>
  <si>
    <t>CTRL+; = 12/9/2024</t>
  </si>
  <si>
    <t>CTRL+Shift+: = 12:55 PM</t>
  </si>
  <si>
    <t>Format 1</t>
  </si>
  <si>
    <t>Format 2</t>
  </si>
  <si>
    <t>Format 3</t>
  </si>
  <si>
    <t>Format 4</t>
  </si>
  <si>
    <t>Time Sheet</t>
  </si>
  <si>
    <t>IN</t>
  </si>
  <si>
    <t>OUT</t>
  </si>
  <si>
    <t>Total Hours</t>
  </si>
  <si>
    <t>Check Box</t>
  </si>
  <si>
    <t>Pictures</t>
  </si>
  <si>
    <t>Product Details</t>
  </si>
  <si>
    <t>Product Code</t>
  </si>
  <si>
    <t>Product Serial Number</t>
  </si>
  <si>
    <t xml:space="preserve">Assembly Code </t>
  </si>
  <si>
    <t>112-2154625452-AXI</t>
  </si>
  <si>
    <t>AXI</t>
  </si>
  <si>
    <t>142-5542554554-BGH</t>
  </si>
  <si>
    <t>BGH</t>
  </si>
  <si>
    <t>157-5842645245-JHD</t>
  </si>
  <si>
    <t>JHD</t>
  </si>
  <si>
    <t>452-845965485-KJD</t>
  </si>
  <si>
    <t>KJD</t>
  </si>
  <si>
    <t>639-75942645-LKJ</t>
  </si>
  <si>
    <t>LKJ</t>
  </si>
  <si>
    <t>CTRL+Shift+E</t>
  </si>
  <si>
    <t>Hyperlink</t>
  </si>
  <si>
    <t>Round-Off Percentage</t>
  </si>
  <si>
    <t>Student Details</t>
  </si>
  <si>
    <t>Sr. No</t>
  </si>
  <si>
    <t xml:space="preserve">Name </t>
  </si>
  <si>
    <t xml:space="preserve">Roll No. </t>
  </si>
  <si>
    <t>Class</t>
  </si>
  <si>
    <t xml:space="preserve">Math </t>
  </si>
  <si>
    <t>Science</t>
  </si>
  <si>
    <t>Computer</t>
  </si>
  <si>
    <t>Statistics</t>
  </si>
  <si>
    <t>English</t>
  </si>
  <si>
    <t>Mark Obtained</t>
  </si>
  <si>
    <t>Percentage</t>
  </si>
  <si>
    <t>Total Mark</t>
  </si>
  <si>
    <t>X</t>
  </si>
  <si>
    <t xml:space="preserve">Rahul </t>
  </si>
  <si>
    <t>Company Employee Position</t>
  </si>
  <si>
    <t>SEO Consultant</t>
  </si>
  <si>
    <t>Content Manager</t>
  </si>
  <si>
    <t>Information Architect</t>
  </si>
  <si>
    <t>UX Designer</t>
  </si>
  <si>
    <t xml:space="preserve">UI Designer </t>
  </si>
  <si>
    <t xml:space="preserve">Full Stack Developer </t>
  </si>
  <si>
    <t>Look-Up-Value</t>
  </si>
  <si>
    <t>Position</t>
  </si>
  <si>
    <t>Short Function</t>
  </si>
  <si>
    <t>Employee ID</t>
  </si>
  <si>
    <t>Employee_ Name</t>
  </si>
  <si>
    <t>Designation</t>
  </si>
  <si>
    <t>Department</t>
  </si>
  <si>
    <t>Employee_DOB</t>
  </si>
  <si>
    <t>Employee_DOJ</t>
  </si>
  <si>
    <t>Alfred</t>
  </si>
  <si>
    <t>Associate</t>
  </si>
  <si>
    <t>Admin</t>
  </si>
  <si>
    <t>Barnes</t>
  </si>
  <si>
    <t>Manager</t>
  </si>
  <si>
    <t>HR</t>
  </si>
  <si>
    <t>Emily</t>
  </si>
  <si>
    <t>Knowledge Transfer</t>
  </si>
  <si>
    <t>Contract</t>
  </si>
  <si>
    <t>25-02-2019</t>
  </si>
  <si>
    <t>Mack</t>
  </si>
  <si>
    <t>Intern</t>
  </si>
  <si>
    <t>Analytics</t>
  </si>
  <si>
    <t>Morgan</t>
  </si>
  <si>
    <t>Senior</t>
  </si>
  <si>
    <t>Rob</t>
  </si>
  <si>
    <t>IT Support</t>
  </si>
  <si>
    <t>Q1</t>
  </si>
  <si>
    <t>Q2</t>
  </si>
  <si>
    <t>Q3</t>
  </si>
  <si>
    <t>Q4</t>
  </si>
  <si>
    <t>East</t>
  </si>
  <si>
    <t xml:space="preserve">West </t>
  </si>
  <si>
    <t>Central</t>
  </si>
  <si>
    <t>Calander</t>
  </si>
  <si>
    <t>Week</t>
  </si>
  <si>
    <t>Days</t>
  </si>
  <si>
    <t>Sunday</t>
  </si>
  <si>
    <t>January</t>
  </si>
  <si>
    <t>Monday</t>
  </si>
  <si>
    <t>February</t>
  </si>
  <si>
    <t>Tuesday</t>
  </si>
  <si>
    <t>March</t>
  </si>
  <si>
    <t>Wednesday</t>
  </si>
  <si>
    <t>April</t>
  </si>
  <si>
    <t>Thursday</t>
  </si>
  <si>
    <t>May</t>
  </si>
  <si>
    <t>Friday</t>
  </si>
  <si>
    <t>June</t>
  </si>
  <si>
    <t>Saturday</t>
  </si>
  <si>
    <t>July</t>
  </si>
  <si>
    <t>August</t>
  </si>
  <si>
    <t>September</t>
  </si>
  <si>
    <t>October</t>
  </si>
  <si>
    <t>November</t>
  </si>
  <si>
    <t>December</t>
  </si>
  <si>
    <t>Details for Sum of Price -  Category: Sports &amp; Fitness, Seller Name : AD APPARELS</t>
  </si>
  <si>
    <t>Tax Round-Up</t>
  </si>
  <si>
    <t>Price After Tax</t>
  </si>
  <si>
    <t>Revenue (Inc.Tax)</t>
  </si>
  <si>
    <t>Total Profit</t>
  </si>
  <si>
    <t>Details for Sum of Unit Sold</t>
  </si>
  <si>
    <t>Sum of Price</t>
  </si>
  <si>
    <t>Sum of Unit Sold</t>
  </si>
  <si>
    <t>Sum of Total Profit</t>
  </si>
  <si>
    <t>Sum of Tax (2.5%)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</si>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</sst>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8" formatCode="&quot;$&quot;#,##0.00_);[Red]\(&quot;$&quot;#,##0.00\)"/>
    <numFmt numFmtId="43" formatCode="_(* #,##0.00_);_(* \(#,##0.00\);_(* &quot;-&quot;??_);_(@_)"/>
    <numFmt numFmtId="164" formatCode="[$Rs.-4009]\ #,##0;[Red][$Rs.-4009]\ \-#,##0"/>
    <numFmt numFmtId="165" formatCode="[$INR]\ #,##0"/>
    <numFmt numFmtId="166" formatCode="[$-409]d\-mmm;@"/>
    <numFmt numFmtId="167" formatCode="[$-409]d\-mmm\-yy;@"/>
    <numFmt numFmtId="168" formatCode="[$-409]m/d/yy\ h:mm\ AM/PM;@"/>
    <numFmt numFmtId="169" formatCode="[$-409]d\-mmm\-yyyy;@"/>
    <numFmt numFmtId="170" formatCode="[$-409]h:mm\ AM/PM;@"/>
    <numFmt numFmtId="171" formatCode="yyyy\-mm\-dd;@"/>
    <numFmt numFmtId="172" formatCode="_ [$₹-439]* #,##0_ ;_ [$₹-439]* \-#,##0_ ;_ [$₹-439]* &quot;-&quot;_ ;_ @_ "/>
    <numFmt numFmtId="173" formatCode="[$Rs.-849]\ #,##0"/>
    <numFmt numFmtId="174" formatCode="[$Rs.-849]\ #,##0.0;[Red][$Rs.-849]\ #,##0.0"/>
    <numFmt numFmtId="175" formatCode="[$Rs.-849]\ #,##0;[Red][$Rs.-849]\ #,##0"/>
    <numFmt numFmtId="176" formatCode="[$₹-4009]\ #,##0.00"/>
    <numFmt numFmtId="177" formatCode="[$₹-4009]\ #,##0"/>
    <numFmt numFmtId="178" formatCode="0.0%"/>
    <numFmt numFmtId="179" formatCode="[$₹-439]#,##0"/>
    <numFmt numFmtId="180" formatCode="&quot;₹&quot;\ #,##0"/>
    <numFmt numFmtId="181" formatCode="[$-F800]dddd\,\ mmmm\ dd\,\ yyyy"/>
    <numFmt numFmtId="182" formatCode="_(* #,##0_);_(* \(#,##0\);_(* &quot;-&quot;??_);_(@_)"/>
  </numFmts>
  <fonts count="71">
    <font>
      <sz val="11"/>
      <color theme="1"/>
      <name val="Aptos Narrow"/>
      <family val="2"/>
      <scheme val="minor"/>
    </font>
    <font>
      <b/>
      <sz val="18"/>
      <color rgb="FF000000"/>
      <name val="Aptos Narrow"/>
      <family val="2"/>
      <scheme val="minor"/>
    </font>
    <font>
      <b/>
      <sz val="18"/>
      <color theme="0"/>
      <name val="Aptos Narrow"/>
      <family val="2"/>
      <scheme val="minor"/>
    </font>
    <font>
      <b/>
      <sz val="18"/>
      <name val="Aptos Narrow"/>
      <family val="2"/>
      <scheme val="minor"/>
    </font>
    <font>
      <b/>
      <sz val="16"/>
      <color rgb="FF000000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rgb="FF000000"/>
      <name val="Calibri"/>
      <family val="2"/>
    </font>
    <font>
      <sz val="11"/>
      <color rgb="FF000000"/>
      <name val="Calibri"/>
      <family val="2"/>
    </font>
    <font>
      <b/>
      <sz val="16"/>
      <color rgb="FF000000"/>
      <name val="Calibri"/>
      <family val="2"/>
    </font>
    <font>
      <b/>
      <sz val="14"/>
      <color rgb="FF000000"/>
      <name val="Calibri"/>
      <family val="2"/>
    </font>
    <font>
      <b/>
      <sz val="18"/>
      <color theme="1"/>
      <name val="Aptos Narrow"/>
      <family val="2"/>
      <scheme val="minor"/>
    </font>
    <font>
      <sz val="14"/>
      <color theme="1"/>
      <name val="Aptos Narrow"/>
      <family val="2"/>
      <scheme val="minor"/>
    </font>
    <font>
      <sz val="16"/>
      <color theme="1"/>
      <name val="Aptos Narrow"/>
      <family val="2"/>
      <scheme val="minor"/>
    </font>
    <font>
      <sz val="18"/>
      <color theme="0"/>
      <name val="Aptos Narrow"/>
      <family val="2"/>
      <scheme val="minor"/>
    </font>
    <font>
      <b/>
      <sz val="18"/>
      <color rgb="FFFFFFFF"/>
      <name val="Calibri"/>
      <family val="2"/>
    </font>
    <font>
      <b/>
      <sz val="12"/>
      <color theme="1"/>
      <name val="Aptos Narrow"/>
      <family val="2"/>
      <scheme val="minor"/>
    </font>
    <font>
      <b/>
      <sz val="14"/>
      <color rgb="FFFF0000"/>
      <name val="Aptos Narrow"/>
      <family val="2"/>
      <scheme val="minor"/>
    </font>
    <font>
      <b/>
      <sz val="14"/>
      <color rgb="FF000000"/>
      <name val="Aptos Narrow"/>
      <family val="2"/>
      <scheme val="minor"/>
    </font>
    <font>
      <sz val="18"/>
      <color rgb="FFFF0000"/>
      <name val="Aptos Narrow"/>
      <family val="2"/>
      <scheme val="minor"/>
    </font>
    <font>
      <sz val="11"/>
      <color rgb="FF000000"/>
      <name val="Aptos Narrow"/>
      <family val="2"/>
    </font>
    <font>
      <b/>
      <sz val="16"/>
      <color theme="1"/>
      <name val="Calibri"/>
    </font>
    <font>
      <b/>
      <sz val="14"/>
      <color theme="1"/>
      <name val="Calibri"/>
    </font>
    <font>
      <b/>
      <sz val="20"/>
      <color theme="1"/>
      <name val="Calibri"/>
    </font>
    <font>
      <b/>
      <sz val="11"/>
      <color theme="1"/>
      <name val="Aptos Narrow"/>
      <family val="2"/>
      <scheme val="minor"/>
    </font>
    <font>
      <sz val="18"/>
      <color theme="1"/>
      <name val="Aptos Narrow"/>
      <family val="2"/>
      <scheme val="minor"/>
    </font>
    <font>
      <sz val="20"/>
      <color rgb="FFFF0000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4"/>
      <color rgb="FF000000"/>
      <name val="Aptos Narrow"/>
      <scheme val="minor"/>
    </font>
    <font>
      <sz val="20"/>
      <color rgb="FF05F2DE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8"/>
      <color rgb="FFFF0000"/>
      <name val="Aptos Narrow"/>
      <family val="2"/>
      <scheme val="minor"/>
    </font>
    <font>
      <u/>
      <sz val="16"/>
      <color theme="10"/>
      <name val="Aptos Narrow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sz val="11"/>
      <color theme="1"/>
      <name val="Aptos Narrow"/>
      <family val="2"/>
      <scheme val="minor"/>
    </font>
    <font>
      <sz val="15"/>
      <color rgb="FF333333"/>
      <name val="Poppins"/>
      <charset val="1"/>
    </font>
    <font>
      <sz val="11"/>
      <color rgb="FF3A3A3A"/>
      <name val="Inherit"/>
      <charset val="1"/>
    </font>
    <font>
      <sz val="11"/>
      <color rgb="FF3A3A3A"/>
      <name val="Poppins"/>
      <charset val="1"/>
    </font>
    <font>
      <sz val="14"/>
      <color rgb="FF333333"/>
      <name val="Poppins"/>
      <charset val="1"/>
    </font>
    <font>
      <i/>
      <sz val="11"/>
      <color rgb="FF3A3A3A"/>
      <name val="Inherit"/>
      <charset val="1"/>
    </font>
    <font>
      <u/>
      <sz val="11"/>
      <color rgb="FF1E73BE"/>
      <name val="Inherit"/>
      <charset val="1"/>
    </font>
    <font>
      <u/>
      <sz val="11"/>
      <color rgb="FF3A3A3A"/>
      <name val="Inherit"/>
      <charset val="1"/>
    </font>
    <font>
      <b/>
      <sz val="11"/>
      <color theme="1"/>
      <name val="Arial"/>
      <family val="2"/>
      <scheme val="minor"/>
    </font>
    <font>
      <b/>
      <sz val="11"/>
      <color theme="1"/>
      <name val="Arial"/>
      <family val="2"/>
      <charset val="177"/>
      <scheme val="minor"/>
    </font>
    <font>
      <sz val="11"/>
      <color rgb="FF444444"/>
      <name val="Calibri"/>
      <family val="2"/>
      <charset val="1"/>
    </font>
    <font>
      <b/>
      <sz val="11"/>
      <color theme="1"/>
      <name val="Calibri"/>
      <family val="2"/>
      <charset val="177"/>
      <scheme val="minor"/>
    </font>
    <font>
      <b/>
      <sz val="11"/>
      <color rgb="FFFF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000000"/>
      <name val="Calibri"/>
      <family val="2"/>
    </font>
    <font>
      <b/>
      <u/>
      <sz val="11"/>
      <color rgb="FF000000"/>
      <name val="Calibri"/>
      <family val="2"/>
    </font>
    <font>
      <sz val="16"/>
      <color theme="1"/>
      <name val="Arial"/>
    </font>
    <font>
      <b/>
      <sz val="11"/>
      <color rgb="FFFF0000"/>
      <name val="Calibri"/>
      <family val="2"/>
    </font>
    <font>
      <b/>
      <sz val="11"/>
      <color rgb="FF70AD47"/>
      <name val="Calibri"/>
      <family val="2"/>
    </font>
    <font>
      <b/>
      <sz val="11"/>
      <color rgb="FF4472C4"/>
      <name val="Calibri"/>
      <family val="2"/>
    </font>
    <font>
      <b/>
      <sz val="11"/>
      <color rgb="FFED7D31"/>
      <name val="Calibri"/>
      <family val="2"/>
    </font>
    <font>
      <b/>
      <sz val="9"/>
      <color rgb="FFFF0000"/>
      <name val="Calibri"/>
      <family val="2"/>
    </font>
    <font>
      <b/>
      <sz val="11"/>
      <color rgb="FF000000"/>
      <name val="Calibri"/>
      <family val="2"/>
      <scheme val="minor"/>
    </font>
    <font>
      <sz val="14"/>
      <color rgb="FFFF0000"/>
      <name val="Aptos Narrow"/>
      <family val="2"/>
      <scheme val="minor"/>
    </font>
    <font>
      <b/>
      <sz val="11"/>
      <color theme="1"/>
      <name val="Calibri"/>
    </font>
    <font>
      <sz val="11"/>
      <color rgb="FF000000"/>
      <name val="Calibri"/>
    </font>
    <font>
      <b/>
      <sz val="11"/>
      <color rgb="FF000000"/>
      <name val="Calibri"/>
    </font>
    <font>
      <sz val="16"/>
      <color theme="1"/>
      <name val="Calibri"/>
    </font>
    <font>
      <sz val="14"/>
      <color theme="1"/>
      <name val="Calibri"/>
    </font>
    <font>
      <sz val="12"/>
      <color theme="1"/>
      <name val="Calibri"/>
    </font>
  </fonts>
  <fills count="49">
    <fill>
      <patternFill patternType="none"/>
    </fill>
    <fill>
      <patternFill patternType="gray125"/>
    </fill>
    <fill>
      <patternFill patternType="solid">
        <fgColor rgb="FFFFFF66"/>
        <bgColor rgb="FF000000"/>
      </patternFill>
    </fill>
    <fill>
      <patternFill patternType="solid">
        <fgColor rgb="FFEF255F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83FB9F"/>
        <bgColor rgb="FF000000"/>
      </patternFill>
    </fill>
    <fill>
      <patternFill patternType="solid">
        <fgColor rgb="FF41F957"/>
        <bgColor rgb="FF000000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CA0202"/>
        <bgColor rgb="FF000000"/>
      </patternFill>
    </fill>
    <fill>
      <patternFill patternType="solid">
        <fgColor rgb="FF0FF71A"/>
        <bgColor indexed="64"/>
      </patternFill>
    </fill>
    <fill>
      <patternFill patternType="solid">
        <fgColor rgb="FFF1A983"/>
        <bgColor rgb="FF000000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41F95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6DB2DD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rgb="FFDAEEF3"/>
        <bgColor rgb="FF000000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D9E1F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82FF0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FF2CC"/>
        <bgColor rgb="FF000000"/>
      </patternFill>
    </fill>
    <fill>
      <patternFill patternType="solid">
        <fgColor rgb="FFFFE699"/>
        <bgColor rgb="FF000000"/>
      </patternFill>
    </fill>
    <fill>
      <patternFill patternType="solid">
        <fgColor rgb="FFFFD966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49992370372631"/>
        <bgColor indexed="64"/>
      </patternFill>
    </fill>
  </fills>
  <borders count="160">
    <border>
      <left/>
      <right/>
      <top/>
      <bottom/>
      <diagonal/>
    </border>
    <border>
      <left/>
      <right style="thick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0FF71A"/>
      </left>
      <right style="thin">
        <color rgb="FF0FF71A"/>
      </right>
      <top style="thin">
        <color rgb="FF0FF71A"/>
      </top>
      <bottom style="thin">
        <color rgb="FF0FF71A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ck">
        <color indexed="64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FF71A"/>
      </left>
      <right/>
      <top style="medium">
        <color rgb="FF0FF71A"/>
      </top>
      <bottom style="medium">
        <color rgb="FF0FF71A"/>
      </bottom>
      <diagonal/>
    </border>
    <border>
      <left/>
      <right/>
      <top style="medium">
        <color rgb="FF0FF71A"/>
      </top>
      <bottom style="medium">
        <color rgb="FF0FF71A"/>
      </bottom>
      <diagonal/>
    </border>
    <border>
      <left/>
      <right style="medium">
        <color rgb="FF0FF71A"/>
      </right>
      <top style="medium">
        <color rgb="FF0FF71A"/>
      </top>
      <bottom style="medium">
        <color rgb="FF0FF71A"/>
      </bottom>
      <diagonal/>
    </border>
    <border>
      <left style="medium">
        <color rgb="FF0FF71A"/>
      </left>
      <right style="medium">
        <color rgb="FF0FF71A"/>
      </right>
      <top style="medium">
        <color rgb="FF0FF71A"/>
      </top>
      <bottom style="medium">
        <color rgb="FF0FF71A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FF71A"/>
      </left>
      <right/>
      <top style="thin">
        <color rgb="FF0FF71A"/>
      </top>
      <bottom/>
      <diagonal/>
    </border>
    <border>
      <left/>
      <right style="thin">
        <color rgb="FF0FF71A"/>
      </right>
      <top style="thin">
        <color rgb="FF0FF71A"/>
      </top>
      <bottom/>
      <diagonal/>
    </border>
    <border>
      <left style="thin">
        <color rgb="FF0FF71A"/>
      </left>
      <right/>
      <top/>
      <bottom/>
      <diagonal/>
    </border>
    <border>
      <left/>
      <right style="thin">
        <color rgb="FF0FF71A"/>
      </right>
      <top/>
      <bottom/>
      <diagonal/>
    </border>
    <border>
      <left style="thin">
        <color rgb="FF0FF71A"/>
      </left>
      <right/>
      <top/>
      <bottom style="thin">
        <color rgb="FF0FF71A"/>
      </bottom>
      <diagonal/>
    </border>
    <border>
      <left/>
      <right style="thin">
        <color rgb="FF0FF71A"/>
      </right>
      <top/>
      <bottom style="thin">
        <color rgb="FF0FF71A"/>
      </bottom>
      <diagonal/>
    </border>
    <border>
      <left/>
      <right style="thin">
        <color rgb="FF0FF71A"/>
      </right>
      <top style="thin">
        <color rgb="FF0FF71A"/>
      </top>
      <bottom style="thin">
        <color rgb="FF0FF71A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FF71A"/>
      </left>
      <right style="medium">
        <color rgb="FF0FF71A"/>
      </right>
      <top style="medium">
        <color rgb="FF0FF71A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medium">
        <color rgb="FF0FF71A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 style="thin">
        <color theme="1"/>
      </left>
      <right/>
      <top/>
      <bottom style="thin">
        <color rgb="FF0FF71A"/>
      </bottom>
      <diagonal/>
    </border>
    <border>
      <left/>
      <right/>
      <top/>
      <bottom style="thin">
        <color rgb="FF0FF71A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FF71A"/>
      </left>
      <right style="thin">
        <color rgb="FF0FF71A"/>
      </right>
      <top style="thin">
        <color rgb="FF0FF71A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FF71A"/>
      </left>
      <right/>
      <top style="medium">
        <color rgb="FF0FF71A"/>
      </top>
      <bottom style="thin">
        <color rgb="FF000000"/>
      </bottom>
      <diagonal/>
    </border>
    <border>
      <left style="thin">
        <color rgb="FF000000"/>
      </left>
      <right style="medium">
        <color rgb="FF0FF71A"/>
      </right>
      <top style="medium">
        <color rgb="FF0FF71A"/>
      </top>
      <bottom style="thin">
        <color rgb="FF000000"/>
      </bottom>
      <diagonal/>
    </border>
    <border>
      <left style="thin">
        <color rgb="FF000000"/>
      </left>
      <right style="medium">
        <color rgb="FF0FF71A"/>
      </right>
      <top style="thin">
        <color rgb="FF000000"/>
      </top>
      <bottom style="medium">
        <color rgb="FF0FF71A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thin">
        <color rgb="FF000000"/>
      </left>
      <right/>
      <top style="thin">
        <color rgb="FF000000"/>
      </top>
      <bottom style="medium">
        <color rgb="FF0FF71A"/>
      </bottom>
      <diagonal/>
    </border>
    <border>
      <left/>
      <right/>
      <top style="dashed">
        <color theme="8"/>
      </top>
      <bottom/>
      <diagonal/>
    </border>
    <border>
      <left/>
      <right style="dashed">
        <color theme="8"/>
      </right>
      <top style="dashed">
        <color theme="8"/>
      </top>
      <bottom/>
      <diagonal/>
    </border>
    <border>
      <left style="dashed">
        <color theme="8"/>
      </left>
      <right/>
      <top/>
      <bottom/>
      <diagonal/>
    </border>
    <border>
      <left/>
      <right style="dashed">
        <color theme="8"/>
      </right>
      <top/>
      <bottom/>
      <diagonal/>
    </border>
    <border>
      <left style="thin">
        <color rgb="FF000000"/>
      </left>
      <right style="dashed">
        <color theme="8"/>
      </right>
      <top style="medium">
        <color rgb="FF0FF71A"/>
      </top>
      <bottom style="thin">
        <color rgb="FF000000"/>
      </bottom>
      <diagonal/>
    </border>
    <border>
      <left style="dashed">
        <color theme="8"/>
      </left>
      <right/>
      <top/>
      <bottom style="dashed">
        <color theme="8"/>
      </bottom>
      <diagonal/>
    </border>
    <border>
      <left/>
      <right/>
      <top/>
      <bottom style="dashed">
        <color theme="8"/>
      </bottom>
      <diagonal/>
    </border>
    <border>
      <left/>
      <right style="dashed">
        <color theme="8"/>
      </right>
      <top/>
      <bottom style="dashed">
        <color theme="8"/>
      </bottom>
      <diagonal/>
    </border>
    <border>
      <left style="medium">
        <color theme="8"/>
      </left>
      <right style="medium">
        <color theme="8"/>
      </right>
      <top style="medium">
        <color theme="8"/>
      </top>
      <bottom style="medium">
        <color theme="8"/>
      </bottom>
      <diagonal/>
    </border>
    <border>
      <left style="thin">
        <color rgb="FF000000"/>
      </left>
      <right style="medium">
        <color rgb="FF0FF71A"/>
      </right>
      <top/>
      <bottom style="medium">
        <color rgb="FF0FF71A"/>
      </bottom>
      <diagonal/>
    </border>
    <border>
      <left style="thin">
        <color rgb="FF000000"/>
      </left>
      <right/>
      <top/>
      <bottom style="medium">
        <color rgb="FF0FF71A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dashed">
        <color rgb="FF00B0F0"/>
      </left>
      <right/>
      <top style="dashed">
        <color rgb="FF00B0F0"/>
      </top>
      <bottom/>
      <diagonal/>
    </border>
    <border>
      <left/>
      <right/>
      <top style="dashed">
        <color rgb="FF00B0F0"/>
      </top>
      <bottom/>
      <diagonal/>
    </border>
    <border>
      <left/>
      <right style="dashed">
        <color rgb="FF00B0F0"/>
      </right>
      <top style="dashed">
        <color rgb="FF00B0F0"/>
      </top>
      <bottom/>
      <diagonal/>
    </border>
    <border>
      <left style="dashed">
        <color rgb="FF00B0F0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dashed">
        <color rgb="FF00B0F0"/>
      </right>
      <top style="thin">
        <color theme="1"/>
      </top>
      <bottom style="thin">
        <color theme="1"/>
      </bottom>
      <diagonal/>
    </border>
    <border>
      <left/>
      <right style="dashed">
        <color rgb="FF00B0F0"/>
      </right>
      <top/>
      <bottom/>
      <diagonal/>
    </border>
    <border>
      <left/>
      <right style="dashed">
        <color rgb="FF00B0F0"/>
      </right>
      <top style="thin">
        <color rgb="FF000000"/>
      </top>
      <bottom style="thin">
        <color rgb="FF000000"/>
      </bottom>
      <diagonal/>
    </border>
    <border>
      <left style="dashed">
        <color rgb="FF00B0F0"/>
      </left>
      <right/>
      <top/>
      <bottom/>
      <diagonal/>
    </border>
    <border>
      <left style="dashed">
        <color rgb="FF00B0F0"/>
      </left>
      <right/>
      <top style="thin">
        <color rgb="FF000000"/>
      </top>
      <bottom style="thin">
        <color rgb="FF000000"/>
      </bottom>
      <diagonal/>
    </border>
    <border>
      <left style="dashed">
        <color rgb="FF00B0F0"/>
      </left>
      <right/>
      <top style="medium">
        <color rgb="FF0FF71A"/>
      </top>
      <bottom style="thin">
        <color rgb="FF000000"/>
      </bottom>
      <diagonal/>
    </border>
    <border>
      <left style="dashed">
        <color rgb="FF00B0F0"/>
      </left>
      <right/>
      <top style="thin">
        <color rgb="FF000000"/>
      </top>
      <bottom style="dashed">
        <color rgb="FF00B0F0"/>
      </bottom>
      <diagonal/>
    </border>
    <border>
      <left style="thin">
        <color rgb="FF000000"/>
      </left>
      <right style="medium">
        <color rgb="FF0FF71A"/>
      </right>
      <top style="thin">
        <color rgb="FF000000"/>
      </top>
      <bottom style="dashed">
        <color rgb="FF00B0F0"/>
      </bottom>
      <diagonal/>
    </border>
    <border>
      <left/>
      <right style="dashed">
        <color rgb="FF00B0F0"/>
      </right>
      <top/>
      <bottom style="dashed">
        <color rgb="FF00B0F0"/>
      </bottom>
      <diagonal/>
    </border>
    <border>
      <left style="medium">
        <color theme="8"/>
      </left>
      <right/>
      <top/>
      <bottom/>
      <diagonal/>
    </border>
    <border>
      <left/>
      <right style="medium">
        <color rgb="FF7030A0"/>
      </right>
      <top/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 style="thin">
        <color rgb="FF0FF71A"/>
      </left>
      <right style="thin">
        <color rgb="FF0FF71A"/>
      </right>
      <top/>
      <bottom style="thin">
        <color rgb="FF0FF71A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dashed">
        <color rgb="FF00B0F0"/>
      </left>
      <right/>
      <top style="thin">
        <color theme="1"/>
      </top>
      <bottom style="thin">
        <color theme="1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000000"/>
      </right>
      <top style="thin">
        <color rgb="FF000000"/>
      </top>
      <bottom style="thin">
        <color rgb="FF50505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000000"/>
      </right>
      <top style="thin">
        <color rgb="FF505050"/>
      </top>
      <bottom style="thin">
        <color rgb="FF000000"/>
      </bottom>
      <diagonal/>
    </border>
    <border>
      <left style="thin">
        <color rgb="FF505050"/>
      </left>
      <right style="thin">
        <color rgb="FF505050"/>
      </right>
      <top style="thin">
        <color rgb="FF00000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000000"/>
      </bottom>
      <diagonal/>
    </border>
    <border>
      <left style="thin">
        <color rgb="FF000000"/>
      </left>
      <right style="thin">
        <color theme="1"/>
      </right>
      <top style="thin">
        <color rgb="FF000000"/>
      </top>
      <bottom style="thin">
        <color theme="1"/>
      </bottom>
      <diagonal/>
    </border>
    <border>
      <left style="thin">
        <color rgb="FF000000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rgb="FF505050"/>
      </left>
      <right style="thin">
        <color rgb="FF000000"/>
      </right>
      <top style="thin">
        <color rgb="FF505050"/>
      </top>
      <bottom/>
      <diagonal/>
    </border>
    <border>
      <left style="thin">
        <color rgb="FF000000"/>
      </left>
      <right/>
      <top style="thin">
        <color theme="1"/>
      </top>
      <bottom style="thin">
        <color theme="1"/>
      </bottom>
      <diagonal/>
    </border>
    <border>
      <left style="medium">
        <color rgb="FF0FF71A"/>
      </left>
      <right style="thin">
        <color rgb="FF000000"/>
      </right>
      <top style="medium">
        <color rgb="FF0FF71A"/>
      </top>
      <bottom style="medium">
        <color rgb="FF0FF71A"/>
      </bottom>
      <diagonal/>
    </border>
    <border>
      <left style="thin">
        <color rgb="FF000000"/>
      </left>
      <right style="thin">
        <color theme="1"/>
      </right>
      <top style="thin">
        <color theme="1"/>
      </top>
      <bottom style="thin">
        <color rgb="FF00000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 style="thin">
        <color rgb="FF50505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FF71A"/>
      </left>
      <right style="thin">
        <color rgb="FF0FF71A"/>
      </right>
      <top/>
      <bottom/>
      <diagonal/>
    </border>
    <border>
      <left/>
      <right/>
      <top style="thin">
        <color rgb="FF0FF71A"/>
      </top>
      <bottom/>
      <diagonal/>
    </border>
    <border>
      <left/>
      <right/>
      <top style="thin">
        <color theme="1"/>
      </top>
      <bottom/>
      <diagonal/>
    </border>
    <border>
      <left style="thin">
        <color rgb="FF0FF71A"/>
      </left>
      <right/>
      <top style="thin">
        <color theme="1"/>
      </top>
      <bottom/>
      <diagonal/>
    </border>
    <border>
      <left style="thin">
        <color rgb="FF0FF71A"/>
      </left>
      <right/>
      <top/>
      <bottom style="thin">
        <color theme="1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theme="1"/>
      </right>
      <top style="thin">
        <color rgb="FF000000"/>
      </top>
      <bottom/>
      <diagonal/>
    </border>
    <border>
      <left style="thin">
        <color theme="1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thin">
        <color rgb="FF505050"/>
      </left>
      <right/>
      <top style="thin">
        <color rgb="FF00000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4">
    <xf numFmtId="0" fontId="0" fillId="0" borderId="0"/>
    <xf numFmtId="0" fontId="30" fillId="0" borderId="0" applyNumberForma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</cellStyleXfs>
  <cellXfs count="618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49" fontId="4" fillId="0" borderId="3" xfId="0" applyNumberFormat="1" applyFont="1" applyBorder="1" applyAlignment="1">
      <alignment horizontal="left" vertical="center"/>
    </xf>
    <xf numFmtId="14" fontId="5" fillId="0" borderId="2" xfId="0" applyNumberFormat="1" applyFont="1" applyBorder="1" applyAlignment="1">
      <alignment horizontal="center" vertical="center"/>
    </xf>
    <xf numFmtId="49" fontId="4" fillId="0" borderId="3" xfId="0" applyNumberFormat="1" applyFont="1" applyBorder="1" applyAlignment="1">
      <alignment horizontal="center" vertical="center"/>
    </xf>
    <xf numFmtId="164" fontId="5" fillId="0" borderId="2" xfId="0" applyNumberFormat="1" applyFont="1" applyBorder="1" applyAlignment="1">
      <alignment horizontal="center" vertical="center"/>
    </xf>
    <xf numFmtId="49" fontId="4" fillId="0" borderId="2" xfId="0" applyNumberFormat="1" applyFont="1" applyBorder="1" applyAlignment="1">
      <alignment horizontal="left" vertical="center"/>
    </xf>
    <xf numFmtId="49" fontId="4" fillId="0" borderId="4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49" fontId="4" fillId="9" borderId="3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49" fontId="4" fillId="0" borderId="6" xfId="0" applyNumberFormat="1" applyFont="1" applyBorder="1" applyAlignment="1">
      <alignment horizontal="center" vertical="center"/>
    </xf>
    <xf numFmtId="0" fontId="1" fillId="7" borderId="7" xfId="0" applyFont="1" applyFill="1" applyBorder="1" applyAlignment="1">
      <alignment horizontal="center" vertical="center"/>
    </xf>
    <xf numFmtId="0" fontId="7" fillId="10" borderId="1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9" fillId="0" borderId="3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7" fillId="6" borderId="1" xfId="0" applyFont="1" applyFill="1" applyBorder="1" applyAlignment="1">
      <alignment horizontal="center" vertical="center"/>
    </xf>
    <xf numFmtId="0" fontId="7" fillId="10" borderId="7" xfId="0" applyFont="1" applyFill="1" applyBorder="1" applyAlignment="1">
      <alignment horizontal="center" vertical="center"/>
    </xf>
    <xf numFmtId="0" fontId="9" fillId="0" borderId="6" xfId="0" applyFont="1" applyFill="1" applyBorder="1" applyAlignment="1">
      <alignment horizontal="center" vertical="center"/>
    </xf>
    <xf numFmtId="0" fontId="9" fillId="0" borderId="4" xfId="0" applyFont="1" applyFill="1" applyBorder="1" applyAlignment="1">
      <alignment horizontal="center" vertical="center"/>
    </xf>
    <xf numFmtId="0" fontId="3" fillId="12" borderId="7" xfId="0" applyFont="1" applyFill="1" applyBorder="1" applyAlignment="1">
      <alignment horizontal="center" vertical="center"/>
    </xf>
    <xf numFmtId="0" fontId="11" fillId="13" borderId="9" xfId="0" applyFont="1" applyFill="1" applyBorder="1" applyAlignment="1">
      <alignment horizontal="center" vertical="center"/>
    </xf>
    <xf numFmtId="0" fontId="0" fillId="0" borderId="6" xfId="0" applyBorder="1"/>
    <xf numFmtId="0" fontId="11" fillId="15" borderId="10" xfId="0" applyFont="1" applyFill="1" applyBorder="1" applyAlignment="1">
      <alignment horizontal="center" vertical="center"/>
    </xf>
    <xf numFmtId="0" fontId="11" fillId="16" borderId="10" xfId="0" applyFont="1" applyFill="1" applyBorder="1" applyAlignment="1">
      <alignment horizontal="center" vertical="center"/>
    </xf>
    <xf numFmtId="165" fontId="5" fillId="0" borderId="11" xfId="0" applyNumberFormat="1" applyFont="1" applyBorder="1" applyAlignment="1">
      <alignment horizontal="left" vertical="center"/>
    </xf>
    <xf numFmtId="0" fontId="12" fillId="0" borderId="0" xfId="0" applyFont="1"/>
    <xf numFmtId="0" fontId="13" fillId="0" borderId="15" xfId="0" applyFont="1" applyBorder="1" applyAlignment="1">
      <alignment horizontal="center" vertical="center"/>
    </xf>
    <xf numFmtId="0" fontId="14" fillId="14" borderId="15" xfId="0" applyFont="1" applyFill="1" applyBorder="1" applyAlignment="1">
      <alignment horizontal="center" vertical="center"/>
    </xf>
    <xf numFmtId="0" fontId="15" fillId="3" borderId="1" xfId="0" applyFont="1" applyFill="1" applyBorder="1" applyAlignment="1"/>
    <xf numFmtId="0" fontId="15" fillId="3" borderId="0" xfId="0" applyFont="1" applyFill="1" applyBorder="1" applyAlignment="1"/>
    <xf numFmtId="0" fontId="10" fillId="18" borderId="11" xfId="0" applyFont="1" applyFill="1" applyBorder="1" applyAlignment="1"/>
    <xf numFmtId="0" fontId="10" fillId="18" borderId="3" xfId="0" applyFont="1" applyFill="1" applyBorder="1" applyAlignment="1"/>
    <xf numFmtId="14" fontId="10" fillId="18" borderId="3" xfId="0" applyNumberFormat="1" applyFont="1" applyFill="1" applyBorder="1" applyAlignment="1"/>
    <xf numFmtId="0" fontId="10" fillId="18" borderId="17" xfId="0" applyFont="1" applyFill="1" applyBorder="1" applyAlignment="1"/>
    <xf numFmtId="0" fontId="1" fillId="6" borderId="7" xfId="0" applyFont="1" applyFill="1" applyBorder="1" applyAlignment="1">
      <alignment horizontal="center" vertical="center"/>
    </xf>
    <xf numFmtId="0" fontId="16" fillId="0" borderId="4" xfId="0" applyFont="1" applyBorder="1"/>
    <xf numFmtId="0" fontId="1" fillId="19" borderId="1" xfId="0" applyFont="1" applyFill="1" applyBorder="1" applyAlignment="1">
      <alignment horizontal="center" vertical="center"/>
    </xf>
    <xf numFmtId="0" fontId="16" fillId="0" borderId="4" xfId="0" applyFont="1" applyBorder="1" applyAlignment="1">
      <alignment horizontal="center"/>
    </xf>
    <xf numFmtId="0" fontId="1" fillId="20" borderId="1" xfId="0" applyFont="1" applyFill="1" applyBorder="1" applyAlignment="1">
      <alignment horizontal="center" vertical="center"/>
    </xf>
    <xf numFmtId="0" fontId="1" fillId="21" borderId="1" xfId="0" applyFont="1" applyFill="1" applyBorder="1" applyAlignment="1">
      <alignment horizontal="center" vertical="center"/>
    </xf>
    <xf numFmtId="0" fontId="11" fillId="16" borderId="0" xfId="0" applyFont="1" applyFill="1" applyBorder="1" applyAlignment="1">
      <alignment horizontal="center" vertical="center"/>
    </xf>
    <xf numFmtId="0" fontId="10" fillId="18" borderId="0" xfId="0" applyFont="1" applyFill="1" applyBorder="1" applyAlignment="1"/>
    <xf numFmtId="164" fontId="5" fillId="0" borderId="0" xfId="0" applyNumberFormat="1" applyFont="1" applyBorder="1" applyAlignment="1">
      <alignment horizontal="center" vertical="center"/>
    </xf>
    <xf numFmtId="14" fontId="5" fillId="0" borderId="3" xfId="0" applyNumberFormat="1" applyFont="1" applyBorder="1" applyAlignment="1">
      <alignment horizontal="center" vertical="center"/>
    </xf>
    <xf numFmtId="166" fontId="5" fillId="0" borderId="2" xfId="0" applyNumberFormat="1" applyFont="1" applyBorder="1" applyAlignment="1">
      <alignment horizontal="center" vertical="center"/>
    </xf>
    <xf numFmtId="167" fontId="5" fillId="0" borderId="2" xfId="0" applyNumberFormat="1" applyFont="1" applyBorder="1" applyAlignment="1">
      <alignment horizontal="center" vertical="center"/>
    </xf>
    <xf numFmtId="168" fontId="5" fillId="0" borderId="2" xfId="0" applyNumberFormat="1" applyFont="1" applyBorder="1" applyAlignment="1">
      <alignment horizontal="center" vertical="center"/>
    </xf>
    <xf numFmtId="169" fontId="5" fillId="0" borderId="2" xfId="0" applyNumberFormat="1" applyFont="1" applyBorder="1" applyAlignment="1">
      <alignment horizontal="center" vertical="center"/>
    </xf>
    <xf numFmtId="0" fontId="6" fillId="0" borderId="4" xfId="0" applyFont="1" applyBorder="1" applyAlignment="1">
      <alignment horizontal="center"/>
    </xf>
    <xf numFmtId="0" fontId="1" fillId="23" borderId="7" xfId="0" applyFont="1" applyFill="1" applyBorder="1" applyAlignment="1">
      <alignment horizontal="center" vertical="center"/>
    </xf>
    <xf numFmtId="0" fontId="0" fillId="0" borderId="0" xfId="0">
      <extLst>
        <ext xmlns:xfpb="http://schemas.microsoft.com/office/spreadsheetml/2022/featurepropertybag" uri="{C7286773-470A-42A8-94C5-96B5CB345126}">
          <xfpb:xfComplement i="0"/>
        </ext>
      </extLst>
    </xf>
    <xf numFmtId="0" fontId="0" fillId="9" borderId="0" xfId="0" applyFill="1"/>
    <xf numFmtId="0" fontId="17" fillId="24" borderId="31" xfId="0" applyFont="1" applyFill="1" applyBorder="1" applyAlignment="1">
      <alignment horizontal="center"/>
    </xf>
    <xf numFmtId="49" fontId="18" fillId="0" borderId="3" xfId="0" applyNumberFormat="1" applyFont="1" applyBorder="1" applyAlignment="1">
      <alignment horizontal="center" vertical="center"/>
    </xf>
    <xf numFmtId="49" fontId="18" fillId="0" borderId="36" xfId="0" applyNumberFormat="1" applyFont="1" applyBorder="1" applyAlignment="1">
      <alignment horizontal="center" vertical="center"/>
    </xf>
    <xf numFmtId="0" fontId="6" fillId="0" borderId="36" xfId="0" applyFont="1" applyBorder="1" applyAlignment="1">
      <alignment horizontal="center"/>
    </xf>
    <xf numFmtId="0" fontId="6" fillId="21" borderId="37" xfId="0" applyFont="1" applyFill="1" applyBorder="1" applyAlignment="1">
      <alignment horizontal="center"/>
    </xf>
    <xf numFmtId="171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4" fontId="6" fillId="0" borderId="4" xfId="0" applyNumberFormat="1" applyFont="1" applyBorder="1" applyAlignment="1">
      <alignment horizontal="center"/>
    </xf>
    <xf numFmtId="172" fontId="6" fillId="0" borderId="4" xfId="0" applyNumberFormat="1" applyFont="1" applyBorder="1" applyAlignment="1">
      <alignment horizontal="center"/>
    </xf>
    <xf numFmtId="0" fontId="17" fillId="24" borderId="38" xfId="0" applyFont="1" applyFill="1" applyBorder="1" applyAlignment="1">
      <alignment horizontal="center"/>
    </xf>
    <xf numFmtId="0" fontId="6" fillId="0" borderId="37" xfId="0" applyFont="1" applyBorder="1" applyAlignment="1">
      <alignment horizontal="center"/>
    </xf>
    <xf numFmtId="172" fontId="6" fillId="0" borderId="37" xfId="0" applyNumberFormat="1" applyFont="1" applyBorder="1" applyAlignment="1">
      <alignment horizontal="center"/>
    </xf>
    <xf numFmtId="14" fontId="6" fillId="0" borderId="37" xfId="0" applyNumberFormat="1" applyFont="1" applyBorder="1" applyAlignment="1">
      <alignment horizontal="center"/>
    </xf>
    <xf numFmtId="0" fontId="19" fillId="14" borderId="0" xfId="0" applyFont="1" applyFill="1" applyAlignment="1">
      <alignment horizontal="center" vertical="center"/>
    </xf>
    <xf numFmtId="0" fontId="20" fillId="0" borderId="0" xfId="0" applyFont="1" applyFill="1" applyBorder="1" applyAlignment="1"/>
    <xf numFmtId="0" fontId="8" fillId="0" borderId="0" xfId="0" applyFont="1" applyFill="1" applyBorder="1" applyAlignment="1"/>
    <xf numFmtId="0" fontId="22" fillId="0" borderId="41" xfId="0" applyFont="1" applyBorder="1" applyAlignment="1">
      <alignment horizontal="center" vertical="center"/>
    </xf>
    <xf numFmtId="0" fontId="0" fillId="0" borderId="0" xfId="0" applyBorder="1"/>
    <xf numFmtId="0" fontId="12" fillId="0" borderId="0" xfId="0" applyFont="1" applyBorder="1"/>
    <xf numFmtId="0" fontId="0" fillId="0" borderId="46" xfId="0" applyBorder="1"/>
    <xf numFmtId="0" fontId="0" fillId="0" borderId="47" xfId="0" applyBorder="1"/>
    <xf numFmtId="0" fontId="0" fillId="0" borderId="48" xfId="0" applyBorder="1"/>
    <xf numFmtId="0" fontId="0" fillId="0" borderId="49" xfId="0" applyBorder="1"/>
    <xf numFmtId="164" fontId="5" fillId="0" borderId="50" xfId="0" applyNumberFormat="1" applyFont="1" applyBorder="1" applyAlignment="1">
      <alignment horizontal="center" vertical="center"/>
    </xf>
    <xf numFmtId="0" fontId="0" fillId="0" borderId="51" xfId="0" applyBorder="1"/>
    <xf numFmtId="0" fontId="0" fillId="0" borderId="52" xfId="0" applyBorder="1"/>
    <xf numFmtId="0" fontId="0" fillId="0" borderId="53" xfId="0" applyBorder="1"/>
    <xf numFmtId="0" fontId="6" fillId="0" borderId="8" xfId="0" applyFont="1" applyBorder="1" applyAlignment="1">
      <alignment horizontal="center" vertical="center"/>
    </xf>
    <xf numFmtId="0" fontId="5" fillId="0" borderId="15" xfId="0" applyFont="1" applyBorder="1"/>
    <xf numFmtId="0" fontId="5" fillId="17" borderId="0" xfId="0" applyFont="1" applyFill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49" fontId="6" fillId="0" borderId="11" xfId="0" applyNumberFormat="1" applyFont="1" applyBorder="1" applyAlignment="1">
      <alignment horizontal="left" vertical="center"/>
    </xf>
    <xf numFmtId="49" fontId="6" fillId="0" borderId="2" xfId="0" applyNumberFormat="1" applyFont="1" applyBorder="1" applyAlignment="1">
      <alignment horizontal="left" vertical="center"/>
    </xf>
    <xf numFmtId="49" fontId="6" fillId="0" borderId="0" xfId="0" applyNumberFormat="1" applyFont="1" applyBorder="1" applyAlignment="1">
      <alignment horizontal="left" vertical="center"/>
    </xf>
    <xf numFmtId="170" fontId="5" fillId="0" borderId="21" xfId="0" applyNumberFormat="1" applyFont="1" applyBorder="1" applyAlignment="1">
      <alignment horizontal="center" vertical="center"/>
    </xf>
    <xf numFmtId="170" fontId="5" fillId="0" borderId="22" xfId="0" applyNumberFormat="1" applyFont="1" applyBorder="1" applyAlignment="1">
      <alignment horizontal="center" vertical="center"/>
    </xf>
    <xf numFmtId="170" fontId="5" fillId="0" borderId="27" xfId="0" applyNumberFormat="1" applyFont="1" applyBorder="1" applyAlignment="1">
      <alignment horizontal="center" vertical="center"/>
    </xf>
    <xf numFmtId="170" fontId="5" fillId="0" borderId="23" xfId="0" applyNumberFormat="1" applyFont="1" applyBorder="1" applyAlignment="1">
      <alignment horizontal="center" vertical="center"/>
    </xf>
    <xf numFmtId="170" fontId="5" fillId="0" borderId="24" xfId="0" applyNumberFormat="1" applyFont="1" applyBorder="1" applyAlignment="1">
      <alignment horizontal="center" vertical="center"/>
    </xf>
    <xf numFmtId="170" fontId="5" fillId="0" borderId="25" xfId="0" applyNumberFormat="1" applyFont="1" applyBorder="1" applyAlignment="1">
      <alignment horizontal="center" vertical="center"/>
    </xf>
    <xf numFmtId="170" fontId="5" fillId="0" borderId="26" xfId="0" applyNumberFormat="1" applyFont="1" applyBorder="1" applyAlignment="1">
      <alignment horizontal="center" vertical="center"/>
    </xf>
    <xf numFmtId="170" fontId="5" fillId="12" borderId="15" xfId="0" applyNumberFormat="1" applyFont="1" applyFill="1" applyBorder="1" applyAlignment="1">
      <alignment horizontal="center" vertical="center"/>
    </xf>
    <xf numFmtId="170" fontId="5" fillId="12" borderId="30" xfId="0" applyNumberFormat="1" applyFont="1" applyFill="1" applyBorder="1" applyAlignment="1">
      <alignment horizontal="center" vertical="center"/>
    </xf>
    <xf numFmtId="170" fontId="5" fillId="0" borderId="28" xfId="0" applyNumberFormat="1" applyFont="1" applyBorder="1" applyAlignment="1">
      <alignment horizontal="left" vertical="center"/>
    </xf>
    <xf numFmtId="0" fontId="5" fillId="0" borderId="4" xfId="0" applyFont="1" applyBorder="1" applyAlignment="1">
      <alignment horizontal="center" vertical="center"/>
    </xf>
    <xf numFmtId="170" fontId="5" fillId="0" borderId="29" xfId="0" applyNumberFormat="1" applyFont="1" applyBorder="1" applyAlignment="1">
      <alignment horizontal="left" vertical="center"/>
    </xf>
    <xf numFmtId="170" fontId="5" fillId="0" borderId="8" xfId="0" applyNumberFormat="1" applyFont="1" applyBorder="1" applyAlignment="1">
      <alignment horizontal="center" vertical="center"/>
    </xf>
    <xf numFmtId="170" fontId="5" fillId="22" borderId="30" xfId="0" applyNumberFormat="1" applyFont="1" applyFill="1" applyBorder="1" applyAlignment="1">
      <alignment horizontal="center" vertical="center"/>
    </xf>
    <xf numFmtId="0" fontId="12" fillId="0" borderId="67" xfId="0" applyFont="1" applyBorder="1"/>
    <xf numFmtId="14" fontId="0" fillId="0" borderId="0" xfId="0" applyNumberFormat="1"/>
    <xf numFmtId="0" fontId="7" fillId="2" borderId="58" xfId="0" applyFont="1" applyFill="1" applyBorder="1" applyAlignment="1">
      <alignment horizontal="center" vertical="center"/>
    </xf>
    <xf numFmtId="173" fontId="5" fillId="0" borderId="58" xfId="0" applyNumberFormat="1" applyFont="1" applyBorder="1" applyAlignment="1">
      <alignment horizontal="center"/>
    </xf>
    <xf numFmtId="169" fontId="6" fillId="0" borderId="75" xfId="0" applyNumberFormat="1" applyFont="1" applyBorder="1" applyAlignment="1">
      <alignment horizontal="center" vertical="center"/>
    </xf>
    <xf numFmtId="169" fontId="6" fillId="0" borderId="59" xfId="0" applyNumberFormat="1" applyFont="1" applyBorder="1" applyAlignment="1">
      <alignment horizontal="center" vertical="center"/>
    </xf>
    <xf numFmtId="0" fontId="7" fillId="2" borderId="31" xfId="0" applyFont="1" applyFill="1" applyBorder="1" applyAlignment="1">
      <alignment horizontal="center" vertical="center"/>
    </xf>
    <xf numFmtId="10" fontId="0" fillId="0" borderId="0" xfId="0" applyNumberFormat="1"/>
    <xf numFmtId="0" fontId="12" fillId="0" borderId="39" xfId="0" applyFont="1" applyBorder="1" applyAlignment="1">
      <alignment horizontal="center" vertical="center"/>
    </xf>
    <xf numFmtId="14" fontId="12" fillId="0" borderId="39" xfId="0" applyNumberFormat="1" applyFont="1" applyBorder="1" applyAlignment="1">
      <alignment horizontal="center" vertical="center"/>
    </xf>
    <xf numFmtId="0" fontId="5" fillId="9" borderId="39" xfId="0" applyFont="1" applyFill="1" applyBorder="1" applyAlignment="1">
      <alignment horizontal="center" vertical="center"/>
    </xf>
    <xf numFmtId="9" fontId="0" fillId="0" borderId="0" xfId="0" applyNumberFormat="1"/>
    <xf numFmtId="0" fontId="11" fillId="26" borderId="58" xfId="0" applyFont="1" applyFill="1" applyBorder="1" applyAlignment="1">
      <alignment horizontal="center" vertical="center"/>
    </xf>
    <xf numFmtId="0" fontId="13" fillId="0" borderId="76" xfId="0" applyFont="1" applyBorder="1" applyAlignment="1">
      <alignment horizontal="center" vertical="center"/>
    </xf>
    <xf numFmtId="175" fontId="13" fillId="0" borderId="76" xfId="0" applyNumberFormat="1" applyFont="1" applyBorder="1" applyAlignment="1">
      <alignment horizontal="center" vertical="center"/>
    </xf>
    <xf numFmtId="174" fontId="13" fillId="0" borderId="76" xfId="0" applyNumberFormat="1" applyFont="1" applyBorder="1" applyAlignment="1">
      <alignment horizontal="center" vertical="center"/>
    </xf>
    <xf numFmtId="0" fontId="13" fillId="0" borderId="4" xfId="0" applyFont="1" applyBorder="1" applyAlignment="1">
      <alignment horizontal="center" vertical="center"/>
    </xf>
    <xf numFmtId="175" fontId="13" fillId="0" borderId="4" xfId="0" applyNumberFormat="1" applyFont="1" applyBorder="1" applyAlignment="1">
      <alignment horizontal="center" vertical="center"/>
    </xf>
    <xf numFmtId="174" fontId="13" fillId="0" borderId="4" xfId="0" applyNumberFormat="1" applyFont="1" applyBorder="1" applyAlignment="1">
      <alignment horizontal="center" vertical="center"/>
    </xf>
    <xf numFmtId="0" fontId="24" fillId="0" borderId="0" xfId="0" applyFont="1"/>
    <xf numFmtId="0" fontId="25" fillId="0" borderId="0" xfId="0" pivotButton="1" applyFont="1"/>
    <xf numFmtId="0" fontId="25" fillId="0" borderId="0" xfId="0" applyFont="1"/>
    <xf numFmtId="175" fontId="25" fillId="0" borderId="0" xfId="0" applyNumberFormat="1" applyFont="1"/>
    <xf numFmtId="0" fontId="25" fillId="0" borderId="0" xfId="0" applyNumberFormat="1" applyFont="1" applyAlignment="1">
      <alignment horizontal="center" vertical="center"/>
    </xf>
    <xf numFmtId="174" fontId="25" fillId="0" borderId="0" xfId="0" applyNumberFormat="1" applyFont="1"/>
    <xf numFmtId="0" fontId="21" fillId="0" borderId="63" xfId="0" applyFont="1" applyBorder="1" applyAlignment="1">
      <alignment horizontal="center" vertical="center"/>
    </xf>
    <xf numFmtId="9" fontId="6" fillId="0" borderId="77" xfId="0" applyNumberFormat="1" applyFont="1" applyBorder="1" applyAlignment="1">
      <alignment horizontal="center" vertical="center"/>
    </xf>
    <xf numFmtId="0" fontId="6" fillId="0" borderId="77" xfId="0" applyFont="1" applyBorder="1" applyAlignment="1">
      <alignment horizontal="center" vertical="center"/>
    </xf>
    <xf numFmtId="177" fontId="6" fillId="0" borderId="77" xfId="0" applyNumberFormat="1" applyFont="1" applyBorder="1" applyAlignment="1">
      <alignment horizontal="center" vertical="center"/>
    </xf>
    <xf numFmtId="176" fontId="6" fillId="0" borderId="77" xfId="0" applyNumberFormat="1" applyFont="1" applyBorder="1" applyAlignment="1">
      <alignment horizontal="center" vertical="center"/>
    </xf>
    <xf numFmtId="0" fontId="21" fillId="0" borderId="63" xfId="0" applyFont="1" applyBorder="1" applyAlignment="1">
      <alignment horizontal="left" vertical="top"/>
    </xf>
    <xf numFmtId="0" fontId="21" fillId="0" borderId="15" xfId="0" applyFont="1" applyBorder="1" applyAlignment="1">
      <alignment horizontal="center" vertical="center"/>
    </xf>
    <xf numFmtId="0" fontId="21" fillId="0" borderId="78" xfId="0" applyFont="1" applyBorder="1" applyAlignment="1">
      <alignment horizontal="left" vertical="top"/>
    </xf>
    <xf numFmtId="0" fontId="6" fillId="0" borderId="79" xfId="0" applyFont="1" applyBorder="1" applyAlignment="1">
      <alignment horizontal="center" vertical="center"/>
    </xf>
    <xf numFmtId="0" fontId="21" fillId="12" borderId="63" xfId="0" applyFont="1" applyFill="1" applyBorder="1" applyAlignment="1">
      <alignment horizontal="center" vertical="center"/>
    </xf>
    <xf numFmtId="0" fontId="28" fillId="0" borderId="0" xfId="0" applyFont="1"/>
    <xf numFmtId="0" fontId="27" fillId="0" borderId="0" xfId="0" applyFont="1" applyAlignment="1">
      <alignment horizontal="left" vertical="top"/>
    </xf>
    <xf numFmtId="9" fontId="6" fillId="0" borderId="79" xfId="0" applyNumberFormat="1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9" fillId="14" borderId="33" xfId="0" applyFont="1" applyFill="1" applyBorder="1" applyAlignment="1">
      <alignment vertical="center"/>
    </xf>
    <xf numFmtId="10" fontId="6" fillId="0" borderId="79" xfId="0" applyNumberFormat="1" applyFont="1" applyBorder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0" fontId="6" fillId="0" borderId="77" xfId="0" applyNumberFormat="1" applyFont="1" applyBorder="1" applyAlignment="1">
      <alignment horizontal="center" vertical="center"/>
    </xf>
    <xf numFmtId="177" fontId="12" fillId="0" borderId="0" xfId="0" applyNumberFormat="1" applyFont="1" applyAlignment="1">
      <alignment horizontal="center" vertical="center"/>
    </xf>
    <xf numFmtId="0" fontId="29" fillId="14" borderId="0" xfId="0" applyFont="1" applyFill="1" applyAlignment="1">
      <alignment vertical="center"/>
    </xf>
    <xf numFmtId="177" fontId="12" fillId="0" borderId="77" xfId="0" applyNumberFormat="1" applyFont="1" applyBorder="1" applyAlignment="1">
      <alignment horizontal="center" vertical="center"/>
    </xf>
    <xf numFmtId="0" fontId="6" fillId="9" borderId="39" xfId="0" applyFont="1" applyFill="1" applyBorder="1" applyAlignment="1">
      <alignment horizontal="center" vertical="center"/>
    </xf>
    <xf numFmtId="0" fontId="6" fillId="0" borderId="39" xfId="0" applyFont="1" applyBorder="1" applyAlignment="1">
      <alignment horizontal="center" vertical="center"/>
    </xf>
    <xf numFmtId="177" fontId="6" fillId="0" borderId="39" xfId="0" applyNumberFormat="1" applyFont="1" applyBorder="1" applyAlignment="1">
      <alignment horizontal="center" vertical="center"/>
    </xf>
    <xf numFmtId="9" fontId="6" fillId="0" borderId="39" xfId="0" applyNumberFormat="1" applyFont="1" applyBorder="1" applyAlignment="1">
      <alignment horizontal="center" vertical="center"/>
    </xf>
    <xf numFmtId="0" fontId="5" fillId="27" borderId="39" xfId="0" applyFont="1" applyFill="1" applyBorder="1" applyAlignment="1">
      <alignment horizontal="center" vertical="center"/>
    </xf>
    <xf numFmtId="0" fontId="5" fillId="28" borderId="39" xfId="0" applyFont="1" applyFill="1" applyBorder="1" applyAlignment="1">
      <alignment horizontal="center" vertical="center"/>
    </xf>
    <xf numFmtId="0" fontId="6" fillId="12" borderId="39" xfId="0" applyFont="1" applyFill="1" applyBorder="1" applyAlignment="1">
      <alignment horizontal="center" vertical="center"/>
    </xf>
    <xf numFmtId="177" fontId="6" fillId="0" borderId="80" xfId="0" applyNumberFormat="1" applyFont="1" applyBorder="1" applyAlignment="1">
      <alignment horizontal="center" vertical="center"/>
    </xf>
    <xf numFmtId="0" fontId="0" fillId="0" borderId="81" xfId="0" applyBorder="1" applyAlignment="1">
      <alignment wrapText="1"/>
    </xf>
    <xf numFmtId="0" fontId="0" fillId="0" borderId="82" xfId="0" applyBorder="1"/>
    <xf numFmtId="177" fontId="6" fillId="0" borderId="83" xfId="0" applyNumberFormat="1" applyFont="1" applyBorder="1" applyAlignment="1">
      <alignment horizontal="center" vertical="center"/>
    </xf>
    <xf numFmtId="0" fontId="0" fillId="0" borderId="81" xfId="0" applyBorder="1"/>
    <xf numFmtId="9" fontId="6" fillId="0" borderId="84" xfId="0" applyNumberFormat="1" applyFont="1" applyBorder="1" applyAlignment="1">
      <alignment horizontal="center" vertical="center"/>
    </xf>
    <xf numFmtId="177" fontId="6" fillId="0" borderId="85" xfId="0" applyNumberFormat="1" applyFont="1" applyBorder="1" applyAlignment="1">
      <alignment horizontal="center" vertical="center"/>
    </xf>
    <xf numFmtId="178" fontId="6" fillId="0" borderId="83" xfId="0" applyNumberFormat="1" applyFont="1" applyBorder="1" applyAlignment="1">
      <alignment horizontal="center" vertical="center"/>
    </xf>
    <xf numFmtId="177" fontId="6" fillId="0" borderId="86" xfId="0" applyNumberFormat="1" applyFont="1" applyBorder="1" applyAlignment="1">
      <alignment horizontal="center" vertical="center"/>
    </xf>
    <xf numFmtId="177" fontId="6" fillId="0" borderId="84" xfId="0" applyNumberFormat="1" applyFont="1" applyBorder="1" applyAlignment="1">
      <alignment horizontal="center" vertical="center"/>
    </xf>
    <xf numFmtId="0" fontId="21" fillId="0" borderId="87" xfId="0" applyFont="1" applyBorder="1" applyAlignment="1">
      <alignment horizontal="left" vertical="top"/>
    </xf>
    <xf numFmtId="0" fontId="21" fillId="0" borderId="88" xfId="0" applyFont="1" applyBorder="1" applyAlignment="1">
      <alignment horizontal="left" vertical="top"/>
    </xf>
    <xf numFmtId="0" fontId="6" fillId="0" borderId="89" xfId="0" applyFont="1" applyBorder="1" applyAlignment="1">
      <alignment horizontal="center" vertical="center"/>
    </xf>
    <xf numFmtId="0" fontId="21" fillId="0" borderId="90" xfId="0" applyFont="1" applyBorder="1" applyAlignment="1">
      <alignment horizontal="left" vertical="top"/>
    </xf>
    <xf numFmtId="0" fontId="21" fillId="0" borderId="91" xfId="0" applyFont="1" applyBorder="1" applyAlignment="1">
      <alignment horizontal="center" vertical="center"/>
    </xf>
    <xf numFmtId="0" fontId="21" fillId="12" borderId="92" xfId="0" applyFont="1" applyFill="1" applyBorder="1" applyAlignment="1">
      <alignment horizontal="center" vertical="center"/>
    </xf>
    <xf numFmtId="0" fontId="6" fillId="0" borderId="93" xfId="0" applyFont="1" applyBorder="1" applyAlignment="1">
      <alignment horizontal="center" vertical="center"/>
    </xf>
    <xf numFmtId="0" fontId="6" fillId="0" borderId="94" xfId="0" applyFont="1" applyBorder="1" applyAlignment="1">
      <alignment horizontal="center" vertical="center"/>
    </xf>
    <xf numFmtId="0" fontId="6" fillId="0" borderId="95" xfId="0" applyFont="1" applyBorder="1" applyAlignment="1">
      <alignment horizontal="center" vertical="center"/>
    </xf>
    <xf numFmtId="9" fontId="6" fillId="0" borderId="83" xfId="0" applyNumberFormat="1" applyFont="1" applyBorder="1" applyAlignment="1">
      <alignment horizontal="center" vertical="center"/>
    </xf>
    <xf numFmtId="0" fontId="21" fillId="12" borderId="88" xfId="0" applyFont="1" applyFill="1" applyBorder="1" applyAlignment="1">
      <alignment horizontal="center" vertical="center"/>
    </xf>
    <xf numFmtId="10" fontId="6" fillId="0" borderId="89" xfId="0" applyNumberFormat="1" applyFont="1" applyBorder="1" applyAlignment="1">
      <alignment horizontal="center" vertical="center"/>
    </xf>
    <xf numFmtId="10" fontId="6" fillId="0" borderId="84" xfId="0" applyNumberFormat="1" applyFont="1" applyBorder="1" applyAlignment="1">
      <alignment horizontal="center" vertical="center"/>
    </xf>
    <xf numFmtId="0" fontId="6" fillId="0" borderId="96" xfId="0" applyFont="1" applyBorder="1" applyAlignment="1">
      <alignment horizontal="center" vertical="center"/>
    </xf>
    <xf numFmtId="177" fontId="6" fillId="0" borderId="97" xfId="0" applyNumberFormat="1" applyFont="1" applyBorder="1" applyAlignment="1">
      <alignment horizontal="center" vertical="center"/>
    </xf>
    <xf numFmtId="9" fontId="6" fillId="0" borderId="97" xfId="0" applyNumberFormat="1" applyFont="1" applyBorder="1" applyAlignment="1">
      <alignment horizontal="center" vertical="center"/>
    </xf>
    <xf numFmtId="9" fontId="6" fillId="0" borderId="98" xfId="0" applyNumberFormat="1" applyFont="1" applyBorder="1" applyAlignment="1">
      <alignment horizontal="center" vertical="center"/>
    </xf>
    <xf numFmtId="0" fontId="6" fillId="0" borderId="99" xfId="0" applyFont="1" applyBorder="1" applyAlignment="1">
      <alignment horizontal="center" vertical="center"/>
    </xf>
    <xf numFmtId="9" fontId="6" fillId="0" borderId="89" xfId="0" applyNumberFormat="1" applyFont="1" applyBorder="1" applyAlignment="1">
      <alignment horizontal="center" vertical="center"/>
    </xf>
    <xf numFmtId="0" fontId="6" fillId="0" borderId="85" xfId="0" applyFont="1" applyBorder="1" applyAlignment="1">
      <alignment horizontal="center" vertical="center"/>
    </xf>
    <xf numFmtId="0" fontId="6" fillId="0" borderId="80" xfId="0" applyFont="1" applyBorder="1" applyAlignment="1">
      <alignment horizontal="center" vertical="center"/>
    </xf>
    <xf numFmtId="0" fontId="6" fillId="0" borderId="83" xfId="0" applyFont="1" applyBorder="1" applyAlignment="1">
      <alignment horizontal="center" vertical="center"/>
    </xf>
    <xf numFmtId="0" fontId="0" fillId="0" borderId="39" xfId="0" applyBorder="1"/>
    <xf numFmtId="178" fontId="6" fillId="0" borderId="84" xfId="0" applyNumberFormat="1" applyFont="1" applyBorder="1" applyAlignment="1">
      <alignment horizontal="center" vertical="center"/>
    </xf>
    <xf numFmtId="0" fontId="0" fillId="29" borderId="0" xfId="0" applyFill="1"/>
    <xf numFmtId="0" fontId="0" fillId="30" borderId="0" xfId="0" applyFill="1"/>
    <xf numFmtId="14" fontId="13" fillId="0" borderId="76" xfId="0" applyNumberFormat="1" applyFont="1" applyBorder="1" applyAlignment="1">
      <alignment horizontal="center" vertical="center"/>
    </xf>
    <xf numFmtId="14" fontId="13" fillId="0" borderId="4" xfId="0" applyNumberFormat="1" applyFont="1" applyBorder="1" applyAlignment="1">
      <alignment horizontal="center" vertical="center"/>
    </xf>
    <xf numFmtId="0" fontId="31" fillId="24" borderId="31" xfId="0" applyFont="1" applyFill="1" applyBorder="1" applyAlignment="1">
      <alignment horizontal="center"/>
    </xf>
    <xf numFmtId="0" fontId="32" fillId="0" borderId="4" xfId="1" applyFont="1" applyBorder="1" applyAlignment="1">
      <alignment horizontal="center" vertical="center"/>
    </xf>
    <xf numFmtId="0" fontId="1" fillId="24" borderId="31" xfId="0" applyFont="1" applyFill="1" applyBorder="1" applyAlignment="1">
      <alignment horizontal="center"/>
    </xf>
    <xf numFmtId="0" fontId="33" fillId="0" borderId="0" xfId="0" applyFont="1" applyAlignment="1">
      <alignment horizontal="left" wrapText="1"/>
    </xf>
    <xf numFmtId="0" fontId="0" fillId="0" borderId="0" xfId="0" applyAlignment="1">
      <alignment horizontal="left" wrapText="1"/>
    </xf>
    <xf numFmtId="0" fontId="34" fillId="0" borderId="100" xfId="0" applyFont="1" applyBorder="1"/>
    <xf numFmtId="0" fontId="0" fillId="0" borderId="101" xfId="0" applyBorder="1"/>
    <xf numFmtId="0" fontId="0" fillId="0" borderId="102" xfId="0" applyBorder="1"/>
    <xf numFmtId="0" fontId="0" fillId="0" borderId="103" xfId="0" applyBorder="1"/>
    <xf numFmtId="0" fontId="0" fillId="0" borderId="104" xfId="0" applyBorder="1"/>
    <xf numFmtId="0" fontId="0" fillId="0" borderId="105" xfId="0" applyBorder="1"/>
    <xf numFmtId="0" fontId="33" fillId="0" borderId="0" xfId="0" applyFont="1"/>
    <xf numFmtId="0" fontId="36" fillId="0" borderId="0" xfId="0" applyFont="1" applyAlignment="1">
      <alignment horizontal="left" wrapText="1"/>
    </xf>
    <xf numFmtId="0" fontId="12" fillId="0" borderId="0" xfId="0" applyFont="1" applyAlignment="1">
      <alignment horizontal="left" wrapText="1"/>
    </xf>
    <xf numFmtId="0" fontId="37" fillId="0" borderId="100" xfId="0" applyFont="1" applyBorder="1"/>
    <xf numFmtId="0" fontId="12" fillId="0" borderId="101" xfId="0" applyFont="1" applyBorder="1"/>
    <xf numFmtId="0" fontId="12" fillId="0" borderId="102" xfId="0" applyFont="1" applyBorder="1"/>
    <xf numFmtId="0" fontId="12" fillId="0" borderId="103" xfId="0" applyFont="1" applyBorder="1"/>
    <xf numFmtId="0" fontId="12" fillId="0" borderId="104" xfId="0" applyFont="1" applyBorder="1"/>
    <xf numFmtId="0" fontId="12" fillId="0" borderId="105" xfId="0" applyFont="1" applyBorder="1"/>
    <xf numFmtId="0" fontId="36" fillId="0" borderId="0" xfId="0" applyFont="1"/>
    <xf numFmtId="0" fontId="36" fillId="12" borderId="0" xfId="0" applyFont="1" applyFill="1" applyProtection="1">
      <protection locked="0"/>
    </xf>
    <xf numFmtId="0" fontId="36" fillId="25" borderId="102" xfId="0" applyFont="1" applyFill="1" applyBorder="1" applyAlignment="1">
      <alignment horizontal="left" wrapText="1"/>
    </xf>
    <xf numFmtId="0" fontId="36" fillId="25" borderId="0" xfId="0" applyFont="1" applyFill="1" applyAlignment="1">
      <alignment horizontal="left" wrapText="1"/>
    </xf>
    <xf numFmtId="0" fontId="36" fillId="0" borderId="0" xfId="0" applyFont="1" applyAlignment="1" applyProtection="1">
      <alignment horizontal="center" vertical="center" wrapText="1"/>
      <protection hidden="1"/>
    </xf>
    <xf numFmtId="0" fontId="0" fillId="12" borderId="0" xfId="0" applyFill="1" applyProtection="1">
      <protection locked="0"/>
    </xf>
    <xf numFmtId="0" fontId="33" fillId="0" borderId="0" xfId="0" applyFont="1" applyAlignment="1" applyProtection="1">
      <alignment vertical="center" wrapText="1"/>
      <protection hidden="1"/>
    </xf>
    <xf numFmtId="0" fontId="0" fillId="0" borderId="0" xfId="0" applyProtection="1">
      <protection hidden="1"/>
    </xf>
    <xf numFmtId="0" fontId="33" fillId="0" borderId="0" xfId="0" applyFont="1" applyProtection="1">
      <protection hidden="1"/>
    </xf>
    <xf numFmtId="0" fontId="33" fillId="0" borderId="106" xfId="0" applyFont="1" applyBorder="1"/>
    <xf numFmtId="0" fontId="0" fillId="0" borderId="106" xfId="0" applyBorder="1" applyAlignment="1">
      <alignment horizontal="center"/>
    </xf>
    <xf numFmtId="0" fontId="0" fillId="0" borderId="106" xfId="0" applyBorder="1"/>
    <xf numFmtId="0" fontId="0" fillId="0" borderId="106" xfId="0" applyBorder="1" applyAlignment="1">
      <alignment horizontal="left"/>
    </xf>
    <xf numFmtId="0" fontId="24" fillId="31" borderId="8" xfId="0" applyFont="1" applyFill="1" applyBorder="1"/>
    <xf numFmtId="0" fontId="24" fillId="12" borderId="106" xfId="0" applyFont="1" applyFill="1" applyBorder="1" applyAlignment="1">
      <alignment horizontal="center" vertical="center"/>
    </xf>
    <xf numFmtId="0" fontId="33" fillId="0" borderId="106" xfId="0" applyFont="1" applyBorder="1" applyAlignment="1">
      <alignment horizontal="center"/>
    </xf>
    <xf numFmtId="9" fontId="0" fillId="0" borderId="106" xfId="0" applyNumberFormat="1" applyBorder="1" applyAlignment="1">
      <alignment horizontal="center"/>
    </xf>
    <xf numFmtId="10" fontId="0" fillId="0" borderId="106" xfId="0" applyNumberFormat="1" applyBorder="1" applyAlignment="1">
      <alignment horizontal="center"/>
    </xf>
    <xf numFmtId="10" fontId="24" fillId="12" borderId="39" xfId="2" applyNumberFormat="1" applyFont="1" applyFill="1" applyBorder="1" applyAlignment="1" applyProtection="1">
      <alignment horizontal="center" vertical="center"/>
      <protection locked="0"/>
    </xf>
    <xf numFmtId="0" fontId="33" fillId="0" borderId="106" xfId="0" applyFont="1" applyBorder="1" applyAlignment="1">
      <alignment wrapText="1"/>
    </xf>
    <xf numFmtId="0" fontId="39" fillId="32" borderId="37" xfId="0" applyFont="1" applyFill="1" applyBorder="1" applyAlignment="1">
      <alignment wrapText="1"/>
    </xf>
    <xf numFmtId="0" fontId="30" fillId="32" borderId="107" xfId="1" applyFill="1" applyBorder="1" applyAlignment="1">
      <alignment wrapText="1"/>
    </xf>
    <xf numFmtId="0" fontId="41" fillId="32" borderId="107" xfId="0" applyFont="1" applyFill="1" applyBorder="1" applyAlignment="1">
      <alignment wrapText="1"/>
    </xf>
    <xf numFmtId="0" fontId="41" fillId="32" borderId="76" xfId="0" applyFont="1" applyFill="1" applyBorder="1" applyAlignment="1">
      <alignment wrapText="1"/>
    </xf>
    <xf numFmtId="0" fontId="0" fillId="0" borderId="108" xfId="0" applyBorder="1"/>
    <xf numFmtId="0" fontId="0" fillId="0" borderId="22" xfId="0" applyBorder="1"/>
    <xf numFmtId="0" fontId="0" fillId="0" borderId="24" xfId="0" applyBorder="1"/>
    <xf numFmtId="0" fontId="42" fillId="32" borderId="21" xfId="0" applyFont="1" applyFill="1" applyBorder="1" applyAlignment="1">
      <alignment wrapText="1"/>
    </xf>
    <xf numFmtId="0" fontId="43" fillId="0" borderId="23" xfId="0" quotePrefix="1" applyFont="1" applyBorder="1" applyAlignment="1">
      <alignment wrapText="1"/>
    </xf>
    <xf numFmtId="0" fontId="42" fillId="32" borderId="23" xfId="0" applyFont="1" applyFill="1" applyBorder="1" applyAlignment="1">
      <alignment wrapText="1"/>
    </xf>
    <xf numFmtId="0" fontId="0" fillId="0" borderId="0" xfId="0" applyAlignment="1">
      <alignment horizontal="left"/>
    </xf>
    <xf numFmtId="0" fontId="24" fillId="0" borderId="106" xfId="0" applyFont="1" applyBorder="1" applyAlignment="1">
      <alignment horizontal="center"/>
    </xf>
    <xf numFmtId="0" fontId="0" fillId="0" borderId="106" xfId="0" applyBorder="1" applyAlignment="1">
      <alignment horizontal="center" vertical="center"/>
    </xf>
    <xf numFmtId="0" fontId="0" fillId="12" borderId="0" xfId="0" applyFill="1"/>
    <xf numFmtId="0" fontId="33" fillId="0" borderId="109" xfId="0" applyFont="1" applyBorder="1"/>
    <xf numFmtId="0" fontId="0" fillId="33" borderId="109" xfId="0" applyFill="1" applyBorder="1"/>
    <xf numFmtId="0" fontId="0" fillId="33" borderId="0" xfId="0" applyFill="1"/>
    <xf numFmtId="0" fontId="0" fillId="0" borderId="33" xfId="0" applyBorder="1"/>
    <xf numFmtId="0" fontId="24" fillId="0" borderId="20" xfId="0" applyFont="1" applyBorder="1" applyAlignment="1">
      <alignment horizontal="center"/>
    </xf>
    <xf numFmtId="0" fontId="24" fillId="0" borderId="106" xfId="0" applyFont="1" applyBorder="1" applyAlignment="1">
      <alignment horizontal="center" vertical="center"/>
    </xf>
    <xf numFmtId="0" fontId="0" fillId="0" borderId="21" xfId="0" applyBorder="1"/>
    <xf numFmtId="0" fontId="0" fillId="0" borderId="23" xfId="0" applyBorder="1"/>
    <xf numFmtId="0" fontId="33" fillId="0" borderId="23" xfId="0" applyFont="1" applyBorder="1"/>
    <xf numFmtId="0" fontId="33" fillId="0" borderId="0" xfId="0" applyFont="1" applyBorder="1"/>
    <xf numFmtId="0" fontId="0" fillId="12" borderId="0" xfId="0" applyFill="1" applyBorder="1"/>
    <xf numFmtId="0" fontId="33" fillId="0" borderId="110" xfId="0" applyFont="1" applyBorder="1"/>
    <xf numFmtId="0" fontId="0" fillId="33" borderId="110" xfId="0" applyFill="1" applyBorder="1"/>
    <xf numFmtId="0" fontId="0" fillId="33" borderId="23" xfId="0" applyFill="1" applyBorder="1"/>
    <xf numFmtId="0" fontId="0" fillId="33" borderId="0" xfId="0" applyFill="1" applyBorder="1"/>
    <xf numFmtId="0" fontId="0" fillId="0" borderId="111" xfId="0" applyBorder="1"/>
    <xf numFmtId="0" fontId="0" fillId="0" borderId="25" xfId="0" applyBorder="1"/>
    <xf numFmtId="0" fontId="0" fillId="0" borderId="35" xfId="0" applyBorder="1"/>
    <xf numFmtId="0" fontId="33" fillId="0" borderId="35" xfId="0" applyFont="1" applyBorder="1"/>
    <xf numFmtId="0" fontId="0" fillId="0" borderId="26" xfId="0" applyBorder="1"/>
    <xf numFmtId="0" fontId="46" fillId="0" borderId="0" xfId="0" applyFont="1" applyProtection="1">
      <protection hidden="1"/>
    </xf>
    <xf numFmtId="0" fontId="46" fillId="0" borderId="106" xfId="0" applyFont="1" applyBorder="1" applyAlignment="1" applyProtection="1">
      <alignment horizontal="center"/>
      <protection hidden="1"/>
    </xf>
    <xf numFmtId="0" fontId="0" fillId="0" borderId="106" xfId="0" applyBorder="1" applyAlignment="1" applyProtection="1">
      <alignment horizontal="center"/>
      <protection hidden="1"/>
    </xf>
    <xf numFmtId="0" fontId="47" fillId="0" borderId="0" xfId="0" applyFont="1"/>
    <xf numFmtId="0" fontId="47" fillId="34" borderId="112" xfId="0" applyFont="1" applyFill="1" applyBorder="1"/>
    <xf numFmtId="0" fontId="47" fillId="34" borderId="113" xfId="0" applyFont="1" applyFill="1" applyBorder="1"/>
    <xf numFmtId="0" fontId="47" fillId="34" borderId="114" xfId="0" applyFont="1" applyFill="1" applyBorder="1"/>
    <xf numFmtId="0" fontId="0" fillId="0" borderId="115" xfId="0" applyBorder="1"/>
    <xf numFmtId="0" fontId="0" fillId="0" borderId="116" xfId="0" applyBorder="1"/>
    <xf numFmtId="0" fontId="0" fillId="0" borderId="117" xfId="0" applyBorder="1"/>
    <xf numFmtId="0" fontId="0" fillId="0" borderId="118" xfId="0" applyBorder="1"/>
    <xf numFmtId="0" fontId="0" fillId="0" borderId="119" xfId="0" applyBorder="1"/>
    <xf numFmtId="0" fontId="47" fillId="0" borderId="0" xfId="0" applyFont="1" applyProtection="1">
      <protection hidden="1"/>
    </xf>
    <xf numFmtId="0" fontId="48" fillId="0" borderId="0" xfId="0" quotePrefix="1" applyFont="1"/>
    <xf numFmtId="0" fontId="48" fillId="12" borderId="0" xfId="0" quotePrefix="1" applyFont="1" applyFill="1"/>
    <xf numFmtId="0" fontId="49" fillId="0" borderId="0" xfId="0" applyFont="1"/>
    <xf numFmtId="0" fontId="49" fillId="34" borderId="120" xfId="0" applyFont="1" applyFill="1" applyBorder="1"/>
    <xf numFmtId="0" fontId="49" fillId="34" borderId="121" xfId="0" applyFont="1" applyFill="1" applyBorder="1"/>
    <xf numFmtId="0" fontId="49" fillId="34" borderId="122" xfId="0" applyFont="1" applyFill="1" applyBorder="1"/>
    <xf numFmtId="0" fontId="0" fillId="0" borderId="123" xfId="0" applyBorder="1"/>
    <xf numFmtId="0" fontId="0" fillId="0" borderId="124" xfId="0" applyBorder="1"/>
    <xf numFmtId="0" fontId="0" fillId="26" borderId="0" xfId="0" applyFill="1" applyProtection="1">
      <protection locked="0"/>
    </xf>
    <xf numFmtId="0" fontId="0" fillId="12" borderId="106" xfId="0" applyFill="1" applyBorder="1" applyProtection="1">
      <protection locked="0"/>
    </xf>
    <xf numFmtId="0" fontId="49" fillId="0" borderId="0" xfId="0" applyFont="1" applyProtection="1">
      <protection hidden="1"/>
    </xf>
    <xf numFmtId="0" fontId="49" fillId="34" borderId="120" xfId="0" applyFont="1" applyFill="1" applyBorder="1" applyAlignment="1">
      <alignment horizontal="center"/>
    </xf>
    <xf numFmtId="0" fontId="49" fillId="34" borderId="121" xfId="0" applyFont="1" applyFill="1" applyBorder="1" applyAlignment="1">
      <alignment horizontal="center"/>
    </xf>
    <xf numFmtId="0" fontId="49" fillId="34" borderId="122" xfId="0" applyFont="1" applyFill="1" applyBorder="1" applyAlignment="1">
      <alignment horizontal="center"/>
    </xf>
    <xf numFmtId="0" fontId="0" fillId="35" borderId="0" xfId="0" applyFill="1" applyBorder="1"/>
    <xf numFmtId="179" fontId="0" fillId="0" borderId="106" xfId="0" applyNumberFormat="1" applyBorder="1" applyAlignment="1">
      <alignment horizontal="center" vertical="center"/>
    </xf>
    <xf numFmtId="0" fontId="24" fillId="26" borderId="0" xfId="0" applyFont="1" applyFill="1" applyAlignment="1" applyProtection="1">
      <protection locked="0"/>
    </xf>
    <xf numFmtId="0" fontId="0" fillId="12" borderId="106" xfId="0" applyFill="1" applyBorder="1" applyAlignment="1">
      <alignment horizontal="center" vertical="center"/>
    </xf>
    <xf numFmtId="179" fontId="0" fillId="36" borderId="106" xfId="0" applyNumberFormat="1" applyFill="1" applyBorder="1" applyAlignment="1">
      <alignment horizontal="center" vertical="center"/>
    </xf>
    <xf numFmtId="0" fontId="49" fillId="29" borderId="121" xfId="0" applyFont="1" applyFill="1" applyBorder="1" applyAlignment="1">
      <alignment horizontal="center"/>
    </xf>
    <xf numFmtId="0" fontId="49" fillId="37" borderId="121" xfId="0" applyFont="1" applyFill="1" applyBorder="1" applyAlignment="1">
      <alignment horizontal="center"/>
    </xf>
    <xf numFmtId="0" fontId="50" fillId="24" borderId="31" xfId="0" applyFont="1" applyFill="1" applyBorder="1" applyAlignment="1">
      <alignment horizontal="center"/>
    </xf>
    <xf numFmtId="0" fontId="51" fillId="14" borderId="33" xfId="0" applyFont="1" applyFill="1" applyBorder="1" applyAlignment="1">
      <alignment vertical="center"/>
    </xf>
    <xf numFmtId="0" fontId="0" fillId="0" borderId="106" xfId="0" applyBorder="1" applyAlignment="1">
      <alignment horizontal="left" vertical="top"/>
    </xf>
    <xf numFmtId="0" fontId="0" fillId="38" borderId="0" xfId="0" applyFill="1"/>
    <xf numFmtId="0" fontId="50" fillId="24" borderId="128" xfId="0" applyFont="1" applyFill="1" applyBorder="1" applyAlignment="1">
      <alignment horizontal="center"/>
    </xf>
    <xf numFmtId="0" fontId="0" fillId="0" borderId="132" xfId="0" applyBorder="1" applyAlignment="1">
      <alignment horizontal="center" vertical="center"/>
    </xf>
    <xf numFmtId="0" fontId="0" fillId="0" borderId="133" xfId="0" applyBorder="1" applyAlignment="1">
      <alignment horizontal="center" vertical="center"/>
    </xf>
    <xf numFmtId="0" fontId="0" fillId="0" borderId="134" xfId="0" applyBorder="1"/>
    <xf numFmtId="0" fontId="0" fillId="0" borderId="135" xfId="0" applyBorder="1"/>
    <xf numFmtId="0" fontId="52" fillId="0" borderId="106" xfId="0" applyFont="1" applyBorder="1"/>
    <xf numFmtId="0" fontId="52" fillId="0" borderId="9" xfId="0" applyFont="1" applyBorder="1"/>
    <xf numFmtId="0" fontId="52" fillId="0" borderId="20" xfId="0" applyFont="1" applyBorder="1"/>
    <xf numFmtId="0" fontId="52" fillId="0" borderId="145" xfId="0" applyFont="1" applyBorder="1"/>
    <xf numFmtId="0" fontId="53" fillId="2" borderId="1" xfId="0" applyFont="1" applyFill="1" applyBorder="1" applyAlignment="1">
      <alignment horizontal="center" vertical="center"/>
    </xf>
    <xf numFmtId="0" fontId="53" fillId="20" borderId="1" xfId="0" applyFont="1" applyFill="1" applyBorder="1" applyAlignment="1">
      <alignment horizontal="center" vertical="center"/>
    </xf>
    <xf numFmtId="14" fontId="54" fillId="0" borderId="2" xfId="0" applyNumberFormat="1" applyFont="1" applyBorder="1" applyAlignment="1">
      <alignment horizontal="center" vertical="center"/>
    </xf>
    <xf numFmtId="49" fontId="53" fillId="0" borderId="3" xfId="0" applyNumberFormat="1" applyFont="1" applyBorder="1" applyAlignment="1">
      <alignment horizontal="center" vertical="center"/>
    </xf>
    <xf numFmtId="0" fontId="53" fillId="2" borderId="2" xfId="0" applyFont="1" applyFill="1" applyBorder="1" applyAlignment="1">
      <alignment horizontal="center" vertical="center"/>
    </xf>
    <xf numFmtId="49" fontId="53" fillId="0" borderId="3" xfId="0" applyNumberFormat="1" applyFont="1" applyBorder="1" applyAlignment="1">
      <alignment horizontal="left" vertical="center"/>
    </xf>
    <xf numFmtId="49" fontId="53" fillId="0" borderId="6" xfId="0" applyNumberFormat="1" applyFont="1" applyBorder="1" applyAlignment="1">
      <alignment horizontal="left" vertical="center"/>
    </xf>
    <xf numFmtId="180" fontId="54" fillId="0" borderId="8" xfId="0" applyNumberFormat="1" applyFont="1" applyBorder="1" applyAlignment="1">
      <alignment horizontal="center"/>
    </xf>
    <xf numFmtId="0" fontId="27" fillId="0" borderId="0" xfId="0" applyFont="1"/>
    <xf numFmtId="49" fontId="53" fillId="0" borderId="6" xfId="0" applyNumberFormat="1" applyFont="1" applyBorder="1" applyAlignment="1">
      <alignment horizontal="center" vertical="center"/>
    </xf>
    <xf numFmtId="49" fontId="53" fillId="0" borderId="8" xfId="0" applyNumberFormat="1" applyFont="1" applyBorder="1" applyAlignment="1">
      <alignment horizontal="center" vertical="center"/>
    </xf>
    <xf numFmtId="0" fontId="0" fillId="0" borderId="146" xfId="0" applyBorder="1"/>
    <xf numFmtId="0" fontId="0" fillId="0" borderId="147" xfId="0" applyBorder="1"/>
    <xf numFmtId="0" fontId="0" fillId="0" borderId="40" xfId="0" applyBorder="1"/>
    <xf numFmtId="0" fontId="0" fillId="12" borderId="39" xfId="0" applyFill="1" applyBorder="1" applyAlignment="1">
      <alignment horizontal="center" vertical="center"/>
    </xf>
    <xf numFmtId="0" fontId="55" fillId="0" borderId="0" xfId="0" applyFont="1" applyBorder="1" applyAlignment="1"/>
    <xf numFmtId="0" fontId="8" fillId="40" borderId="0" xfId="0" applyFont="1" applyFill="1" applyBorder="1" applyAlignment="1"/>
    <xf numFmtId="0" fontId="0" fillId="0" borderId="148" xfId="0" applyBorder="1"/>
    <xf numFmtId="0" fontId="0" fillId="0" borderId="130" xfId="0" applyBorder="1"/>
    <xf numFmtId="0" fontId="0" fillId="0" borderId="131" xfId="0" applyBorder="1"/>
    <xf numFmtId="0" fontId="55" fillId="0" borderId="81" xfId="0" applyFont="1" applyBorder="1" applyAlignment="1"/>
    <xf numFmtId="0" fontId="8" fillId="0" borderId="82" xfId="0" applyFont="1" applyBorder="1" applyAlignment="1"/>
    <xf numFmtId="0" fontId="55" fillId="0" borderId="82" xfId="0" applyFont="1" applyBorder="1" applyAlignment="1"/>
    <xf numFmtId="0" fontId="8" fillId="0" borderId="81" xfId="0" applyFont="1" applyBorder="1" applyAlignment="1"/>
    <xf numFmtId="0" fontId="8" fillId="0" borderId="149" xfId="0" applyFont="1" applyBorder="1" applyAlignment="1"/>
    <xf numFmtId="0" fontId="8" fillId="0" borderId="134" xfId="0" applyFont="1" applyBorder="1" applyAlignment="1"/>
    <xf numFmtId="0" fontId="8" fillId="0" borderId="135" xfId="0" applyFont="1" applyBorder="1" applyAlignment="1"/>
    <xf numFmtId="14" fontId="55" fillId="0" borderId="0" xfId="0" applyNumberFormat="1" applyFont="1" applyBorder="1" applyAlignment="1"/>
    <xf numFmtId="0" fontId="55" fillId="0" borderId="148" xfId="0" applyFont="1" applyBorder="1" applyAlignment="1"/>
    <xf numFmtId="0" fontId="8" fillId="0" borderId="130" xfId="0" applyFont="1" applyBorder="1" applyAlignment="1"/>
    <xf numFmtId="0" fontId="8" fillId="0" borderId="131" xfId="0" applyFont="1" applyBorder="1" applyAlignment="1"/>
    <xf numFmtId="0" fontId="55" fillId="0" borderId="149" xfId="0" applyFont="1" applyBorder="1" applyAlignment="1"/>
    <xf numFmtId="0" fontId="8" fillId="40" borderId="134" xfId="0" applyFont="1" applyFill="1" applyBorder="1" applyAlignment="1"/>
    <xf numFmtId="0" fontId="55" fillId="0" borderId="135" xfId="0" applyFont="1" applyBorder="1" applyAlignment="1"/>
    <xf numFmtId="14" fontId="8" fillId="40" borderId="0" xfId="0" applyNumberFormat="1" applyFont="1" applyFill="1" applyBorder="1" applyAlignment="1"/>
    <xf numFmtId="0" fontId="55" fillId="0" borderId="81" xfId="0" applyFont="1" applyBorder="1" applyAlignment="1">
      <alignment horizontal="center"/>
    </xf>
    <xf numFmtId="0" fontId="55" fillId="0" borderId="0" xfId="0" applyFont="1" applyBorder="1" applyAlignment="1">
      <alignment horizontal="center"/>
    </xf>
    <xf numFmtId="0" fontId="8" fillId="0" borderId="81" xfId="0" applyFont="1" applyBorder="1" applyAlignment="1">
      <alignment horizontal="center"/>
    </xf>
    <xf numFmtId="181" fontId="8" fillId="40" borderId="0" xfId="0" applyNumberFormat="1" applyFont="1" applyFill="1" applyBorder="1" applyAlignment="1"/>
    <xf numFmtId="0" fontId="8" fillId="40" borderId="106" xfId="0" applyFont="1" applyFill="1" applyBorder="1" applyAlignment="1"/>
    <xf numFmtId="0" fontId="55" fillId="0" borderId="132" xfId="0" applyFont="1" applyBorder="1" applyAlignment="1"/>
    <xf numFmtId="0" fontId="8" fillId="0" borderId="132" xfId="0" applyFont="1" applyBorder="1" applyAlignment="1"/>
    <xf numFmtId="8" fontId="8" fillId="40" borderId="0" xfId="0" applyNumberFormat="1" applyFont="1" applyFill="1" applyBorder="1" applyAlignment="1"/>
    <xf numFmtId="0" fontId="8" fillId="0" borderId="106" xfId="0" applyFont="1" applyBorder="1" applyAlignment="1">
      <alignment horizontal="center" vertical="center"/>
    </xf>
    <xf numFmtId="8" fontId="8" fillId="0" borderId="106" xfId="0" applyNumberFormat="1" applyFont="1" applyBorder="1" applyAlignment="1">
      <alignment horizontal="center" vertical="center"/>
    </xf>
    <xf numFmtId="0" fontId="55" fillId="0" borderId="106" xfId="0" applyFont="1" applyBorder="1" applyAlignment="1">
      <alignment horizontal="center" vertical="center" wrapText="1"/>
    </xf>
    <xf numFmtId="0" fontId="55" fillId="0" borderId="106" xfId="0" applyFont="1" applyBorder="1" applyAlignment="1">
      <alignment horizontal="center" vertical="center"/>
    </xf>
    <xf numFmtId="0" fontId="57" fillId="27" borderId="39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5" fillId="0" borderId="106" xfId="0" applyFont="1" applyBorder="1" applyAlignment="1">
      <alignment wrapText="1"/>
    </xf>
    <xf numFmtId="0" fontId="58" fillId="0" borderId="106" xfId="0" applyFont="1" applyBorder="1" applyAlignment="1"/>
    <xf numFmtId="3" fontId="59" fillId="0" borderId="106" xfId="0" applyNumberFormat="1" applyFont="1" applyBorder="1" applyAlignment="1"/>
    <xf numFmtId="0" fontId="60" fillId="0" borderId="106" xfId="0" applyFont="1" applyBorder="1" applyAlignment="1"/>
    <xf numFmtId="0" fontId="61" fillId="0" borderId="106" xfId="0" applyFont="1" applyBorder="1" applyAlignment="1"/>
    <xf numFmtId="0" fontId="8" fillId="0" borderId="0" xfId="0" applyFont="1" applyBorder="1" applyAlignment="1">
      <alignment wrapText="1"/>
    </xf>
    <xf numFmtId="0" fontId="8" fillId="40" borderId="146" xfId="0" applyFont="1" applyFill="1" applyBorder="1" applyAlignment="1">
      <alignment horizontal="center" vertical="center"/>
    </xf>
    <xf numFmtId="0" fontId="0" fillId="0" borderId="147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55" fillId="41" borderId="39" xfId="0" applyFont="1" applyFill="1" applyBorder="1" applyAlignment="1"/>
    <xf numFmtId="0" fontId="55" fillId="41" borderId="39" xfId="0" applyFont="1" applyFill="1" applyBorder="1" applyAlignment="1">
      <alignment wrapText="1"/>
    </xf>
    <xf numFmtId="0" fontId="8" fillId="41" borderId="39" xfId="0" applyFont="1" applyFill="1" applyBorder="1" applyAlignment="1"/>
    <xf numFmtId="0" fontId="56" fillId="0" borderId="0" xfId="0" applyFont="1" applyBorder="1" applyAlignment="1"/>
    <xf numFmtId="0" fontId="8" fillId="40" borderId="39" xfId="0" applyFont="1" applyFill="1" applyBorder="1" applyAlignment="1"/>
    <xf numFmtId="0" fontId="8" fillId="0" borderId="39" xfId="0" applyFont="1" applyBorder="1" applyAlignment="1"/>
    <xf numFmtId="0" fontId="55" fillId="42" borderId="39" xfId="0" applyFont="1" applyFill="1" applyBorder="1" applyAlignment="1">
      <alignment wrapText="1"/>
    </xf>
    <xf numFmtId="0" fontId="55" fillId="43" borderId="39" xfId="0" applyFont="1" applyFill="1" applyBorder="1" applyAlignment="1">
      <alignment wrapText="1"/>
    </xf>
    <xf numFmtId="0" fontId="8" fillId="42" borderId="39" xfId="0" applyFont="1" applyFill="1" applyBorder="1" applyAlignment="1"/>
    <xf numFmtId="0" fontId="8" fillId="43" borderId="39" xfId="0" applyFont="1" applyFill="1" applyBorder="1" applyAlignment="1"/>
    <xf numFmtId="0" fontId="8" fillId="0" borderId="123" xfId="0" applyFont="1" applyBorder="1" applyAlignment="1"/>
    <xf numFmtId="0" fontId="56" fillId="0" borderId="5" xfId="0" applyFont="1" applyBorder="1" applyAlignment="1"/>
    <xf numFmtId="0" fontId="8" fillId="40" borderId="124" xfId="0" applyFont="1" applyFill="1" applyBorder="1" applyAlignment="1"/>
    <xf numFmtId="0" fontId="62" fillId="44" borderId="0" xfId="0" applyFont="1" applyFill="1" applyBorder="1" applyAlignment="1">
      <alignment wrapText="1"/>
    </xf>
    <xf numFmtId="0" fontId="8" fillId="40" borderId="152" xfId="0" applyFont="1" applyFill="1" applyBorder="1" applyAlignment="1"/>
    <xf numFmtId="0" fontId="8" fillId="0" borderId="124" xfId="0" applyFont="1" applyBorder="1" applyAlignment="1"/>
    <xf numFmtId="0" fontId="8" fillId="0" borderId="152" xfId="0" applyFont="1" applyBorder="1" applyAlignment="1"/>
    <xf numFmtId="0" fontId="8" fillId="0" borderId="153" xfId="0" applyFont="1" applyBorder="1" applyAlignment="1"/>
    <xf numFmtId="0" fontId="8" fillId="0" borderId="154" xfId="0" applyFont="1" applyBorder="1" applyAlignment="1"/>
    <xf numFmtId="0" fontId="8" fillId="0" borderId="155" xfId="0" applyFont="1" applyBorder="1" applyAlignment="1"/>
    <xf numFmtId="0" fontId="56" fillId="42" borderId="150" xfId="0" applyFont="1" applyFill="1" applyBorder="1" applyAlignment="1"/>
    <xf numFmtId="0" fontId="56" fillId="42" borderId="151" xfId="0" applyFont="1" applyFill="1" applyBorder="1" applyAlignment="1"/>
    <xf numFmtId="0" fontId="55" fillId="0" borderId="0" xfId="0" applyFont="1" applyBorder="1" applyAlignment="1">
      <alignment wrapText="1"/>
    </xf>
    <xf numFmtId="0" fontId="8" fillId="40" borderId="0" xfId="0" applyFont="1" applyFill="1" applyBorder="1" applyAlignment="1">
      <alignment wrapText="1"/>
    </xf>
    <xf numFmtId="3" fontId="8" fillId="41" borderId="39" xfId="0" applyNumberFormat="1" applyFont="1" applyFill="1" applyBorder="1" applyAlignment="1"/>
    <xf numFmtId="0" fontId="58" fillId="0" borderId="0" xfId="0" applyFont="1" applyBorder="1" applyAlignment="1"/>
    <xf numFmtId="0" fontId="0" fillId="0" borderId="39" xfId="0" applyBorder="1" applyAlignment="1">
      <alignment horizontal="center"/>
    </xf>
    <xf numFmtId="0" fontId="24" fillId="9" borderId="0" xfId="0" applyFont="1" applyFill="1"/>
    <xf numFmtId="0" fontId="0" fillId="17" borderId="39" xfId="0" applyFill="1" applyBorder="1" applyAlignment="1">
      <alignment horizontal="center"/>
    </xf>
    <xf numFmtId="0" fontId="0" fillId="45" borderId="39" xfId="0" applyFill="1" applyBorder="1" applyAlignment="1">
      <alignment horizontal="center"/>
    </xf>
    <xf numFmtId="0" fontId="0" fillId="46" borderId="39" xfId="0" applyFill="1" applyBorder="1" applyAlignment="1">
      <alignment horizontal="center"/>
    </xf>
    <xf numFmtId="0" fontId="0" fillId="47" borderId="39" xfId="0" applyFill="1" applyBorder="1" applyAlignment="1">
      <alignment horizontal="center"/>
    </xf>
    <xf numFmtId="0" fontId="0" fillId="0" borderId="0" xfId="0" applyAlignment="1">
      <alignment vertical="top"/>
    </xf>
    <xf numFmtId="0" fontId="33" fillId="0" borderId="0" xfId="0" applyFont="1" applyAlignment="1">
      <alignment horizontal="left" vertical="center" readingOrder="1"/>
    </xf>
    <xf numFmtId="0" fontId="63" fillId="0" borderId="0" xfId="0" applyFont="1" applyProtection="1">
      <protection hidden="1"/>
    </xf>
    <xf numFmtId="0" fontId="8" fillId="0" borderId="39" xfId="0" applyFont="1" applyBorder="1"/>
    <xf numFmtId="0" fontId="8" fillId="14" borderId="39" xfId="0" applyFont="1" applyFill="1" applyBorder="1"/>
    <xf numFmtId="182" fontId="0" fillId="12" borderId="39" xfId="3" applyNumberFormat="1" applyFont="1" applyFill="1" applyBorder="1" applyAlignment="1" applyProtection="1">
      <alignment horizontal="center" vertical="center"/>
      <protection locked="0"/>
    </xf>
    <xf numFmtId="0" fontId="64" fillId="14" borderId="33" xfId="0" applyFont="1" applyFill="1" applyBorder="1" applyAlignment="1">
      <alignment vertical="center"/>
    </xf>
    <xf numFmtId="0" fontId="65" fillId="0" borderId="87" xfId="0" applyFont="1" applyBorder="1" applyAlignment="1">
      <alignment horizontal="left" vertical="top"/>
    </xf>
    <xf numFmtId="177" fontId="24" fillId="0" borderId="85" xfId="0" applyNumberFormat="1" applyFont="1" applyBorder="1" applyAlignment="1">
      <alignment horizontal="center" vertical="center"/>
    </xf>
    <xf numFmtId="177" fontId="24" fillId="0" borderId="80" xfId="0" applyNumberFormat="1" applyFont="1" applyBorder="1" applyAlignment="1">
      <alignment horizontal="center" vertical="center"/>
    </xf>
    <xf numFmtId="0" fontId="65" fillId="0" borderId="88" xfId="0" applyFont="1" applyBorder="1" applyAlignment="1">
      <alignment horizontal="left" vertical="top"/>
    </xf>
    <xf numFmtId="9" fontId="24" fillId="0" borderId="77" xfId="0" applyNumberFormat="1" applyFont="1" applyBorder="1" applyAlignment="1">
      <alignment horizontal="center" vertical="center"/>
    </xf>
    <xf numFmtId="9" fontId="24" fillId="0" borderId="83" xfId="0" applyNumberFormat="1" applyFont="1" applyBorder="1" applyAlignment="1">
      <alignment horizontal="center" vertical="center"/>
    </xf>
    <xf numFmtId="0" fontId="24" fillId="0" borderId="79" xfId="0" applyFont="1" applyBorder="1" applyAlignment="1">
      <alignment horizontal="center" vertical="center"/>
    </xf>
    <xf numFmtId="0" fontId="24" fillId="0" borderId="89" xfId="0" applyFont="1" applyBorder="1" applyAlignment="1">
      <alignment horizontal="center" vertical="center"/>
    </xf>
    <xf numFmtId="0" fontId="65" fillId="0" borderId="90" xfId="0" applyFont="1" applyBorder="1" applyAlignment="1">
      <alignment horizontal="left" vertical="top"/>
    </xf>
    <xf numFmtId="0" fontId="65" fillId="0" borderId="15" xfId="0" applyFont="1" applyBorder="1" applyAlignment="1">
      <alignment horizontal="center" vertical="center"/>
    </xf>
    <xf numFmtId="0" fontId="65" fillId="0" borderId="91" xfId="0" applyFont="1" applyBorder="1" applyAlignment="1">
      <alignment horizontal="center" vertical="center"/>
    </xf>
    <xf numFmtId="0" fontId="0" fillId="0" borderId="81" xfId="0" applyFont="1" applyBorder="1"/>
    <xf numFmtId="0" fontId="0" fillId="0" borderId="0" xfId="0" applyFont="1" applyBorder="1"/>
    <xf numFmtId="0" fontId="0" fillId="0" borderId="82" xfId="0" applyFont="1" applyBorder="1"/>
    <xf numFmtId="0" fontId="65" fillId="12" borderId="92" xfId="0" applyFont="1" applyFill="1" applyBorder="1" applyAlignment="1">
      <alignment horizontal="center" vertical="center"/>
    </xf>
    <xf numFmtId="177" fontId="24" fillId="0" borderId="86" xfId="0" applyNumberFormat="1" applyFont="1" applyBorder="1" applyAlignment="1">
      <alignment horizontal="center" vertical="center"/>
    </xf>
    <xf numFmtId="177" fontId="24" fillId="0" borderId="84" xfId="0" applyNumberFormat="1" applyFont="1" applyBorder="1" applyAlignment="1">
      <alignment horizontal="center" vertical="center"/>
    </xf>
    <xf numFmtId="0" fontId="0" fillId="0" borderId="0" xfId="0" applyFont="1"/>
    <xf numFmtId="0" fontId="24" fillId="0" borderId="99" xfId="0" applyFont="1" applyBorder="1" applyAlignment="1">
      <alignment horizontal="center" vertical="center"/>
    </xf>
    <xf numFmtId="0" fontId="24" fillId="0" borderId="94" xfId="0" applyFont="1" applyBorder="1" applyAlignment="1">
      <alignment horizontal="center" vertical="center"/>
    </xf>
    <xf numFmtId="177" fontId="24" fillId="0" borderId="77" xfId="0" applyNumberFormat="1" applyFont="1" applyBorder="1" applyAlignment="1">
      <alignment horizontal="center" vertical="center"/>
    </xf>
    <xf numFmtId="177" fontId="24" fillId="0" borderId="83" xfId="0" applyNumberFormat="1" applyFont="1" applyBorder="1" applyAlignment="1">
      <alignment horizontal="center" vertical="center"/>
    </xf>
    <xf numFmtId="0" fontId="0" fillId="0" borderId="0" xfId="0" applyFont="1" applyAlignment="1">
      <alignment horizontal="left" vertical="top"/>
    </xf>
    <xf numFmtId="9" fontId="24" fillId="0" borderId="79" xfId="0" applyNumberFormat="1" applyFont="1" applyBorder="1" applyAlignment="1">
      <alignment horizontal="center" vertical="center"/>
    </xf>
    <xf numFmtId="9" fontId="24" fillId="0" borderId="89" xfId="0" applyNumberFormat="1" applyFont="1" applyBorder="1" applyAlignment="1">
      <alignment horizontal="center" vertical="center"/>
    </xf>
    <xf numFmtId="9" fontId="24" fillId="0" borderId="86" xfId="0" applyNumberFormat="1" applyFont="1" applyBorder="1" applyAlignment="1">
      <alignment horizontal="center" vertical="center"/>
    </xf>
    <xf numFmtId="0" fontId="66" fillId="0" borderId="0" xfId="0" applyFont="1" applyBorder="1" applyAlignment="1"/>
    <xf numFmtId="0" fontId="66" fillId="0" borderId="0" xfId="0" applyFont="1" applyBorder="1" applyAlignment="1">
      <alignment wrapText="1"/>
    </xf>
    <xf numFmtId="0" fontId="66" fillId="0" borderId="39" xfId="0" applyFont="1" applyBorder="1" applyAlignment="1">
      <alignment horizontal="center" wrapText="1"/>
    </xf>
    <xf numFmtId="0" fontId="8" fillId="0" borderId="39" xfId="0" applyFont="1" applyBorder="1" applyAlignment="1">
      <alignment horizontal="center"/>
    </xf>
    <xf numFmtId="0" fontId="8" fillId="0" borderId="39" xfId="0" applyFont="1" applyBorder="1" applyAlignment="1">
      <alignment horizontal="center" wrapText="1"/>
    </xf>
    <xf numFmtId="0" fontId="67" fillId="0" borderId="0" xfId="0" applyFont="1" applyBorder="1" applyAlignment="1">
      <alignment wrapText="1"/>
    </xf>
    <xf numFmtId="0" fontId="8" fillId="40" borderId="81" xfId="0" applyFont="1" applyFill="1" applyBorder="1" applyAlignment="1"/>
    <xf numFmtId="0" fontId="0" fillId="0" borderId="149" xfId="0" applyBorder="1"/>
    <xf numFmtId="3" fontId="8" fillId="0" borderId="82" xfId="0" applyNumberFormat="1" applyFont="1" applyBorder="1" applyAlignment="1"/>
    <xf numFmtId="3" fontId="8" fillId="0" borderId="135" xfId="0" applyNumberFormat="1" applyFont="1" applyBorder="1" applyAlignment="1"/>
    <xf numFmtId="0" fontId="67" fillId="0" borderId="148" xfId="0" applyFont="1" applyBorder="1" applyAlignment="1">
      <alignment horizontal="center" vertical="center"/>
    </xf>
    <xf numFmtId="0" fontId="55" fillId="0" borderId="130" xfId="0" applyFont="1" applyBorder="1" applyAlignment="1">
      <alignment horizontal="center" vertical="center"/>
    </xf>
    <xf numFmtId="0" fontId="55" fillId="0" borderId="131" xfId="0" applyFont="1" applyBorder="1" applyAlignment="1">
      <alignment horizontal="center" vertical="center"/>
    </xf>
    <xf numFmtId="0" fontId="64" fillId="14" borderId="33" xfId="0" applyFont="1" applyFill="1" applyBorder="1" applyAlignment="1">
      <alignment horizontal="right" vertical="center"/>
    </xf>
    <xf numFmtId="177" fontId="6" fillId="0" borderId="156" xfId="0" applyNumberFormat="1" applyFont="1" applyBorder="1" applyAlignment="1">
      <alignment horizontal="center" vertical="center"/>
    </xf>
    <xf numFmtId="10" fontId="6" fillId="0" borderId="157" xfId="0" applyNumberFormat="1" applyFont="1" applyBorder="1" applyAlignment="1">
      <alignment horizontal="center" vertical="center"/>
    </xf>
    <xf numFmtId="0" fontId="6" fillId="0" borderId="158" xfId="0" applyFont="1" applyBorder="1" applyAlignment="1">
      <alignment horizontal="center" vertical="center"/>
    </xf>
    <xf numFmtId="0" fontId="21" fillId="0" borderId="12" xfId="0" applyFont="1" applyBorder="1" applyAlignment="1">
      <alignment horizontal="center" vertical="center"/>
    </xf>
    <xf numFmtId="4" fontId="0" fillId="0" borderId="0" xfId="0" applyNumberFormat="1"/>
    <xf numFmtId="4" fontId="33" fillId="0" borderId="0" xfId="0" applyNumberFormat="1" applyFont="1"/>
    <xf numFmtId="0" fontId="68" fillId="0" borderId="90" xfId="0" applyFont="1" applyBorder="1" applyAlignment="1">
      <alignment horizontal="left" vertical="top"/>
    </xf>
    <xf numFmtId="177" fontId="12" fillId="0" borderId="39" xfId="0" applyNumberFormat="1" applyFont="1" applyBorder="1" applyAlignment="1">
      <alignment horizontal="center" vertical="center"/>
    </xf>
    <xf numFmtId="9" fontId="12" fillId="0" borderId="84" xfId="0" applyNumberFormat="1" applyFont="1" applyBorder="1" applyAlignment="1">
      <alignment horizontal="center" vertical="center"/>
    </xf>
    <xf numFmtId="0" fontId="68" fillId="25" borderId="60" xfId="0" applyFont="1" applyFill="1" applyBorder="1" applyAlignment="1">
      <alignment horizontal="center" vertical="center"/>
    </xf>
    <xf numFmtId="0" fontId="68" fillId="25" borderId="61" xfId="0" applyFont="1" applyFill="1" applyBorder="1" applyAlignment="1">
      <alignment horizontal="center" vertical="center"/>
    </xf>
    <xf numFmtId="0" fontId="68" fillId="25" borderId="62" xfId="0" applyFont="1" applyFill="1" applyBorder="1" applyAlignment="1">
      <alignment horizontal="center" vertical="center"/>
    </xf>
    <xf numFmtId="0" fontId="69" fillId="0" borderId="63" xfId="0" applyFont="1" applyBorder="1" applyAlignment="1">
      <alignment horizontal="center" vertical="center"/>
    </xf>
    <xf numFmtId="9" fontId="69" fillId="0" borderId="59" xfId="0" applyNumberFormat="1" applyFont="1" applyBorder="1" applyAlignment="1">
      <alignment horizontal="center"/>
    </xf>
    <xf numFmtId="0" fontId="70" fillId="0" borderId="64" xfId="0" applyFont="1" applyBorder="1" applyAlignment="1">
      <alignment horizontal="left" vertical="top"/>
    </xf>
    <xf numFmtId="164" fontId="13" fillId="0" borderId="58" xfId="0" applyNumberFormat="1" applyFont="1" applyBorder="1" applyAlignment="1">
      <alignment horizontal="center"/>
    </xf>
    <xf numFmtId="0" fontId="0" fillId="0" borderId="65" xfId="0" applyFont="1" applyBorder="1"/>
    <xf numFmtId="0" fontId="69" fillId="0" borderId="58" xfId="0" applyFont="1" applyBorder="1" applyAlignment="1">
      <alignment horizontal="center" vertical="center"/>
    </xf>
    <xf numFmtId="0" fontId="69" fillId="0" borderId="66" xfId="0" applyFont="1" applyBorder="1" applyAlignment="1">
      <alignment horizontal="center" vertical="center"/>
    </xf>
    <xf numFmtId="0" fontId="69" fillId="0" borderId="68" xfId="0" applyFont="1" applyBorder="1" applyAlignment="1">
      <alignment horizontal="center" vertical="center"/>
    </xf>
    <xf numFmtId="164" fontId="13" fillId="0" borderId="15" xfId="0" applyNumberFormat="1" applyFont="1" applyBorder="1" applyAlignment="1">
      <alignment horizontal="center" vertical="center"/>
    </xf>
    <xf numFmtId="0" fontId="0" fillId="0" borderId="67" xfId="0" applyFont="1" applyBorder="1"/>
    <xf numFmtId="0" fontId="69" fillId="0" borderId="69" xfId="0" applyFont="1" applyBorder="1" applyAlignment="1">
      <alignment horizontal="center" vertical="center"/>
    </xf>
    <xf numFmtId="164" fontId="13" fillId="0" borderId="42" xfId="0" applyNumberFormat="1" applyFont="1" applyBorder="1" applyAlignment="1">
      <alignment horizontal="center" vertical="center"/>
    </xf>
    <xf numFmtId="0" fontId="69" fillId="0" borderId="70" xfId="0" applyFont="1" applyBorder="1" applyAlignment="1">
      <alignment horizontal="center" vertical="center"/>
    </xf>
    <xf numFmtId="164" fontId="13" fillId="0" borderId="71" xfId="0" applyNumberFormat="1" applyFont="1" applyBorder="1" applyAlignment="1">
      <alignment horizontal="center" vertical="center"/>
    </xf>
    <xf numFmtId="0" fontId="0" fillId="0" borderId="72" xfId="0" applyFont="1" applyBorder="1"/>
    <xf numFmtId="164" fontId="13" fillId="0" borderId="39" xfId="0" applyNumberFormat="1" applyFont="1" applyBorder="1" applyAlignment="1">
      <alignment horizontal="center"/>
    </xf>
    <xf numFmtId="0" fontId="0" fillId="0" borderId="39" xfId="0" applyFont="1" applyBorder="1"/>
    <xf numFmtId="0" fontId="68" fillId="25" borderId="54" xfId="0" applyFont="1" applyFill="1" applyBorder="1" applyAlignment="1">
      <alignment horizontal="center" vertical="center"/>
    </xf>
    <xf numFmtId="0" fontId="68" fillId="0" borderId="54" xfId="0" applyFont="1" applyBorder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164" fontId="13" fillId="0" borderId="55" xfId="0" applyNumberFormat="1" applyFont="1" applyBorder="1" applyAlignment="1">
      <alignment horizontal="center" vertical="center"/>
    </xf>
    <xf numFmtId="164" fontId="13" fillId="0" borderId="56" xfId="0" applyNumberFormat="1" applyFont="1" applyBorder="1" applyAlignment="1">
      <alignment horizontal="center" vertical="center"/>
    </xf>
    <xf numFmtId="164" fontId="13" fillId="0" borderId="57" xfId="0" applyNumberFormat="1" applyFont="1" applyBorder="1" applyAlignment="1">
      <alignment horizontal="center"/>
    </xf>
    <xf numFmtId="164" fontId="13" fillId="0" borderId="43" xfId="0" applyNumberFormat="1" applyFont="1" applyBorder="1" applyAlignment="1">
      <alignment horizontal="center" vertical="center"/>
    </xf>
    <xf numFmtId="164" fontId="13" fillId="0" borderId="45" xfId="0" applyNumberFormat="1" applyFont="1" applyBorder="1" applyAlignment="1">
      <alignment horizontal="center" vertical="center"/>
    </xf>
    <xf numFmtId="164" fontId="13" fillId="0" borderId="44" xfId="0" applyNumberFormat="1" applyFont="1" applyBorder="1" applyAlignment="1">
      <alignment horizontal="center"/>
    </xf>
    <xf numFmtId="0" fontId="69" fillId="0" borderId="39" xfId="0" applyFont="1" applyBorder="1" applyAlignment="1">
      <alignment horizontal="center" vertical="center"/>
    </xf>
    <xf numFmtId="0" fontId="30" fillId="0" borderId="0" xfId="1"/>
    <xf numFmtId="0" fontId="64" fillId="14" borderId="0" xfId="0" applyFont="1" applyFill="1" applyBorder="1" applyAlignment="1">
      <alignment horizontal="left" vertical="center"/>
    </xf>
    <xf numFmtId="0" fontId="0" fillId="0" borderId="39" xfId="0" applyBorder="1" applyAlignment="1">
      <alignment horizontal="center" vertical="center"/>
    </xf>
    <xf numFmtId="9" fontId="0" fillId="0" borderId="39" xfId="0" applyNumberFormat="1" applyBorder="1" applyAlignment="1">
      <alignment horizontal="center" vertical="center"/>
    </xf>
    <xf numFmtId="0" fontId="0" fillId="0" borderId="159" xfId="0" applyBorder="1" applyAlignment="1">
      <alignment horizontal="center" vertical="center"/>
    </xf>
    <xf numFmtId="0" fontId="0" fillId="0" borderId="146" xfId="0" applyBorder="1" applyAlignment="1">
      <alignment horizontal="center" vertical="center"/>
    </xf>
    <xf numFmtId="0" fontId="0" fillId="0" borderId="39" xfId="0" applyBorder="1" applyAlignment="1">
      <alignment horizontal="left" vertical="top"/>
    </xf>
    <xf numFmtId="0" fontId="0" fillId="12" borderId="39" xfId="0" applyFill="1" applyBorder="1"/>
    <xf numFmtId="0" fontId="0" fillId="0" borderId="159" xfId="0" applyBorder="1" applyAlignment="1">
      <alignment horizontal="left" vertical="top"/>
    </xf>
    <xf numFmtId="0" fontId="53" fillId="13" borderId="19" xfId="0" applyFont="1" applyFill="1" applyBorder="1" applyAlignment="1">
      <alignment horizontal="center" vertical="center"/>
    </xf>
    <xf numFmtId="0" fontId="53" fillId="13" borderId="20" xfId="0" applyFont="1" applyFill="1" applyBorder="1" applyAlignment="1">
      <alignment horizontal="center" vertical="center"/>
    </xf>
    <xf numFmtId="0" fontId="53" fillId="13" borderId="138" xfId="0" applyFont="1" applyFill="1" applyBorder="1" applyAlignment="1">
      <alignment horizontal="center" vertical="center"/>
    </xf>
    <xf numFmtId="0" fontId="8" fillId="0" borderId="0" xfId="0" applyFont="1" applyBorder="1" applyAlignment="1"/>
    <xf numFmtId="0" fontId="8" fillId="0" borderId="0" xfId="0" applyFont="1" applyBorder="1" applyAlignment="1">
      <alignment horizontal="center"/>
    </xf>
    <xf numFmtId="0" fontId="19" fillId="14" borderId="0" xfId="0" applyFont="1" applyFill="1" applyBorder="1" applyAlignment="1">
      <alignment horizontal="left" vertical="center"/>
    </xf>
    <xf numFmtId="0" fontId="0" fillId="0" borderId="0" xfId="0" applyAlignment="1">
      <alignment horizontal="center"/>
    </xf>
    <xf numFmtId="0" fontId="19" fillId="14" borderId="0" xfId="0" applyFont="1" applyFill="1" applyBorder="1" applyAlignment="1">
      <alignment horizontal="left" vertical="top"/>
    </xf>
    <xf numFmtId="0" fontId="3" fillId="6" borderId="0" xfId="0" applyFont="1" applyFill="1" applyBorder="1" applyAlignment="1">
      <alignment horizontal="center" vertical="center"/>
    </xf>
    <xf numFmtId="0" fontId="3" fillId="11" borderId="8" xfId="0" applyFont="1" applyFill="1" applyBorder="1" applyAlignment="1">
      <alignment horizontal="center" vertical="center"/>
    </xf>
    <xf numFmtId="0" fontId="26" fillId="14" borderId="0" xfId="0" applyFont="1" applyFill="1" applyAlignment="1">
      <alignment horizontal="center" vertical="center"/>
    </xf>
    <xf numFmtId="0" fontId="23" fillId="9" borderId="73" xfId="0" applyFont="1" applyFill="1" applyBorder="1" applyAlignment="1">
      <alignment horizontal="center" vertical="center"/>
    </xf>
    <xf numFmtId="0" fontId="23" fillId="9" borderId="74" xfId="0" applyFont="1" applyFill="1" applyBorder="1" applyAlignment="1">
      <alignment horizontal="center" vertical="center"/>
    </xf>
    <xf numFmtId="0" fontId="0" fillId="31" borderId="0" xfId="0" applyFill="1" applyAlignment="1">
      <alignment horizontal="center"/>
    </xf>
    <xf numFmtId="0" fontId="55" fillId="0" borderId="102" xfId="0" applyFont="1" applyBorder="1" applyAlignment="1">
      <alignment wrapText="1"/>
    </xf>
    <xf numFmtId="0" fontId="55" fillId="0" borderId="82" xfId="0" applyFont="1" applyBorder="1" applyAlignment="1">
      <alignment wrapText="1"/>
    </xf>
    <xf numFmtId="0" fontId="41" fillId="32" borderId="148" xfId="0" applyFont="1" applyFill="1" applyBorder="1" applyAlignment="1">
      <alignment horizontal="center" vertical="center" wrapText="1"/>
    </xf>
    <xf numFmtId="0" fontId="41" fillId="32" borderId="130" xfId="0" applyFont="1" applyFill="1" applyBorder="1" applyAlignment="1">
      <alignment horizontal="center" vertical="center" wrapText="1"/>
    </xf>
    <xf numFmtId="0" fontId="41" fillId="32" borderId="131" xfId="0" applyFont="1" applyFill="1" applyBorder="1" applyAlignment="1">
      <alignment horizontal="center" vertical="center" wrapText="1"/>
    </xf>
    <xf numFmtId="0" fontId="41" fillId="0" borderId="21" xfId="0" applyFont="1" applyBorder="1" applyAlignment="1">
      <alignment horizontal="left" vertical="top"/>
    </xf>
    <xf numFmtId="0" fontId="41" fillId="0" borderId="108" xfId="0" applyFont="1" applyBorder="1" applyAlignment="1">
      <alignment horizontal="left" vertical="top"/>
    </xf>
    <xf numFmtId="0" fontId="41" fillId="0" borderId="22" xfId="0" applyFont="1" applyBorder="1" applyAlignment="1">
      <alignment horizontal="left" vertical="top"/>
    </xf>
    <xf numFmtId="0" fontId="41" fillId="0" borderId="25" xfId="0" applyFont="1" applyBorder="1" applyAlignment="1">
      <alignment horizontal="left" vertical="top"/>
    </xf>
    <xf numFmtId="0" fontId="41" fillId="0" borderId="35" xfId="0" applyFont="1" applyBorder="1" applyAlignment="1">
      <alignment horizontal="left" vertical="top"/>
    </xf>
    <xf numFmtId="0" fontId="41" fillId="0" borderId="26" xfId="0" applyFont="1" applyBorder="1" applyAlignment="1">
      <alignment horizontal="left" vertical="top"/>
    </xf>
    <xf numFmtId="0" fontId="55" fillId="0" borderId="0" xfId="0" applyFont="1" applyBorder="1" applyAlignment="1">
      <alignment wrapText="1" readingOrder="1"/>
    </xf>
    <xf numFmtId="0" fontId="8" fillId="0" borderId="0" xfId="0" applyFont="1" applyBorder="1" applyAlignment="1">
      <alignment horizontal="center"/>
    </xf>
    <xf numFmtId="0" fontId="8" fillId="0" borderId="82" xfId="0" applyFont="1" applyBorder="1" applyAlignment="1">
      <alignment horizontal="center"/>
    </xf>
    <xf numFmtId="0" fontId="8" fillId="0" borderId="0" xfId="0" applyFont="1" applyBorder="1" applyAlignment="1">
      <alignment wrapText="1" readingOrder="1"/>
    </xf>
    <xf numFmtId="0" fontId="8" fillId="0" borderId="82" xfId="0" applyFont="1" applyBorder="1" applyAlignment="1">
      <alignment wrapText="1"/>
    </xf>
    <xf numFmtId="0" fontId="8" fillId="0" borderId="0" xfId="0" applyFont="1" applyBorder="1" applyAlignment="1"/>
    <xf numFmtId="0" fontId="56" fillId="41" borderId="150" xfId="0" applyFont="1" applyFill="1" applyBorder="1" applyAlignment="1"/>
    <xf numFmtId="0" fontId="56" fillId="41" borderId="151" xfId="0" applyFont="1" applyFill="1" applyBorder="1" applyAlignment="1"/>
    <xf numFmtId="49" fontId="53" fillId="0" borderId="144" xfId="0" applyNumberFormat="1" applyFont="1" applyBorder="1" applyAlignment="1">
      <alignment horizontal="center" vertical="center"/>
    </xf>
    <xf numFmtId="49" fontId="53" fillId="0" borderId="17" xfId="0" applyNumberFormat="1" applyFont="1" applyBorder="1" applyAlignment="1">
      <alignment horizontal="center" vertical="center"/>
    </xf>
    <xf numFmtId="0" fontId="53" fillId="21" borderId="136" xfId="0" applyFont="1" applyFill="1" applyBorder="1" applyAlignment="1">
      <alignment horizontal="center" vertical="center"/>
    </xf>
    <xf numFmtId="0" fontId="53" fillId="21" borderId="101" xfId="0" applyFont="1" applyFill="1" applyBorder="1" applyAlignment="1">
      <alignment horizontal="center" vertical="center"/>
    </xf>
    <xf numFmtId="49" fontId="53" fillId="0" borderId="29" xfId="0" applyNumberFormat="1" applyFont="1" applyBorder="1" applyAlignment="1">
      <alignment horizontal="center" vertical="center"/>
    </xf>
    <xf numFmtId="49" fontId="53" fillId="0" borderId="16" xfId="0" applyNumberFormat="1" applyFont="1" applyBorder="1" applyAlignment="1">
      <alignment horizontal="center" vertical="center"/>
    </xf>
    <xf numFmtId="0" fontId="53" fillId="26" borderId="143" xfId="0" applyFont="1" applyFill="1" applyBorder="1" applyAlignment="1">
      <alignment horizontal="center" vertical="center"/>
    </xf>
    <xf numFmtId="0" fontId="53" fillId="26" borderId="17" xfId="0" applyFont="1" applyFill="1" applyBorder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35" fillId="25" borderId="102" xfId="0" applyFont="1" applyFill="1" applyBorder="1" applyAlignment="1">
      <alignment horizontal="left" wrapText="1"/>
    </xf>
    <xf numFmtId="0" fontId="35" fillId="25" borderId="0" xfId="0" applyFont="1" applyFill="1" applyAlignment="1">
      <alignment horizontal="left" wrapText="1"/>
    </xf>
    <xf numFmtId="0" fontId="33" fillId="0" borderId="0" xfId="0" applyFont="1" applyAlignment="1" applyProtection="1">
      <alignment horizontal="center" vertical="center" wrapText="1"/>
      <protection hidden="1"/>
    </xf>
    <xf numFmtId="0" fontId="0" fillId="31" borderId="29" xfId="0" applyFont="1" applyFill="1" applyBorder="1" applyAlignment="1">
      <alignment horizontal="center"/>
    </xf>
    <xf numFmtId="0" fontId="0" fillId="31" borderId="16" xfId="0" applyFont="1" applyFill="1" applyBorder="1" applyAlignment="1">
      <alignment horizontal="center"/>
    </xf>
    <xf numFmtId="0" fontId="39" fillId="32" borderId="21" xfId="0" applyFont="1" applyFill="1" applyBorder="1" applyAlignment="1">
      <alignment horizontal="center" wrapText="1"/>
    </xf>
    <xf numFmtId="0" fontId="39" fillId="32" borderId="22" xfId="0" applyFont="1" applyFill="1" applyBorder="1" applyAlignment="1">
      <alignment horizontal="center" wrapText="1"/>
    </xf>
    <xf numFmtId="0" fontId="30" fillId="0" borderId="0" xfId="1" applyBorder="1" applyAlignment="1">
      <alignment horizontal="center"/>
    </xf>
    <xf numFmtId="0" fontId="30" fillId="0" borderId="23" xfId="1" applyBorder="1" applyAlignment="1">
      <alignment horizontal="center"/>
    </xf>
    <xf numFmtId="0" fontId="30" fillId="0" borderId="24" xfId="1" applyBorder="1" applyAlignment="1">
      <alignment horizontal="center"/>
    </xf>
    <xf numFmtId="0" fontId="43" fillId="0" borderId="23" xfId="0" quotePrefix="1" applyFont="1" applyBorder="1" applyAlignment="1">
      <alignment horizontal="center" vertical="center" wrapText="1"/>
    </xf>
    <xf numFmtId="0" fontId="43" fillId="0" borderId="24" xfId="0" quotePrefix="1" applyFont="1" applyBorder="1" applyAlignment="1">
      <alignment horizontal="center" vertical="center" wrapText="1"/>
    </xf>
    <xf numFmtId="0" fontId="41" fillId="32" borderId="23" xfId="0" applyFont="1" applyFill="1" applyBorder="1" applyAlignment="1">
      <alignment horizontal="left" vertical="center" wrapText="1"/>
    </xf>
    <xf numFmtId="0" fontId="41" fillId="32" borderId="0" xfId="0" applyFont="1" applyFill="1" applyBorder="1" applyAlignment="1">
      <alignment horizontal="left" vertical="center" wrapText="1"/>
    </xf>
    <xf numFmtId="0" fontId="41" fillId="32" borderId="24" xfId="0" applyFont="1" applyFill="1" applyBorder="1" applyAlignment="1">
      <alignment horizontal="left" vertical="center" wrapText="1"/>
    </xf>
    <xf numFmtId="0" fontId="41" fillId="32" borderId="25" xfId="0" applyFont="1" applyFill="1" applyBorder="1" applyAlignment="1">
      <alignment horizontal="left" vertical="center" wrapText="1"/>
    </xf>
    <xf numFmtId="0" fontId="41" fillId="32" borderId="35" xfId="0" applyFont="1" applyFill="1" applyBorder="1" applyAlignment="1">
      <alignment horizontal="left" vertical="center" wrapText="1"/>
    </xf>
    <xf numFmtId="0" fontId="41" fillId="32" borderId="26" xfId="0" applyFont="1" applyFill="1" applyBorder="1" applyAlignment="1">
      <alignment horizontal="left" vertical="center" wrapText="1"/>
    </xf>
    <xf numFmtId="0" fontId="40" fillId="32" borderId="23" xfId="0" applyFont="1" applyFill="1" applyBorder="1" applyAlignment="1">
      <alignment horizontal="center" wrapText="1"/>
    </xf>
    <xf numFmtId="0" fontId="40" fillId="32" borderId="24" xfId="0" applyFont="1" applyFill="1" applyBorder="1" applyAlignment="1">
      <alignment horizontal="center" wrapText="1"/>
    </xf>
    <xf numFmtId="0" fontId="40" fillId="32" borderId="25" xfId="0" applyFont="1" applyFill="1" applyBorder="1" applyAlignment="1">
      <alignment horizontal="center" vertical="center" wrapText="1"/>
    </xf>
    <xf numFmtId="0" fontId="40" fillId="32" borderId="26" xfId="0" applyFont="1" applyFill="1" applyBorder="1" applyAlignment="1">
      <alignment horizontal="center" vertical="center" wrapText="1"/>
    </xf>
    <xf numFmtId="0" fontId="24" fillId="12" borderId="104" xfId="0" applyFont="1" applyFill="1" applyBorder="1" applyAlignment="1" applyProtection="1">
      <alignment horizontal="center"/>
      <protection locked="0"/>
    </xf>
    <xf numFmtId="0" fontId="24" fillId="12" borderId="126" xfId="0" applyFont="1" applyFill="1" applyBorder="1" applyAlignment="1" applyProtection="1">
      <alignment horizontal="center"/>
      <protection locked="0"/>
    </xf>
    <xf numFmtId="0" fontId="49" fillId="34" borderId="127" xfId="0" applyFont="1" applyFill="1" applyBorder="1" applyAlignment="1">
      <alignment horizontal="center"/>
    </xf>
    <xf numFmtId="0" fontId="49" fillId="34" borderId="6" xfId="0" applyFont="1" applyFill="1" applyBorder="1" applyAlignment="1">
      <alignment horizontal="center"/>
    </xf>
    <xf numFmtId="0" fontId="0" fillId="31" borderId="125" xfId="0" applyFont="1" applyFill="1" applyBorder="1" applyAlignment="1">
      <alignment horizontal="center"/>
    </xf>
    <xf numFmtId="0" fontId="0" fillId="31" borderId="0" xfId="0" applyFont="1" applyFill="1" applyBorder="1" applyAlignment="1">
      <alignment horizontal="center"/>
    </xf>
    <xf numFmtId="0" fontId="24" fillId="26" borderId="0" xfId="0" applyFont="1" applyFill="1" applyAlignment="1" applyProtection="1">
      <alignment horizontal="center"/>
      <protection locked="0"/>
    </xf>
    <xf numFmtId="0" fontId="53" fillId="13" borderId="18" xfId="0" applyFont="1" applyFill="1" applyBorder="1" applyAlignment="1">
      <alignment horizontal="center" vertical="center"/>
    </xf>
    <xf numFmtId="0" fontId="53" fillId="13" borderId="19" xfId="0" applyFont="1" applyFill="1" applyBorder="1" applyAlignment="1">
      <alignment horizontal="center" vertical="center"/>
    </xf>
    <xf numFmtId="0" fontId="53" fillId="13" borderId="20" xfId="0" applyFont="1" applyFill="1" applyBorder="1" applyAlignment="1">
      <alignment horizontal="center" vertical="center"/>
    </xf>
    <xf numFmtId="0" fontId="53" fillId="13" borderId="136" xfId="0" applyFont="1" applyFill="1" applyBorder="1" applyAlignment="1">
      <alignment horizontal="center" vertical="center"/>
    </xf>
    <xf numFmtId="0" fontId="53" fillId="13" borderId="137" xfId="0" applyFont="1" applyFill="1" applyBorder="1" applyAlignment="1">
      <alignment horizontal="center" vertical="center"/>
    </xf>
    <xf numFmtId="0" fontId="53" fillId="13" borderId="101" xfId="0" applyFont="1" applyFill="1" applyBorder="1" applyAlignment="1">
      <alignment horizontal="center" vertical="center"/>
    </xf>
    <xf numFmtId="0" fontId="53" fillId="39" borderId="138" xfId="0" applyFont="1" applyFill="1" applyBorder="1" applyAlignment="1">
      <alignment horizontal="center" vertical="center"/>
    </xf>
    <xf numFmtId="0" fontId="53" fillId="39" borderId="139" xfId="0" applyFont="1" applyFill="1" applyBorder="1" applyAlignment="1">
      <alignment horizontal="center" vertical="center"/>
    </xf>
    <xf numFmtId="0" fontId="53" fillId="39" borderId="140" xfId="0" applyFont="1" applyFill="1" applyBorder="1" applyAlignment="1">
      <alignment horizontal="center" vertical="center"/>
    </xf>
    <xf numFmtId="0" fontId="50" fillId="24" borderId="129" xfId="0" applyFont="1" applyFill="1" applyBorder="1" applyAlignment="1">
      <alignment horizontal="center"/>
    </xf>
    <xf numFmtId="0" fontId="50" fillId="24" borderId="130" xfId="0" applyFont="1" applyFill="1" applyBorder="1" applyAlignment="1">
      <alignment horizontal="center"/>
    </xf>
    <xf numFmtId="0" fontId="50" fillId="24" borderId="131" xfId="0" applyFont="1" applyFill="1" applyBorder="1" applyAlignment="1">
      <alignment horizontal="center"/>
    </xf>
    <xf numFmtId="0" fontId="53" fillId="13" borderId="138" xfId="0" applyFont="1" applyFill="1" applyBorder="1" applyAlignment="1">
      <alignment horizontal="center" vertical="center"/>
    </xf>
    <xf numFmtId="0" fontId="53" fillId="13" borderId="141" xfId="0" applyFont="1" applyFill="1" applyBorder="1" applyAlignment="1">
      <alignment horizontal="center" vertical="center"/>
    </xf>
    <xf numFmtId="0" fontId="53" fillId="13" borderId="142" xfId="0" applyFont="1" applyFill="1" applyBorder="1" applyAlignment="1">
      <alignment horizontal="center" vertical="center"/>
    </xf>
    <xf numFmtId="0" fontId="53" fillId="13" borderId="0" xfId="0" applyFont="1" applyFill="1" applyAlignment="1">
      <alignment horizontal="center" vertical="center"/>
    </xf>
    <xf numFmtId="0" fontId="53" fillId="13" borderId="103" xfId="0" applyFont="1" applyFill="1" applyBorder="1" applyAlignment="1">
      <alignment horizontal="center" vertical="center"/>
    </xf>
    <xf numFmtId="0" fontId="56" fillId="43" borderId="150" xfId="0" applyFont="1" applyFill="1" applyBorder="1" applyAlignment="1"/>
    <xf numFmtId="0" fontId="56" fillId="43" borderId="151" xfId="0" applyFont="1" applyFill="1" applyBorder="1" applyAlignment="1"/>
    <xf numFmtId="0" fontId="19" fillId="14" borderId="0" xfId="0" applyFont="1" applyFill="1" applyBorder="1" applyAlignment="1">
      <alignment horizontal="center" vertical="center"/>
    </xf>
    <xf numFmtId="0" fontId="19" fillId="14" borderId="0" xfId="0" applyFont="1" applyFill="1" applyBorder="1" applyAlignment="1">
      <alignment horizontal="left" vertical="center"/>
    </xf>
    <xf numFmtId="0" fontId="21" fillId="48" borderId="146" xfId="0" applyFont="1" applyFill="1" applyBorder="1" applyAlignment="1">
      <alignment horizontal="center" vertical="center" wrapText="1"/>
    </xf>
    <xf numFmtId="0" fontId="21" fillId="48" borderId="147" xfId="0" applyFont="1" applyFill="1" applyBorder="1" applyAlignment="1">
      <alignment horizontal="center" vertical="center" wrapText="1"/>
    </xf>
    <xf numFmtId="0" fontId="21" fillId="48" borderId="40" xfId="0" applyFont="1" applyFill="1" applyBorder="1" applyAlignment="1">
      <alignment horizontal="center" vertical="center" wrapText="1"/>
    </xf>
    <xf numFmtId="0" fontId="64" fillId="14" borderId="0" xfId="0" applyFont="1" applyFill="1" applyBorder="1" applyAlignment="1">
      <alignment horizontal="center" vertical="center"/>
    </xf>
    <xf numFmtId="0" fontId="17" fillId="24" borderId="34" xfId="0" applyFont="1" applyFill="1" applyBorder="1" applyAlignment="1">
      <alignment horizontal="center"/>
    </xf>
    <xf numFmtId="0" fontId="17" fillId="24" borderId="35" xfId="0" applyFont="1" applyFill="1" applyBorder="1" applyAlignment="1">
      <alignment horizontal="center"/>
    </xf>
    <xf numFmtId="170" fontId="5" fillId="22" borderId="32" xfId="0" applyNumberFormat="1" applyFont="1" applyFill="1" applyBorder="1" applyAlignment="1">
      <alignment horizontal="center" vertical="center"/>
    </xf>
    <xf numFmtId="170" fontId="5" fillId="22" borderId="33" xfId="0" applyNumberFormat="1" applyFont="1" applyFill="1" applyBorder="1" applyAlignment="1">
      <alignment horizontal="center" vertical="center"/>
    </xf>
    <xf numFmtId="0" fontId="5" fillId="17" borderId="12" xfId="0" applyFont="1" applyFill="1" applyBorder="1" applyAlignment="1">
      <alignment horizontal="center" vertical="center"/>
    </xf>
    <xf numFmtId="0" fontId="5" fillId="17" borderId="13" xfId="0" applyFont="1" applyFill="1" applyBorder="1" applyAlignment="1">
      <alignment horizontal="center" vertical="center"/>
    </xf>
    <xf numFmtId="0" fontId="5" fillId="17" borderId="14" xfId="0" applyFont="1" applyFill="1" applyBorder="1" applyAlignment="1">
      <alignment horizontal="center" vertical="center"/>
    </xf>
    <xf numFmtId="0" fontId="1" fillId="13" borderId="18" xfId="0" applyFont="1" applyFill="1" applyBorder="1" applyAlignment="1">
      <alignment horizontal="center" vertical="center"/>
    </xf>
    <xf numFmtId="0" fontId="1" fillId="13" borderId="19" xfId="0" applyFont="1" applyFill="1" applyBorder="1" applyAlignment="1">
      <alignment horizontal="center" vertical="center"/>
    </xf>
    <xf numFmtId="0" fontId="1" fillId="13" borderId="20" xfId="0" applyFont="1" applyFill="1" applyBorder="1" applyAlignment="1">
      <alignment horizontal="center" vertical="center"/>
    </xf>
    <xf numFmtId="0" fontId="1" fillId="22" borderId="6" xfId="0" applyFont="1" applyFill="1" applyBorder="1" applyAlignment="1">
      <alignment horizontal="center" vertical="center"/>
    </xf>
    <xf numFmtId="0" fontId="1" fillId="22" borderId="1" xfId="0" applyFont="1" applyFill="1" applyBorder="1" applyAlignment="1">
      <alignment horizontal="center" vertical="center"/>
    </xf>
    <xf numFmtId="0" fontId="1" fillId="21" borderId="0" xfId="0" applyFont="1" applyFill="1" applyBorder="1" applyAlignment="1">
      <alignment horizontal="center" vertical="center"/>
    </xf>
    <xf numFmtId="0" fontId="0" fillId="0" borderId="0" xfId="0" applyAlignment="1">
      <alignment horizontal="center"/>
    </xf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70">
    <dxf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numFmt numFmtId="19" formatCode="m/d/yyyy"/>
      <alignment horizontal="center" vertical="bottom" textRotation="0" wrapText="0" indent="0" justifyLastLine="0" shrinkToFit="0" readingOrder="0"/>
      <border diagonalUp="0" diagonalDown="0">
        <left style="thin">
          <color rgb="FF0FF71A"/>
        </left>
        <right style="thin">
          <color rgb="FF0FF71A"/>
        </right>
        <top style="thin">
          <color rgb="FF0FF71A"/>
        </top>
        <bottom style="thin">
          <color rgb="FF0FF71A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numFmt numFmtId="19" formatCode="m/d/yyyy"/>
      <alignment horizontal="center" vertical="bottom" textRotation="0" wrapText="0" indent="0" justifyLastLine="0" shrinkToFit="0" readingOrder="0"/>
      <border diagonalUp="0" diagonalDown="0">
        <left style="thin">
          <color rgb="FF0FF71A"/>
        </left>
        <right style="thin">
          <color rgb="FF0FF71A"/>
        </right>
        <top style="thin">
          <color rgb="FF0FF71A"/>
        </top>
        <bottom style="thin">
          <color rgb="FF0FF71A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numFmt numFmtId="172" formatCode="_ [$₹-439]* #,##0_ ;_ [$₹-439]* \-#,##0_ ;_ [$₹-439]* &quot;-&quot;_ ;_ @_ "/>
      <alignment horizontal="center" vertical="bottom" textRotation="0" wrapText="0" indent="0" justifyLastLine="0" shrinkToFit="0" readingOrder="0"/>
      <border diagonalUp="0" diagonalDown="0">
        <left style="thin">
          <color rgb="FF0FF71A"/>
        </left>
        <right style="thin">
          <color rgb="FF0FF71A"/>
        </right>
        <top style="thin">
          <color rgb="FF0FF71A"/>
        </top>
        <bottom style="thin">
          <color rgb="FF0FF71A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rgb="FF0FF71A"/>
        </left>
        <right style="thin">
          <color rgb="FF0FF71A"/>
        </right>
        <top style="thin">
          <color rgb="FF0FF71A"/>
        </top>
        <bottom style="thin">
          <color rgb="FF0FF71A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rgb="FF0FF71A"/>
        </left>
        <right style="thin">
          <color rgb="FF0FF71A"/>
        </right>
        <top style="thin">
          <color rgb="FF0FF71A"/>
        </top>
        <bottom style="thin">
          <color rgb="FF0FF71A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rgb="FF0FF71A"/>
        </left>
        <right style="thin">
          <color rgb="FF0FF71A"/>
        </right>
        <top style="thin">
          <color rgb="FF0FF71A"/>
        </top>
        <bottom style="thin">
          <color rgb="FF0FF71A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rgb="FF0FF71A"/>
        </left>
        <right style="thin">
          <color rgb="FF0FF71A"/>
        </right>
        <top style="thin">
          <color rgb="FF0FF71A"/>
        </top>
        <bottom style="thin">
          <color rgb="FF0FF71A"/>
        </bottom>
        <vertical/>
        <horizontal/>
      </border>
    </dxf>
    <dxf>
      <border outline="0">
        <top style="thin">
          <color theme="1"/>
        </top>
        <bottom style="thin">
          <color rgb="FF0FF71A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FF0000"/>
        <name val="Aptos Narrow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1"/>
        </left>
        <right style="thin">
          <color theme="1"/>
        </right>
        <top/>
        <bottom/>
      </border>
    </dxf>
    <dxf>
      <font>
        <color rgb="FF9C5700"/>
      </font>
      <fill>
        <patternFill>
          <bgColor rgb="FFFFEB9C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numFmt numFmtId="19" formatCode="m/d/yyyy"/>
      <alignment horizontal="center" vertical="bottom" textRotation="0" wrapText="0" indent="0" justifyLastLine="0" shrinkToFit="0" readingOrder="0"/>
      <border diagonalUp="0" diagonalDown="0">
        <left style="thin">
          <color rgb="FF0FF71A"/>
        </left>
        <right style="thin">
          <color rgb="FF0FF71A"/>
        </right>
        <top style="thin">
          <color rgb="FF0FF71A"/>
        </top>
        <bottom style="thin">
          <color rgb="FF0FF71A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numFmt numFmtId="19" formatCode="m/d/yyyy"/>
      <alignment horizontal="center" vertical="bottom" textRotation="0" wrapText="0" indent="0" justifyLastLine="0" shrinkToFit="0" readingOrder="0"/>
      <border diagonalUp="0" diagonalDown="0">
        <left style="thin">
          <color rgb="FF0FF71A"/>
        </left>
        <right style="thin">
          <color rgb="FF0FF71A"/>
        </right>
        <top style="thin">
          <color rgb="FF0FF71A"/>
        </top>
        <bottom style="thin">
          <color rgb="FF0FF71A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numFmt numFmtId="172" formatCode="_ [$₹-439]* #,##0_ ;_ [$₹-439]* \-#,##0_ ;_ [$₹-439]* &quot;-&quot;_ ;_ @_ "/>
      <alignment horizontal="center" vertical="bottom" textRotation="0" wrapText="0" indent="0" justifyLastLine="0" shrinkToFit="0" readingOrder="0"/>
      <border diagonalUp="0" diagonalDown="0">
        <left style="thin">
          <color rgb="FF0FF71A"/>
        </left>
        <right style="thin">
          <color rgb="FF0FF71A"/>
        </right>
        <top style="thin">
          <color rgb="FF0FF71A"/>
        </top>
        <bottom style="thin">
          <color rgb="FF0FF71A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rgb="FF0FF71A"/>
        </left>
        <right style="thin">
          <color rgb="FF0FF71A"/>
        </right>
        <top style="thin">
          <color rgb="FF0FF71A"/>
        </top>
        <bottom style="thin">
          <color rgb="FF0FF71A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rgb="FF0FF71A"/>
        </left>
        <right style="thin">
          <color rgb="FF0FF71A"/>
        </right>
        <top style="thin">
          <color rgb="FF0FF71A"/>
        </top>
        <bottom style="thin">
          <color rgb="FF0FF71A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rgb="FF0FF71A"/>
        </left>
        <right style="thin">
          <color rgb="FF0FF71A"/>
        </right>
        <top style="thin">
          <color rgb="FF0FF71A"/>
        </top>
        <bottom style="thin">
          <color rgb="FF0FF71A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rgb="FF0FF71A"/>
        </left>
        <right style="thin">
          <color rgb="FF0FF71A"/>
        </right>
        <top style="thin">
          <color rgb="FF0FF71A"/>
        </top>
        <bottom style="thin">
          <color rgb="FF0FF71A"/>
        </bottom>
        <vertical/>
        <horizontal/>
      </border>
    </dxf>
    <dxf>
      <border outline="0">
        <top style="thin">
          <color theme="1"/>
        </top>
        <bottom style="thin">
          <color rgb="FF0FF71A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FF0000"/>
        <name val="Aptos Narrow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1"/>
        </left>
        <right style="thin">
          <color theme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Calibri"/>
        <family val="2"/>
        <scheme val="none"/>
      </font>
      <fill>
        <patternFill patternType="solid">
          <fgColor rgb="FF000000"/>
          <bgColor rgb="FFDAEEF3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Calibri"/>
        <family val="2"/>
        <scheme val="none"/>
      </font>
      <fill>
        <patternFill patternType="solid">
          <fgColor rgb="FF000000"/>
          <bgColor rgb="FFDAEEF3"/>
        </patternFill>
      </fill>
      <alignment horizontal="general" vertical="bottom" textRotation="0" wrapText="0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Calibri"/>
        <family val="2"/>
        <scheme val="none"/>
      </font>
      <fill>
        <patternFill patternType="solid">
          <fgColor rgb="FF000000"/>
          <bgColor rgb="FFDAEEF3"/>
        </patternFill>
      </fill>
      <alignment horizontal="general" vertical="bottom" textRotation="0" wrapText="0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Calibri"/>
        <family val="2"/>
        <scheme val="none"/>
      </font>
      <fill>
        <patternFill patternType="solid">
          <fgColor rgb="FF000000"/>
          <bgColor rgb="FFDAEEF3"/>
        </patternFill>
      </fill>
      <alignment horizontal="general" vertical="bottom" textRotation="0" wrapText="0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Calibri"/>
        <family val="2"/>
        <scheme val="none"/>
      </font>
      <fill>
        <patternFill patternType="solid">
          <fgColor rgb="FF000000"/>
          <bgColor rgb="FFDAEEF3"/>
        </patternFill>
      </fill>
      <alignment horizontal="general" vertical="bottom" textRotation="0" wrapText="0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Calibri"/>
        <family val="2"/>
        <scheme val="none"/>
      </font>
      <fill>
        <patternFill patternType="solid">
          <fgColor rgb="FF000000"/>
          <bgColor rgb="FFDAEEF3"/>
        </patternFill>
      </fill>
      <alignment horizontal="general" vertical="bottom" textRotation="0" wrapText="0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Calibri"/>
        <family val="2"/>
        <scheme val="none"/>
      </font>
      <numFmt numFmtId="19" formatCode="m/d/yyyy"/>
      <fill>
        <patternFill patternType="solid">
          <fgColor rgb="FF000000"/>
          <bgColor rgb="FFDAEEF3"/>
        </patternFill>
      </fill>
      <alignment horizontal="general" vertical="bottom" textRotation="0" wrapText="0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Calibri"/>
        <family val="2"/>
        <scheme val="none"/>
      </font>
      <fill>
        <patternFill patternType="solid">
          <fgColor rgb="FF000000"/>
          <bgColor rgb="FFDAEEF3"/>
        </patternFill>
      </fill>
      <alignment horizontal="general" vertical="bottom" textRotation="0" wrapText="0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Calibri"/>
        <family val="2"/>
        <scheme val="none"/>
      </font>
      <fill>
        <patternFill patternType="solid">
          <fgColor rgb="FF000000"/>
          <bgColor rgb="FFDAEEF3"/>
        </patternFill>
      </fill>
      <alignment horizontal="general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Calibri"/>
        <family val="2"/>
        <scheme val="none"/>
      </font>
      <fill>
        <patternFill patternType="solid">
          <fgColor rgb="FF000000"/>
          <bgColor rgb="FFDAEEF3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rgb="FFFFFFFF"/>
        <name val="Calibri"/>
        <family val="2"/>
        <scheme val="none"/>
      </font>
      <fill>
        <patternFill patternType="solid">
          <fgColor rgb="FF000000"/>
          <bgColor rgb="FFEF255F"/>
        </patternFill>
      </fill>
      <alignment horizontal="general" vertical="bottom" textRotation="0" wrapText="0" indent="0" justifyLastLine="0" shrinkToFit="0" readingOrder="0"/>
    </dxf>
    <dxf>
      <font>
        <color rgb="FF9C5700"/>
      </font>
      <fill>
        <patternFill>
          <bgColor rgb="FFFFEB9C"/>
        </patternFill>
      </fill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0FF71A"/>
        </left>
        <right style="thin">
          <color rgb="FF0FF71A"/>
        </right>
        <top style="thin">
          <color rgb="FF0FF71A"/>
        </top>
        <bottom style="thin">
          <color rgb="FF0FF71A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alignment horizontal="center"/>
    </dxf>
    <dxf>
      <alignment vertical="center"/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alignment horizontal="center"/>
    </dxf>
    <dxf>
      <alignment vertical="center"/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</dxfs>
  <tableStyles count="0" defaultTableStyle="TableStyleMedium2" defaultPivotStyle="PivotStyleMedium9"/>
  <colors>
    <mruColors>
      <color rgb="FF0FF71A"/>
      <color rgb="FF82FF05"/>
      <color rgb="FF05F2DE"/>
      <color rgb="FFE3E63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1.xml"/><Relationship Id="rId18" Type="http://schemas.microsoft.com/office/2007/relationships/slicerCache" Target="slicerCaches/slicerCache6.xml"/><Relationship Id="rId26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microsoft.com/office/2007/relationships/slicerCache" Target="slicerCaches/slicerCache5.xml"/><Relationship Id="rId25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microsoft.com/office/2007/relationships/slicerCache" Target="slicerCaches/slicerCache4.xml"/><Relationship Id="rId20" Type="http://schemas.openxmlformats.org/officeDocument/2006/relationships/theme" Target="theme/theme1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20/07/relationships/rdRichValueWebImage" Target="richData/rdRichValueWebImage.xml"/><Relationship Id="rId5" Type="http://schemas.openxmlformats.org/officeDocument/2006/relationships/worksheet" Target="worksheets/sheet5.xml"/><Relationship Id="rId15" Type="http://schemas.microsoft.com/office/2007/relationships/slicerCache" Target="slicerCaches/slicerCache3.xml"/><Relationship Id="rId23" Type="http://schemas.openxmlformats.org/officeDocument/2006/relationships/sheetMetadata" Target="metadata.xml"/><Relationship Id="rId28" Type="http://schemas.microsoft.com/office/2022/11/relationships/FeaturePropertyBag" Target="featurePropertyBag/featurePropertyBag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2.xml"/><Relationship Id="rId22" Type="http://schemas.openxmlformats.org/officeDocument/2006/relationships/sharedStrings" Target="sharedStrings.xml"/><Relationship Id="rId27" Type="http://schemas.microsoft.com/office/2017/06/relationships/rdRichValueTypes" Target="richData/rdRichValueTyp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'Finance_&amp;_Accounting'!$G$7</c:f>
              <c:strCache>
                <c:ptCount val="1"/>
                <c:pt idx="0">
                  <c:v>MONTHS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114-4239-9CAE-57E15BDA387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114-4239-9CAE-57E15BDA387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114-4239-9CAE-57E15BDA387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114-4239-9CAE-57E15BDA387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114-4239-9CAE-57E15BDA387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A114-4239-9CAE-57E15BDA387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A114-4239-9CAE-57E15BDA3873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A114-4239-9CAE-57E15BDA3873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A114-4239-9CAE-57E15BDA3873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A114-4239-9CAE-57E15BDA3873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A114-4239-9CAE-57E15BDA3873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A114-4239-9CAE-57E15BDA3873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A114-4239-9CAE-57E15BDA3873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A114-4239-9CAE-57E15BDA3873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A114-4239-9CAE-57E15BDA3873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A114-4239-9CAE-57E15BDA3873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A114-4239-9CAE-57E15BDA3873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A114-4239-9CAE-57E15BDA3873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A114-4239-9CAE-57E15BDA3873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A114-4239-9CAE-57E15BDA3873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A114-4239-9CAE-57E15BDA3873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A114-4239-9CAE-57E15BDA3873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A114-4239-9CAE-57E15BDA3873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A114-4239-9CAE-57E15BDA3873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A114-4239-9CAE-57E15BDA3873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A114-4239-9CAE-57E15BDA3873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A114-4239-9CAE-57E15BDA3873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A114-4239-9CAE-57E15BDA3873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A114-4239-9CAE-57E15BDA3873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A114-4239-9CAE-57E15BDA3873}"/>
              </c:ext>
            </c:extLst>
          </c:dPt>
          <c:val>
            <c:numRef>
              <c:f>'Finance_&amp;_Accounting'!$G$8:$G$37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B7-4AAF-BFB6-10F9F8C55C82}"/>
            </c:ext>
          </c:extLst>
        </c:ser>
        <c:ser>
          <c:idx val="1"/>
          <c:order val="1"/>
          <c:tx>
            <c:strRef>
              <c:f>'Finance_&amp;_Accounting'!$H$7</c:f>
              <c:strCache>
                <c:ptCount val="1"/>
                <c:pt idx="0">
                  <c:v>PPMT (Principal Amount )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A114-4239-9CAE-57E15BDA387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A114-4239-9CAE-57E15BDA387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A114-4239-9CAE-57E15BDA387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A114-4239-9CAE-57E15BDA387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A114-4239-9CAE-57E15BDA387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A114-4239-9CAE-57E15BDA387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A114-4239-9CAE-57E15BDA3873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A114-4239-9CAE-57E15BDA3873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A114-4239-9CAE-57E15BDA3873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A114-4239-9CAE-57E15BDA3873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A114-4239-9CAE-57E15BDA3873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A114-4239-9CAE-57E15BDA3873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A114-4239-9CAE-57E15BDA3873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A114-4239-9CAE-57E15BDA3873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A114-4239-9CAE-57E15BDA3873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A114-4239-9CAE-57E15BDA3873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A114-4239-9CAE-57E15BDA3873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A114-4239-9CAE-57E15BDA3873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A114-4239-9CAE-57E15BDA3873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A114-4239-9CAE-57E15BDA3873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A114-4239-9CAE-57E15BDA3873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A114-4239-9CAE-57E15BDA3873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A114-4239-9CAE-57E15BDA3873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A114-4239-9CAE-57E15BDA3873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A114-4239-9CAE-57E15BDA3873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A114-4239-9CAE-57E15BDA3873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A114-4239-9CAE-57E15BDA3873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A114-4239-9CAE-57E15BDA3873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5-A114-4239-9CAE-57E15BDA3873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7-A114-4239-9CAE-57E15BDA3873}"/>
              </c:ext>
            </c:extLst>
          </c:dPt>
          <c:val>
            <c:numRef>
              <c:f>'Finance_&amp;_Accounting'!$H$8:$H$37</c:f>
              <c:numCache>
                <c:formatCode>[$Rs.-4009]\ #,##0;[Red][$Rs.-4009]\ \-#,##0</c:formatCode>
                <c:ptCount val="30"/>
                <c:pt idx="0">
                  <c:v>2947.8076836213072</c:v>
                </c:pt>
                <c:pt idx="1">
                  <c:v>2972.3727476514846</c:v>
                </c:pt>
                <c:pt idx="2">
                  <c:v>2997.1425205485803</c:v>
                </c:pt>
                <c:pt idx="3">
                  <c:v>3022.1187082198185</c:v>
                </c:pt>
                <c:pt idx="4">
                  <c:v>3047.3030307883168</c:v>
                </c:pt>
                <c:pt idx="5">
                  <c:v>3072.697222711553</c:v>
                </c:pt>
                <c:pt idx="6">
                  <c:v>3098.3030329008161</c:v>
                </c:pt>
                <c:pt idx="7">
                  <c:v>3124.1222248416557</c:v>
                </c:pt>
                <c:pt idx="8">
                  <c:v>3150.1565767153365</c:v>
                </c:pt>
                <c:pt idx="9">
                  <c:v>3176.4078815212979</c:v>
                </c:pt>
                <c:pt idx="10">
                  <c:v>3202.8779472006422</c:v>
                </c:pt>
                <c:pt idx="11">
                  <c:v>3229.5685967606469</c:v>
                </c:pt>
                <c:pt idx="12">
                  <c:v>3256.481668400319</c:v>
                </c:pt>
                <c:pt idx="13">
                  <c:v>3283.6190156369885</c:v>
                </c:pt>
                <c:pt idx="14">
                  <c:v>3310.9825074339633</c:v>
                </c:pt>
                <c:pt idx="15">
                  <c:v>3338.5740283292466</c:v>
                </c:pt>
                <c:pt idx="16">
                  <c:v>3366.3954785653236</c:v>
                </c:pt>
                <c:pt idx="17">
                  <c:v>3394.4487742200345</c:v>
                </c:pt>
                <c:pt idx="18">
                  <c:v>3422.7358473385348</c:v>
                </c:pt>
                <c:pt idx="19">
                  <c:v>3451.2586460663556</c:v>
                </c:pt>
                <c:pt idx="20">
                  <c:v>3480.0191347835753</c:v>
                </c:pt>
                <c:pt idx="21">
                  <c:v>3509.0192942401054</c:v>
                </c:pt>
                <c:pt idx="22">
                  <c:v>3538.2611216921064</c:v>
                </c:pt>
                <c:pt idx="23">
                  <c:v>3567.7466310395403</c:v>
                </c:pt>
                <c:pt idx="24">
                  <c:v>3597.4778529648697</c:v>
                </c:pt>
                <c:pt idx="25">
                  <c:v>3627.4568350729105</c:v>
                </c:pt>
                <c:pt idx="26">
                  <c:v>3657.6856420318513</c:v>
                </c:pt>
                <c:pt idx="27">
                  <c:v>3688.1663557154502</c:v>
                </c:pt>
                <c:pt idx="28">
                  <c:v>3718.9010753464122</c:v>
                </c:pt>
                <c:pt idx="29">
                  <c:v>3749.8919176409659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BB7-4AAF-BFB6-10F9F8C55C82}"/>
            </c:ext>
          </c:extLst>
        </c:ser>
        <c:ser>
          <c:idx val="2"/>
          <c:order val="2"/>
          <c:tx>
            <c:strRef>
              <c:f>'Finance_&amp;_Accounting'!$I$7</c:f>
              <c:strCache>
                <c:ptCount val="1"/>
                <c:pt idx="0">
                  <c:v>IPMT (Interest Amount)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9-A114-4239-9CAE-57E15BDA387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B-A114-4239-9CAE-57E15BDA387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D-A114-4239-9CAE-57E15BDA387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F-A114-4239-9CAE-57E15BDA387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1-A114-4239-9CAE-57E15BDA387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3-A114-4239-9CAE-57E15BDA387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5-A114-4239-9CAE-57E15BDA3873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7-A114-4239-9CAE-57E15BDA3873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9-A114-4239-9CAE-57E15BDA3873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B-A114-4239-9CAE-57E15BDA3873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D-A114-4239-9CAE-57E15BDA3873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F-A114-4239-9CAE-57E15BDA3873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1-A114-4239-9CAE-57E15BDA3873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3-A114-4239-9CAE-57E15BDA3873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5-A114-4239-9CAE-57E15BDA3873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7-A114-4239-9CAE-57E15BDA3873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9-A114-4239-9CAE-57E15BDA3873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B-A114-4239-9CAE-57E15BDA3873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D-A114-4239-9CAE-57E15BDA3873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F-A114-4239-9CAE-57E15BDA3873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1-A114-4239-9CAE-57E15BDA3873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3-A114-4239-9CAE-57E15BDA3873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5-A114-4239-9CAE-57E15BDA3873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7-A114-4239-9CAE-57E15BDA3873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9-A114-4239-9CAE-57E15BDA3873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B-A114-4239-9CAE-57E15BDA3873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D-A114-4239-9CAE-57E15BDA3873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F-A114-4239-9CAE-57E15BDA3873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1-A114-4239-9CAE-57E15BDA3873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3-A114-4239-9CAE-57E15BDA3873}"/>
              </c:ext>
            </c:extLst>
          </c:dPt>
          <c:val>
            <c:numRef>
              <c:f>'Finance_&amp;_Accounting'!$I$8:$I$37</c:f>
              <c:numCache>
                <c:formatCode>[$Rs.-4009]\ #,##0;[Red][$Rs.-4009]\ \-#,##0</c:formatCode>
                <c:ptCount val="30"/>
                <c:pt idx="0">
                  <c:v>833.33333333333337</c:v>
                </c:pt>
                <c:pt idx="1">
                  <c:v>808.76826930315588</c:v>
                </c:pt>
                <c:pt idx="2">
                  <c:v>783.9984964060601</c:v>
                </c:pt>
                <c:pt idx="3">
                  <c:v>759.02230873482199</c:v>
                </c:pt>
                <c:pt idx="4">
                  <c:v>733.8379861663235</c:v>
                </c:pt>
                <c:pt idx="5">
                  <c:v>708.4437942430875</c:v>
                </c:pt>
                <c:pt idx="6">
                  <c:v>682.83798405382447</c:v>
                </c:pt>
                <c:pt idx="7">
                  <c:v>657.01879211298433</c:v>
                </c:pt>
                <c:pt idx="8">
                  <c:v>630.98444023930392</c:v>
                </c:pt>
                <c:pt idx="9">
                  <c:v>604.7331354333428</c:v>
                </c:pt>
                <c:pt idx="10">
                  <c:v>578.26306975399871</c:v>
                </c:pt>
                <c:pt idx="11">
                  <c:v>551.57242019399325</c:v>
                </c:pt>
                <c:pt idx="12">
                  <c:v>524.65934855432124</c:v>
                </c:pt>
                <c:pt idx="13">
                  <c:v>497.52200131765193</c:v>
                </c:pt>
                <c:pt idx="14">
                  <c:v>470.158509520677</c:v>
                </c:pt>
                <c:pt idx="15">
                  <c:v>442.566988625394</c:v>
                </c:pt>
                <c:pt idx="16">
                  <c:v>414.74553838931689</c:v>
                </c:pt>
                <c:pt idx="17">
                  <c:v>386.69224273460594</c:v>
                </c:pt>
                <c:pt idx="18">
                  <c:v>358.40516961610564</c:v>
                </c:pt>
                <c:pt idx="19">
                  <c:v>329.88237088828453</c:v>
                </c:pt>
                <c:pt idx="20">
                  <c:v>301.1218821710649</c:v>
                </c:pt>
                <c:pt idx="21">
                  <c:v>272.12172271453511</c:v>
                </c:pt>
                <c:pt idx="22">
                  <c:v>242.87989526253421</c:v>
                </c:pt>
                <c:pt idx="23">
                  <c:v>213.39438591509997</c:v>
                </c:pt>
                <c:pt idx="24">
                  <c:v>183.66316398977048</c:v>
                </c:pt>
                <c:pt idx="25">
                  <c:v>153.6841818817299</c:v>
                </c:pt>
                <c:pt idx="26">
                  <c:v>123.45537492278898</c:v>
                </c:pt>
                <c:pt idx="27">
                  <c:v>92.974661239190226</c:v>
                </c:pt>
                <c:pt idx="28">
                  <c:v>62.239941608228143</c:v>
                </c:pt>
                <c:pt idx="29">
                  <c:v>31.249099313674716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BB7-4AAF-BFB6-10F9F8C55C82}"/>
            </c:ext>
          </c:extLst>
        </c:ser>
        <c:ser>
          <c:idx val="3"/>
          <c:order val="3"/>
          <c:tx>
            <c:strRef>
              <c:f>'Finance_&amp;_Accounting'!$J$7</c:f>
              <c:strCache>
                <c:ptCount val="1"/>
                <c:pt idx="0">
                  <c:v>PMT/EMI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5-A114-4239-9CAE-57E15BDA387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7-A114-4239-9CAE-57E15BDA387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9-A114-4239-9CAE-57E15BDA387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B-A114-4239-9CAE-57E15BDA387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D-A114-4239-9CAE-57E15BDA387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F-A114-4239-9CAE-57E15BDA387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1-A114-4239-9CAE-57E15BDA3873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3-A114-4239-9CAE-57E15BDA3873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5-A114-4239-9CAE-57E15BDA3873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7-A114-4239-9CAE-57E15BDA3873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9-A114-4239-9CAE-57E15BDA3873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B-A114-4239-9CAE-57E15BDA3873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D-A114-4239-9CAE-57E15BDA3873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F-A114-4239-9CAE-57E15BDA3873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1-A114-4239-9CAE-57E15BDA3873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3-A114-4239-9CAE-57E15BDA3873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5-A114-4239-9CAE-57E15BDA3873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7-A114-4239-9CAE-57E15BDA3873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9-A114-4239-9CAE-57E15BDA3873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B-A114-4239-9CAE-57E15BDA3873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D-A114-4239-9CAE-57E15BDA3873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F-A114-4239-9CAE-57E15BDA3873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1-A114-4239-9CAE-57E15BDA3873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3-A114-4239-9CAE-57E15BDA3873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5-A114-4239-9CAE-57E15BDA3873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7-A114-4239-9CAE-57E15BDA3873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9-A114-4239-9CAE-57E15BDA3873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B-A114-4239-9CAE-57E15BDA3873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D-A114-4239-9CAE-57E15BDA3873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F-A114-4239-9CAE-57E15BDA3873}"/>
              </c:ext>
            </c:extLst>
          </c:dPt>
          <c:val>
            <c:numRef>
              <c:f>'Finance_&amp;_Accounting'!$J$8:$J$37</c:f>
              <c:numCache>
                <c:formatCode>[$Rs.-4009]\ #,##0;[Red][$Rs.-4009]\ \-#,##0</c:formatCode>
                <c:ptCount val="30"/>
                <c:pt idx="0">
                  <c:v>3781.1410169546407</c:v>
                </c:pt>
                <c:pt idx="1">
                  <c:v>3781.1410169546407</c:v>
                </c:pt>
                <c:pt idx="2">
                  <c:v>3781.1410169546402</c:v>
                </c:pt>
                <c:pt idx="3">
                  <c:v>3781.1410169546407</c:v>
                </c:pt>
                <c:pt idx="4">
                  <c:v>3781.1410169546402</c:v>
                </c:pt>
                <c:pt idx="5">
                  <c:v>3781.1410169546407</c:v>
                </c:pt>
                <c:pt idx="6">
                  <c:v>3781.1410169546407</c:v>
                </c:pt>
                <c:pt idx="7">
                  <c:v>3781.1410169546398</c:v>
                </c:pt>
                <c:pt idx="8">
                  <c:v>3781.1410169546407</c:v>
                </c:pt>
                <c:pt idx="9">
                  <c:v>3781.1410169546407</c:v>
                </c:pt>
                <c:pt idx="10">
                  <c:v>3781.1410169546407</c:v>
                </c:pt>
                <c:pt idx="11">
                  <c:v>3781.1410169546402</c:v>
                </c:pt>
                <c:pt idx="12">
                  <c:v>3781.1410169546402</c:v>
                </c:pt>
                <c:pt idx="13">
                  <c:v>3781.1410169546402</c:v>
                </c:pt>
                <c:pt idx="14">
                  <c:v>3781.1410169546402</c:v>
                </c:pt>
                <c:pt idx="15">
                  <c:v>3781.1410169546407</c:v>
                </c:pt>
                <c:pt idx="16">
                  <c:v>3781.1410169546407</c:v>
                </c:pt>
                <c:pt idx="17">
                  <c:v>3781.1410169546402</c:v>
                </c:pt>
                <c:pt idx="18">
                  <c:v>3781.1410169546402</c:v>
                </c:pt>
                <c:pt idx="19">
                  <c:v>3781.1410169546402</c:v>
                </c:pt>
                <c:pt idx="20">
                  <c:v>3781.1410169546402</c:v>
                </c:pt>
                <c:pt idx="21">
                  <c:v>3781.1410169546407</c:v>
                </c:pt>
                <c:pt idx="22">
                  <c:v>3781.1410169546407</c:v>
                </c:pt>
                <c:pt idx="23">
                  <c:v>3781.1410169546402</c:v>
                </c:pt>
                <c:pt idx="24">
                  <c:v>3781.1410169546402</c:v>
                </c:pt>
                <c:pt idx="25">
                  <c:v>3781.1410169546402</c:v>
                </c:pt>
                <c:pt idx="26">
                  <c:v>3781.1410169546402</c:v>
                </c:pt>
                <c:pt idx="27">
                  <c:v>3781.1410169546402</c:v>
                </c:pt>
                <c:pt idx="28">
                  <c:v>3781.1410169546402</c:v>
                </c:pt>
                <c:pt idx="29">
                  <c:v>3781.1410169546407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BB7-4AAF-BFB6-10F9F8C55C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Employee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Attendence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val>
            <c:numRef>
              <c:f>Updated_2024!$C$205:$C$216</c:f>
              <c:numCache>
                <c:formatCode>0%</c:formatCode>
                <c:ptCount val="12"/>
                <c:pt idx="0">
                  <c:v>0.75</c:v>
                </c:pt>
                <c:pt idx="1">
                  <c:v>0.78</c:v>
                </c:pt>
                <c:pt idx="2">
                  <c:v>0.81</c:v>
                </c:pt>
                <c:pt idx="3">
                  <c:v>0.84</c:v>
                </c:pt>
                <c:pt idx="4">
                  <c:v>0.87</c:v>
                </c:pt>
                <c:pt idx="5">
                  <c:v>0.9</c:v>
                </c:pt>
                <c:pt idx="6">
                  <c:v>0.55000000000000004</c:v>
                </c:pt>
                <c:pt idx="7">
                  <c:v>0.96</c:v>
                </c:pt>
                <c:pt idx="8">
                  <c:v>0.2</c:v>
                </c:pt>
                <c:pt idx="9">
                  <c:v>0.66</c:v>
                </c:pt>
                <c:pt idx="10">
                  <c:v>0.22</c:v>
                </c:pt>
                <c:pt idx="11">
                  <c:v>0.99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95-452E-83F6-EC333E6152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38701063"/>
        <c:axId val="438703111"/>
      </c:barChart>
      <c:catAx>
        <c:axId val="438701063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703111"/>
        <c:crosses val="autoZero"/>
        <c:auto val="1"/>
        <c:lblAlgn val="ctr"/>
        <c:lblOffset val="100"/>
        <c:noMultiLvlLbl val="0"/>
      </c:catAx>
      <c:valAx>
        <c:axId val="4387031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701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Return Chart</a:t>
            </a:r>
          </a:p>
        </c:rich>
      </c:tx>
      <c:overlay val="0"/>
      <c:spPr>
        <a:solidFill>
          <a:srgbClr val="8ED973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'Finance_&amp;_Accounting'!$B$108</c:f>
              <c:strCache>
                <c:ptCount val="1"/>
                <c:pt idx="0">
                  <c:v>Year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'Finance_&amp;_Accounting'!$B$109:$B$120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79-403C-AB3B-E4F4D6117D66}"/>
            </c:ext>
          </c:extLst>
        </c:ser>
        <c:ser>
          <c:idx val="1"/>
          <c:order val="1"/>
          <c:tx>
            <c:strRef>
              <c:f>'Finance_&amp;_Accounting'!$C$108</c:f>
              <c:strCache>
                <c:ptCount val="1"/>
                <c:pt idx="0">
                  <c:v>Amount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'Finance_&amp;_Accounting'!$C$109:$C$120</c:f>
              <c:numCache>
                <c:formatCode>[$₹-4009]\ #,##0</c:formatCode>
                <c:ptCount val="12"/>
                <c:pt idx="0">
                  <c:v>100</c:v>
                </c:pt>
                <c:pt idx="1">
                  <c:v>120</c:v>
                </c:pt>
                <c:pt idx="2">
                  <c:v>200</c:v>
                </c:pt>
                <c:pt idx="3">
                  <c:v>260</c:v>
                </c:pt>
                <c:pt idx="4">
                  <c:v>100</c:v>
                </c:pt>
                <c:pt idx="5">
                  <c:v>45</c:v>
                </c:pt>
                <c:pt idx="6">
                  <c:v>100</c:v>
                </c:pt>
                <c:pt idx="7">
                  <c:v>150</c:v>
                </c:pt>
                <c:pt idx="8">
                  <c:v>120</c:v>
                </c:pt>
                <c:pt idx="9">
                  <c:v>150</c:v>
                </c:pt>
                <c:pt idx="10">
                  <c:v>250</c:v>
                </c:pt>
                <c:pt idx="11">
                  <c:v>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79-403C-AB3B-E4F4D6117D66}"/>
            </c:ext>
          </c:extLst>
        </c:ser>
        <c:ser>
          <c:idx val="2"/>
          <c:order val="2"/>
          <c:tx>
            <c:strRef>
              <c:f>'Finance_&amp;_Accounting'!$D$108</c:f>
              <c:strCache>
                <c:ptCount val="1"/>
                <c:pt idx="0">
                  <c:v>Absolute Return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'Finance_&amp;_Accounting'!$D$109:$D$120</c:f>
              <c:numCache>
                <c:formatCode>0%</c:formatCode>
                <c:ptCount val="12"/>
                <c:pt idx="0">
                  <c:v>0</c:v>
                </c:pt>
                <c:pt idx="1">
                  <c:v>0.19999999999999996</c:v>
                </c:pt>
                <c:pt idx="2">
                  <c:v>0.66666666666666674</c:v>
                </c:pt>
                <c:pt idx="3">
                  <c:v>0.30000000000000004</c:v>
                </c:pt>
                <c:pt idx="4">
                  <c:v>-0.61538461538461542</c:v>
                </c:pt>
                <c:pt idx="5">
                  <c:v>-0.55000000000000004</c:v>
                </c:pt>
                <c:pt idx="6">
                  <c:v>1.2222222222222223</c:v>
                </c:pt>
                <c:pt idx="7">
                  <c:v>0.5</c:v>
                </c:pt>
                <c:pt idx="8">
                  <c:v>-0.19999999999999996</c:v>
                </c:pt>
                <c:pt idx="9">
                  <c:v>0.25</c:v>
                </c:pt>
                <c:pt idx="10">
                  <c:v>0.66666666666666674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B79-403C-AB3B-E4F4D6117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7146887"/>
        <c:axId val="1537148935"/>
      </c:lineChart>
      <c:catAx>
        <c:axId val="15371468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148935"/>
        <c:crosses val="autoZero"/>
        <c:auto val="1"/>
        <c:lblAlgn val="ctr"/>
        <c:lblOffset val="100"/>
        <c:noMultiLvlLbl val="0"/>
      </c:catAx>
      <c:valAx>
        <c:axId val="1537148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146887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[Microsoft@2024.xlsx]Pivot_Table_Data!PivotTable1</c:name>
    <c:fmtId val="2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rgbClr val="00B0F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Company Sales Chart</a:t>
            </a:r>
          </a:p>
        </c:rich>
      </c:tx>
      <c:overlay val="0"/>
      <c:spPr>
        <a:solidFill>
          <a:srgbClr val="000000"/>
        </a:solidFill>
        <a:ln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rgbClr val="00B0F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A02B93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solidFill>
              <a:srgbClr val="45D65A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A02B93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solidFill>
              <a:srgbClr val="45D65A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A02B93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solidFill>
              <a:srgbClr val="45D65A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A02B93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solidFill>
              <a:srgbClr val="45D65A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A02B93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solidFill>
              <a:srgbClr val="45D65A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Pivot_Table_Data!$S$4</c:f>
              <c:strCache>
                <c:ptCount val="1"/>
                <c:pt idx="0">
                  <c:v>Sum of Price</c:v>
                </c:pt>
              </c:strCache>
            </c:strRef>
          </c:tx>
          <c:spPr>
            <a:solidFill>
              <a:srgbClr val="A02B93"/>
            </a:solidFill>
            <a:ln>
              <a:solidFill>
                <a:srgbClr val="000000"/>
              </a:solidFill>
              <a:prstDash val="solid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Pivot_Table_Data!$Q$5:$R$9</c:f>
              <c:strCache>
                <c:ptCount val="4"/>
                <c:pt idx="0">
                  <c:v>AD APPARELS</c:v>
                </c:pt>
                <c:pt idx="1">
                  <c:v>MD APPARELS</c:v>
                </c:pt>
                <c:pt idx="2">
                  <c:v>ND APPARELS</c:v>
                </c:pt>
                <c:pt idx="3">
                  <c:v>SD APPARELS</c:v>
                </c:pt>
              </c:strCache>
            </c:strRef>
          </c:cat>
          <c:val>
            <c:numRef>
              <c:f>Pivot_Table_Data!$S$5:$S$9</c:f>
              <c:numCache>
                <c:formatCode>[$Rs.-849]\ #,##0;[Red][$Rs.-849]\ #,##0</c:formatCode>
                <c:ptCount val="4"/>
                <c:pt idx="0">
                  <c:v>23081</c:v>
                </c:pt>
                <c:pt idx="1">
                  <c:v>26869</c:v>
                </c:pt>
                <c:pt idx="2">
                  <c:v>13899</c:v>
                </c:pt>
                <c:pt idx="3">
                  <c:v>30795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60-438F-8002-EC610CCB7A57}"/>
            </c:ext>
          </c:extLst>
        </c:ser>
        <c:ser>
          <c:idx val="1"/>
          <c:order val="1"/>
          <c:tx>
            <c:strRef>
              <c:f>Pivot_Table_Data!$T$4</c:f>
              <c:strCache>
                <c:ptCount val="1"/>
                <c:pt idx="0">
                  <c:v>Sum of Unit Sold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Pivot_Table_Data!$Q$5:$R$9</c:f>
              <c:strCache>
                <c:ptCount val="4"/>
                <c:pt idx="0">
                  <c:v>AD APPARELS</c:v>
                </c:pt>
                <c:pt idx="1">
                  <c:v>MD APPARELS</c:v>
                </c:pt>
                <c:pt idx="2">
                  <c:v>ND APPARELS</c:v>
                </c:pt>
                <c:pt idx="3">
                  <c:v>SD APPARELS</c:v>
                </c:pt>
              </c:strCache>
            </c:strRef>
          </c:cat>
          <c:val>
            <c:numRef>
              <c:f>Pivot_Table_Data!$T$5:$T$9</c:f>
              <c:numCache>
                <c:formatCode>General</c:formatCode>
                <c:ptCount val="4"/>
                <c:pt idx="0">
                  <c:v>55</c:v>
                </c:pt>
                <c:pt idx="1">
                  <c:v>46</c:v>
                </c:pt>
                <c:pt idx="2">
                  <c:v>37</c:v>
                </c:pt>
                <c:pt idx="3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60-438F-8002-EC610CCB7A57}"/>
            </c:ext>
          </c:extLst>
        </c:ser>
        <c:ser>
          <c:idx val="2"/>
          <c:order val="2"/>
          <c:tx>
            <c:strRef>
              <c:f>Pivot_Table_Data!$U$4</c:f>
              <c:strCache>
                <c:ptCount val="1"/>
                <c:pt idx="0">
                  <c:v>Sum of Total Profit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rgbClr val="45D65A"/>
              </a:solidFill>
              <a:prstDash val="solid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Pivot_Table_Data!$Q$5:$R$9</c:f>
              <c:strCache>
                <c:ptCount val="4"/>
                <c:pt idx="0">
                  <c:v>AD APPARELS</c:v>
                </c:pt>
                <c:pt idx="1">
                  <c:v>MD APPARELS</c:v>
                </c:pt>
                <c:pt idx="2">
                  <c:v>ND APPARELS</c:v>
                </c:pt>
                <c:pt idx="3">
                  <c:v>SD APPARELS</c:v>
                </c:pt>
              </c:strCache>
            </c:strRef>
          </c:cat>
          <c:val>
            <c:numRef>
              <c:f>Pivot_Table_Data!$U$5:$U$9</c:f>
              <c:numCache>
                <c:formatCode>[$Rs.-849]\ #,##0.0;[Red][$Rs.-849]\ #,##0.0</c:formatCode>
                <c:ptCount val="4"/>
                <c:pt idx="0">
                  <c:v>144590.65</c:v>
                </c:pt>
                <c:pt idx="1">
                  <c:v>173454.25</c:v>
                </c:pt>
                <c:pt idx="2">
                  <c:v>104237.37500000001</c:v>
                </c:pt>
                <c:pt idx="3">
                  <c:v>166395.32500000001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60-438F-8002-EC610CCB7A57}"/>
            </c:ext>
          </c:extLst>
        </c:ser>
        <c:ser>
          <c:idx val="3"/>
          <c:order val="3"/>
          <c:tx>
            <c:strRef>
              <c:f>Pivot_Table_Data!$V$4</c:f>
              <c:strCache>
                <c:ptCount val="1"/>
                <c:pt idx="0">
                  <c:v>Sum of Tax (2.5%)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Pivot_Table_Data!$Q$5:$R$9</c:f>
              <c:strCache>
                <c:ptCount val="4"/>
                <c:pt idx="0">
                  <c:v>AD APPARELS</c:v>
                </c:pt>
                <c:pt idx="1">
                  <c:v>MD APPARELS</c:v>
                </c:pt>
                <c:pt idx="2">
                  <c:v>ND APPARELS</c:v>
                </c:pt>
                <c:pt idx="3">
                  <c:v>SD APPARELS</c:v>
                </c:pt>
              </c:strCache>
            </c:strRef>
          </c:cat>
          <c:val>
            <c:numRef>
              <c:f>Pivot_Table_Data!$V$5:$V$9</c:f>
              <c:numCache>
                <c:formatCode>[$Rs.-849]\ #,##0.0;[Red][$Rs.-849]\ #,##0.0</c:formatCode>
                <c:ptCount val="4"/>
                <c:pt idx="0">
                  <c:v>577.02500000000009</c:v>
                </c:pt>
                <c:pt idx="1">
                  <c:v>671.72500000000002</c:v>
                </c:pt>
                <c:pt idx="2">
                  <c:v>347.47500000000002</c:v>
                </c:pt>
                <c:pt idx="3">
                  <c:v>769.87500000000011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60-438F-8002-EC610CCB7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axId val="1600580615"/>
        <c:axId val="1922418184"/>
      </c:barChart>
      <c:catAx>
        <c:axId val="1600580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418184"/>
        <c:crosses val="autoZero"/>
        <c:auto val="1"/>
        <c:lblAlgn val="ctr"/>
        <c:lblOffset val="100"/>
        <c:noMultiLvlLbl val="0"/>
      </c:catAx>
      <c:valAx>
        <c:axId val="1922418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Rs.-849]\ #,##0;[Red][$Rs.-849]\ 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0058061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solidFill>
            <a:srgbClr val="F2F2F2"/>
          </a:solidFill>
          <a:ln w="9525" cap="flat" cmpd="sng" algn="ctr">
            <a:solidFill>
              <a:srgbClr val="FFFFFF"/>
            </a:solidFill>
            <a:prstDash val="solid"/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solidFill>
          <a:srgbClr val="C0E4F5"/>
        </a:solidFill>
        <a:ln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[Microsoft@2024.xlsx]Pivot_Table_Data!PivotTable2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Unit Sold</a:t>
            </a:r>
          </a:p>
        </c:rich>
      </c:tx>
      <c:overlay val="0"/>
      <c:spPr>
        <a:solidFill>
          <a:srgbClr val="94DCF8"/>
        </a:solidFill>
        <a:ln>
          <a:solidFill>
            <a:srgbClr val="94DCF8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alibri"/>
              <a:ea typeface="Calibri"/>
              <a:cs typeface="Calibri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70C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70C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70C0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Pivot_Table_Data!$Z$4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0000"/>
              </a:solidFill>
              <a:prstDash val="solid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Pivot_Table_Data!$X$5:$Y$9</c:f>
              <c:strCache>
                <c:ptCount val="4"/>
                <c:pt idx="0">
                  <c:v>AD APPARELS</c:v>
                </c:pt>
                <c:pt idx="1">
                  <c:v>MD APPARELS</c:v>
                </c:pt>
                <c:pt idx="2">
                  <c:v>ND APPARELS</c:v>
                </c:pt>
                <c:pt idx="3">
                  <c:v>SD APPARELS</c:v>
                </c:pt>
              </c:strCache>
            </c:strRef>
          </c:cat>
          <c:val>
            <c:numRef>
              <c:f>Pivot_Table_Data!$Z$5:$Z$9</c:f>
              <c:numCache>
                <c:formatCode>General</c:formatCode>
                <c:ptCount val="4"/>
                <c:pt idx="0">
                  <c:v>55</c:v>
                </c:pt>
                <c:pt idx="1">
                  <c:v>46</c:v>
                </c:pt>
                <c:pt idx="2">
                  <c:v>37</c:v>
                </c:pt>
                <c:pt idx="3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72-4EEE-8881-173A83ECF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axId val="2107568647"/>
        <c:axId val="2107570695"/>
      </c:barChart>
      <c:catAx>
        <c:axId val="210756864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Sellers Name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7570695"/>
        <c:crosses val="autoZero"/>
        <c:auto val="1"/>
        <c:lblAlgn val="ctr"/>
        <c:lblOffset val="100"/>
        <c:noMultiLvlLbl val="0"/>
      </c:catAx>
      <c:valAx>
        <c:axId val="2107570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solidFill>
            <a:srgbClr val="FFFFFF"/>
          </a:solidFill>
          <a:ln>
            <a:solidFill>
              <a:srgbClr val="000000"/>
            </a:solidFill>
            <a:prstDash val="solid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07568647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jpeg"/><Relationship Id="rId3" Type="http://schemas.openxmlformats.org/officeDocument/2006/relationships/image" Target="../media/image5.tmp"/><Relationship Id="rId7" Type="http://schemas.openxmlformats.org/officeDocument/2006/relationships/image" Target="../media/image9.png"/><Relationship Id="rId2" Type="http://schemas.openxmlformats.org/officeDocument/2006/relationships/image" Target="../media/image4.xlsrvcdf"/><Relationship Id="rId1" Type="http://schemas.openxmlformats.org/officeDocument/2006/relationships/image" Target="../media/image3.xlsrvcdf"/><Relationship Id="rId6" Type="http://schemas.openxmlformats.org/officeDocument/2006/relationships/image" Target="../media/image8.xlsrvcdf"/><Relationship Id="rId5" Type="http://schemas.openxmlformats.org/officeDocument/2006/relationships/image" Target="../media/image7.tmp"/><Relationship Id="rId4" Type="http://schemas.openxmlformats.org/officeDocument/2006/relationships/image" Target="../media/image6.tmp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1781175</xdr:colOff>
      <xdr:row>214</xdr:row>
      <xdr:rowOff>85725</xdr:rowOff>
    </xdr:from>
    <xdr:to>
      <xdr:col>15</xdr:col>
      <xdr:colOff>381000</xdr:colOff>
      <xdr:row>228</xdr:row>
      <xdr:rowOff>161925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BBD2AFB-D84B-105C-6932-6F295919CF77}"/>
            </a:ext>
            <a:ext uri="{147F2762-F138-4A5C-976F-8EAC2B608ADB}">
              <a16:predDERef xmlns:a16="http://schemas.microsoft.com/office/drawing/2014/main" pred="{CFF459FF-98DA-3453-E87F-0E867945FE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196</xdr:row>
      <xdr:rowOff>0</xdr:rowOff>
    </xdr:from>
    <xdr:to>
      <xdr:col>0</xdr:col>
      <xdr:colOff>400050</xdr:colOff>
      <xdr:row>207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917ABD-3FFE-0D73-1E94-EE4E202B4816}"/>
            </a:ext>
            <a:ext uri="{147F2762-F138-4A5C-976F-8EAC2B608ADB}">
              <a16:predDERef xmlns:a16="http://schemas.microsoft.com/office/drawing/2014/main" pred="{0BBD2AFB-D84B-105C-6932-6F295919CF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379</xdr:row>
      <xdr:rowOff>28575</xdr:rowOff>
    </xdr:from>
    <xdr:to>
      <xdr:col>7</xdr:col>
      <xdr:colOff>466725</xdr:colOff>
      <xdr:row>387</xdr:row>
      <xdr:rowOff>95250</xdr:rowOff>
    </xdr:to>
    <xdr:sp macro="" textlink="">
      <xdr:nvSpPr>
        <xdr:cNvPr id="2" name="Right Arrow 1">
          <a:extLst>
            <a:ext uri="{FF2B5EF4-FFF2-40B4-BE49-F238E27FC236}">
              <a16:creationId xmlns:a16="http://schemas.microsoft.com/office/drawing/2014/main" id="{A72B0F20-BB98-76D5-9847-74224F65AC05}"/>
            </a:ext>
          </a:extLst>
        </xdr:cNvPr>
        <xdr:cNvSpPr/>
      </xdr:nvSpPr>
      <xdr:spPr>
        <a:xfrm>
          <a:off x="228600" y="79019400"/>
          <a:ext cx="10887075" cy="1971675"/>
        </a:xfrm>
        <a:prstGeom prst="rightArrow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4</xdr:col>
      <xdr:colOff>104775</xdr:colOff>
      <xdr:row>458</xdr:row>
      <xdr:rowOff>171450</xdr:rowOff>
    </xdr:from>
    <xdr:to>
      <xdr:col>4</xdr:col>
      <xdr:colOff>1276350</xdr:colOff>
      <xdr:row>458</xdr:row>
      <xdr:rowOff>180975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A307FB3E-E5BA-4639-D2B9-FD30B9179C79}"/>
            </a:ext>
            <a:ext uri="{147F2762-F138-4A5C-976F-8EAC2B608ADB}">
              <a16:predDERef xmlns:a16="http://schemas.microsoft.com/office/drawing/2014/main" pred="{A72B0F20-BB98-76D5-9847-74224F65AC05}"/>
            </a:ext>
          </a:extLst>
        </xdr:cNvPr>
        <xdr:cNvCxnSpPr>
          <a:cxnSpLocks/>
        </xdr:cNvCxnSpPr>
      </xdr:nvCxnSpPr>
      <xdr:spPr>
        <a:xfrm>
          <a:off x="8439150" y="93316425"/>
          <a:ext cx="1171575" cy="9525"/>
        </a:xfrm>
        <a:prstGeom prst="line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276225</xdr:colOff>
      <xdr:row>137</xdr:row>
      <xdr:rowOff>19050</xdr:rowOff>
    </xdr:from>
    <xdr:to>
      <xdr:col>10</xdr:col>
      <xdr:colOff>676275</xdr:colOff>
      <xdr:row>151</xdr:row>
      <xdr:rowOff>123825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56DE947-BE93-942D-09D8-1CC6BA810F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171450</xdr:colOff>
      <xdr:row>37</xdr:row>
      <xdr:rowOff>95250</xdr:rowOff>
    </xdr:from>
    <xdr:to>
      <xdr:col>8</xdr:col>
      <xdr:colOff>1828800</xdr:colOff>
      <xdr:row>54</xdr:row>
      <xdr:rowOff>47625</xdr:rowOff>
    </xdr:to>
    <xdr:pic>
      <xdr:nvPicPr>
        <xdr:cNvPr id="11" name="Picture 10" title="Man sitting on a desk">
          <a:extLst>
            <a:ext uri="{FF2B5EF4-FFF2-40B4-BE49-F238E27FC236}">
              <a16:creationId xmlns:a16="http://schemas.microsoft.com/office/drawing/2014/main" id="{154EE3C9-D031-B23E-ACBC-08DE639A204A}"/>
            </a:ext>
            <a:ext uri="{147F2762-F138-4A5C-976F-8EAC2B608ADB}">
              <a16:predDERef xmlns:a16="http://schemas.microsoft.com/office/drawing/2014/main" pred="{2BD3E910-7F45-9DE4-EDEC-F343732EC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06050" y="11991975"/>
          <a:ext cx="5600700" cy="372427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224</xdr:row>
      <xdr:rowOff>19050</xdr:rowOff>
    </xdr:from>
    <xdr:to>
      <xdr:col>2</xdr:col>
      <xdr:colOff>847725</xdr:colOff>
      <xdr:row>236</xdr:row>
      <xdr:rowOff>161925</xdr:rowOff>
    </xdr:to>
    <xdr:pic>
      <xdr:nvPicPr>
        <xdr:cNvPr id="2" name="Picture 1" title="Man wearing mask in an office">
          <a:extLst>
            <a:ext uri="{FF2B5EF4-FFF2-40B4-BE49-F238E27FC236}">
              <a16:creationId xmlns:a16="http://schemas.microsoft.com/office/drawing/2014/main" id="{8B72396D-8A79-7052-B810-E31A5F26C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6602075"/>
          <a:ext cx="3609975" cy="2428875"/>
        </a:xfrm>
        <a:prstGeom prst="rect">
          <a:avLst/>
        </a:prstGeom>
      </xdr:spPr>
    </xdr:pic>
    <xdr:clientData/>
  </xdr:twoCellAnchor>
  <xdr:twoCellAnchor editAs="oneCell">
    <xdr:from>
      <xdr:col>32</xdr:col>
      <xdr:colOff>495300</xdr:colOff>
      <xdr:row>27</xdr:row>
      <xdr:rowOff>381000</xdr:rowOff>
    </xdr:from>
    <xdr:to>
      <xdr:col>36</xdr:col>
      <xdr:colOff>457200</xdr:colOff>
      <xdr:row>29</xdr:row>
      <xdr:rowOff>88900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748FBED-FDDE-9DC2-406F-051E1568DA98}"/>
            </a:ext>
            <a:ext uri="{147F2762-F138-4A5C-976F-8EAC2B608ADB}">
              <a16:predDERef xmlns:a16="http://schemas.microsoft.com/office/drawing/2014/main" pred="{26C86583-47B7-6796-0737-1866CD79C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241250" y="3400425"/>
          <a:ext cx="2400300" cy="11938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39</xdr:row>
      <xdr:rowOff>0</xdr:rowOff>
    </xdr:from>
    <xdr:to>
      <xdr:col>39</xdr:col>
      <xdr:colOff>457200</xdr:colOff>
      <xdr:row>43</xdr:row>
      <xdr:rowOff>231775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911DCD7-8289-299F-2F08-73B1176BFB5B}"/>
            </a:ext>
            <a:ext uri="{147F2762-F138-4A5C-976F-8EAC2B608ADB}">
              <a16:predDERef xmlns:a16="http://schemas.microsoft.com/office/drawing/2014/main" pred="{0748FBED-FDDE-9DC2-406F-051E1568D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184350" y="5153025"/>
          <a:ext cx="2400300" cy="1193800"/>
        </a:xfrm>
        <a:prstGeom prst="rect">
          <a:avLst/>
        </a:prstGeom>
      </xdr:spPr>
    </xdr:pic>
    <xdr:clientData/>
  </xdr:twoCellAnchor>
  <xdr:twoCellAnchor editAs="oneCell">
    <xdr:from>
      <xdr:col>39</xdr:col>
      <xdr:colOff>2200275</xdr:colOff>
      <xdr:row>29</xdr:row>
      <xdr:rowOff>152400</xdr:rowOff>
    </xdr:from>
    <xdr:to>
      <xdr:col>44</xdr:col>
      <xdr:colOff>19050</xdr:colOff>
      <xdr:row>34</xdr:row>
      <xdr:rowOff>12700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FE6DB01-81E9-9267-DC00-0391669CC098}"/>
            </a:ext>
            <a:ext uri="{147F2762-F138-4A5C-976F-8EAC2B608ADB}">
              <a16:predDERef xmlns:a16="http://schemas.microsoft.com/office/drawing/2014/main" pred="{D911DCD7-8289-299F-2F08-73B1176BF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327725" y="4657725"/>
          <a:ext cx="2400300" cy="119380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94</xdr:row>
      <xdr:rowOff>0</xdr:rowOff>
    </xdr:from>
    <xdr:to>
      <xdr:col>4</xdr:col>
      <xdr:colOff>1419225</xdr:colOff>
      <xdr:row>106</xdr:row>
      <xdr:rowOff>19050</xdr:rowOff>
    </xdr:to>
    <xdr:pic>
      <xdr:nvPicPr>
        <xdr:cNvPr id="10" name="Picture 9" title="Man working on a laptop">
          <a:extLst>
            <a:ext uri="{FF2B5EF4-FFF2-40B4-BE49-F238E27FC236}">
              <a16:creationId xmlns:a16="http://schemas.microsoft.com/office/drawing/2014/main" id="{9E985C4D-BD91-B00F-8EAA-AF0666615257}"/>
            </a:ext>
            <a:ext uri="{147F2762-F138-4A5C-976F-8EAC2B608ADB}">
              <a16:predDERef xmlns:a16="http://schemas.microsoft.com/office/drawing/2014/main" pred="{2BD3E910-7F45-9DE4-EDEC-F343732EC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00325" y="24965025"/>
          <a:ext cx="4876800" cy="3248025"/>
        </a:xfrm>
        <a:prstGeom prst="rect">
          <a:avLst/>
        </a:prstGeom>
      </xdr:spPr>
    </xdr:pic>
    <xdr:clientData/>
  </xdr:twoCellAnchor>
  <xdr:twoCellAnchor editAs="oneCell">
    <xdr:from>
      <xdr:col>46</xdr:col>
      <xdr:colOff>485775</xdr:colOff>
      <xdr:row>21</xdr:row>
      <xdr:rowOff>0</xdr:rowOff>
    </xdr:from>
    <xdr:to>
      <xdr:col>51</xdr:col>
      <xdr:colOff>9525</xdr:colOff>
      <xdr:row>34</xdr:row>
      <xdr:rowOff>152400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2AED058-6EAF-ECBD-2D45-1DA861939D37}"/>
            </a:ext>
            <a:ext uri="{147F2762-F138-4A5C-976F-8EAC2B608ADB}">
              <a16:predDERef xmlns:a16="http://schemas.microsoft.com/office/drawing/2014/main" pred="{9E985C4D-BD91-B00F-8EAA-AF0666615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815875" y="6781800"/>
          <a:ext cx="25717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38100</xdr:colOff>
      <xdr:row>1</xdr:row>
      <xdr:rowOff>238125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88C638-23BF-5CB5-7B7E-3C70E7622D1D}"/>
            </a:ext>
            <a:ext uri="{147F2762-F138-4A5C-976F-8EAC2B608ADB}">
              <a16:predDERef xmlns:a16="http://schemas.microsoft.com/office/drawing/2014/main" pred="{E2AED058-6EAF-ECBD-2D45-1DA861939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647700" cy="647700"/>
        </a:xfrm>
        <a:prstGeom prst="rect">
          <a:avLst/>
        </a:prstGeom>
      </xdr:spPr>
    </xdr:pic>
    <xdr:clientData/>
  </xdr:twoCellAnchor>
  <xdr:twoCellAnchor editAs="absolute">
    <xdr:from>
      <xdr:col>4</xdr:col>
      <xdr:colOff>1771650</xdr:colOff>
      <xdr:row>9</xdr:row>
      <xdr:rowOff>104775</xdr:rowOff>
    </xdr:from>
    <xdr:to>
      <xdr:col>5</xdr:col>
      <xdr:colOff>1809750</xdr:colOff>
      <xdr:row>15</xdr:row>
      <xdr:rowOff>247650</xdr:rowOff>
    </xdr:to>
    <mc:AlternateContent xmlns:mc="http://schemas.openxmlformats.org/markup-compatibility/2006" xmlns:a15="http://schemas.microsoft.com/office/drawing/2012/main">
      <mc:Choice Requires="a15">
        <xdr:graphicFrame macro="">
          <xdr:nvGraphicFramePr>
            <xdr:cNvPr id="4" name="Employee_ Name">
              <a:extLst>
                <a:ext uri="{FF2B5EF4-FFF2-40B4-BE49-F238E27FC236}">
                  <a16:creationId xmlns:a16="http://schemas.microsoft.com/office/drawing/2014/main" id="{BB004B1E-A414-3ABB-D02B-07C2CD206346}"/>
                </a:ext>
                <a:ext uri="{147F2762-F138-4A5C-976F-8EAC2B608ADB}">
                  <a16:predDERef xmlns:a16="http://schemas.microsoft.com/office/drawing/2014/main" pred="{0088C638-23BF-5CB5-7B7E-3C70E7622D1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mployee_ Nam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63000" y="2676525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absolute">
    <xdr:from>
      <xdr:col>5</xdr:col>
      <xdr:colOff>190500</xdr:colOff>
      <xdr:row>10</xdr:row>
      <xdr:rowOff>47625</xdr:rowOff>
    </xdr:from>
    <xdr:to>
      <xdr:col>6</xdr:col>
      <xdr:colOff>133350</xdr:colOff>
      <xdr:row>16</xdr:row>
      <xdr:rowOff>161925</xdr:rowOff>
    </xdr:to>
    <mc:AlternateContent xmlns:mc="http://schemas.openxmlformats.org/markup-compatibility/2006" xmlns:a15="http://schemas.microsoft.com/office/drawing/2012/main">
      <mc:Choice Requires="a15">
        <xdr:graphicFrame macro="">
          <xdr:nvGraphicFramePr>
            <xdr:cNvPr id="9" name="Department">
              <a:extLst>
                <a:ext uri="{FF2B5EF4-FFF2-40B4-BE49-F238E27FC236}">
                  <a16:creationId xmlns:a16="http://schemas.microsoft.com/office/drawing/2014/main" id="{EAB43B21-757F-8B96-43B4-499BE02BE7E2}"/>
                </a:ext>
                <a:ext uri="{147F2762-F138-4A5C-976F-8EAC2B608ADB}">
                  <a16:predDERef xmlns:a16="http://schemas.microsoft.com/office/drawing/2014/main" pred="{BB004B1E-A414-3ABB-D02B-07C2CD2063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part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72550" y="2886075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absolute">
    <xdr:from>
      <xdr:col>8</xdr:col>
      <xdr:colOff>1200150</xdr:colOff>
      <xdr:row>12</xdr:row>
      <xdr:rowOff>114300</xdr:rowOff>
    </xdr:from>
    <xdr:to>
      <xdr:col>9</xdr:col>
      <xdr:colOff>1114425</xdr:colOff>
      <xdr:row>18</xdr:row>
      <xdr:rowOff>152400</xdr:rowOff>
    </xdr:to>
    <mc:AlternateContent xmlns:mc="http://schemas.openxmlformats.org/markup-compatibility/2006" xmlns:a15="http://schemas.microsoft.com/office/drawing/2012/main">
      <mc:Choice Requires="a15">
        <xdr:graphicFrame macro="">
          <xdr:nvGraphicFramePr>
            <xdr:cNvPr id="12" name="Salary">
              <a:extLst>
                <a:ext uri="{FF2B5EF4-FFF2-40B4-BE49-F238E27FC236}">
                  <a16:creationId xmlns:a16="http://schemas.microsoft.com/office/drawing/2014/main" id="{0E8754A1-A25F-17B9-98E9-C963646266FF}"/>
                </a:ext>
                <a:ext uri="{147F2762-F138-4A5C-976F-8EAC2B608ADB}">
                  <a16:predDERef xmlns:a16="http://schemas.microsoft.com/office/drawing/2014/main" pred="{EAB43B21-757F-8B96-43B4-499BE02BE7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ala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182100" y="3095625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absolute">
    <xdr:from>
      <xdr:col>8</xdr:col>
      <xdr:colOff>762000</xdr:colOff>
      <xdr:row>14</xdr:row>
      <xdr:rowOff>38100</xdr:rowOff>
    </xdr:from>
    <xdr:to>
      <xdr:col>9</xdr:col>
      <xdr:colOff>676275</xdr:colOff>
      <xdr:row>20</xdr:row>
      <xdr:rowOff>47625</xdr:rowOff>
    </xdr:to>
    <mc:AlternateContent xmlns:mc="http://schemas.openxmlformats.org/markup-compatibility/2006" xmlns:a15="http://schemas.microsoft.com/office/drawing/2012/main">
      <mc:Choice Requires="a15">
        <xdr:graphicFrame macro="">
          <xdr:nvGraphicFramePr>
            <xdr:cNvPr id="15" name="Employee_DOJ">
              <a:extLst>
                <a:ext uri="{FF2B5EF4-FFF2-40B4-BE49-F238E27FC236}">
                  <a16:creationId xmlns:a16="http://schemas.microsoft.com/office/drawing/2014/main" id="{22FAF4AC-ABD0-F1BB-201A-6DBA45193B01}"/>
                </a:ext>
                <a:ext uri="{147F2762-F138-4A5C-976F-8EAC2B608ADB}">
                  <a16:predDERef xmlns:a16="http://schemas.microsoft.com/office/drawing/2014/main" pred="{0E8754A1-A25F-17B9-98E9-C963646266F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mployee_DOJ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91650" y="3305175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absolute">
    <xdr:from>
      <xdr:col>4</xdr:col>
      <xdr:colOff>390525</xdr:colOff>
      <xdr:row>0</xdr:row>
      <xdr:rowOff>238125</xdr:rowOff>
    </xdr:from>
    <xdr:to>
      <xdr:col>5</xdr:col>
      <xdr:colOff>428625</xdr:colOff>
      <xdr:row>10</xdr:row>
      <xdr:rowOff>19050</xdr:rowOff>
    </xdr:to>
    <mc:AlternateContent xmlns:mc="http://schemas.openxmlformats.org/markup-compatibility/2006" xmlns:a15="http://schemas.microsoft.com/office/drawing/2012/main">
      <mc:Choice Requires="a15">
        <xdr:graphicFrame macro="">
          <xdr:nvGraphicFramePr>
            <xdr:cNvPr id="16" name="Department 1">
              <a:extLst>
                <a:ext uri="{FF2B5EF4-FFF2-40B4-BE49-F238E27FC236}">
                  <a16:creationId xmlns:a16="http://schemas.microsoft.com/office/drawing/2014/main" id="{04E0DDEB-B787-B11C-7B3E-AE0A33D7E668}"/>
                </a:ext>
                <a:ext uri="{147F2762-F138-4A5C-976F-8EAC2B608ADB}">
                  <a16:predDERef xmlns:a16="http://schemas.microsoft.com/office/drawing/2014/main" pred="{22FAF4AC-ABD0-F1BB-201A-6DBA45193B0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partment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77150" y="2066925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561975</xdr:colOff>
      <xdr:row>18</xdr:row>
      <xdr:rowOff>47625</xdr:rowOff>
    </xdr:from>
    <xdr:to>
      <xdr:col>2</xdr:col>
      <xdr:colOff>600075</xdr:colOff>
      <xdr:row>32</xdr:row>
      <xdr:rowOff>19050</xdr:rowOff>
    </xdr:to>
    <mc:AlternateContent xmlns:mc="http://schemas.openxmlformats.org/markup-compatibility/2006" xmlns:a15="http://schemas.microsoft.com/office/drawing/2012/main">
      <mc:Choice Requires="a15">
        <xdr:graphicFrame macro="">
          <xdr:nvGraphicFramePr>
            <xdr:cNvPr id="2" name="Employee_ Name 1">
              <a:extLst>
                <a:ext uri="{FF2B5EF4-FFF2-40B4-BE49-F238E27FC236}">
                  <a16:creationId xmlns:a16="http://schemas.microsoft.com/office/drawing/2014/main" id="{0E3AF268-EFE5-8793-232A-947B60E2A38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mployee_ Nam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1975" y="1809750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absolute">
    <xdr:from>
      <xdr:col>4</xdr:col>
      <xdr:colOff>1171575</xdr:colOff>
      <xdr:row>18</xdr:row>
      <xdr:rowOff>114300</xdr:rowOff>
    </xdr:from>
    <xdr:to>
      <xdr:col>6</xdr:col>
      <xdr:colOff>657225</xdr:colOff>
      <xdr:row>32</xdr:row>
      <xdr:rowOff>85725</xdr:rowOff>
    </xdr:to>
    <mc:AlternateContent xmlns:mc="http://schemas.openxmlformats.org/markup-compatibility/2006" xmlns:a15="http://schemas.microsoft.com/office/drawing/2012/main">
      <mc:Choice Requires="a15">
        <xdr:graphicFrame macro="">
          <xdr:nvGraphicFramePr>
            <xdr:cNvPr id="3" name="Salary 1">
              <a:extLst>
                <a:ext uri="{FF2B5EF4-FFF2-40B4-BE49-F238E27FC236}">
                  <a16:creationId xmlns:a16="http://schemas.microsoft.com/office/drawing/2014/main" id="{98BDC326-37BF-A177-6B48-0663DC369C0F}"/>
                </a:ext>
                <a:ext uri="{147F2762-F138-4A5C-976F-8EAC2B608ADB}">
                  <a16:predDERef xmlns:a16="http://schemas.microsoft.com/office/drawing/2014/main" pred="{0E3AF268-EFE5-8793-232A-947B60E2A38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alar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57850" y="1876425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absolute">
    <xdr:from>
      <xdr:col>2</xdr:col>
      <xdr:colOff>1133475</xdr:colOff>
      <xdr:row>18</xdr:row>
      <xdr:rowOff>66675</xdr:rowOff>
    </xdr:from>
    <xdr:to>
      <xdr:col>4</xdr:col>
      <xdr:colOff>266700</xdr:colOff>
      <xdr:row>32</xdr:row>
      <xdr:rowOff>38100</xdr:rowOff>
    </xdr:to>
    <mc:AlternateContent xmlns:mc="http://schemas.openxmlformats.org/markup-compatibility/2006" xmlns:a15="http://schemas.microsoft.com/office/drawing/2012/main">
      <mc:Choice Requires="a15">
        <xdr:graphicFrame macro="">
          <xdr:nvGraphicFramePr>
            <xdr:cNvPr id="4" name="Employee_DOJ 1">
              <a:extLst>
                <a:ext uri="{FF2B5EF4-FFF2-40B4-BE49-F238E27FC236}">
                  <a16:creationId xmlns:a16="http://schemas.microsoft.com/office/drawing/2014/main" id="{A23673FF-CCF9-2F75-1A6D-05A7E18D1166}"/>
                </a:ext>
                <a:ext uri="{147F2762-F138-4A5C-976F-8EAC2B608ADB}">
                  <a16:predDERef xmlns:a16="http://schemas.microsoft.com/office/drawing/2014/main" pred="{98BDC326-37BF-A177-6B48-0663DC369C0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mployee_DOJ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24175" y="1828800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152400</xdr:rowOff>
    </xdr:from>
    <xdr:to>
      <xdr:col>12</xdr:col>
      <xdr:colOff>285750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371882-1B37-4312-AC6E-E62D43650B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514350</xdr:colOff>
      <xdr:row>1</xdr:row>
      <xdr:rowOff>57150</xdr:rowOff>
    </xdr:from>
    <xdr:to>
      <xdr:col>30</xdr:col>
      <xdr:colOff>142875</xdr:colOff>
      <xdr:row>23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EB4E88-011A-4A53-B955-3EFFE3B74A16}"/>
            </a:ext>
            <a:ext uri="{147F2762-F138-4A5C-976F-8EAC2B608ADB}">
              <a16:predDERef xmlns:a16="http://schemas.microsoft.com/office/drawing/2014/main" pred="{B5371882-1B37-4312-AC6E-E62D43650B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679.552778935184" createdVersion="8" refreshedVersion="8" minRefreshableVersion="3" recordCount="30" xr:uid="{DD23FAC1-84C1-42CB-97A3-4FD4D6145AF1}">
  <cacheSource type="worksheet">
    <worksheetSource ref="B3:O33" sheet="Pivot_Table_Data"/>
  </cacheSource>
  <cacheFields count="14">
    <cacheField name="ID No." numFmtId="0">
      <sharedItems/>
    </cacheField>
    <cacheField name="Order Date " numFmtId="14">
      <sharedItems containsSemiMixedTypes="0" containsNonDate="0" containsDate="1" containsString="0" minDate="2024-01-01T00:00:00" maxDate="2024-01-31T00:00:00"/>
    </cacheField>
    <cacheField name="Seller Name " numFmtId="0">
      <sharedItems count="4">
        <s v="AD APPARELS"/>
        <s v="MD APPARELS"/>
        <s v="ND APPARELS"/>
        <s v="SD APPARELS"/>
      </sharedItems>
    </cacheField>
    <cacheField name=" Category" numFmtId="0">
      <sharedItems/>
    </cacheField>
    <cacheField name="Picode" numFmtId="0">
      <sharedItems containsSemiMixedTypes="0" containsString="0" containsNumber="1" containsInteger="1" minValue="112285" maxValue="852369"/>
    </cacheField>
    <cacheField name="Region (WorldWide)" numFmtId="0">
      <sharedItems/>
    </cacheField>
    <cacheField name="Brands" numFmtId="0">
      <sharedItems count="26">
        <s v="Vivo"/>
        <s v="Adidas"/>
        <s v="Tommy Hilfigure"/>
        <s v="EliteEdge"/>
        <s v="Godrej"/>
        <s v="Indigo Architecture"/>
        <s v="Atomic Habit "/>
        <s v="Savya Home"/>
        <s v="Power"/>
        <s v="Realme"/>
        <s v="Puma"/>
        <s v="Nike"/>
        <s v="Indigo Interiors"/>
        <s v="WoodenStreet"/>
        <s v="Psychology Of Money"/>
        <s v="Apple"/>
        <s v="Oppo"/>
        <s v="Peloton"/>
        <s v="Hometown"/>
        <s v="Zero To One"/>
        <s v="Samsung"/>
        <s v="ZARA"/>
        <s v="Levi's"/>
        <s v="ZenFit"/>
        <s v="Ollivia"/>
        <s v="Deep Work"/>
      </sharedItems>
    </cacheField>
    <cacheField name="Price" numFmtId="175">
      <sharedItems containsSemiMixedTypes="0" containsString="0" containsNumber="1" containsInteger="1" minValue="1159" maxValue="4970"/>
    </cacheField>
    <cacheField name="Tax (2.5%)" numFmtId="174">
      <sharedItems containsSemiMixedTypes="0" containsString="0" containsNumber="1" minValue="28.975000000000001" maxValue="124.25"/>
    </cacheField>
    <cacheField name="Tax Round-Up" numFmtId="175">
      <sharedItems containsSemiMixedTypes="0" containsString="0" containsNumber="1" containsInteger="1" minValue="29" maxValue="125"/>
    </cacheField>
    <cacheField name="Price After Tax" numFmtId="175">
      <sharedItems containsSemiMixedTypes="0" containsString="0" containsNumber="1" minValue="1187.9749999999999" maxValue="5094.25"/>
    </cacheField>
    <cacheField name="Unit Sold" numFmtId="0">
      <sharedItems containsSemiMixedTypes="0" containsString="0" containsNumber="1" containsInteger="1" minValue="2" maxValue="10"/>
    </cacheField>
    <cacheField name="Revenue (Inc.Tax)" numFmtId="175">
      <sharedItems containsSemiMixedTypes="0" containsString="0" containsNumber="1" minValue="4907.7000000000007" maxValue="45608.4"/>
    </cacheField>
    <cacheField name="Total Profit" numFmtId="174">
      <sharedItems containsSemiMixedTypes="0" containsString="0" containsNumber="1" minValue="4867.8000000000011" maxValue="45484.8000000000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">
  <r>
    <s v="ND003"/>
    <d v="2024-01-03T00:00:00"/>
    <x v="0"/>
    <s v="Sports &amp; Fitness"/>
    <n v="126589"/>
    <s v="EAST "/>
    <x v="0"/>
    <n v="4891"/>
    <n v="122.27500000000001"/>
    <n v="123"/>
    <n v="5013.2749999999996"/>
    <n v="8"/>
    <n v="40106.199999999997"/>
    <n v="39983.924999999996"/>
  </r>
  <r>
    <s v="ND007"/>
    <d v="2024-01-07T00:00:00"/>
    <x v="0"/>
    <s v="Fashion &amp; Clothing"/>
    <n v="125478"/>
    <s v="North"/>
    <x v="1"/>
    <n v="1596"/>
    <n v="39.900000000000006"/>
    <n v="40"/>
    <n v="1635.9"/>
    <n v="3"/>
    <n v="4907.7000000000007"/>
    <n v="4867.8000000000011"/>
  </r>
  <r>
    <s v="ND010"/>
    <d v="2024-01-10T00:00:00"/>
    <x v="0"/>
    <s v="Book &amp; Education"/>
    <n v="852369"/>
    <s v="North"/>
    <x v="2"/>
    <n v="4296"/>
    <n v="107.4"/>
    <n v="108"/>
    <n v="4403.3999999999996"/>
    <n v="3"/>
    <n v="13210.199999999999"/>
    <n v="13102.8"/>
  </r>
  <r>
    <s v="ND014"/>
    <d v="2024-01-14T00:00:00"/>
    <x v="0"/>
    <s v="Home &amp; Furniture"/>
    <n v="126589"/>
    <s v="North"/>
    <x v="3"/>
    <n v="4187"/>
    <n v="104.67500000000001"/>
    <n v="105"/>
    <n v="4291.6750000000002"/>
    <n v="7"/>
    <n v="30041.725000000002"/>
    <n v="29937.050000000003"/>
  </r>
  <r>
    <s v="ND016"/>
    <d v="2024-01-16T00:00:00"/>
    <x v="0"/>
    <s v="Fashion &amp; Clothing"/>
    <n v="112285"/>
    <s v="North"/>
    <x v="4"/>
    <n v="1698"/>
    <n v="42.45"/>
    <n v="43"/>
    <n v="1740.45"/>
    <n v="9"/>
    <n v="15664.050000000001"/>
    <n v="15621.6"/>
  </r>
  <r>
    <s v="ND020"/>
    <d v="2024-01-20T00:00:00"/>
    <x v="0"/>
    <s v="Mobile &amp; Electronics "/>
    <n v="126589"/>
    <s v="North"/>
    <x v="5"/>
    <n v="1159"/>
    <n v="28.975000000000001"/>
    <n v="29"/>
    <n v="1187.9749999999999"/>
    <n v="7"/>
    <n v="8315.8249999999989"/>
    <n v="8286.8499999999985"/>
  </r>
  <r>
    <s v="ND023"/>
    <d v="2024-01-23T00:00:00"/>
    <x v="0"/>
    <s v="Home &amp; Furniture"/>
    <n v="852369"/>
    <s v="North"/>
    <x v="6"/>
    <n v="2097"/>
    <n v="52.425000000000004"/>
    <n v="53"/>
    <n v="2149.4250000000002"/>
    <n v="7"/>
    <n v="15045.975000000002"/>
    <n v="14993.550000000003"/>
  </r>
  <r>
    <s v="ND027"/>
    <d v="2024-01-27T00:00:00"/>
    <x v="0"/>
    <s v="Sports &amp; Fitness"/>
    <n v="556688"/>
    <s v="South "/>
    <x v="7"/>
    <n v="1553"/>
    <n v="38.825000000000003"/>
    <n v="39"/>
    <n v="1591.825"/>
    <n v="4"/>
    <n v="6367.3"/>
    <n v="6328.4750000000004"/>
  </r>
  <r>
    <s v="ND030"/>
    <d v="2024-01-30T00:00:00"/>
    <x v="0"/>
    <s v="Mobile &amp; Electronics "/>
    <n v="852369"/>
    <s v="North"/>
    <x v="8"/>
    <n v="1604"/>
    <n v="40.1"/>
    <n v="41"/>
    <n v="1644.1"/>
    <n v="7"/>
    <n v="11508.699999999999"/>
    <n v="11468.599999999999"/>
  </r>
  <r>
    <s v="ND004"/>
    <d v="2024-01-04T00:00:00"/>
    <x v="1"/>
    <s v="Home &amp; Furniture"/>
    <n v="852369"/>
    <s v="North"/>
    <x v="9"/>
    <n v="4970"/>
    <n v="124.25"/>
    <n v="125"/>
    <n v="5094.25"/>
    <n v="8"/>
    <n v="40754"/>
    <n v="40629.75"/>
  </r>
  <r>
    <s v="ND008"/>
    <d v="2024-01-08T00:00:00"/>
    <x v="1"/>
    <s v="Sports &amp; Fitness"/>
    <n v="556688"/>
    <s v="WEST"/>
    <x v="10"/>
    <n v="4870"/>
    <n v="121.75"/>
    <n v="122"/>
    <n v="4991.75"/>
    <n v="7"/>
    <n v="34942.25"/>
    <n v="34820.5"/>
  </r>
  <r>
    <s v="ND011"/>
    <d v="2024-01-11T00:00:00"/>
    <x v="1"/>
    <s v="Mobile &amp; Electronics "/>
    <n v="112285"/>
    <s v="WEST"/>
    <x v="11"/>
    <n v="3604"/>
    <n v="90.100000000000009"/>
    <n v="91"/>
    <n v="3694.1"/>
    <n v="3"/>
    <n v="11082.3"/>
    <n v="10992.199999999999"/>
  </r>
  <r>
    <s v="ND017"/>
    <d v="2024-01-17T00:00:00"/>
    <x v="1"/>
    <s v="Sports &amp; Fitness"/>
    <n v="695425"/>
    <s v="WEST"/>
    <x v="12"/>
    <n v="4380"/>
    <n v="109.5"/>
    <n v="110"/>
    <n v="4489.5"/>
    <n v="5"/>
    <n v="22447.5"/>
    <n v="22338"/>
  </r>
  <r>
    <s v="ND021"/>
    <d v="2024-01-21T00:00:00"/>
    <x v="1"/>
    <s v="Fashion &amp; Clothing"/>
    <n v="852369"/>
    <s v="WEST"/>
    <x v="13"/>
    <n v="1394"/>
    <n v="34.85"/>
    <n v="35"/>
    <n v="1428.85"/>
    <n v="9"/>
    <n v="12859.65"/>
    <n v="12824.8"/>
  </r>
  <r>
    <s v="ND024"/>
    <d v="2024-01-24T00:00:00"/>
    <x v="1"/>
    <s v="Book &amp; Education"/>
    <n v="112285"/>
    <s v="WEST"/>
    <x v="14"/>
    <n v="4522"/>
    <n v="113.05000000000001"/>
    <n v="114"/>
    <n v="4635.05"/>
    <n v="5"/>
    <n v="23175.25"/>
    <n v="23062.2"/>
  </r>
  <r>
    <s v="ND028"/>
    <d v="2024-01-28T00:00:00"/>
    <x v="1"/>
    <s v="Home &amp; Furniture"/>
    <n v="126589"/>
    <s v="EAST "/>
    <x v="5"/>
    <n v="3129"/>
    <n v="78.225000000000009"/>
    <n v="79"/>
    <n v="3207.2249999999999"/>
    <n v="9"/>
    <n v="28865.024999999998"/>
    <n v="28786.799999999999"/>
  </r>
  <r>
    <s v="ND001"/>
    <d v="2024-01-01T00:00:00"/>
    <x v="2"/>
    <s v="Mobile &amp; Electronics "/>
    <n v="125478"/>
    <s v="North"/>
    <x v="15"/>
    <n v="2763"/>
    <n v="69.075000000000003"/>
    <n v="70"/>
    <n v="2832.0749999999998"/>
    <n v="10"/>
    <n v="28320.75"/>
    <n v="28251.674999999999"/>
  </r>
  <r>
    <s v="ND005"/>
    <d v="2024-01-05T00:00:00"/>
    <x v="2"/>
    <s v="Book &amp; Education"/>
    <n v="112285"/>
    <s v="North"/>
    <x v="16"/>
    <n v="3577"/>
    <n v="89.425000000000011"/>
    <n v="90"/>
    <n v="3666.4250000000002"/>
    <n v="8"/>
    <n v="29331.4"/>
    <n v="29241.975000000002"/>
  </r>
  <r>
    <s v="ND012"/>
    <d v="2024-01-12T00:00:00"/>
    <x v="2"/>
    <s v="Fashion &amp; Clothing"/>
    <n v="695425"/>
    <s v="North"/>
    <x v="17"/>
    <n v="3727"/>
    <n v="93.175000000000011"/>
    <n v="94"/>
    <n v="3820.1750000000002"/>
    <n v="6"/>
    <n v="22921.050000000003"/>
    <n v="22827.875000000004"/>
  </r>
  <r>
    <s v="ND018"/>
    <d v="2024-01-18T00:00:00"/>
    <x v="2"/>
    <s v="Home &amp; Furniture"/>
    <n v="125478"/>
    <s v="North"/>
    <x v="18"/>
    <n v="2410"/>
    <n v="60.25"/>
    <n v="61"/>
    <n v="2470.25"/>
    <n v="5"/>
    <n v="12351.25"/>
    <n v="12291"/>
  </r>
  <r>
    <s v="ND025"/>
    <d v="2024-01-25T00:00:00"/>
    <x v="2"/>
    <s v="Book &amp; Education"/>
    <n v="695425"/>
    <s v="North"/>
    <x v="19"/>
    <n v="1422"/>
    <n v="35.550000000000004"/>
    <n v="36"/>
    <n v="1457.55"/>
    <n v="8"/>
    <n v="11660.4"/>
    <n v="11624.85"/>
  </r>
  <r>
    <s v="ND002"/>
    <d v="2024-01-02T00:00:00"/>
    <x v="3"/>
    <s v="Fashion &amp; Clothing"/>
    <n v="556688"/>
    <s v="South "/>
    <x v="20"/>
    <n v="4944"/>
    <n v="123.60000000000001"/>
    <n v="124"/>
    <n v="5067.6000000000004"/>
    <n v="9"/>
    <n v="45608.4"/>
    <n v="45484.800000000003"/>
  </r>
  <r>
    <s v="ND006"/>
    <d v="2024-01-06T00:00:00"/>
    <x v="3"/>
    <s v="Mobile &amp; Electronics "/>
    <n v="695425"/>
    <s v="South "/>
    <x v="21"/>
    <n v="4487"/>
    <n v="112.17500000000001"/>
    <n v="113"/>
    <n v="4599.1750000000002"/>
    <n v="7"/>
    <n v="32194.225000000002"/>
    <n v="32082.050000000003"/>
  </r>
  <r>
    <s v="ND009"/>
    <d v="2024-01-09T00:00:00"/>
    <x v="3"/>
    <s v="Home &amp; Furniture"/>
    <n v="126589"/>
    <s v="South "/>
    <x v="22"/>
    <n v="2381"/>
    <n v="59.525000000000006"/>
    <n v="60"/>
    <n v="2440.5250000000001"/>
    <n v="5"/>
    <n v="12202.625"/>
    <n v="12143.1"/>
  </r>
  <r>
    <s v="ND013"/>
    <d v="2024-01-13T00:00:00"/>
    <x v="3"/>
    <s v="Sports &amp; Fitness"/>
    <n v="556688"/>
    <s v="South "/>
    <x v="23"/>
    <n v="4156"/>
    <n v="103.9"/>
    <n v="104"/>
    <n v="4259.8999999999996"/>
    <n v="3"/>
    <n v="12779.699999999999"/>
    <n v="12675.8"/>
  </r>
  <r>
    <s v="ND015"/>
    <d v="2024-01-15T00:00:00"/>
    <x v="3"/>
    <s v="Book &amp; Education"/>
    <n v="852369"/>
    <s v="South "/>
    <x v="24"/>
    <n v="3685"/>
    <n v="92.125"/>
    <n v="93"/>
    <n v="3777.125"/>
    <n v="6"/>
    <n v="22662.75"/>
    <n v="22570.625"/>
  </r>
  <r>
    <s v="ND019"/>
    <d v="2024-01-19T00:00:00"/>
    <x v="3"/>
    <s v="Book &amp; Education"/>
    <n v="556688"/>
    <s v="South "/>
    <x v="7"/>
    <n v="2390"/>
    <n v="59.75"/>
    <n v="60"/>
    <n v="2449.75"/>
    <n v="3"/>
    <n v="7349.25"/>
    <n v="7289.5"/>
  </r>
  <r>
    <s v="ND022"/>
    <d v="2024-01-22T00:00:00"/>
    <x v="3"/>
    <s v="Sports &amp; Fitness"/>
    <n v="112285"/>
    <s v="South "/>
    <x v="8"/>
    <n v="2823"/>
    <n v="70.575000000000003"/>
    <n v="71"/>
    <n v="2893.5749999999998"/>
    <n v="4"/>
    <n v="11574.3"/>
    <n v="11503.724999999999"/>
  </r>
  <r>
    <s v="ND026"/>
    <d v="2024-01-26T00:00:00"/>
    <x v="3"/>
    <s v="Fashion &amp; Clothing"/>
    <n v="125478"/>
    <s v="South "/>
    <x v="25"/>
    <n v="4199"/>
    <n v="104.97500000000001"/>
    <n v="105"/>
    <n v="4303.9750000000004"/>
    <n v="2"/>
    <n v="8607.9500000000007"/>
    <n v="8502.9750000000004"/>
  </r>
  <r>
    <s v="ND029"/>
    <d v="2024-01-29T00:00:00"/>
    <x v="3"/>
    <s v="Book &amp; Education"/>
    <n v="112285"/>
    <s v="WEST"/>
    <x v="13"/>
    <n v="1730"/>
    <n v="43.25"/>
    <n v="44"/>
    <n v="1773.25"/>
    <n v="8"/>
    <n v="14186"/>
    <n v="14142.7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4B6FC4-4476-4AA6-BEFE-BE6BDFDE89A7}" name="PivotTable2" cacheId="130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8">
  <location ref="X4:Z9" firstHeaderRow="1" firstDataRow="1" firstDataCol="2"/>
  <pivotFields count="14">
    <pivotField compact="0" outline="0" showAll="0"/>
    <pivotField compact="0" outline="0" showAll="0"/>
    <pivotField axis="axisRow" compact="0" outline="0" showAll="0">
      <items count="5">
        <item sd="0" x="0"/>
        <item sd="0" x="1"/>
        <item sd="0" x="2"/>
        <item sd="0" x="3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>
      <items count="27">
        <item x="1"/>
        <item x="15"/>
        <item x="6"/>
        <item x="25"/>
        <item x="3"/>
        <item x="4"/>
        <item x="18"/>
        <item x="5"/>
        <item x="12"/>
        <item x="22"/>
        <item x="11"/>
        <item x="24"/>
        <item x="16"/>
        <item x="17"/>
        <item x="8"/>
        <item x="14"/>
        <item x="10"/>
        <item x="9"/>
        <item x="20"/>
        <item x="7"/>
        <item x="2"/>
        <item x="0"/>
        <item x="13"/>
        <item x="21"/>
        <item x="23"/>
        <item x="19"/>
        <item t="default"/>
      </items>
    </pivotField>
    <pivotField compact="0" numFmtId="175" outline="0" showAll="0"/>
    <pivotField compact="0" numFmtId="174" outline="0" showAll="0"/>
    <pivotField compact="0" numFmtId="175" outline="0" showAll="0"/>
    <pivotField compact="0" numFmtId="175" outline="0" showAll="0"/>
    <pivotField dataField="1" compact="0" outline="0" showAll="0"/>
    <pivotField compact="0" numFmtId="175" outline="0" showAll="0"/>
    <pivotField compact="0" numFmtId="174" outline="0" showAll="0"/>
  </pivotFields>
  <rowFields count="2">
    <field x="2"/>
    <field x="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Unit Sold" fld="11" baseField="0" baseItem="0"/>
  </dataFields>
  <formats count="16">
    <format dxfId="54">
      <pivotArea type="all" dataOnly="0" outline="0" fieldPosition="0"/>
    </format>
    <format dxfId="55">
      <pivotArea outline="0" collapsedLevelsAreSubtotals="1" fieldPosition="0"/>
    </format>
    <format dxfId="56">
      <pivotArea dataOnly="0" labelOnly="1" outline="0" fieldPosition="0">
        <references count="1">
          <reference field="2" count="0" defaultSubtotal="1"/>
        </references>
      </pivotArea>
    </format>
    <format dxfId="57">
      <pivotArea dataOnly="0" labelOnly="1" outline="0" fieldPosition="0">
        <references count="2">
          <reference field="2" count="1" selected="0">
            <x v="0"/>
          </reference>
          <reference field="6" count="9">
            <x v="0"/>
            <x v="2"/>
            <x v="4"/>
            <x v="5"/>
            <x v="7"/>
            <x v="14"/>
            <x v="19"/>
            <x v="20"/>
            <x v="21"/>
          </reference>
        </references>
      </pivotArea>
    </format>
    <format dxfId="58">
      <pivotArea dataOnly="0" labelOnly="1" outline="0" fieldPosition="0">
        <references count="2">
          <reference field="2" count="1" selected="0">
            <x v="1"/>
          </reference>
          <reference field="6" count="7">
            <x v="7"/>
            <x v="8"/>
            <x v="10"/>
            <x v="15"/>
            <x v="16"/>
            <x v="17"/>
            <x v="22"/>
          </reference>
        </references>
      </pivotArea>
    </format>
    <format dxfId="59">
      <pivotArea dataOnly="0" labelOnly="1" outline="0" fieldPosition="0">
        <references count="2">
          <reference field="2" count="1" selected="0">
            <x v="2"/>
          </reference>
          <reference field="6" count="5">
            <x v="1"/>
            <x v="6"/>
            <x v="12"/>
            <x v="13"/>
            <x v="25"/>
          </reference>
        </references>
      </pivotArea>
    </format>
    <format dxfId="60">
      <pivotArea dataOnly="0" labelOnly="1" outline="0" fieldPosition="0">
        <references count="2">
          <reference field="2" count="1" selected="0">
            <x v="3"/>
          </reference>
          <reference field="6" count="9">
            <x v="3"/>
            <x v="9"/>
            <x v="11"/>
            <x v="14"/>
            <x v="18"/>
            <x v="19"/>
            <x v="22"/>
            <x v="23"/>
            <x v="24"/>
          </reference>
        </references>
      </pivotArea>
    </format>
    <format dxfId="61">
      <pivotArea outline="0" collapsedLevelsAreSubtotals="1" fieldPosition="0"/>
    </format>
    <format dxfId="62">
      <pivotArea outline="0" collapsedLevelsAreSubtotals="1" fieldPosition="0"/>
    </format>
    <format dxfId="63">
      <pivotArea type="all" dataOnly="0" outline="0" fieldPosition="0"/>
    </format>
    <format dxfId="64">
      <pivotArea outline="0" collapsedLevelsAreSubtotals="1" fieldPosition="0"/>
    </format>
    <format dxfId="65">
      <pivotArea field="2" type="button" dataOnly="0" labelOnly="1" outline="0" axis="axisRow" fieldPosition="0"/>
    </format>
    <format dxfId="66">
      <pivotArea field="6" type="button" dataOnly="0" labelOnly="1" outline="0" axis="axisRow" fieldPosition="1"/>
    </format>
    <format dxfId="67">
      <pivotArea dataOnly="0" labelOnly="1" outline="0" fieldPosition="0">
        <references count="1">
          <reference field="2" count="0"/>
        </references>
      </pivotArea>
    </format>
    <format dxfId="68">
      <pivotArea dataOnly="0" labelOnly="1" grandRow="1" outline="0" fieldPosition="0"/>
    </format>
    <format dxfId="69">
      <pivotArea dataOnly="0" labelOnly="1" outline="0" axis="axisValues" fieldPosition="0"/>
    </format>
  </formats>
  <chartFormats count="6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5E9965-ECBF-4976-86D3-F2DF60FBA41E}" name="PivotTable1" cacheId="130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29">
  <location ref="Q4:V9" firstHeaderRow="0" firstDataRow="1" firstDataCol="2"/>
  <pivotFields count="14">
    <pivotField compact="0" outline="0" showAll="0"/>
    <pivotField compact="0" outline="0" showAll="0"/>
    <pivotField axis="axisRow" compact="0" outline="0" showAll="0">
      <items count="5">
        <item sd="0" x="0"/>
        <item sd="0" x="1"/>
        <item sd="0" x="2"/>
        <item sd="0" x="3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>
      <items count="27">
        <item x="1"/>
        <item x="15"/>
        <item x="6"/>
        <item x="25"/>
        <item x="3"/>
        <item x="4"/>
        <item x="18"/>
        <item x="5"/>
        <item x="12"/>
        <item x="22"/>
        <item x="11"/>
        <item x="24"/>
        <item x="16"/>
        <item x="17"/>
        <item x="8"/>
        <item x="14"/>
        <item x="10"/>
        <item x="9"/>
        <item x="20"/>
        <item x="7"/>
        <item x="2"/>
        <item x="0"/>
        <item x="13"/>
        <item x="21"/>
        <item x="23"/>
        <item x="19"/>
        <item t="default"/>
      </items>
    </pivotField>
    <pivotField dataField="1" compact="0" numFmtId="175" outline="0" showAll="0"/>
    <pivotField dataField="1" compact="0" numFmtId="174" outline="0" showAll="0"/>
    <pivotField compact="0" numFmtId="175" outline="0" showAll="0"/>
    <pivotField compact="0" numFmtId="175" outline="0" showAll="0"/>
    <pivotField dataField="1" compact="0" outline="0" showAll="0"/>
    <pivotField compact="0" numFmtId="175" outline="0" showAll="0"/>
    <pivotField dataField="1" compact="0" numFmtId="174" outline="0" showAll="0"/>
  </pivotFields>
  <rowFields count="2">
    <field x="2"/>
    <field x="6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Price" fld="7" baseField="0" baseItem="0" numFmtId="175"/>
    <dataField name="Sum of Unit Sold" fld="11" baseField="0" baseItem="0"/>
    <dataField name="Sum of Total Profit" fld="13" baseField="0" baseItem="0" numFmtId="174"/>
    <dataField name="Sum of Tax (2.5%)" fld="8" baseField="0" baseItem="0" numFmtId="174"/>
  </dataFields>
  <formats count="15">
    <format dxfId="39">
      <pivotArea type="all" dataOnly="0" outline="0" fieldPosition="0"/>
    </format>
    <format dxfId="40">
      <pivotArea dataOnly="0" labelOnly="1" outline="0" fieldPosition="0">
        <references count="1">
          <reference field="2" count="0" defaultSubtotal="1"/>
        </references>
      </pivotArea>
    </format>
    <format dxfId="41">
      <pivotArea dataOnly="0" labelOnly="1" outline="0" fieldPosition="0">
        <references count="2">
          <reference field="2" count="1" selected="0">
            <x v="0"/>
          </reference>
          <reference field="6" count="9">
            <x v="0"/>
            <x v="2"/>
            <x v="4"/>
            <x v="5"/>
            <x v="7"/>
            <x v="14"/>
            <x v="19"/>
            <x v="20"/>
            <x v="21"/>
          </reference>
        </references>
      </pivotArea>
    </format>
    <format dxfId="42">
      <pivotArea dataOnly="0" labelOnly="1" outline="0" fieldPosition="0">
        <references count="2">
          <reference field="2" count="1" selected="0">
            <x v="1"/>
          </reference>
          <reference field="6" count="7">
            <x v="7"/>
            <x v="8"/>
            <x v="10"/>
            <x v="15"/>
            <x v="16"/>
            <x v="17"/>
            <x v="22"/>
          </reference>
        </references>
      </pivotArea>
    </format>
    <format dxfId="43">
      <pivotArea dataOnly="0" labelOnly="1" outline="0" fieldPosition="0">
        <references count="2">
          <reference field="2" count="1" selected="0">
            <x v="2"/>
          </reference>
          <reference field="6" count="5">
            <x v="1"/>
            <x v="6"/>
            <x v="12"/>
            <x v="13"/>
            <x v="25"/>
          </reference>
        </references>
      </pivotArea>
    </format>
    <format dxfId="44">
      <pivotArea dataOnly="0" labelOnly="1" outline="0" fieldPosition="0">
        <references count="2">
          <reference field="2" count="1" selected="0">
            <x v="3"/>
          </reference>
          <reference field="6" count="9">
            <x v="3"/>
            <x v="9"/>
            <x v="11"/>
            <x v="14"/>
            <x v="18"/>
            <x v="19"/>
            <x v="22"/>
            <x v="23"/>
            <x v="24"/>
          </reference>
        </references>
      </pivotArea>
    </format>
    <format dxfId="45">
      <pivotArea outline="0" fieldPosition="0">
        <references count="1">
          <reference field="4294967294" count="1" selected="0">
            <x v="1"/>
          </reference>
        </references>
      </pivotArea>
    </format>
    <format dxfId="46">
      <pivotArea outline="0" fieldPosition="0">
        <references count="1">
          <reference field="4294967294" count="1" selected="0">
            <x v="1"/>
          </reference>
        </references>
      </pivotArea>
    </format>
    <format dxfId="47">
      <pivotArea type="all" dataOnly="0" outline="0" fieldPosition="0"/>
    </format>
    <format dxfId="48">
      <pivotArea outline="0" collapsedLevelsAreSubtotals="1" fieldPosition="0"/>
    </format>
    <format dxfId="49">
      <pivotArea field="2" type="button" dataOnly="0" labelOnly="1" outline="0" axis="axisRow" fieldPosition="0"/>
    </format>
    <format dxfId="50">
      <pivotArea field="6" type="button" dataOnly="0" labelOnly="1" outline="0" axis="axisRow" fieldPosition="1"/>
    </format>
    <format dxfId="51">
      <pivotArea dataOnly="0" labelOnly="1" outline="0" fieldPosition="0">
        <references count="1">
          <reference field="2" count="0"/>
        </references>
      </pivotArea>
    </format>
    <format dxfId="52">
      <pivotArea dataOnly="0" labelOnly="1" grandRow="1" outline="0" fieldPosition="0"/>
    </format>
    <format dxfId="5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hartFormats count="136"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4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6" count="1" selected="0">
            <x v="0"/>
          </reference>
        </references>
      </pivotArea>
    </chartFormat>
    <chartFormat chart="22" format="5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6" count="1" selected="0">
            <x v="2"/>
          </reference>
        </references>
      </pivotArea>
    </chartFormat>
    <chartFormat chart="22" format="6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6" count="1" selected="0">
            <x v="4"/>
          </reference>
        </references>
      </pivotArea>
    </chartFormat>
    <chartFormat chart="22" format="7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6" count="1" selected="0">
            <x v="5"/>
          </reference>
        </references>
      </pivotArea>
    </chartFormat>
    <chartFormat chart="22" format="8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6" count="1" selected="0">
            <x v="7"/>
          </reference>
        </references>
      </pivotArea>
    </chartFormat>
    <chartFormat chart="22" format="9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6" count="1" selected="0">
            <x v="14"/>
          </reference>
        </references>
      </pivotArea>
    </chartFormat>
    <chartFormat chart="22" format="10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6" count="1" selected="0">
            <x v="19"/>
          </reference>
        </references>
      </pivotArea>
    </chartFormat>
    <chartFormat chart="22" format="1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6" count="1" selected="0">
            <x v="20"/>
          </reference>
        </references>
      </pivotArea>
    </chartFormat>
    <chartFormat chart="22" format="12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6" count="1" selected="0">
            <x v="21"/>
          </reference>
        </references>
      </pivotArea>
    </chartFormat>
    <chartFormat chart="22" format="13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2" format="14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2" format="15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2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" format="17">
      <pivotArea type="data" outline="0" fieldPosition="0">
        <references count="3">
          <reference field="4294967294" count="1" selected="0">
            <x v="1"/>
          </reference>
          <reference field="2" count="1" selected="0">
            <x v="0"/>
          </reference>
          <reference field="6" count="1" selected="0">
            <x v="0"/>
          </reference>
        </references>
      </pivotArea>
    </chartFormat>
    <chartFormat chart="22" format="18">
      <pivotArea type="data" outline="0" fieldPosition="0">
        <references count="3">
          <reference field="4294967294" count="1" selected="0">
            <x v="1"/>
          </reference>
          <reference field="2" count="1" selected="0">
            <x v="0"/>
          </reference>
          <reference field="6" count="1" selected="0">
            <x v="2"/>
          </reference>
        </references>
      </pivotArea>
    </chartFormat>
    <chartFormat chart="22" format="19">
      <pivotArea type="data" outline="0" fieldPosition="0">
        <references count="3">
          <reference field="4294967294" count="1" selected="0">
            <x v="1"/>
          </reference>
          <reference field="2" count="1" selected="0">
            <x v="0"/>
          </reference>
          <reference field="6" count="1" selected="0">
            <x v="4"/>
          </reference>
        </references>
      </pivotArea>
    </chartFormat>
    <chartFormat chart="22" format="20">
      <pivotArea type="data" outline="0" fieldPosition="0">
        <references count="3">
          <reference field="4294967294" count="1" selected="0">
            <x v="1"/>
          </reference>
          <reference field="2" count="1" selected="0">
            <x v="0"/>
          </reference>
          <reference field="6" count="1" selected="0">
            <x v="5"/>
          </reference>
        </references>
      </pivotArea>
    </chartFormat>
    <chartFormat chart="22" format="21">
      <pivotArea type="data" outline="0" fieldPosition="0">
        <references count="3">
          <reference field="4294967294" count="1" selected="0">
            <x v="1"/>
          </reference>
          <reference field="2" count="1" selected="0">
            <x v="0"/>
          </reference>
          <reference field="6" count="1" selected="0">
            <x v="7"/>
          </reference>
        </references>
      </pivotArea>
    </chartFormat>
    <chartFormat chart="22" format="22">
      <pivotArea type="data" outline="0" fieldPosition="0">
        <references count="3">
          <reference field="4294967294" count="1" selected="0">
            <x v="1"/>
          </reference>
          <reference field="2" count="1" selected="0">
            <x v="0"/>
          </reference>
          <reference field="6" count="1" selected="0">
            <x v="14"/>
          </reference>
        </references>
      </pivotArea>
    </chartFormat>
    <chartFormat chart="22" format="23">
      <pivotArea type="data" outline="0" fieldPosition="0">
        <references count="3">
          <reference field="4294967294" count="1" selected="0">
            <x v="1"/>
          </reference>
          <reference field="2" count="1" selected="0">
            <x v="0"/>
          </reference>
          <reference field="6" count="1" selected="0">
            <x v="19"/>
          </reference>
        </references>
      </pivotArea>
    </chartFormat>
    <chartFormat chart="22" format="24">
      <pivotArea type="data" outline="0" fieldPosition="0">
        <references count="3">
          <reference field="4294967294" count="1" selected="0">
            <x v="1"/>
          </reference>
          <reference field="2" count="1" selected="0">
            <x v="0"/>
          </reference>
          <reference field="6" count="1" selected="0">
            <x v="20"/>
          </reference>
        </references>
      </pivotArea>
    </chartFormat>
    <chartFormat chart="22" format="25">
      <pivotArea type="data" outline="0" fieldPosition="0">
        <references count="3">
          <reference field="4294967294" count="1" selected="0">
            <x v="1"/>
          </reference>
          <reference field="2" count="1" selected="0">
            <x v="0"/>
          </reference>
          <reference field="6" count="1" selected="0">
            <x v="21"/>
          </reference>
        </references>
      </pivotArea>
    </chartFormat>
    <chartFormat chart="22" format="26">
      <pivotArea type="data" outline="0" fieldPosition="0">
        <references count="2">
          <reference field="4294967294" count="1" selected="0">
            <x v="1"/>
          </reference>
          <reference field="2" count="1" selected="0">
            <x v="1"/>
          </reference>
        </references>
      </pivotArea>
    </chartFormat>
    <chartFormat chart="22" format="27">
      <pivotArea type="data" outline="0" fieldPosition="0">
        <references count="2">
          <reference field="4294967294" count="1" selected="0">
            <x v="1"/>
          </reference>
          <reference field="2" count="1" selected="0">
            <x v="2"/>
          </reference>
        </references>
      </pivotArea>
    </chartFormat>
    <chartFormat chart="22" format="28">
      <pivotArea type="data" outline="0" fieldPosition="0">
        <references count="2">
          <reference field="4294967294" count="1" selected="0">
            <x v="1"/>
          </reference>
          <reference field="2" count="1" selected="0">
            <x v="3"/>
          </reference>
        </references>
      </pivotArea>
    </chartFormat>
    <chartFormat chart="22" format="2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2" format="30">
      <pivotArea type="data" outline="0" fieldPosition="0">
        <references count="3">
          <reference field="4294967294" count="1" selected="0">
            <x v="2"/>
          </reference>
          <reference field="2" count="1" selected="0">
            <x v="0"/>
          </reference>
          <reference field="6" count="1" selected="0">
            <x v="0"/>
          </reference>
        </references>
      </pivotArea>
    </chartFormat>
    <chartFormat chart="22" format="31">
      <pivotArea type="data" outline="0" fieldPosition="0">
        <references count="3">
          <reference field="4294967294" count="1" selected="0">
            <x v="2"/>
          </reference>
          <reference field="2" count="1" selected="0">
            <x v="0"/>
          </reference>
          <reference field="6" count="1" selected="0">
            <x v="2"/>
          </reference>
        </references>
      </pivotArea>
    </chartFormat>
    <chartFormat chart="22" format="32">
      <pivotArea type="data" outline="0" fieldPosition="0">
        <references count="3">
          <reference field="4294967294" count="1" selected="0">
            <x v="2"/>
          </reference>
          <reference field="2" count="1" selected="0">
            <x v="0"/>
          </reference>
          <reference field="6" count="1" selected="0">
            <x v="4"/>
          </reference>
        </references>
      </pivotArea>
    </chartFormat>
    <chartFormat chart="22" format="33">
      <pivotArea type="data" outline="0" fieldPosition="0">
        <references count="3">
          <reference field="4294967294" count="1" selected="0">
            <x v="2"/>
          </reference>
          <reference field="2" count="1" selected="0">
            <x v="0"/>
          </reference>
          <reference field="6" count="1" selected="0">
            <x v="5"/>
          </reference>
        </references>
      </pivotArea>
    </chartFormat>
    <chartFormat chart="22" format="34">
      <pivotArea type="data" outline="0" fieldPosition="0">
        <references count="3">
          <reference field="4294967294" count="1" selected="0">
            <x v="2"/>
          </reference>
          <reference field="2" count="1" selected="0">
            <x v="0"/>
          </reference>
          <reference field="6" count="1" selected="0">
            <x v="7"/>
          </reference>
        </references>
      </pivotArea>
    </chartFormat>
    <chartFormat chart="22" format="35">
      <pivotArea type="data" outline="0" fieldPosition="0">
        <references count="3">
          <reference field="4294967294" count="1" selected="0">
            <x v="2"/>
          </reference>
          <reference field="2" count="1" selected="0">
            <x v="0"/>
          </reference>
          <reference field="6" count="1" selected="0">
            <x v="14"/>
          </reference>
        </references>
      </pivotArea>
    </chartFormat>
    <chartFormat chart="22" format="36">
      <pivotArea type="data" outline="0" fieldPosition="0">
        <references count="3">
          <reference field="4294967294" count="1" selected="0">
            <x v="2"/>
          </reference>
          <reference field="2" count="1" selected="0">
            <x v="0"/>
          </reference>
          <reference field="6" count="1" selected="0">
            <x v="19"/>
          </reference>
        </references>
      </pivotArea>
    </chartFormat>
    <chartFormat chart="22" format="37">
      <pivotArea type="data" outline="0" fieldPosition="0">
        <references count="3">
          <reference field="4294967294" count="1" selected="0">
            <x v="2"/>
          </reference>
          <reference field="2" count="1" selected="0">
            <x v="0"/>
          </reference>
          <reference field="6" count="1" selected="0">
            <x v="20"/>
          </reference>
        </references>
      </pivotArea>
    </chartFormat>
    <chartFormat chart="22" format="38">
      <pivotArea type="data" outline="0" fieldPosition="0">
        <references count="3">
          <reference field="4294967294" count="1" selected="0">
            <x v="2"/>
          </reference>
          <reference field="2" count="1" selected="0">
            <x v="0"/>
          </reference>
          <reference field="6" count="1" selected="0">
            <x v="21"/>
          </reference>
        </references>
      </pivotArea>
    </chartFormat>
    <chartFormat chart="22" format="39">
      <pivotArea type="data" outline="0" fieldPosition="0">
        <references count="2">
          <reference field="4294967294" count="1" selected="0">
            <x v="2"/>
          </reference>
          <reference field="2" count="1" selected="0">
            <x v="1"/>
          </reference>
        </references>
      </pivotArea>
    </chartFormat>
    <chartFormat chart="22" format="40">
      <pivotArea type="data" outline="0" fieldPosition="0">
        <references count="2">
          <reference field="4294967294" count="1" selected="0">
            <x v="2"/>
          </reference>
          <reference field="2" count="1" selected="0">
            <x v="2"/>
          </reference>
        </references>
      </pivotArea>
    </chartFormat>
    <chartFormat chart="22" format="41">
      <pivotArea type="data" outline="0" fieldPosition="0">
        <references count="2">
          <reference field="4294967294" count="1" selected="0">
            <x v="2"/>
          </reference>
          <reference field="2" count="1" selected="0">
            <x v="3"/>
          </reference>
        </references>
      </pivotArea>
    </chartFormat>
    <chartFormat chart="23" format="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43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6" count="1" selected="0">
            <x v="0"/>
          </reference>
        </references>
      </pivotArea>
    </chartFormat>
    <chartFormat chart="23" format="44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6" count="1" selected="0">
            <x v="2"/>
          </reference>
        </references>
      </pivotArea>
    </chartFormat>
    <chartFormat chart="23" format="45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6" count="1" selected="0">
            <x v="4"/>
          </reference>
        </references>
      </pivotArea>
    </chartFormat>
    <chartFormat chart="23" format="46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6" count="1" selected="0">
            <x v="5"/>
          </reference>
        </references>
      </pivotArea>
    </chartFormat>
    <chartFormat chart="23" format="47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6" count="1" selected="0">
            <x v="7"/>
          </reference>
        </references>
      </pivotArea>
    </chartFormat>
    <chartFormat chart="23" format="48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6" count="1" selected="0">
            <x v="14"/>
          </reference>
        </references>
      </pivotArea>
    </chartFormat>
    <chartFormat chart="23" format="49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6" count="1" selected="0">
            <x v="19"/>
          </reference>
        </references>
      </pivotArea>
    </chartFormat>
    <chartFormat chart="23" format="50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6" count="1" selected="0">
            <x v="20"/>
          </reference>
        </references>
      </pivotArea>
    </chartFormat>
    <chartFormat chart="23" format="5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6" count="1" selected="0">
            <x v="21"/>
          </reference>
        </references>
      </pivotArea>
    </chartFormat>
    <chartFormat chart="23" format="52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3" format="53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3" format="54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3" format="5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3" format="56">
      <pivotArea type="data" outline="0" fieldPosition="0">
        <references count="3">
          <reference field="4294967294" count="1" selected="0">
            <x v="1"/>
          </reference>
          <reference field="2" count="1" selected="0">
            <x v="0"/>
          </reference>
          <reference field="6" count="1" selected="0">
            <x v="0"/>
          </reference>
        </references>
      </pivotArea>
    </chartFormat>
    <chartFormat chart="23" format="57">
      <pivotArea type="data" outline="0" fieldPosition="0">
        <references count="3">
          <reference field="4294967294" count="1" selected="0">
            <x v="1"/>
          </reference>
          <reference field="2" count="1" selected="0">
            <x v="0"/>
          </reference>
          <reference field="6" count="1" selected="0">
            <x v="2"/>
          </reference>
        </references>
      </pivotArea>
    </chartFormat>
    <chartFormat chart="23" format="58">
      <pivotArea type="data" outline="0" fieldPosition="0">
        <references count="3">
          <reference field="4294967294" count="1" selected="0">
            <x v="1"/>
          </reference>
          <reference field="2" count="1" selected="0">
            <x v="0"/>
          </reference>
          <reference field="6" count="1" selected="0">
            <x v="4"/>
          </reference>
        </references>
      </pivotArea>
    </chartFormat>
    <chartFormat chart="23" format="59">
      <pivotArea type="data" outline="0" fieldPosition="0">
        <references count="3">
          <reference field="4294967294" count="1" selected="0">
            <x v="1"/>
          </reference>
          <reference field="2" count="1" selected="0">
            <x v="0"/>
          </reference>
          <reference field="6" count="1" selected="0">
            <x v="5"/>
          </reference>
        </references>
      </pivotArea>
    </chartFormat>
    <chartFormat chart="23" format="60">
      <pivotArea type="data" outline="0" fieldPosition="0">
        <references count="3">
          <reference field="4294967294" count="1" selected="0">
            <x v="1"/>
          </reference>
          <reference field="2" count="1" selected="0">
            <x v="0"/>
          </reference>
          <reference field="6" count="1" selected="0">
            <x v="7"/>
          </reference>
        </references>
      </pivotArea>
    </chartFormat>
    <chartFormat chart="23" format="61">
      <pivotArea type="data" outline="0" fieldPosition="0">
        <references count="3">
          <reference field="4294967294" count="1" selected="0">
            <x v="1"/>
          </reference>
          <reference field="2" count="1" selected="0">
            <x v="0"/>
          </reference>
          <reference field="6" count="1" selected="0">
            <x v="14"/>
          </reference>
        </references>
      </pivotArea>
    </chartFormat>
    <chartFormat chart="23" format="62">
      <pivotArea type="data" outline="0" fieldPosition="0">
        <references count="3">
          <reference field="4294967294" count="1" selected="0">
            <x v="1"/>
          </reference>
          <reference field="2" count="1" selected="0">
            <x v="0"/>
          </reference>
          <reference field="6" count="1" selected="0">
            <x v="19"/>
          </reference>
        </references>
      </pivotArea>
    </chartFormat>
    <chartFormat chart="23" format="63">
      <pivotArea type="data" outline="0" fieldPosition="0">
        <references count="3">
          <reference field="4294967294" count="1" selected="0">
            <x v="1"/>
          </reference>
          <reference field="2" count="1" selected="0">
            <x v="0"/>
          </reference>
          <reference field="6" count="1" selected="0">
            <x v="20"/>
          </reference>
        </references>
      </pivotArea>
    </chartFormat>
    <chartFormat chart="23" format="64">
      <pivotArea type="data" outline="0" fieldPosition="0">
        <references count="3">
          <reference field="4294967294" count="1" selected="0">
            <x v="1"/>
          </reference>
          <reference field="2" count="1" selected="0">
            <x v="0"/>
          </reference>
          <reference field="6" count="1" selected="0">
            <x v="21"/>
          </reference>
        </references>
      </pivotArea>
    </chartFormat>
    <chartFormat chart="23" format="65">
      <pivotArea type="data" outline="0" fieldPosition="0">
        <references count="2">
          <reference field="4294967294" count="1" selected="0">
            <x v="1"/>
          </reference>
          <reference field="2" count="1" selected="0">
            <x v="1"/>
          </reference>
        </references>
      </pivotArea>
    </chartFormat>
    <chartFormat chart="23" format="66">
      <pivotArea type="data" outline="0" fieldPosition="0">
        <references count="2">
          <reference field="4294967294" count="1" selected="0">
            <x v="1"/>
          </reference>
          <reference field="2" count="1" selected="0">
            <x v="2"/>
          </reference>
        </references>
      </pivotArea>
    </chartFormat>
    <chartFormat chart="23" format="67">
      <pivotArea type="data" outline="0" fieldPosition="0">
        <references count="2">
          <reference field="4294967294" count="1" selected="0">
            <x v="1"/>
          </reference>
          <reference field="2" count="1" selected="0">
            <x v="3"/>
          </reference>
        </references>
      </pivotArea>
    </chartFormat>
    <chartFormat chart="23" format="6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3" format="69">
      <pivotArea type="data" outline="0" fieldPosition="0">
        <references count="3">
          <reference field="4294967294" count="1" selected="0">
            <x v="2"/>
          </reference>
          <reference field="2" count="1" selected="0">
            <x v="0"/>
          </reference>
          <reference field="6" count="1" selected="0">
            <x v="0"/>
          </reference>
        </references>
      </pivotArea>
    </chartFormat>
    <chartFormat chart="23" format="70">
      <pivotArea type="data" outline="0" fieldPosition="0">
        <references count="3">
          <reference field="4294967294" count="1" selected="0">
            <x v="2"/>
          </reference>
          <reference field="2" count="1" selected="0">
            <x v="0"/>
          </reference>
          <reference field="6" count="1" selected="0">
            <x v="2"/>
          </reference>
        </references>
      </pivotArea>
    </chartFormat>
    <chartFormat chart="23" format="71">
      <pivotArea type="data" outline="0" fieldPosition="0">
        <references count="3">
          <reference field="4294967294" count="1" selected="0">
            <x v="2"/>
          </reference>
          <reference field="2" count="1" selected="0">
            <x v="0"/>
          </reference>
          <reference field="6" count="1" selected="0">
            <x v="4"/>
          </reference>
        </references>
      </pivotArea>
    </chartFormat>
    <chartFormat chart="23" format="72">
      <pivotArea type="data" outline="0" fieldPosition="0">
        <references count="3">
          <reference field="4294967294" count="1" selected="0">
            <x v="2"/>
          </reference>
          <reference field="2" count="1" selected="0">
            <x v="0"/>
          </reference>
          <reference field="6" count="1" selected="0">
            <x v="5"/>
          </reference>
        </references>
      </pivotArea>
    </chartFormat>
    <chartFormat chart="23" format="73">
      <pivotArea type="data" outline="0" fieldPosition="0">
        <references count="3">
          <reference field="4294967294" count="1" selected="0">
            <x v="2"/>
          </reference>
          <reference field="2" count="1" selected="0">
            <x v="0"/>
          </reference>
          <reference field="6" count="1" selected="0">
            <x v="7"/>
          </reference>
        </references>
      </pivotArea>
    </chartFormat>
    <chartFormat chart="23" format="74">
      <pivotArea type="data" outline="0" fieldPosition="0">
        <references count="3">
          <reference field="4294967294" count="1" selected="0">
            <x v="2"/>
          </reference>
          <reference field="2" count="1" selected="0">
            <x v="0"/>
          </reference>
          <reference field="6" count="1" selected="0">
            <x v="14"/>
          </reference>
        </references>
      </pivotArea>
    </chartFormat>
    <chartFormat chart="23" format="75">
      <pivotArea type="data" outline="0" fieldPosition="0">
        <references count="3">
          <reference field="4294967294" count="1" selected="0">
            <x v="2"/>
          </reference>
          <reference field="2" count="1" selected="0">
            <x v="0"/>
          </reference>
          <reference field="6" count="1" selected="0">
            <x v="19"/>
          </reference>
        </references>
      </pivotArea>
    </chartFormat>
    <chartFormat chart="23" format="76">
      <pivotArea type="data" outline="0" fieldPosition="0">
        <references count="3">
          <reference field="4294967294" count="1" selected="0">
            <x v="2"/>
          </reference>
          <reference field="2" count="1" selected="0">
            <x v="0"/>
          </reference>
          <reference field="6" count="1" selected="0">
            <x v="20"/>
          </reference>
        </references>
      </pivotArea>
    </chartFormat>
    <chartFormat chart="23" format="77">
      <pivotArea type="data" outline="0" fieldPosition="0">
        <references count="3">
          <reference field="4294967294" count="1" selected="0">
            <x v="2"/>
          </reference>
          <reference field="2" count="1" selected="0">
            <x v="0"/>
          </reference>
          <reference field="6" count="1" selected="0">
            <x v="21"/>
          </reference>
        </references>
      </pivotArea>
    </chartFormat>
    <chartFormat chart="23" format="78">
      <pivotArea type="data" outline="0" fieldPosition="0">
        <references count="2">
          <reference field="4294967294" count="1" selected="0">
            <x v="2"/>
          </reference>
          <reference field="2" count="1" selected="0">
            <x v="1"/>
          </reference>
        </references>
      </pivotArea>
    </chartFormat>
    <chartFormat chart="23" format="79">
      <pivotArea type="data" outline="0" fieldPosition="0">
        <references count="2">
          <reference field="4294967294" count="1" selected="0">
            <x v="2"/>
          </reference>
          <reference field="2" count="1" selected="0">
            <x v="2"/>
          </reference>
        </references>
      </pivotArea>
    </chartFormat>
    <chartFormat chart="23" format="80">
      <pivotArea type="data" outline="0" fieldPosition="0">
        <references count="2">
          <reference field="4294967294" count="1" selected="0">
            <x v="2"/>
          </reference>
          <reference field="2" count="1" selected="0">
            <x v="3"/>
          </reference>
        </references>
      </pivotArea>
    </chartFormat>
    <chartFormat chart="2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5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5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6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7" format="1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8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8" format="1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8" format="19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richData/_rels/rdRichValueWebImage.xml.rels><?xml version="1.0" encoding="UTF-8" standalone="yes"?>
<Relationships xmlns="http://schemas.openxmlformats.org/package/2006/relationships"><Relationship Id="rId3" Type="http://schemas.openxmlformats.org/officeDocument/2006/relationships/hyperlink" Target="https://api.activebarcode.net/v1/png?typeno=14&amp;showtext=1&amp;backcolor=ffffff&amp;forecolor=000000&amp;rotate=0&amp;alignment=1&amp;width=189&amp;height=94&amp;access=YOUR-KEY-HERE&amp;text=12005465" TargetMode="External"/><Relationship Id="rId2" Type="http://schemas.openxmlformats.org/officeDocument/2006/relationships/image" Target="../media/image1.png"/><Relationship Id="rId1" Type="http://schemas.openxmlformats.org/officeDocument/2006/relationships/hyperlink" Target="https://api.activebarcode.net/v1/png?typeno=14&amp;showtext=1&amp;backcolor=ffffff&amp;forecolor=000000&amp;rotate=0&amp;alignment=1&amp;width=189&amp;height=94&amp;access=YOUR-KEY-HERE&amp;text=154554562" TargetMode="External"/><Relationship Id="rId4" Type="http://schemas.openxmlformats.org/officeDocument/2006/relationships/image" Target="../media/image2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webimage">
      <keyFlags>
        <key name="WebImageIdentifier">
          <flag name="ShowInCardView" value="0"/>
        </key>
      </keyFlags>
    </type>
  </types>
</rvTypesInfo>
</file>

<file path=xl/richData/rdRichValueWebImage.xml><?xml version="1.0" encoding="utf-8"?>
<webImagesSrd xmlns="http://schemas.microsoft.com/office/spreadsheetml/2020/richdatawebimage" xmlns:r="http://schemas.openxmlformats.org/officeDocument/2006/relationships">
  <webImageSrd>
    <address r:id="rId1"/>
    <blip r:id="rId2"/>
  </webImageSrd>
  <webImageSrd>
    <address r:id="rId3"/>
    <blip r:id="rId4"/>
  </webImageSrd>
</webImagesSrd>
</file>

<file path=xl/richData/rdrichvalue.xml><?xml version="1.0" encoding="utf-8"?>
<rvData xmlns="http://schemas.microsoft.com/office/spreadsheetml/2017/richdata" count="2">
  <rv s="0">
    <v>0</v>
    <v>1</v>
    <v>0</v>
    <v>0</v>
  </rv>
  <rv s="0">
    <v>1</v>
    <v>1</v>
    <v>0</v>
    <v>0</v>
  </rv>
</rvData>
</file>

<file path=xl/richData/rdrichvaluestructure.xml><?xml version="1.0" encoding="utf-8"?>
<rvStructures xmlns="http://schemas.microsoft.com/office/spreadsheetml/2017/richdata" count="1">
  <s t="_webimage">
    <k n="WebImageIdentifier" t="i"/>
    <k n="CalcOrigin" t="i"/>
    <k n="ComputedImage" t="b"/>
    <k n="ImageSizing" t="i"/>
  </s>
</rvStructures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Employee__Name" xr10:uid="{855115F3-750E-4095-B8CF-8EF0FA74DBE8}" sourceName="Employee_ Name">
  <extLst>
    <x:ext xmlns:x15="http://schemas.microsoft.com/office/spreadsheetml/2010/11/main" uri="{2F2917AC-EB37-4324-AD4E-5DD8C200BD13}">
      <x15:tableSlicerCache tableId="4" column="2"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Department" xr10:uid="{A4178EA6-45E8-4F71-8369-E0159AE10B4C}" sourceName="Department">
  <extLst>
    <x:ext xmlns:x15="http://schemas.microsoft.com/office/spreadsheetml/2010/11/main" uri="{2F2917AC-EB37-4324-AD4E-5DD8C200BD13}">
      <x15:tableSlicerCache tableId="4" column="4"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Salary" xr10:uid="{D00E098A-5D13-4A46-932F-DA6B3A352B8F}" sourceName="Salary">
  <extLst>
    <x:ext xmlns:x15="http://schemas.microsoft.com/office/spreadsheetml/2010/11/main" uri="{2F2917AC-EB37-4324-AD4E-5DD8C200BD13}">
      <x15:tableSlicerCache tableId="4" column="5"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Employee_DOJ" xr10:uid="{59AA47CB-6FA0-4849-B60A-EE75C8A4C2DA}" sourceName="Employee_DOJ">
  <extLst>
    <x:ext xmlns:x15="http://schemas.microsoft.com/office/spreadsheetml/2010/11/main" uri="{2F2917AC-EB37-4324-AD4E-5DD8C200BD13}">
      <x15:tableSlicerCache tableId="4" column="7"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Employee__Name1" xr10:uid="{7C1116FC-BA32-4D9A-9B40-97A4FBE50BC9}" sourceName="Employee_ Name">
  <extLst>
    <x:ext xmlns:x15="http://schemas.microsoft.com/office/spreadsheetml/2010/11/main" uri="{2F2917AC-EB37-4324-AD4E-5DD8C200BD13}">
      <x15:tableSlicerCache tableId="5" column="2"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Salary1" xr10:uid="{BB448845-277B-407A-AF89-1E6A3E20A6A3}" sourceName="Salary">
  <extLst>
    <x:ext xmlns:x15="http://schemas.microsoft.com/office/spreadsheetml/2010/11/main" uri="{2F2917AC-EB37-4324-AD4E-5DD8C200BD13}">
      <x15:tableSlicerCache tableId="5" column="5"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Employee_DOJ1" xr10:uid="{09DD916A-E118-4DD9-85FC-7CA92B0EA4FF}" sourceName="Employee_DOJ">
  <extLst>
    <x:ext xmlns:x15="http://schemas.microsoft.com/office/spreadsheetml/2010/11/main" uri="{2F2917AC-EB37-4324-AD4E-5DD8C200BD13}">
      <x15:tableSlicerCache tableId="5" column="7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Employee_ Name" xr10:uid="{D5FD0177-C03D-407D-8C24-173E2DE0E8BA}" cache="Slicer_Employee__Name" caption="Employee_ Name" rowHeight="228600"/>
  <slicer name="Department" xr10:uid="{939903B6-42DC-4EE4-A5E7-A13E6318F4EA}" cache="Slicer_Department" caption="Department" rowHeight="228600"/>
  <slicer name="Department 1" xr10:uid="{962F019C-FE2F-4BAD-AE4B-D802416C8CEC}" cache="Slicer_Department" caption="Department" rowHeight="228600"/>
  <slicer name="Salary" xr10:uid="{1A16A4E8-37F9-4578-81D7-2253F435268F}" cache="Slicer_Salary" caption="Salary" rowHeight="228600"/>
  <slicer name="Employee_DOJ" xr10:uid="{57CE0A53-CF33-4D58-903A-5A9B8E6F71AB}" cache="Slicer_Employee_DOJ" caption="Employee_DOJ" rowHeight="2286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Employee_ Name 1" xr10:uid="{5332B566-402E-49F5-9A67-34E2DED7EB42}" cache="Slicer_Employee__Name1" caption="Employee_ Name" rowHeight="228600"/>
  <slicer name="Salary 1" xr10:uid="{0BC6CA7C-829F-4E6C-A739-A49316C2330D}" cache="Slicer_Salary1" caption="Salary" rowHeight="228600"/>
  <slicer name="Employee_DOJ 1" xr10:uid="{C21D929F-8BAE-4C3C-BBDF-2BA72264FE72}" cache="Slicer_Employee_DOJ1" caption="Employee_DOJ" rowHeight="2286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F59452C-0844-4E71-B6F1-098D72FA4EA3}" name="Table1" displayName="Table1" ref="G72:I82" totalsRowShown="0">
  <autoFilter ref="G72:I82" xr:uid="{FF59452C-0844-4E71-B6F1-098D72FA4EA3}"/>
  <tableColumns count="3">
    <tableColumn id="1" xr3:uid="{CB755F23-A1CA-4663-BC20-FA1A24953E9C}" name="ID No." dataDxfId="38"/>
    <tableColumn id="2" xr3:uid="{C6836F26-160E-4016-AD98-F921DC26E644}" name="Total Sales" dataDxfId="37"/>
    <tableColumn id="3" xr3:uid="{A828F32B-7AFB-44AE-B70B-99E844ACFFE5}" name="Higher | Lower | Equal " dataDxfId="36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F96E27D-41AD-48C0-A025-B1A9686CA00A}" name="Table2" displayName="Table2" ref="AE10:AG15" totalsRowShown="0" headerRowBorderDxfId="35">
  <autoFilter ref="AE10:AG15" xr:uid="{3F96E27D-41AD-48C0-A025-B1A9686CA00A}"/>
  <tableColumns count="3">
    <tableColumn id="1" xr3:uid="{8FE3AD2C-61BE-4B76-8298-AF7D96EAF377}" name="Seller Name "/>
    <tableColumn id="2" xr3:uid="{A5CF5280-1842-49D1-AA1E-DF1E234F8752}" name="Unit Sold"/>
    <tableColumn id="3" xr3:uid="{7ECA824C-EC8E-4B36-9272-D95A462B18E2}" name="Column1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8241048-9EA5-40BF-B81E-BF1B85E45FA1}" name="Table3" displayName="Table3" ref="B59:K92" totalsRowShown="0" headerRowDxfId="33" dataDxfId="32">
  <autoFilter ref="B59:K92" xr:uid="{08241048-9EA5-40BF-B81E-BF1B85E45FA1}"/>
  <tableColumns count="10">
    <tableColumn id="1" xr3:uid="{BB259257-ED45-4892-A5EA-FAC3602487ED}" name="Column1" dataDxfId="31"/>
    <tableColumn id="9" xr3:uid="{D8FD5F2A-4A2E-44C1-ACB6-90DFDED5EE06}" name="Column12" dataDxfId="30"/>
    <tableColumn id="2" xr3:uid="{45909101-42D0-4F0C-991C-92AD447830C9}" name="Column2" dataDxfId="29"/>
    <tableColumn id="3" xr3:uid="{2FE0117B-CF21-467A-941D-2E28DEF97CE8}" name="Column3" dataDxfId="28"/>
    <tableColumn id="4" xr3:uid="{4F3016BA-2FCC-46BC-B99A-676C09336039}" name="Column4" dataDxfId="27"/>
    <tableColumn id="5" xr3:uid="{3DF1664E-CF9A-47B9-8EB5-7417F9DBFD08}" name="Column5" dataDxfId="26"/>
    <tableColumn id="6" xr3:uid="{AA84FD78-D47C-4123-BEC8-35929DF36C98}" name="Column6" dataDxfId="25"/>
    <tableColumn id="7" xr3:uid="{E46AE9DF-4E20-45A5-BF3D-9DB005A5C412}" name="Column7" dataDxfId="24"/>
    <tableColumn id="10" xr3:uid="{4F95C30D-D761-49BF-AC6B-A1C50104BCF1}" name="Column72" dataDxfId="23"/>
    <tableColumn id="8" xr3:uid="{D2AE2371-217A-4725-B091-810983F7E3C9}" name="Column8" dataDxfId="22">
      <calculatedColumnFormula>COUNTA(B60:I60)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E1616BF-FBDB-40B1-A91B-EBD9DB0D74EF}" name="Table4" displayName="Table4" ref="B319:H328" totalsRowShown="0" headerRowDxfId="21" dataDxfId="20" tableBorderDxfId="19">
  <autoFilter ref="B319:H328" xr:uid="{BE1616BF-FBDB-40B1-A91B-EBD9DB0D74EF}"/>
  <tableColumns count="7">
    <tableColumn id="1" xr3:uid="{FE922CC3-11EA-4983-8199-2309520012B6}" name="Employee ID" dataDxfId="18"/>
    <tableColumn id="2" xr3:uid="{9DDA727A-6C3F-4488-87AB-F93A8189DB08}" name="Employee_ Name" dataDxfId="17"/>
    <tableColumn id="3" xr3:uid="{0ED2684D-2D4E-4093-BE13-4D0303AD241D}" name="Designation" dataDxfId="16"/>
    <tableColumn id="4" xr3:uid="{BCFCEC0F-B7D1-4E06-A121-9A905EAD2542}" name="Department" dataDxfId="15"/>
    <tableColumn id="5" xr3:uid="{71E4519B-1A31-43DE-8304-6E0829A2BC7A}" name="Salary" dataDxfId="14"/>
    <tableColumn id="6" xr3:uid="{A696C0DC-8A44-4068-B013-9942AB7D4E7C}" name="Employee_DOB" dataDxfId="13"/>
    <tableColumn id="7" xr3:uid="{92121710-0B5B-409A-9086-FE26E42061E4}" name="Employee_DOJ" dataDxfId="1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7866A59-B108-49B8-BC9E-CFC10614D98E}" name="Table46" displayName="Table46" ref="B7:H16" totalsRowShown="0" headerRowDxfId="10" dataDxfId="9" tableBorderDxfId="8">
  <autoFilter ref="B7:H16" xr:uid="{97866A59-B108-49B8-BC9E-CFC10614D98E}">
    <filterColumn colId="1">
      <filters>
        <filter val="John"/>
      </filters>
    </filterColumn>
    <filterColumn colId="6">
      <filters>
        <dateGroupItem year="2019" month="9" day="8" dateTimeGrouping="day"/>
      </filters>
    </filterColumn>
  </autoFilter>
  <tableColumns count="7">
    <tableColumn id="1" xr3:uid="{6EB9E9BF-0FB8-43AC-ABB2-85BA03060AC6}" name="Employee ID" dataDxfId="7"/>
    <tableColumn id="2" xr3:uid="{F69AF208-C15F-45EF-8968-C9DAC0EDB5C7}" name="Employee_ Name" dataDxfId="6"/>
    <tableColumn id="3" xr3:uid="{9866B9AA-5A88-4046-82BE-780118AB47CD}" name="Designation" dataDxfId="5"/>
    <tableColumn id="4" xr3:uid="{CE8E34B9-28BE-43A9-B2D2-5E78A22B0CA9}" name="Department" dataDxfId="4"/>
    <tableColumn id="5" xr3:uid="{5636C98D-8CA6-45FD-B086-16E5B8244FCB}" name="Salary" dataDxfId="3"/>
    <tableColumn id="6" xr3:uid="{C2B32165-5307-44D8-BD36-D4A328897AFD}" name="Employee_DOB" dataDxfId="2"/>
    <tableColumn id="7" xr3:uid="{6C2BCD4B-F76C-43FE-BA92-9A34F986F20A}" name="Employee_DOJ" dataDxfId="1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9EC8659-08EE-4457-816A-390F98829D06}" name="Table6" displayName="Table6" ref="A3:N5" totalsRowShown="0">
  <autoFilter ref="A3:N5" xr:uid="{A9EC8659-08EE-4457-816A-390F98829D06}"/>
  <sortState xmlns:xlrd2="http://schemas.microsoft.com/office/spreadsheetml/2017/richdata2" ref="A4:N5">
    <sortCondition ref="H3:H5"/>
  </sortState>
  <tableColumns count="14">
    <tableColumn id="1" xr3:uid="{680BE1FE-4FF6-4314-B2A2-ACEB089AAC99}" name="ID No."/>
    <tableColumn id="2" xr3:uid="{CF5E9393-1ECE-4944-AE96-17858BFA8589}" name="Order Date "/>
    <tableColumn id="3" xr3:uid="{91BA2415-FC5E-4CDE-A954-A9C538EC0016}" name="Seller Name "/>
    <tableColumn id="4" xr3:uid="{7CB31D1F-729B-4988-9F8B-2E4B0B6ADBC5}" name=" Category"/>
    <tableColumn id="5" xr3:uid="{BB9A14F6-3AB7-4BD6-AF24-FA98689FE252}" name="Picode"/>
    <tableColumn id="6" xr3:uid="{56FF50C9-0E3A-4790-93B1-652C9B0F67E9}" name="Region (WorldWide)"/>
    <tableColumn id="7" xr3:uid="{0612777B-DA43-46F4-BFB9-1189220EB8CF}" name="Brands"/>
    <tableColumn id="8" xr3:uid="{E8433B9A-F2FF-4B01-BCD1-0DAF926006AB}" name="Price"/>
    <tableColumn id="9" xr3:uid="{CC3D6B50-A2FA-488A-B98C-8E3C00DE1BB5}" name="Tax (2.5%)"/>
    <tableColumn id="10" xr3:uid="{27E14D8A-1219-4B6E-8B99-0257A8C8021D}" name="Tax Round-Up"/>
    <tableColumn id="11" xr3:uid="{795EDD47-77B8-408A-BDBE-6CE4CAEF5355}" name="Price After Tax"/>
    <tableColumn id="12" xr3:uid="{9EF609D1-9421-48BD-ABEE-BB93D08CAB2F}" name="Unit Sold"/>
    <tableColumn id="13" xr3:uid="{601FD4A7-B3C9-41DF-830E-B24D9F232C73}" name="Revenue (Inc.Tax)"/>
    <tableColumn id="14" xr3:uid="{7F8ADB5F-9ED3-43DC-9A7F-4DCCCEBB6D2C}" name="Total Profit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4AB7147-DA13-4410-8AB1-643BD192D9BA}" name="Table7" displayName="Table7" ref="A3:N33" totalsRowShown="0">
  <autoFilter ref="A3:N33" xr:uid="{C4AB7147-DA13-4410-8AB1-643BD192D9BA}"/>
  <sortState xmlns:xlrd2="http://schemas.microsoft.com/office/spreadsheetml/2017/richdata2" ref="A4:N33">
    <sortCondition ref="L3:L33"/>
  </sortState>
  <tableColumns count="14">
    <tableColumn id="1" xr3:uid="{BF35603C-F84D-4D14-96C1-87141D8609F3}" name="ID No."/>
    <tableColumn id="2" xr3:uid="{FA2CA0F9-929C-43C5-9BB1-CA4C6892C85A}" name="Order Date "/>
    <tableColumn id="3" xr3:uid="{91997BCA-B2D6-4D4F-BD98-B12D86F7CB61}" name="Seller Name "/>
    <tableColumn id="4" xr3:uid="{389AE984-E19A-45EA-9B61-8D30598CD955}" name=" Category"/>
    <tableColumn id="5" xr3:uid="{08E3FAE0-572A-4F88-A2FA-17DC581FFF07}" name="Picode"/>
    <tableColumn id="6" xr3:uid="{3C800744-0715-44FD-A9E4-71FCFB923F5C}" name="Region (WorldWide)"/>
    <tableColumn id="7" xr3:uid="{A470BEC0-8EF3-40DF-8B7C-84B0FFF08EAE}" name="Brands"/>
    <tableColumn id="8" xr3:uid="{27D8DB5E-9540-42EF-8469-15C35461A534}" name="Price"/>
    <tableColumn id="9" xr3:uid="{A4AC2F47-22F3-4E00-ACCC-788453AD471A}" name="Tax (2.5%)"/>
    <tableColumn id="10" xr3:uid="{ECB31D5A-32C0-46B0-9F17-831750D3465F}" name="Tax Round-Up"/>
    <tableColumn id="11" xr3:uid="{B119B9D4-1AD0-4893-83EE-BA9A367EB54D}" name="Price After Tax"/>
    <tableColumn id="12" xr3:uid="{BF6FB2B5-8B8B-409A-A79D-D96F72235D75}" name="Unit Sold"/>
    <tableColumn id="13" xr3:uid="{182D9278-4EA2-41B5-983C-684FBF636CC3}" name="Revenue (Inc.Tax)"/>
    <tableColumn id="14" xr3:uid="{FF3DAE89-C2A1-421D-80C1-D10BD4F63A0E}" name="Total Prof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8D2D531D-3DC9-4245-B785-08483891B1A2}">
  <we:reference id="wa103992993" version="1.2.0.0" store="en-US" storeType="omex"/>
  <we:alternateReferences>
    <we:reference id="wa103992993" version="1.2.0.0" store="omex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</we:extLst>
</we:webextension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Shiwani.Karnataka@2356.com" TargetMode="External"/><Relationship Id="rId13" Type="http://schemas.openxmlformats.org/officeDocument/2006/relationships/table" Target="../tables/table2.xml"/><Relationship Id="rId3" Type="http://schemas.openxmlformats.org/officeDocument/2006/relationships/hyperlink" Target="mailto:Arjun.Utterpadesh@5463.com" TargetMode="External"/><Relationship Id="rId7" Type="http://schemas.openxmlformats.org/officeDocument/2006/relationships/hyperlink" Target="mailto:Shalini.Jaipur@5689.com" TargetMode="External"/><Relationship Id="rId12" Type="http://schemas.openxmlformats.org/officeDocument/2006/relationships/table" Target="../tables/table1.xml"/><Relationship Id="rId2" Type="http://schemas.openxmlformats.org/officeDocument/2006/relationships/hyperlink" Target="mailto:Amit.Jaipur@7825.com" TargetMode="External"/><Relationship Id="rId1" Type="http://schemas.openxmlformats.org/officeDocument/2006/relationships/hyperlink" Target="mailto:Sneha.Gurugram@4422.com" TargetMode="External"/><Relationship Id="rId6" Type="http://schemas.openxmlformats.org/officeDocument/2006/relationships/hyperlink" Target="mailto:Kartik.Channai@4589.com" TargetMode="External"/><Relationship Id="rId11" Type="http://schemas.openxmlformats.org/officeDocument/2006/relationships/drawing" Target="../drawings/drawing1.xml"/><Relationship Id="rId5" Type="http://schemas.openxmlformats.org/officeDocument/2006/relationships/hyperlink" Target="mailto:Kajal.Hydrabad@2589.com" TargetMode="External"/><Relationship Id="rId10" Type="http://schemas.openxmlformats.org/officeDocument/2006/relationships/hyperlink" Target="mailto:Aayush.Delhi@4512.com" TargetMode="External"/><Relationship Id="rId4" Type="http://schemas.openxmlformats.org/officeDocument/2006/relationships/hyperlink" Target="mailto:Rahul.Goa@9564.com" TargetMode="External"/><Relationship Id="rId9" Type="http://schemas.openxmlformats.org/officeDocument/2006/relationships/hyperlink" Target="mailto:Mahi.Banglore@5886.com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mailto:Sneha.Gurugram@4422.com" TargetMode="External"/><Relationship Id="rId18" Type="http://schemas.openxmlformats.org/officeDocument/2006/relationships/hyperlink" Target="mailto:Kartik.Channai@4589.com" TargetMode="External"/><Relationship Id="rId26" Type="http://schemas.openxmlformats.org/officeDocument/2006/relationships/hyperlink" Target="mailto:Rahul.Goa@9564.com" TargetMode="External"/><Relationship Id="rId39" Type="http://schemas.openxmlformats.org/officeDocument/2006/relationships/hyperlink" Target="mailto:Shalini.Jaipur@5689.com" TargetMode="External"/><Relationship Id="rId21" Type="http://schemas.openxmlformats.org/officeDocument/2006/relationships/hyperlink" Target="mailto:Mahi.Banglore@5886.com" TargetMode="External"/><Relationship Id="rId34" Type="http://schemas.openxmlformats.org/officeDocument/2006/relationships/hyperlink" Target="mailto:Amit.Jaipur@7825.com" TargetMode="External"/><Relationship Id="rId42" Type="http://schemas.openxmlformats.org/officeDocument/2006/relationships/hyperlink" Target="mailto:Aayush.Delhi@4512.com" TargetMode="External"/><Relationship Id="rId7" Type="http://schemas.openxmlformats.org/officeDocument/2006/relationships/hyperlink" Target="mailto:Kajal.Hydrabad@2589.com" TargetMode="External"/><Relationship Id="rId2" Type="http://schemas.openxmlformats.org/officeDocument/2006/relationships/hyperlink" Target="https://excel-practice-online.com/functions/trim/" TargetMode="External"/><Relationship Id="rId16" Type="http://schemas.openxmlformats.org/officeDocument/2006/relationships/hyperlink" Target="mailto:Rahul.Goa@9564.com" TargetMode="External"/><Relationship Id="rId20" Type="http://schemas.openxmlformats.org/officeDocument/2006/relationships/hyperlink" Target="mailto:Shiwani.Karnataka@2356.com" TargetMode="External"/><Relationship Id="rId29" Type="http://schemas.openxmlformats.org/officeDocument/2006/relationships/hyperlink" Target="mailto:Shalini.Jaipur@5689.com" TargetMode="External"/><Relationship Id="rId41" Type="http://schemas.openxmlformats.org/officeDocument/2006/relationships/hyperlink" Target="mailto:Mahi.Banglore@5886.com" TargetMode="External"/><Relationship Id="rId1" Type="http://schemas.openxmlformats.org/officeDocument/2006/relationships/hyperlink" Target="https://excel-practice-online.com/functions/if-function/" TargetMode="External"/><Relationship Id="rId6" Type="http://schemas.openxmlformats.org/officeDocument/2006/relationships/hyperlink" Target="mailto:Rahul.Goa@9564.com" TargetMode="External"/><Relationship Id="rId11" Type="http://schemas.openxmlformats.org/officeDocument/2006/relationships/hyperlink" Target="mailto:Mahi.Banglore@5886.com" TargetMode="External"/><Relationship Id="rId24" Type="http://schemas.openxmlformats.org/officeDocument/2006/relationships/hyperlink" Target="mailto:Amit.Jaipur@7825.com" TargetMode="External"/><Relationship Id="rId32" Type="http://schemas.openxmlformats.org/officeDocument/2006/relationships/hyperlink" Target="mailto:Aayush.Delhi@4512.com" TargetMode="External"/><Relationship Id="rId37" Type="http://schemas.openxmlformats.org/officeDocument/2006/relationships/hyperlink" Target="mailto:Kajal.Hydrabad@2589.com" TargetMode="External"/><Relationship Id="rId40" Type="http://schemas.openxmlformats.org/officeDocument/2006/relationships/hyperlink" Target="mailto:Shiwani.Karnataka@2356.com" TargetMode="External"/><Relationship Id="rId5" Type="http://schemas.openxmlformats.org/officeDocument/2006/relationships/hyperlink" Target="mailto:Arjun.Utterpadesh@5463.com" TargetMode="External"/><Relationship Id="rId15" Type="http://schemas.openxmlformats.org/officeDocument/2006/relationships/hyperlink" Target="mailto:Arjun.Utterpadesh@5463.com" TargetMode="External"/><Relationship Id="rId23" Type="http://schemas.openxmlformats.org/officeDocument/2006/relationships/hyperlink" Target="mailto:Sneha.Gurugram@4422.com" TargetMode="External"/><Relationship Id="rId28" Type="http://schemas.openxmlformats.org/officeDocument/2006/relationships/hyperlink" Target="mailto:Kartik.Channai@4589.com" TargetMode="External"/><Relationship Id="rId36" Type="http://schemas.openxmlformats.org/officeDocument/2006/relationships/hyperlink" Target="mailto:Rahul.Goa@9564.com" TargetMode="External"/><Relationship Id="rId10" Type="http://schemas.openxmlformats.org/officeDocument/2006/relationships/hyperlink" Target="mailto:Shiwani.Karnataka@2356.com" TargetMode="External"/><Relationship Id="rId19" Type="http://schemas.openxmlformats.org/officeDocument/2006/relationships/hyperlink" Target="mailto:Shalini.Jaipur@5689.com" TargetMode="External"/><Relationship Id="rId31" Type="http://schemas.openxmlformats.org/officeDocument/2006/relationships/hyperlink" Target="mailto:Mahi.Banglore@5886.com" TargetMode="External"/><Relationship Id="rId4" Type="http://schemas.openxmlformats.org/officeDocument/2006/relationships/hyperlink" Target="mailto:Amit.Jaipur@7825.com" TargetMode="External"/><Relationship Id="rId9" Type="http://schemas.openxmlformats.org/officeDocument/2006/relationships/hyperlink" Target="mailto:Shalini.Jaipur@5689.com" TargetMode="External"/><Relationship Id="rId14" Type="http://schemas.openxmlformats.org/officeDocument/2006/relationships/hyperlink" Target="mailto:Amit.Jaipur@7825.com" TargetMode="External"/><Relationship Id="rId22" Type="http://schemas.openxmlformats.org/officeDocument/2006/relationships/hyperlink" Target="mailto:Aayush.Delhi@4512.com" TargetMode="External"/><Relationship Id="rId27" Type="http://schemas.openxmlformats.org/officeDocument/2006/relationships/hyperlink" Target="mailto:Kajal.Hydrabad@2589.com" TargetMode="External"/><Relationship Id="rId30" Type="http://schemas.openxmlformats.org/officeDocument/2006/relationships/hyperlink" Target="mailto:Shiwani.Karnataka@2356.com" TargetMode="External"/><Relationship Id="rId35" Type="http://schemas.openxmlformats.org/officeDocument/2006/relationships/hyperlink" Target="mailto:Arjun.Utterpadesh@5463.com" TargetMode="External"/><Relationship Id="rId43" Type="http://schemas.openxmlformats.org/officeDocument/2006/relationships/drawing" Target="../drawings/drawing2.xml"/><Relationship Id="rId8" Type="http://schemas.openxmlformats.org/officeDocument/2006/relationships/hyperlink" Target="mailto:Kartik.Channai@4589.com" TargetMode="External"/><Relationship Id="rId3" Type="http://schemas.openxmlformats.org/officeDocument/2006/relationships/hyperlink" Target="mailto:Sneha.Gurugram@4422.com" TargetMode="External"/><Relationship Id="rId12" Type="http://schemas.openxmlformats.org/officeDocument/2006/relationships/hyperlink" Target="mailto:Aayush.Delhi@4512.com" TargetMode="External"/><Relationship Id="rId17" Type="http://schemas.openxmlformats.org/officeDocument/2006/relationships/hyperlink" Target="mailto:Kajal.Hydrabad@2589.com" TargetMode="External"/><Relationship Id="rId25" Type="http://schemas.openxmlformats.org/officeDocument/2006/relationships/hyperlink" Target="mailto:Arjun.Utterpadesh@5463.com" TargetMode="External"/><Relationship Id="rId33" Type="http://schemas.openxmlformats.org/officeDocument/2006/relationships/hyperlink" Target="mailto:Sneha.Gurugram@4422.com" TargetMode="External"/><Relationship Id="rId38" Type="http://schemas.openxmlformats.org/officeDocument/2006/relationships/hyperlink" Target="mailto:Kartik.Channai@4589.com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4.xml"/><Relationship Id="rId1" Type="http://schemas.openxmlformats.org/officeDocument/2006/relationships/hyperlink" Target="https://microsoft.com/link" TargetMode="External"/><Relationship Id="rId5" Type="http://schemas.microsoft.com/office/2007/relationships/slicer" Target="../slicers/slicer1.xml"/><Relationship Id="rId4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table" Target="../tables/table5.xml"/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82FF05"/>
  </sheetPr>
  <dimension ref="A2:AH333"/>
  <sheetViews>
    <sheetView tabSelected="1" topLeftCell="H67" workbookViewId="0">
      <selection activeCell="H69" sqref="H69"/>
    </sheetView>
  </sheetViews>
  <sheetFormatPr defaultRowHeight="15"/>
  <cols>
    <col min="2" max="2" width="38" bestFit="1" customWidth="1"/>
    <col min="3" max="3" width="25.7109375" bestFit="1" customWidth="1"/>
    <col min="4" max="4" width="17.140625" bestFit="1" customWidth="1"/>
    <col min="5" max="5" width="33.42578125" bestFit="1" customWidth="1"/>
    <col min="6" max="6" width="27.140625" bestFit="1" customWidth="1"/>
    <col min="7" max="7" width="33.42578125" bestFit="1" customWidth="1"/>
    <col min="8" max="8" width="29.42578125" bestFit="1" customWidth="1"/>
    <col min="9" max="9" width="36.7109375" bestFit="1" customWidth="1"/>
    <col min="10" max="10" width="19.42578125" bestFit="1" customWidth="1"/>
    <col min="11" max="11" width="35" bestFit="1" customWidth="1"/>
    <col min="12" max="12" width="30.85546875" bestFit="1" customWidth="1"/>
    <col min="13" max="13" width="35" bestFit="1" customWidth="1"/>
    <col min="14" max="14" width="19.5703125" bestFit="1" customWidth="1"/>
    <col min="15" max="15" width="35" bestFit="1" customWidth="1"/>
    <col min="16" max="16" width="8.7109375" bestFit="1" customWidth="1"/>
    <col min="17" max="17" width="30.85546875" bestFit="1" customWidth="1"/>
    <col min="18" max="18" width="21.140625" bestFit="1" customWidth="1"/>
    <col min="21" max="21" width="28.140625" bestFit="1" customWidth="1"/>
    <col min="22" max="22" width="30.85546875" bestFit="1" customWidth="1"/>
    <col min="23" max="23" width="19.5703125" bestFit="1" customWidth="1"/>
    <col min="24" max="24" width="14.42578125" bestFit="1" customWidth="1"/>
    <col min="31" max="32" width="30.85546875" bestFit="1" customWidth="1"/>
    <col min="34" max="34" width="14.42578125" bestFit="1" customWidth="1"/>
  </cols>
  <sheetData>
    <row r="2" spans="3:33" ht="24.75">
      <c r="Q2" s="4" t="s">
        <v>0</v>
      </c>
      <c r="R2" s="6" t="s">
        <v>1</v>
      </c>
    </row>
    <row r="3" spans="3:33" ht="24.75">
      <c r="F3" s="2" t="s">
        <v>2</v>
      </c>
      <c r="G3" s="4" t="s">
        <v>0</v>
      </c>
      <c r="H3" s="8" t="s">
        <v>3</v>
      </c>
      <c r="J3" s="2" t="s">
        <v>4</v>
      </c>
      <c r="K3" s="2" t="s">
        <v>2</v>
      </c>
      <c r="L3" s="4" t="s">
        <v>0</v>
      </c>
      <c r="M3" s="6" t="s">
        <v>5</v>
      </c>
      <c r="Q3" s="11" t="s">
        <v>6</v>
      </c>
      <c r="R3" s="11">
        <f>SUMIF(H10:H39,Q3,K10:K39)</f>
        <v>444</v>
      </c>
    </row>
    <row r="4" spans="3:33" ht="21">
      <c r="F4" s="9" t="s">
        <v>7</v>
      </c>
      <c r="G4" s="11" t="s">
        <v>8</v>
      </c>
      <c r="H4" s="12">
        <f>SUMIFS(N10:N39,F10:F39,F4,H10:H39,G4)</f>
        <v>32412960</v>
      </c>
      <c r="J4" s="9" t="s">
        <v>9</v>
      </c>
      <c r="K4" s="9" t="s">
        <v>7</v>
      </c>
      <c r="L4" s="11" t="s">
        <v>6</v>
      </c>
      <c r="M4" s="12">
        <f>SUMIFS(M10:M39,E10:E39,J4,F10:F39,K4,H10:H39,L4)</f>
        <v>14343866.550000001</v>
      </c>
    </row>
    <row r="5" spans="3:33" ht="24.75">
      <c r="Q5" s="4" t="s">
        <v>0</v>
      </c>
      <c r="R5" s="8" t="s">
        <v>3</v>
      </c>
    </row>
    <row r="6" spans="3:33" ht="21">
      <c r="Q6" s="11" t="s">
        <v>6</v>
      </c>
      <c r="R6" s="12">
        <f>SUMIF(H10:H39,Q6,N10:N39)</f>
        <v>240933146</v>
      </c>
      <c r="Z6" s="11">
        <v>25</v>
      </c>
    </row>
    <row r="9" spans="3:33" ht="24.75">
      <c r="C9" s="1" t="s">
        <v>10</v>
      </c>
      <c r="D9" s="1" t="s">
        <v>11</v>
      </c>
      <c r="E9" s="2" t="s">
        <v>4</v>
      </c>
      <c r="F9" s="2" t="s">
        <v>2</v>
      </c>
      <c r="G9" s="3" t="s">
        <v>12</v>
      </c>
      <c r="H9" s="4" t="s">
        <v>0</v>
      </c>
      <c r="I9" s="5" t="s">
        <v>13</v>
      </c>
      <c r="J9" s="1" t="s">
        <v>14</v>
      </c>
      <c r="K9" s="6" t="s">
        <v>1</v>
      </c>
      <c r="L9" s="7" t="s">
        <v>15</v>
      </c>
      <c r="M9" s="6" t="s">
        <v>5</v>
      </c>
      <c r="N9" s="8" t="s">
        <v>3</v>
      </c>
      <c r="P9" s="516" t="s">
        <v>16</v>
      </c>
      <c r="Q9" s="516"/>
      <c r="R9" s="516"/>
      <c r="T9" s="516" t="s">
        <v>17</v>
      </c>
      <c r="U9" s="516"/>
      <c r="V9" s="8" t="s">
        <v>18</v>
      </c>
      <c r="X9" s="6" t="s">
        <v>1</v>
      </c>
    </row>
    <row r="10" spans="3:33" ht="24.75">
      <c r="C10" s="9" t="s">
        <v>19</v>
      </c>
      <c r="D10" s="10">
        <v>45292</v>
      </c>
      <c r="E10" s="9" t="s">
        <v>9</v>
      </c>
      <c r="F10" s="9" t="s">
        <v>7</v>
      </c>
      <c r="G10" s="11">
        <v>125478</v>
      </c>
      <c r="H10" s="11" t="s">
        <v>6</v>
      </c>
      <c r="I10" s="9" t="s">
        <v>20</v>
      </c>
      <c r="J10" s="12">
        <v>377222</v>
      </c>
      <c r="K10" s="11">
        <v>38</v>
      </c>
      <c r="L10" s="12">
        <v>9430.5500000000011</v>
      </c>
      <c r="M10" s="12">
        <v>14343866.550000001</v>
      </c>
      <c r="N10" s="12">
        <v>14334436</v>
      </c>
      <c r="P10" s="11" t="b">
        <f>AND(H10="North")</f>
        <v>1</v>
      </c>
      <c r="Q10" s="11" t="b">
        <f>AND(H10="North",K10&gt;30)</f>
        <v>1</v>
      </c>
      <c r="R10" s="11" t="b">
        <f>AND(K10&gt;20,H10="North",E10="ND APPARELS")</f>
        <v>1</v>
      </c>
      <c r="T10" s="11" t="str">
        <f>IF(H10="North","Yes","No")</f>
        <v>Yes</v>
      </c>
      <c r="U10" s="11" t="str">
        <f>IF(K10&gt;20,"Yes","No")</f>
        <v>Yes</v>
      </c>
      <c r="V10" s="11" t="str">
        <f>IF(AND(K10&gt;20,H10="North"),"Done","Not Done")</f>
        <v>Done</v>
      </c>
      <c r="X10" s="11">
        <v>38</v>
      </c>
      <c r="AA10" s="17" t="str">
        <f>IF(X10&gt;Z6,"Y","N")</f>
        <v>Y</v>
      </c>
      <c r="AB10" s="17" t="str">
        <f>IF(X10&gt;$Z$6,"Y","N")</f>
        <v>Y</v>
      </c>
      <c r="AE10" s="2" t="s">
        <v>4</v>
      </c>
      <c r="AF10" s="6" t="s">
        <v>1</v>
      </c>
      <c r="AG10" s="32" t="s">
        <v>21</v>
      </c>
    </row>
    <row r="11" spans="3:33" ht="21">
      <c r="C11" s="9" t="s">
        <v>22</v>
      </c>
      <c r="D11" s="10">
        <v>45293</v>
      </c>
      <c r="E11" s="9" t="s">
        <v>23</v>
      </c>
      <c r="F11" s="9" t="s">
        <v>24</v>
      </c>
      <c r="G11" s="11">
        <v>556688</v>
      </c>
      <c r="H11" s="11" t="s">
        <v>8</v>
      </c>
      <c r="I11" s="9" t="s">
        <v>25</v>
      </c>
      <c r="J11" s="12">
        <v>758548</v>
      </c>
      <c r="K11" s="11">
        <v>30</v>
      </c>
      <c r="L11" s="12">
        <v>18963.7</v>
      </c>
      <c r="M11" s="12">
        <v>22775403.699999999</v>
      </c>
      <c r="N11" s="12">
        <v>22756440</v>
      </c>
      <c r="P11" s="11" t="b">
        <f>AND(H11="North")</f>
        <v>0</v>
      </c>
      <c r="Q11" s="11" t="b">
        <f>AND(H11="North",K11&gt;30)</f>
        <v>0</v>
      </c>
      <c r="R11" s="11" t="b">
        <f>AND(K11&gt;20,H11="North",E11="ND APPARELS")</f>
        <v>0</v>
      </c>
      <c r="T11" s="11" t="str">
        <f>IF(H11="North","Yes","No")</f>
        <v>No</v>
      </c>
      <c r="U11" s="11" t="str">
        <f>IF(K11&gt;20,"Yes","No")</f>
        <v>Yes</v>
      </c>
      <c r="V11" s="11" t="str">
        <f>IF(AND(K11&gt;20,H11="North"),"Done","Not Done")</f>
        <v>Not Done</v>
      </c>
      <c r="X11" s="11">
        <v>30</v>
      </c>
      <c r="AA11" s="17" t="str">
        <f t="shared" ref="AA11:AA26" si="0">IF(X11&gt;Z7,"Y","N")</f>
        <v>Y</v>
      </c>
      <c r="AB11" s="17" t="str">
        <f t="shared" ref="AB11:AB26" si="1">IF(X11&gt;$Z$6,"Y","N")</f>
        <v>Y</v>
      </c>
      <c r="AE11" s="9" t="s">
        <v>23</v>
      </c>
      <c r="AF11" s="17">
        <f>AVERAGEIF(E10:E39,AE11,K10:K39)</f>
        <v>27.666666666666668</v>
      </c>
    </row>
    <row r="12" spans="3:33" ht="21">
      <c r="C12" s="9" t="s">
        <v>26</v>
      </c>
      <c r="D12" s="10">
        <v>45294</v>
      </c>
      <c r="E12" s="9" t="s">
        <v>27</v>
      </c>
      <c r="F12" s="13" t="s">
        <v>28</v>
      </c>
      <c r="G12" s="11">
        <v>126589</v>
      </c>
      <c r="H12" s="11" t="s">
        <v>29</v>
      </c>
      <c r="I12" s="9" t="s">
        <v>30</v>
      </c>
      <c r="J12" s="12">
        <v>952608</v>
      </c>
      <c r="K12" s="11">
        <v>50</v>
      </c>
      <c r="L12" s="12">
        <v>23815.200000000001</v>
      </c>
      <c r="M12" s="12">
        <v>47654215.200000003</v>
      </c>
      <c r="N12" s="12">
        <v>47630400</v>
      </c>
      <c r="P12" s="11" t="b">
        <f>AND(H12="North")</f>
        <v>0</v>
      </c>
      <c r="Q12" s="11" t="b">
        <f>AND(H12="North",K12&gt;30)</f>
        <v>0</v>
      </c>
      <c r="R12" s="11" t="b">
        <f>AND(K12&gt;20,H12="North",E12="ND APPARELS")</f>
        <v>0</v>
      </c>
      <c r="T12" s="11" t="str">
        <f>IF(H12="North","Yes","No")</f>
        <v>No</v>
      </c>
      <c r="U12" s="11" t="str">
        <f>IF(K12&gt;20,"Yes","No")</f>
        <v>Yes</v>
      </c>
      <c r="V12" s="11" t="str">
        <f>IF(AND(K12&gt;20,H12="North"),"Done","Not Done")</f>
        <v>Not Done</v>
      </c>
      <c r="X12" s="11">
        <v>50</v>
      </c>
      <c r="AA12" s="17" t="str">
        <f t="shared" si="0"/>
        <v>Y</v>
      </c>
      <c r="AB12" s="17" t="str">
        <f t="shared" si="1"/>
        <v>Y</v>
      </c>
    </row>
    <row r="13" spans="3:33" ht="24.75">
      <c r="C13" s="9" t="s">
        <v>31</v>
      </c>
      <c r="D13" s="10">
        <v>45295</v>
      </c>
      <c r="E13" s="9" t="s">
        <v>32</v>
      </c>
      <c r="F13" s="9" t="s">
        <v>33</v>
      </c>
      <c r="G13" s="11">
        <v>852369</v>
      </c>
      <c r="H13" s="11" t="s">
        <v>6</v>
      </c>
      <c r="I13" s="9" t="s">
        <v>34</v>
      </c>
      <c r="J13" s="12">
        <v>277606</v>
      </c>
      <c r="K13" s="11">
        <v>14</v>
      </c>
      <c r="L13" s="12">
        <v>6940.1500000000005</v>
      </c>
      <c r="M13" s="12">
        <v>3893424.15</v>
      </c>
      <c r="N13" s="12">
        <v>3886484</v>
      </c>
      <c r="P13" s="11" t="b">
        <f>AND(H13="North")</f>
        <v>1</v>
      </c>
      <c r="Q13" s="11" t="b">
        <f>AND(H13="North",K13&gt;30)</f>
        <v>0</v>
      </c>
      <c r="R13" s="11" t="b">
        <f>AND(K13&gt;20,H13="North",E13="ND APPARELS")</f>
        <v>0</v>
      </c>
      <c r="T13" s="11" t="str">
        <f>IF(H13="North","Yes","No")</f>
        <v>Yes</v>
      </c>
      <c r="U13" s="11" t="str">
        <f>IF(K13&gt;20,"Yes","No")</f>
        <v>No</v>
      </c>
      <c r="V13" s="11" t="str">
        <f>IF(AND(K13&gt;20,H13="North"),"Done","Not Done")</f>
        <v>Not Done</v>
      </c>
      <c r="X13" s="11">
        <v>14</v>
      </c>
      <c r="AA13" s="17" t="str">
        <f t="shared" si="0"/>
        <v>Y</v>
      </c>
      <c r="AB13" s="17" t="str">
        <f t="shared" si="1"/>
        <v>N</v>
      </c>
      <c r="AE13" s="4" t="s">
        <v>0</v>
      </c>
      <c r="AF13" s="6" t="s">
        <v>1</v>
      </c>
    </row>
    <row r="14" spans="3:33" ht="21">
      <c r="C14" s="9" t="s">
        <v>35</v>
      </c>
      <c r="D14" s="10">
        <v>45296</v>
      </c>
      <c r="E14" s="9" t="s">
        <v>9</v>
      </c>
      <c r="F14" s="9" t="s">
        <v>36</v>
      </c>
      <c r="G14" s="11">
        <v>112285</v>
      </c>
      <c r="H14" s="11" t="s">
        <v>6</v>
      </c>
      <c r="I14" s="9" t="s">
        <v>37</v>
      </c>
      <c r="J14" s="12">
        <v>240519</v>
      </c>
      <c r="K14" s="11" t="s">
        <v>38</v>
      </c>
      <c r="L14" s="12">
        <v>6012.9750000000004</v>
      </c>
      <c r="M14" s="12">
        <v>2651721.9750000001</v>
      </c>
      <c r="N14" s="12">
        <v>2645709</v>
      </c>
      <c r="P14" s="11" t="b">
        <f>AND(H14="North")</f>
        <v>1</v>
      </c>
      <c r="Q14" s="11" t="b">
        <f>AND(H14="North",K14&gt;30)</f>
        <v>1</v>
      </c>
      <c r="R14" s="11" t="b">
        <f>AND(K14&gt;20,H14="North",E14="ND APPARELS")</f>
        <v>1</v>
      </c>
      <c r="T14" s="11" t="str">
        <f>IF(H14="North","Yes","No")</f>
        <v>Yes</v>
      </c>
      <c r="U14" s="11" t="str">
        <f>IF(K14&gt;20,"Yes","No")</f>
        <v>Yes</v>
      </c>
      <c r="V14" s="11" t="str">
        <f>IF(AND(K14&gt;20,H14="North"),"Done","Not Done")</f>
        <v>Done</v>
      </c>
      <c r="X14" s="11" t="s">
        <v>38</v>
      </c>
      <c r="AA14" s="17" t="str">
        <f t="shared" si="0"/>
        <v>Y</v>
      </c>
      <c r="AB14" s="17" t="str">
        <f t="shared" si="1"/>
        <v>Y</v>
      </c>
      <c r="AE14" s="11" t="s">
        <v>8</v>
      </c>
      <c r="AF14" s="17">
        <f>AVERAGEIF(H10:H39,Table2[[#This Row],[Seller Name ]],K10:K39)</f>
        <v>30.111111111111111</v>
      </c>
    </row>
    <row r="15" spans="3:33" ht="21">
      <c r="C15" s="9" t="s">
        <v>39</v>
      </c>
      <c r="D15" s="10">
        <v>45297</v>
      </c>
      <c r="E15" s="9" t="s">
        <v>23</v>
      </c>
      <c r="F15" s="9" t="s">
        <v>7</v>
      </c>
      <c r="G15" s="11">
        <v>695425</v>
      </c>
      <c r="H15" s="11" t="s">
        <v>8</v>
      </c>
      <c r="I15" s="9" t="s">
        <v>40</v>
      </c>
      <c r="J15" s="12">
        <v>790560</v>
      </c>
      <c r="K15" s="11">
        <v>41</v>
      </c>
      <c r="L15" s="12">
        <v>19764</v>
      </c>
      <c r="M15" s="12">
        <v>32432724</v>
      </c>
      <c r="N15" s="12">
        <v>32412960</v>
      </c>
      <c r="P15" s="11" t="b">
        <f>AND(H15="North")</f>
        <v>0</v>
      </c>
      <c r="Q15" s="11" t="b">
        <f>AND(H15="North",K15&gt;30)</f>
        <v>0</v>
      </c>
      <c r="R15" s="11" t="b">
        <f>AND(K15&gt;20,H15="North",E15="ND APPARELS")</f>
        <v>0</v>
      </c>
      <c r="T15" s="11" t="str">
        <f>IF(H15="North","Yes","No")</f>
        <v>No</v>
      </c>
      <c r="U15" s="11" t="str">
        <f>IF(K15&gt;20,"Yes","No")</f>
        <v>Yes</v>
      </c>
      <c r="V15" s="11" t="str">
        <f>IF(AND(K15&gt;20,H15="North"),"Done","Not Done")</f>
        <v>Not Done</v>
      </c>
      <c r="X15" s="11">
        <v>41</v>
      </c>
      <c r="AA15" s="17" t="str">
        <f t="shared" si="0"/>
        <v>Y</v>
      </c>
      <c r="AB15" s="17" t="str">
        <f t="shared" si="1"/>
        <v>Y</v>
      </c>
    </row>
    <row r="16" spans="3:33" ht="21">
      <c r="C16" s="9" t="s">
        <v>41</v>
      </c>
      <c r="D16" s="10">
        <v>45298</v>
      </c>
      <c r="E16" s="9" t="s">
        <v>27</v>
      </c>
      <c r="F16" s="9" t="s">
        <v>24</v>
      </c>
      <c r="G16" s="11">
        <v>125478</v>
      </c>
      <c r="H16" s="11" t="s">
        <v>6</v>
      </c>
      <c r="I16" s="9" t="s">
        <v>42</v>
      </c>
      <c r="J16" s="12">
        <v>395943</v>
      </c>
      <c r="K16" s="11">
        <v>44</v>
      </c>
      <c r="L16" s="12">
        <v>9898.5750000000007</v>
      </c>
      <c r="M16" s="12">
        <v>17431390.574999999</v>
      </c>
      <c r="N16" s="12">
        <v>17421492</v>
      </c>
      <c r="P16" s="11" t="b">
        <f>AND(H16="North")</f>
        <v>1</v>
      </c>
      <c r="Q16" s="11" t="b">
        <f>AND(H16="North",K16&gt;30)</f>
        <v>1</v>
      </c>
      <c r="R16" s="11" t="b">
        <f>AND(K16&gt;20,H16="North",E16="ND APPARELS")</f>
        <v>0</v>
      </c>
      <c r="T16" s="11" t="str">
        <f>IF(H16="North","Yes","No")</f>
        <v>Yes</v>
      </c>
      <c r="U16" s="11" t="str">
        <f>IF(K16&gt;20,"Yes","No")</f>
        <v>Yes</v>
      </c>
      <c r="V16" s="11" t="str">
        <f>IF(AND(K16&gt;20,H16="North"),"Done","Not Done")</f>
        <v>Done</v>
      </c>
      <c r="X16" s="11">
        <v>44</v>
      </c>
      <c r="AA16" s="17" t="str">
        <f t="shared" si="0"/>
        <v>Y</v>
      </c>
      <c r="AB16" s="17" t="str">
        <f t="shared" si="1"/>
        <v>Y</v>
      </c>
    </row>
    <row r="17" spans="3:34" ht="21">
      <c r="C17" s="9" t="s">
        <v>43</v>
      </c>
      <c r="D17" s="10">
        <v>45299</v>
      </c>
      <c r="E17" s="9" t="s">
        <v>32</v>
      </c>
      <c r="F17" s="13" t="s">
        <v>28</v>
      </c>
      <c r="G17" s="11">
        <v>556688</v>
      </c>
      <c r="H17" s="11" t="s">
        <v>44</v>
      </c>
      <c r="I17" s="9" t="s">
        <v>45</v>
      </c>
      <c r="J17" s="12">
        <v>898464</v>
      </c>
      <c r="K17" s="11">
        <v>13</v>
      </c>
      <c r="L17" s="12">
        <v>22461.600000000002</v>
      </c>
      <c r="M17" s="12">
        <v>11702493.6</v>
      </c>
      <c r="N17" s="12">
        <v>11680032</v>
      </c>
      <c r="P17" s="11" t="b">
        <f>AND(H17="North")</f>
        <v>0</v>
      </c>
      <c r="Q17" s="11" t="b">
        <f>AND(H17="North",K17&gt;30)</f>
        <v>0</v>
      </c>
      <c r="R17" s="11" t="b">
        <f>AND(K17&gt;20,H17="North",E17="ND APPARELS")</f>
        <v>0</v>
      </c>
      <c r="T17" s="11" t="str">
        <f>IF(H17="North","Yes","No")</f>
        <v>No</v>
      </c>
      <c r="U17" s="11" t="str">
        <f>IF(K17&gt;20,"Yes","No")</f>
        <v>No</v>
      </c>
      <c r="V17" s="11" t="str">
        <f>IF(AND(K17&gt;20,H17="North"),"Done","Not Done")</f>
        <v>Not Done</v>
      </c>
      <c r="X17" s="11">
        <v>13</v>
      </c>
      <c r="AA17" s="17" t="str">
        <f t="shared" si="0"/>
        <v>Y</v>
      </c>
      <c r="AB17" s="17" t="str">
        <f t="shared" si="1"/>
        <v>N</v>
      </c>
    </row>
    <row r="18" spans="3:34" ht="24.75">
      <c r="C18" s="9" t="s">
        <v>46</v>
      </c>
      <c r="D18" s="10">
        <v>45300</v>
      </c>
      <c r="E18" s="9" t="s">
        <v>23</v>
      </c>
      <c r="F18" s="9" t="s">
        <v>33</v>
      </c>
      <c r="G18" s="11">
        <v>126589</v>
      </c>
      <c r="H18" s="11" t="s">
        <v>8</v>
      </c>
      <c r="I18" s="9" t="s">
        <v>47</v>
      </c>
      <c r="J18" s="12">
        <v>468281</v>
      </c>
      <c r="K18" s="11">
        <v>21</v>
      </c>
      <c r="L18" s="12">
        <v>11707.025000000001</v>
      </c>
      <c r="M18" s="12">
        <v>9845608.0250000004</v>
      </c>
      <c r="N18" s="12">
        <v>9833901</v>
      </c>
      <c r="P18" s="11" t="b">
        <f>AND(H18="North")</f>
        <v>0</v>
      </c>
      <c r="Q18" s="11" t="b">
        <f>AND(H18="North",K18&gt;30)</f>
        <v>0</v>
      </c>
      <c r="R18" s="11" t="b">
        <f>AND(K18&gt;20,H18="North",E18="ND APPARELS")</f>
        <v>0</v>
      </c>
      <c r="T18" s="11" t="str">
        <f>IF(H18="North","Yes","No")</f>
        <v>No</v>
      </c>
      <c r="U18" s="11" t="str">
        <f>IF(K18&gt;20,"Yes","No")</f>
        <v>Yes</v>
      </c>
      <c r="V18" s="11" t="str">
        <f>IF(AND(K18&gt;20,H18="North"),"Done","Not Done")</f>
        <v>Not Done</v>
      </c>
      <c r="X18" s="11">
        <v>21</v>
      </c>
      <c r="AA18" s="17" t="str">
        <f t="shared" si="0"/>
        <v>Y</v>
      </c>
      <c r="AB18" s="17" t="str">
        <f t="shared" si="1"/>
        <v>N</v>
      </c>
      <c r="AE18" s="2" t="s">
        <v>4</v>
      </c>
      <c r="AF18" s="4" t="s">
        <v>0</v>
      </c>
      <c r="AH18" s="6" t="s">
        <v>1</v>
      </c>
    </row>
    <row r="19" spans="3:34" ht="21">
      <c r="C19" s="9" t="s">
        <v>48</v>
      </c>
      <c r="D19" s="10">
        <v>45301</v>
      </c>
      <c r="E19" s="9" t="s">
        <v>27</v>
      </c>
      <c r="F19" s="9" t="s">
        <v>36</v>
      </c>
      <c r="G19" s="11">
        <v>852369</v>
      </c>
      <c r="H19" s="11" t="s">
        <v>6</v>
      </c>
      <c r="I19" s="9" t="s">
        <v>49</v>
      </c>
      <c r="J19" s="12">
        <v>316522</v>
      </c>
      <c r="K19" s="11">
        <v>37</v>
      </c>
      <c r="L19" s="12">
        <v>7913.05</v>
      </c>
      <c r="M19" s="12">
        <v>11719227.050000001</v>
      </c>
      <c r="N19" s="12">
        <v>11711314</v>
      </c>
      <c r="P19" s="11" t="b">
        <f>AND(H19="North")</f>
        <v>1</v>
      </c>
      <c r="Q19" s="11" t="b">
        <f>AND(H19="North",K19&gt;30)</f>
        <v>1</v>
      </c>
      <c r="R19" s="11" t="b">
        <f>AND(K19&gt;20,H19="North",E19="ND APPARELS")</f>
        <v>0</v>
      </c>
      <c r="T19" s="11" t="str">
        <f>IF(H19="North","Yes","No")</f>
        <v>Yes</v>
      </c>
      <c r="U19" s="11" t="str">
        <f>IF(K19&gt;20,"Yes","No")</f>
        <v>Yes</v>
      </c>
      <c r="V19" s="11" t="str">
        <f>IF(AND(K19&gt;20,H19="North"),"Done","Not Done")</f>
        <v>Done</v>
      </c>
      <c r="X19" s="11">
        <v>37</v>
      </c>
      <c r="AA19" s="17" t="str">
        <f t="shared" si="0"/>
        <v>Y</v>
      </c>
      <c r="AB19" s="17" t="str">
        <f t="shared" si="1"/>
        <v>Y</v>
      </c>
      <c r="AE19" s="9" t="s">
        <v>27</v>
      </c>
      <c r="AF19" s="11" t="s">
        <v>8</v>
      </c>
      <c r="AH19">
        <f>AVERAGEIFS(K10:K39,E10:E39,AE19,H10:H39,AF19)</f>
        <v>47</v>
      </c>
    </row>
    <row r="20" spans="3:34" ht="21">
      <c r="C20" s="9" t="s">
        <v>50</v>
      </c>
      <c r="D20" s="10">
        <v>45302</v>
      </c>
      <c r="E20" s="9" t="s">
        <v>32</v>
      </c>
      <c r="F20" s="9" t="s">
        <v>7</v>
      </c>
      <c r="G20" s="11">
        <v>112285</v>
      </c>
      <c r="H20" s="11" t="s">
        <v>44</v>
      </c>
      <c r="I20" s="9" t="s">
        <v>51</v>
      </c>
      <c r="J20" s="12">
        <v>295421</v>
      </c>
      <c r="K20" s="11">
        <v>49</v>
      </c>
      <c r="L20" s="12">
        <v>7385.5250000000005</v>
      </c>
      <c r="M20" s="12">
        <v>14483014.525</v>
      </c>
      <c r="N20" s="12">
        <v>14475629</v>
      </c>
      <c r="P20" s="11" t="b">
        <f>AND(H20="North")</f>
        <v>0</v>
      </c>
      <c r="Q20" s="11" t="b">
        <f>AND(H20="North",K20&gt;30)</f>
        <v>0</v>
      </c>
      <c r="R20" s="11" t="b">
        <f>AND(K20&gt;20,H20="North",E20="ND APPARELS")</f>
        <v>0</v>
      </c>
      <c r="T20" s="11" t="str">
        <f>IF(H20="North","Yes","No")</f>
        <v>No</v>
      </c>
      <c r="U20" s="11" t="str">
        <f>IF(K20&gt;20,"Yes","No")</f>
        <v>Yes</v>
      </c>
      <c r="V20" s="11" t="str">
        <f>IF(AND(K20&gt;20,H20="North"),"Done","Not Done")</f>
        <v>Not Done</v>
      </c>
      <c r="X20" s="11">
        <v>49</v>
      </c>
      <c r="AA20" s="17" t="str">
        <f t="shared" si="0"/>
        <v>Y</v>
      </c>
      <c r="AB20" s="17" t="str">
        <f t="shared" si="1"/>
        <v>Y</v>
      </c>
    </row>
    <row r="21" spans="3:34" ht="21">
      <c r="C21" s="9" t="s">
        <v>52</v>
      </c>
      <c r="D21" s="10">
        <v>45303</v>
      </c>
      <c r="E21" s="9" t="s">
        <v>9</v>
      </c>
      <c r="F21" s="9" t="s">
        <v>24</v>
      </c>
      <c r="G21" s="11">
        <v>695425</v>
      </c>
      <c r="H21" s="11" t="s">
        <v>6</v>
      </c>
      <c r="I21" s="9" t="s">
        <v>53</v>
      </c>
      <c r="J21" s="12">
        <v>736073</v>
      </c>
      <c r="K21" s="11">
        <v>32</v>
      </c>
      <c r="L21" s="12">
        <v>18401.825000000001</v>
      </c>
      <c r="M21" s="12">
        <v>23572737.824999999</v>
      </c>
      <c r="N21" s="12">
        <v>23554336</v>
      </c>
      <c r="P21" s="11" t="b">
        <f>AND(H21="North")</f>
        <v>1</v>
      </c>
      <c r="Q21" s="11" t="b">
        <f>AND(H21="North",K21&gt;30)</f>
        <v>1</v>
      </c>
      <c r="R21" s="11" t="b">
        <f>AND(K21&gt;20,H21="North",E21="ND APPARELS")</f>
        <v>1</v>
      </c>
      <c r="T21" s="11" t="str">
        <f>IF(H21="North","Yes","No")</f>
        <v>Yes</v>
      </c>
      <c r="U21" s="11" t="str">
        <f>IF(K21&gt;20,"Yes","No")</f>
        <v>Yes</v>
      </c>
      <c r="V21" s="11" t="str">
        <f>IF(AND(K21&gt;20,H21="North"),"Done","Not Done")</f>
        <v>Done</v>
      </c>
      <c r="X21" s="11">
        <v>32</v>
      </c>
      <c r="AA21" s="17" t="str">
        <f t="shared" si="0"/>
        <v>Y</v>
      </c>
      <c r="AB21" s="17" t="str">
        <f t="shared" si="1"/>
        <v>Y</v>
      </c>
    </row>
    <row r="22" spans="3:34" ht="21">
      <c r="C22" s="9" t="s">
        <v>54</v>
      </c>
      <c r="D22" s="10">
        <v>45304</v>
      </c>
      <c r="E22" s="9" t="s">
        <v>23</v>
      </c>
      <c r="F22" s="13" t="s">
        <v>28</v>
      </c>
      <c r="G22" s="11">
        <v>556688</v>
      </c>
      <c r="H22" s="11" t="s">
        <v>8</v>
      </c>
      <c r="I22" s="9" t="s">
        <v>55</v>
      </c>
      <c r="J22" s="12">
        <v>692982</v>
      </c>
      <c r="K22" s="11">
        <v>28</v>
      </c>
      <c r="L22" s="12">
        <v>17324.55</v>
      </c>
      <c r="M22" s="12">
        <v>19420820.550000001</v>
      </c>
      <c r="N22" s="12">
        <v>19403496</v>
      </c>
      <c r="P22" s="11" t="b">
        <f>AND(H22="North")</f>
        <v>0</v>
      </c>
      <c r="Q22" s="11" t="b">
        <f>AND(H22="North",K22&gt;30)</f>
        <v>0</v>
      </c>
      <c r="R22" s="11" t="b">
        <f>AND(K22&gt;20,H22="North",E22="ND APPARELS")</f>
        <v>0</v>
      </c>
      <c r="T22" s="11" t="str">
        <f>IF(H22="North","Yes","No")</f>
        <v>No</v>
      </c>
      <c r="U22" s="11" t="str">
        <f>IF(K22&gt;20,"Yes","No")</f>
        <v>Yes</v>
      </c>
      <c r="V22" s="11" t="str">
        <f>IF(AND(K22&gt;20,H22="North"),"Done","Not Done")</f>
        <v>Not Done</v>
      </c>
      <c r="X22" s="11">
        <v>28</v>
      </c>
      <c r="AA22" s="17" t="str">
        <f t="shared" si="0"/>
        <v>Y</v>
      </c>
      <c r="AB22" s="17" t="str">
        <f t="shared" si="1"/>
        <v>Y</v>
      </c>
    </row>
    <row r="23" spans="3:34" ht="21">
      <c r="C23" s="9" t="s">
        <v>56</v>
      </c>
      <c r="D23" s="10">
        <v>45305</v>
      </c>
      <c r="E23" s="9" t="s">
        <v>27</v>
      </c>
      <c r="F23" s="9" t="s">
        <v>33</v>
      </c>
      <c r="G23" s="11">
        <v>126589</v>
      </c>
      <c r="H23" s="11" t="s">
        <v>6</v>
      </c>
      <c r="I23" s="9" t="s">
        <v>57</v>
      </c>
      <c r="J23" s="12">
        <v>165551</v>
      </c>
      <c r="K23" s="11">
        <v>38</v>
      </c>
      <c r="L23" s="12">
        <v>4138.7750000000005</v>
      </c>
      <c r="M23" s="12">
        <v>6295076.7750000004</v>
      </c>
      <c r="N23" s="12">
        <v>6290938</v>
      </c>
      <c r="P23" s="11" t="b">
        <f>AND(H23="North")</f>
        <v>1</v>
      </c>
      <c r="Q23" s="11" t="b">
        <f>AND(H23="North",K23&gt;30)</f>
        <v>1</v>
      </c>
      <c r="R23" s="11" t="b">
        <f>AND(K23&gt;20,H23="North",E23="ND APPARELS")</f>
        <v>0</v>
      </c>
      <c r="T23" s="11" t="str">
        <f>IF(H23="North","Yes","No")</f>
        <v>Yes</v>
      </c>
      <c r="U23" s="11" t="str">
        <f>IF(K23&gt;20,"Yes","No")</f>
        <v>Yes</v>
      </c>
      <c r="V23" s="11" t="str">
        <f>IF(AND(K23&gt;20,H23="North"),"Done","Not Done")</f>
        <v>Done</v>
      </c>
      <c r="X23" s="11">
        <v>38</v>
      </c>
      <c r="AA23" s="17" t="str">
        <f t="shared" si="0"/>
        <v>Y</v>
      </c>
      <c r="AB23" s="17" t="str">
        <f t="shared" si="1"/>
        <v>Y</v>
      </c>
    </row>
    <row r="24" spans="3:34" ht="21">
      <c r="C24" s="9" t="s">
        <v>58</v>
      </c>
      <c r="D24" s="10">
        <v>45306</v>
      </c>
      <c r="E24" s="9" t="s">
        <v>23</v>
      </c>
      <c r="F24" s="9" t="s">
        <v>36</v>
      </c>
      <c r="G24" s="11">
        <v>852369</v>
      </c>
      <c r="H24" s="11" t="s">
        <v>8</v>
      </c>
      <c r="I24" s="9" t="s">
        <v>59</v>
      </c>
      <c r="J24" s="12">
        <v>124352</v>
      </c>
      <c r="K24" s="11">
        <v>50</v>
      </c>
      <c r="L24" s="12">
        <v>3108.8</v>
      </c>
      <c r="M24" s="12">
        <v>6220708.7999999998</v>
      </c>
      <c r="N24" s="12">
        <v>6217600</v>
      </c>
      <c r="P24" s="11" t="b">
        <f>AND(H24="North")</f>
        <v>0</v>
      </c>
      <c r="Q24" s="11" t="b">
        <f>AND(H24="North",K24&gt;30)</f>
        <v>0</v>
      </c>
      <c r="R24" s="11" t="b">
        <f>AND(K24&gt;20,H24="North",E24="ND APPARELS")</f>
        <v>0</v>
      </c>
      <c r="T24" s="11" t="str">
        <f>IF(H24="North","Yes","No")</f>
        <v>No</v>
      </c>
      <c r="U24" s="11" t="str">
        <f>IF(K24&gt;20,"Yes","No")</f>
        <v>Yes</v>
      </c>
      <c r="V24" s="11" t="str">
        <f>IF(AND(K24&gt;20,H24="North"),"Done","Not Done")</f>
        <v>Not Done</v>
      </c>
      <c r="X24" s="11">
        <v>50</v>
      </c>
      <c r="AA24" s="17" t="str">
        <f t="shared" si="0"/>
        <v>Y</v>
      </c>
      <c r="AB24" s="17" t="str">
        <f t="shared" si="1"/>
        <v>Y</v>
      </c>
    </row>
    <row r="25" spans="3:34" ht="21">
      <c r="C25" s="9" t="s">
        <v>60</v>
      </c>
      <c r="D25" s="10">
        <v>45307</v>
      </c>
      <c r="E25" s="9" t="s">
        <v>27</v>
      </c>
      <c r="F25" s="9" t="s">
        <v>24</v>
      </c>
      <c r="G25" s="11">
        <v>112285</v>
      </c>
      <c r="H25" s="11" t="s">
        <v>6</v>
      </c>
      <c r="I25" s="9" t="s">
        <v>61</v>
      </c>
      <c r="J25" s="12">
        <v>984528</v>
      </c>
      <c r="K25" s="11">
        <v>46</v>
      </c>
      <c r="L25" s="12">
        <v>24613.200000000001</v>
      </c>
      <c r="M25" s="12">
        <v>45312901.200000003</v>
      </c>
      <c r="N25" s="12">
        <v>45288288</v>
      </c>
      <c r="P25" s="11" t="b">
        <f>AND(H25="North")</f>
        <v>1</v>
      </c>
      <c r="Q25" s="11" t="b">
        <f>AND(H25="North",K25&gt;30)</f>
        <v>1</v>
      </c>
      <c r="R25" s="11" t="b">
        <f>AND(K25&gt;20,H25="North",E25="ND APPARELS")</f>
        <v>0</v>
      </c>
      <c r="T25" s="11" t="str">
        <f>IF(H25="North","Yes","No")</f>
        <v>Yes</v>
      </c>
      <c r="U25" s="11" t="str">
        <f>IF(K25&gt;20,"Yes","No")</f>
        <v>Yes</v>
      </c>
      <c r="V25" s="11" t="str">
        <f>IF(AND(K25&gt;20,H25="North"),"Done","Not Done")</f>
        <v>Done</v>
      </c>
      <c r="X25" s="11">
        <v>46</v>
      </c>
      <c r="AA25" s="17" t="str">
        <f t="shared" si="0"/>
        <v>Y</v>
      </c>
      <c r="AB25" s="17" t="str">
        <f t="shared" si="1"/>
        <v>Y</v>
      </c>
    </row>
    <row r="26" spans="3:34" ht="21">
      <c r="C26" s="9" t="s">
        <v>62</v>
      </c>
      <c r="D26" s="10">
        <v>45308</v>
      </c>
      <c r="E26" s="9" t="s">
        <v>32</v>
      </c>
      <c r="F26" s="13" t="s">
        <v>28</v>
      </c>
      <c r="G26" s="11">
        <v>695425</v>
      </c>
      <c r="H26" s="11" t="s">
        <v>44</v>
      </c>
      <c r="I26" s="9" t="s">
        <v>63</v>
      </c>
      <c r="J26" s="12">
        <v>920785</v>
      </c>
      <c r="K26" s="11">
        <v>45</v>
      </c>
      <c r="L26" s="12">
        <v>23019.625</v>
      </c>
      <c r="M26" s="12">
        <v>41458344.625</v>
      </c>
      <c r="N26" s="12">
        <v>41435325</v>
      </c>
      <c r="P26" s="11" t="b">
        <f>AND(H26="North")</f>
        <v>0</v>
      </c>
      <c r="Q26" s="11" t="b">
        <f>AND(H26="North",K26&gt;30)</f>
        <v>0</v>
      </c>
      <c r="R26" s="11" t="b">
        <f>AND(K26&gt;20,H26="North",E26="ND APPARELS")</f>
        <v>0</v>
      </c>
      <c r="T26" s="11" t="str">
        <f>IF(H26="North","Yes","No")</f>
        <v>No</v>
      </c>
      <c r="U26" s="11" t="str">
        <f>IF(K26&gt;20,"Yes","No")</f>
        <v>Yes</v>
      </c>
      <c r="V26" s="11" t="str">
        <f>IF(AND(K26&gt;20,H26="North"),"Done","Not Done")</f>
        <v>Not Done</v>
      </c>
      <c r="X26" s="11">
        <v>45</v>
      </c>
      <c r="AA26" s="17" t="str">
        <f t="shared" si="0"/>
        <v>Y</v>
      </c>
      <c r="AB26" s="17" t="str">
        <f t="shared" si="1"/>
        <v>Y</v>
      </c>
    </row>
    <row r="27" spans="3:34" ht="21">
      <c r="C27" s="9" t="s">
        <v>64</v>
      </c>
      <c r="D27" s="10">
        <v>45309</v>
      </c>
      <c r="E27" s="9" t="s">
        <v>9</v>
      </c>
      <c r="F27" s="9" t="s">
        <v>33</v>
      </c>
      <c r="G27" s="11">
        <v>125478</v>
      </c>
      <c r="H27" s="11" t="s">
        <v>6</v>
      </c>
      <c r="I27" s="9" t="s">
        <v>65</v>
      </c>
      <c r="J27" s="12">
        <v>632679</v>
      </c>
      <c r="K27" s="11">
        <v>26</v>
      </c>
      <c r="L27" s="12">
        <v>15816.975</v>
      </c>
      <c r="M27" s="12">
        <v>16465470.975</v>
      </c>
      <c r="N27" s="12">
        <v>16449654</v>
      </c>
      <c r="P27" s="11" t="b">
        <f>AND(H27="North")</f>
        <v>1</v>
      </c>
      <c r="Q27" s="11" t="b">
        <f>AND(H27="North",K27&gt;30)</f>
        <v>0</v>
      </c>
      <c r="R27" s="11" t="b">
        <f>AND(K27&gt;20,H27="North",E27="ND APPARELS")</f>
        <v>1</v>
      </c>
      <c r="T27" s="11" t="str">
        <f>IF(H27="North","Yes","No")</f>
        <v>Yes</v>
      </c>
      <c r="U27" s="11" t="str">
        <f>IF(K27&gt;20,"Yes","No")</f>
        <v>Yes</v>
      </c>
      <c r="V27" s="11" t="str">
        <f>IF(AND(K27&gt;20,H27="North"),"Done","Not Done")</f>
        <v>Done</v>
      </c>
    </row>
    <row r="28" spans="3:34" ht="21">
      <c r="C28" s="9" t="s">
        <v>66</v>
      </c>
      <c r="D28" s="10">
        <v>45310</v>
      </c>
      <c r="E28" s="9" t="s">
        <v>23</v>
      </c>
      <c r="F28" s="9" t="s">
        <v>36</v>
      </c>
      <c r="G28" s="11">
        <v>556688</v>
      </c>
      <c r="H28" s="11" t="s">
        <v>8</v>
      </c>
      <c r="I28" s="9" t="s">
        <v>67</v>
      </c>
      <c r="J28" s="12">
        <v>233117</v>
      </c>
      <c r="K28" s="11">
        <v>14</v>
      </c>
      <c r="L28" s="12">
        <v>5827.9250000000002</v>
      </c>
      <c r="M28" s="12">
        <v>3269465.9249999998</v>
      </c>
      <c r="N28" s="12">
        <v>3263638</v>
      </c>
      <c r="P28" s="11" t="b">
        <f>AND(H28="North")</f>
        <v>0</v>
      </c>
      <c r="Q28" s="11" t="b">
        <f>AND(H28="North",K28&gt;30)</f>
        <v>0</v>
      </c>
      <c r="R28" s="11" t="b">
        <f>AND(K28&gt;20,H28="North",E28="ND APPARELS")</f>
        <v>0</v>
      </c>
      <c r="T28" s="11" t="str">
        <f>IF(H28="North","Yes","No")</f>
        <v>No</v>
      </c>
      <c r="U28" s="11" t="str">
        <f>IF(K28&gt;20,"Yes","No")</f>
        <v>No</v>
      </c>
      <c r="V28" s="11" t="str">
        <f>IF(AND(K28&gt;20,H28="North"),"Done","Not Done")</f>
        <v>Not Done</v>
      </c>
    </row>
    <row r="29" spans="3:34" ht="21">
      <c r="C29" s="9" t="s">
        <v>68</v>
      </c>
      <c r="D29" s="10">
        <v>45311</v>
      </c>
      <c r="E29" s="9" t="s">
        <v>27</v>
      </c>
      <c r="F29" s="9" t="s">
        <v>7</v>
      </c>
      <c r="G29" s="11">
        <v>126589</v>
      </c>
      <c r="H29" s="11" t="s">
        <v>6</v>
      </c>
      <c r="I29" s="9" t="s">
        <v>69</v>
      </c>
      <c r="J29" s="12">
        <v>984960</v>
      </c>
      <c r="K29" s="11">
        <v>38</v>
      </c>
      <c r="L29" s="12">
        <v>24624</v>
      </c>
      <c r="M29" s="12">
        <v>37453104</v>
      </c>
      <c r="N29" s="12">
        <v>37428480</v>
      </c>
      <c r="P29" s="11" t="b">
        <f>AND(H29="North")</f>
        <v>1</v>
      </c>
      <c r="Q29" s="11" t="b">
        <f>AND(H29="North",K29&gt;30)</f>
        <v>1</v>
      </c>
      <c r="R29" s="11" t="b">
        <f>AND(K29&gt;20,H29="North",E29="ND APPARELS")</f>
        <v>0</v>
      </c>
      <c r="T29" s="11" t="str">
        <f>IF(H29="North","Yes","No")</f>
        <v>Yes</v>
      </c>
      <c r="U29" s="11" t="str">
        <f>IF(K29&gt;20,"Yes","No")</f>
        <v>Yes</v>
      </c>
      <c r="V29" s="11" t="str">
        <f>IF(AND(K29&gt;20,H29="North"),"Done","Not Done")</f>
        <v>Done</v>
      </c>
    </row>
    <row r="30" spans="3:34" ht="21">
      <c r="C30" s="9" t="s">
        <v>70</v>
      </c>
      <c r="D30" s="10">
        <v>45312</v>
      </c>
      <c r="E30" s="9" t="s">
        <v>32</v>
      </c>
      <c r="F30" s="9" t="s">
        <v>24</v>
      </c>
      <c r="G30" s="11">
        <v>852369</v>
      </c>
      <c r="H30" s="11" t="s">
        <v>44</v>
      </c>
      <c r="I30" s="9" t="s">
        <v>71</v>
      </c>
      <c r="J30" s="12">
        <v>646271</v>
      </c>
      <c r="K30" s="11">
        <v>44</v>
      </c>
      <c r="L30" s="12">
        <v>16156.775000000001</v>
      </c>
      <c r="M30" s="12">
        <v>28452080.774999999</v>
      </c>
      <c r="N30" s="12">
        <v>28435924</v>
      </c>
      <c r="P30" s="11" t="b">
        <f>AND(H30="North")</f>
        <v>0</v>
      </c>
      <c r="Q30" s="11" t="b">
        <f>AND(H30="North",K30&gt;30)</f>
        <v>0</v>
      </c>
      <c r="R30" s="11" t="b">
        <f>AND(K30&gt;20,H30="North",E30="ND APPARELS")</f>
        <v>0</v>
      </c>
      <c r="T30" s="11" t="str">
        <f>IF(H30="North","Yes","No")</f>
        <v>No</v>
      </c>
      <c r="U30" s="11" t="str">
        <f>IF(K30&gt;20,"Yes","No")</f>
        <v>Yes</v>
      </c>
      <c r="V30" s="11" t="str">
        <f>IF(AND(K30&gt;20,H30="North"),"Done","Not Done")</f>
        <v>Not Done</v>
      </c>
    </row>
    <row r="31" spans="3:34" ht="21">
      <c r="C31" s="9" t="s">
        <v>72</v>
      </c>
      <c r="D31" s="10">
        <v>45313</v>
      </c>
      <c r="E31" s="9" t="s">
        <v>23</v>
      </c>
      <c r="F31" s="13" t="s">
        <v>28</v>
      </c>
      <c r="G31" s="11">
        <v>112285</v>
      </c>
      <c r="H31" s="11" t="s">
        <v>8</v>
      </c>
      <c r="I31" s="9" t="s">
        <v>73</v>
      </c>
      <c r="J31" s="12">
        <v>214209</v>
      </c>
      <c r="K31" s="11">
        <v>25</v>
      </c>
      <c r="L31" s="12">
        <v>5355.2250000000004</v>
      </c>
      <c r="M31" s="12">
        <v>5360580.2249999996</v>
      </c>
      <c r="N31" s="12">
        <v>5355225</v>
      </c>
      <c r="P31" s="11" t="b">
        <f>AND(H31="North")</f>
        <v>0</v>
      </c>
      <c r="Q31" s="11" t="b">
        <f>AND(H31="North",K31&gt;30)</f>
        <v>0</v>
      </c>
      <c r="R31" s="11" t="b">
        <f>AND(K31&gt;20,H31="North",E31="ND APPARELS")</f>
        <v>0</v>
      </c>
      <c r="T31" s="11" t="str">
        <f>IF(H31="North","Yes","No")</f>
        <v>No</v>
      </c>
      <c r="U31" s="11" t="str">
        <f>IF(K31&gt;20,"Yes","No")</f>
        <v>Yes</v>
      </c>
      <c r="V31" s="11" t="str">
        <f>IF(AND(K31&gt;20,H31="North"),"Done","Not Done")</f>
        <v>Not Done</v>
      </c>
    </row>
    <row r="32" spans="3:34" ht="21">
      <c r="C32" s="9" t="s">
        <v>74</v>
      </c>
      <c r="D32" s="10">
        <v>45314</v>
      </c>
      <c r="E32" s="9" t="s">
        <v>27</v>
      </c>
      <c r="F32" s="9" t="s">
        <v>33</v>
      </c>
      <c r="G32" s="11">
        <v>852369</v>
      </c>
      <c r="H32" s="11" t="s">
        <v>6</v>
      </c>
      <c r="I32" s="9" t="s">
        <v>75</v>
      </c>
      <c r="J32" s="12">
        <v>727783</v>
      </c>
      <c r="K32" s="11">
        <v>44</v>
      </c>
      <c r="L32" s="12">
        <v>18194.575000000001</v>
      </c>
      <c r="M32" s="12">
        <v>32040646.574999999</v>
      </c>
      <c r="N32" s="12">
        <v>32022452</v>
      </c>
      <c r="P32" s="11" t="b">
        <f>AND(H32="North")</f>
        <v>1</v>
      </c>
      <c r="Q32" s="11" t="b">
        <f>AND(H32="North",K32&gt;30)</f>
        <v>1</v>
      </c>
      <c r="R32" s="11" t="b">
        <f>AND(K32&gt;20,H32="North",E32="ND APPARELS")</f>
        <v>0</v>
      </c>
      <c r="T32" s="11" t="str">
        <f>IF(H32="North","Yes","No")</f>
        <v>Yes</v>
      </c>
      <c r="U32" s="11" t="str">
        <f>IF(K32&gt;20,"Yes","No")</f>
        <v>Yes</v>
      </c>
      <c r="V32" s="11" t="str">
        <f>IF(AND(K32&gt;20,H32="North"),"Done","Not Done")</f>
        <v>Done</v>
      </c>
    </row>
    <row r="33" spans="3:22" ht="21">
      <c r="C33" s="9" t="s">
        <v>76</v>
      </c>
      <c r="D33" s="10">
        <v>45315</v>
      </c>
      <c r="E33" s="9" t="s">
        <v>32</v>
      </c>
      <c r="F33" s="9" t="s">
        <v>36</v>
      </c>
      <c r="G33" s="11">
        <v>112285</v>
      </c>
      <c r="H33" s="11" t="s">
        <v>44</v>
      </c>
      <c r="I33" s="9" t="s">
        <v>77</v>
      </c>
      <c r="J33" s="12">
        <v>827213</v>
      </c>
      <c r="K33" s="11">
        <v>13</v>
      </c>
      <c r="L33" s="12">
        <v>20680.325000000001</v>
      </c>
      <c r="M33" s="12">
        <v>10774449.324999999</v>
      </c>
      <c r="N33" s="12">
        <v>10753769</v>
      </c>
      <c r="P33" s="11" t="b">
        <f>AND(H33="North")</f>
        <v>0</v>
      </c>
      <c r="Q33" s="11" t="b">
        <f>AND(H33="North",K33&gt;30)</f>
        <v>0</v>
      </c>
      <c r="R33" s="11" t="b">
        <f>AND(K33&gt;20,H33="North",E33="ND APPARELS")</f>
        <v>0</v>
      </c>
      <c r="T33" s="11" t="str">
        <f>IF(H33="North","Yes","No")</f>
        <v>No</v>
      </c>
      <c r="U33" s="11" t="str">
        <f>IF(K33&gt;20,"Yes","No")</f>
        <v>No</v>
      </c>
      <c r="V33" s="11" t="str">
        <f>IF(AND(K33&gt;20,H33="North"),"Done","Not Done")</f>
        <v>Not Done</v>
      </c>
    </row>
    <row r="34" spans="3:22" ht="21">
      <c r="C34" s="9" t="s">
        <v>78</v>
      </c>
      <c r="D34" s="10">
        <v>45316</v>
      </c>
      <c r="E34" s="9" t="s">
        <v>9</v>
      </c>
      <c r="F34" s="9" t="s">
        <v>36</v>
      </c>
      <c r="G34" s="11">
        <v>695425</v>
      </c>
      <c r="H34" s="11" t="s">
        <v>6</v>
      </c>
      <c r="I34" s="9" t="s">
        <v>79</v>
      </c>
      <c r="J34" s="12">
        <v>379962</v>
      </c>
      <c r="K34" s="11">
        <v>40</v>
      </c>
      <c r="L34" s="12">
        <v>9499.0500000000011</v>
      </c>
      <c r="M34" s="12">
        <v>15207979.050000001</v>
      </c>
      <c r="N34" s="12">
        <v>15198480</v>
      </c>
      <c r="P34" s="11" t="b">
        <f>AND(H34="North")</f>
        <v>1</v>
      </c>
      <c r="Q34" s="11" t="b">
        <f>AND(H34="North",K34&gt;30)</f>
        <v>1</v>
      </c>
      <c r="R34" s="11" t="b">
        <f>AND(K34&gt;20,H34="North",E34="ND APPARELS")</f>
        <v>1</v>
      </c>
      <c r="T34" s="11" t="str">
        <f>IF(H34="North","Yes","No")</f>
        <v>Yes</v>
      </c>
      <c r="U34" s="11" t="str">
        <f>IF(K34&gt;20,"Yes","No")</f>
        <v>Yes</v>
      </c>
      <c r="V34" s="11" t="str">
        <f>IF(AND(K34&gt;20,H34="North"),"Done","Not Done")</f>
        <v>Done</v>
      </c>
    </row>
    <row r="35" spans="3:22" ht="21">
      <c r="C35" s="9" t="s">
        <v>80</v>
      </c>
      <c r="D35" s="10">
        <v>45317</v>
      </c>
      <c r="E35" s="9" t="s">
        <v>23</v>
      </c>
      <c r="F35" s="9" t="s">
        <v>24</v>
      </c>
      <c r="G35" s="11">
        <v>125478</v>
      </c>
      <c r="H35" s="11" t="s">
        <v>8</v>
      </c>
      <c r="I35" s="9" t="s">
        <v>81</v>
      </c>
      <c r="J35" s="12">
        <v>899360</v>
      </c>
      <c r="K35" s="11">
        <v>15</v>
      </c>
      <c r="L35" s="12">
        <v>22484</v>
      </c>
      <c r="M35" s="12">
        <v>13512884</v>
      </c>
      <c r="N35" s="12">
        <v>13490400</v>
      </c>
      <c r="P35" s="11" t="b">
        <f>AND(H35="North")</f>
        <v>0</v>
      </c>
      <c r="Q35" s="11" t="b">
        <f>AND(H35="North",K35&gt;30)</f>
        <v>0</v>
      </c>
      <c r="R35" s="11" t="b">
        <f>AND(K35&gt;20,H35="North",E35="ND APPARELS")</f>
        <v>0</v>
      </c>
      <c r="T35" s="11" t="str">
        <f>IF(H35="North","Yes","No")</f>
        <v>No</v>
      </c>
      <c r="U35" s="11" t="str">
        <f>IF(K35&gt;20,"Yes","No")</f>
        <v>No</v>
      </c>
      <c r="V35" s="11" t="str">
        <f>IF(AND(K35&gt;20,H35="North"),"Done","Not Done")</f>
        <v>Not Done</v>
      </c>
    </row>
    <row r="36" spans="3:22" ht="21">
      <c r="C36" s="9" t="s">
        <v>82</v>
      </c>
      <c r="D36" s="10">
        <v>45318</v>
      </c>
      <c r="E36" s="9" t="s">
        <v>27</v>
      </c>
      <c r="F36" s="13" t="s">
        <v>28</v>
      </c>
      <c r="G36" s="11">
        <v>556688</v>
      </c>
      <c r="H36" s="11" t="s">
        <v>8</v>
      </c>
      <c r="I36" s="9" t="s">
        <v>67</v>
      </c>
      <c r="J36" s="12">
        <v>358368</v>
      </c>
      <c r="K36" s="11">
        <v>47</v>
      </c>
      <c r="L36" s="12">
        <v>8959.2000000000007</v>
      </c>
      <c r="M36" s="12">
        <v>16852255.199999999</v>
      </c>
      <c r="N36" s="12">
        <v>16843296</v>
      </c>
      <c r="P36" s="11" t="b">
        <f>AND(H36="North")</f>
        <v>0</v>
      </c>
      <c r="Q36" s="11" t="b">
        <f>AND(H36="North",K36&gt;30)</f>
        <v>0</v>
      </c>
      <c r="R36" s="11" t="b">
        <f>AND(K36&gt;20,H36="North",E36="ND APPARELS")</f>
        <v>0</v>
      </c>
      <c r="T36" s="11" t="str">
        <f>IF(H36="North","Yes","No")</f>
        <v>No</v>
      </c>
      <c r="U36" s="11" t="str">
        <f>IF(K36&gt;20,"Yes","No")</f>
        <v>Yes</v>
      </c>
      <c r="V36" s="11" t="str">
        <f>IF(AND(K36&gt;20,H36="North"),"Done","Not Done")</f>
        <v>Not Done</v>
      </c>
    </row>
    <row r="37" spans="3:22" ht="21">
      <c r="C37" s="9" t="s">
        <v>83</v>
      </c>
      <c r="D37" s="10">
        <v>45319</v>
      </c>
      <c r="E37" s="9" t="s">
        <v>32</v>
      </c>
      <c r="F37" s="9" t="s">
        <v>33</v>
      </c>
      <c r="G37" s="11">
        <v>126589</v>
      </c>
      <c r="H37" s="11" t="s">
        <v>29</v>
      </c>
      <c r="I37" s="9" t="s">
        <v>69</v>
      </c>
      <c r="J37" s="12">
        <v>181043</v>
      </c>
      <c r="K37" s="11">
        <v>37</v>
      </c>
      <c r="L37" s="12">
        <v>4526.0749999999998</v>
      </c>
      <c r="M37" s="12">
        <v>6703117.0750000002</v>
      </c>
      <c r="N37" s="12">
        <v>6698591</v>
      </c>
      <c r="P37" s="11" t="b">
        <f>AND(H37="North")</f>
        <v>0</v>
      </c>
      <c r="Q37" s="11" t="b">
        <f>AND(H37="North",K37&gt;30)</f>
        <v>0</v>
      </c>
      <c r="R37" s="11" t="b">
        <f>AND(K37&gt;20,H37="North",E37="ND APPARELS")</f>
        <v>0</v>
      </c>
      <c r="T37" s="11" t="str">
        <f>IF(H37="North","Yes","No")</f>
        <v>No</v>
      </c>
      <c r="U37" s="11" t="str">
        <f>IF(K37&gt;20,"Yes","No")</f>
        <v>Yes</v>
      </c>
      <c r="V37" s="11" t="str">
        <f>IF(AND(K37&gt;20,H37="North"),"Done","Not Done")</f>
        <v>Not Done</v>
      </c>
    </row>
    <row r="38" spans="3:22" ht="21">
      <c r="C38" s="9" t="s">
        <v>84</v>
      </c>
      <c r="D38" s="10">
        <v>45320</v>
      </c>
      <c r="E38" s="9" t="s">
        <v>23</v>
      </c>
      <c r="F38" s="9" t="s">
        <v>36</v>
      </c>
      <c r="G38" s="11">
        <v>112285</v>
      </c>
      <c r="H38" s="11" t="s">
        <v>44</v>
      </c>
      <c r="I38" s="9" t="s">
        <v>71</v>
      </c>
      <c r="J38" s="12">
        <v>120175</v>
      </c>
      <c r="K38" s="11">
        <v>25</v>
      </c>
      <c r="L38" s="12">
        <v>3004.375</v>
      </c>
      <c r="M38" s="12">
        <v>3007379.375</v>
      </c>
      <c r="N38" s="12">
        <v>3004375</v>
      </c>
      <c r="P38" s="11" t="b">
        <f>AND(H38="North")</f>
        <v>0</v>
      </c>
      <c r="Q38" s="11" t="b">
        <f>AND(H38="North",K38&gt;30)</f>
        <v>0</v>
      </c>
      <c r="R38" s="11" t="b">
        <f>AND(K38&gt;20,H38="North",E38="ND APPARELS")</f>
        <v>0</v>
      </c>
      <c r="T38" s="11" t="str">
        <f>IF(H38="North","Yes","No")</f>
        <v>No</v>
      </c>
      <c r="U38" s="11" t="str">
        <f>IF(K38&gt;20,"Yes","No")</f>
        <v>Yes</v>
      </c>
      <c r="V38" s="11" t="str">
        <f>IF(AND(K38&gt;20,H38="North"),"Done","Not Done")</f>
        <v>Not Done</v>
      </c>
    </row>
    <row r="39" spans="3:22" ht="21">
      <c r="C39" s="9" t="s">
        <v>85</v>
      </c>
      <c r="D39" s="10">
        <v>45321</v>
      </c>
      <c r="E39" s="9" t="s">
        <v>27</v>
      </c>
      <c r="F39" s="9" t="s">
        <v>7</v>
      </c>
      <c r="G39" s="11">
        <v>852369</v>
      </c>
      <c r="H39" s="11" t="s">
        <v>6</v>
      </c>
      <c r="I39" s="9" t="s">
        <v>73</v>
      </c>
      <c r="J39" s="12">
        <v>312789</v>
      </c>
      <c r="K39" s="11">
        <v>47</v>
      </c>
      <c r="L39" s="12">
        <v>7819.7250000000004</v>
      </c>
      <c r="M39" s="12">
        <v>14708902.725</v>
      </c>
      <c r="N39" s="12">
        <v>14701083</v>
      </c>
      <c r="P39" s="11" t="b">
        <f>AND(H39="North")</f>
        <v>1</v>
      </c>
      <c r="Q39" s="11" t="b">
        <f>AND(H39="North",K39&gt;30)</f>
        <v>1</v>
      </c>
      <c r="R39" s="11" t="b">
        <f>AND(K39&gt;20,H39="North",E39="ND APPARELS")</f>
        <v>0</v>
      </c>
      <c r="T39" s="11" t="str">
        <f>IF(H39="North","Yes","No")</f>
        <v>Yes</v>
      </c>
      <c r="U39" s="11" t="str">
        <f>IF(K39&gt;20,"Yes","No")</f>
        <v>Yes</v>
      </c>
      <c r="V39" s="11" t="str">
        <f>IF(AND(K39&gt;20,H39="North"),"Done","Not Done")</f>
        <v>Done</v>
      </c>
    </row>
    <row r="43" spans="3:22" ht="21">
      <c r="G43" s="16"/>
      <c r="H43" s="16"/>
      <c r="I43" s="16"/>
      <c r="J43" s="16"/>
      <c r="K43" s="16"/>
      <c r="L43" s="16"/>
    </row>
    <row r="44" spans="3:22" ht="21">
      <c r="G44" s="11">
        <v>60</v>
      </c>
      <c r="H44" s="11">
        <v>76</v>
      </c>
      <c r="I44" s="11">
        <v>29</v>
      </c>
      <c r="J44" s="11">
        <v>71</v>
      </c>
      <c r="K44" s="11">
        <v>19</v>
      </c>
      <c r="L44" s="11">
        <v>14</v>
      </c>
      <c r="M44" s="11" t="str">
        <f>IF(AND(G44&gt;27,H44&gt;27,I44&gt;27,J44&gt;27,K44&gt;27,L44&gt;27),"Pass","Fail")</f>
        <v>Fail</v>
      </c>
    </row>
    <row r="45" spans="3:22" ht="21">
      <c r="G45" s="11">
        <v>59</v>
      </c>
      <c r="H45" s="11">
        <v>54</v>
      </c>
      <c r="I45" s="11">
        <v>59</v>
      </c>
      <c r="J45" s="11">
        <v>58</v>
      </c>
      <c r="K45" s="11">
        <v>77</v>
      </c>
      <c r="L45" s="11">
        <v>52</v>
      </c>
      <c r="M45" s="11" t="str">
        <f>IF(AND(G45&gt;27,H45&gt;27,I45&gt;27,J45&gt;27,K45&gt;27,L45&gt;27),"Pass","Fail")</f>
        <v>Pass</v>
      </c>
    </row>
    <row r="46" spans="3:22" ht="21">
      <c r="G46" s="11">
        <v>38</v>
      </c>
      <c r="H46" s="11">
        <v>71</v>
      </c>
      <c r="I46" s="11">
        <v>35</v>
      </c>
      <c r="J46" s="11">
        <v>59</v>
      </c>
      <c r="K46" s="11">
        <v>71</v>
      </c>
      <c r="L46" s="11">
        <v>28</v>
      </c>
      <c r="M46" s="11" t="str">
        <f>IF(AND(G46&gt;27,H46&gt;27,I46&gt;27,J46&gt;27,K46&gt;27,L46&gt;27),"Pass","Fail")</f>
        <v>Pass</v>
      </c>
    </row>
    <row r="47" spans="3:22" ht="21">
      <c r="G47" s="11">
        <v>18</v>
      </c>
      <c r="H47" s="11">
        <v>42</v>
      </c>
      <c r="I47" s="11">
        <v>58</v>
      </c>
      <c r="J47" s="11">
        <v>10</v>
      </c>
      <c r="K47" s="11">
        <v>26</v>
      </c>
      <c r="L47" s="11">
        <v>59</v>
      </c>
      <c r="M47" s="11" t="str">
        <f>IF(AND(G47&gt;27,H47&gt;27,I47&gt;27,J47&gt;27,K47&gt;27,L47&gt;27),"Pass","Fail")</f>
        <v>Fail</v>
      </c>
    </row>
    <row r="48" spans="3:22" ht="21">
      <c r="G48" s="11">
        <v>73</v>
      </c>
      <c r="H48" s="11">
        <v>62</v>
      </c>
      <c r="I48" s="11">
        <v>22</v>
      </c>
      <c r="J48" s="11">
        <v>15</v>
      </c>
      <c r="K48" s="11">
        <v>59</v>
      </c>
      <c r="L48" s="11">
        <v>73</v>
      </c>
      <c r="M48" s="11" t="str">
        <f>IF(AND(G48&gt;27,H48&gt;27,I48&gt;27,J48&gt;27,K48&gt;27,L48&gt;27),"Pass","Fail")</f>
        <v>Fail</v>
      </c>
    </row>
    <row r="49" spans="3:13" ht="21">
      <c r="G49" s="11">
        <v>23</v>
      </c>
      <c r="H49" s="11">
        <v>17</v>
      </c>
      <c r="I49" s="11">
        <v>20</v>
      </c>
      <c r="J49" s="11">
        <v>13</v>
      </c>
      <c r="K49" s="11">
        <v>19</v>
      </c>
      <c r="L49" s="11">
        <v>18</v>
      </c>
      <c r="M49" s="11" t="str">
        <f>IF(AND(G49&gt;27,H49&gt;27,I49&gt;27,J49&gt;27,K49&gt;27,L49&gt;27),"Pass","Fail")</f>
        <v>Fail</v>
      </c>
    </row>
    <row r="50" spans="3:13" ht="21">
      <c r="G50" s="11">
        <v>46</v>
      </c>
      <c r="H50" s="11">
        <v>22</v>
      </c>
      <c r="I50" s="11">
        <v>38</v>
      </c>
      <c r="J50" s="11">
        <v>29</v>
      </c>
      <c r="K50" s="11">
        <v>67</v>
      </c>
      <c r="L50" s="11">
        <v>10</v>
      </c>
      <c r="M50" s="11" t="str">
        <f>IF(AND(G50&gt;27,H50&gt;27,I50&gt;27,J50&gt;27,K50&gt;27,L50&gt;27),"Pass","Fail")</f>
        <v>Fail</v>
      </c>
    </row>
    <row r="51" spans="3:13" ht="21">
      <c r="G51" s="11">
        <v>13</v>
      </c>
      <c r="H51" s="11">
        <v>19</v>
      </c>
      <c r="I51" s="11">
        <v>22</v>
      </c>
      <c r="J51" s="11">
        <v>16</v>
      </c>
      <c r="K51" s="11">
        <v>38</v>
      </c>
      <c r="L51" s="11">
        <v>14</v>
      </c>
      <c r="M51" s="11" t="str">
        <f>IF(AND(G51&gt;33,H51&gt;33,I51&gt;33,J51&gt;33,K51&gt;33,L51&gt;33),"Pass","Fail")</f>
        <v>Fail</v>
      </c>
    </row>
    <row r="52" spans="3:13" ht="24.75">
      <c r="E52" s="6" t="s">
        <v>86</v>
      </c>
      <c r="G52" s="15">
        <v>61</v>
      </c>
      <c r="H52" s="15">
        <v>44</v>
      </c>
      <c r="I52" s="15">
        <v>20</v>
      </c>
      <c r="J52" s="15">
        <v>54</v>
      </c>
      <c r="K52" s="15">
        <v>57</v>
      </c>
      <c r="L52" s="15">
        <v>49</v>
      </c>
      <c r="M52" s="11" t="str">
        <f>IF(AND(G52&gt;33,H52&gt;33,I52&gt;33,J52&gt;33,K52&gt;33,L52&gt;33),"Pass","Fail")</f>
        <v>Fail</v>
      </c>
    </row>
    <row r="53" spans="3:13" ht="21">
      <c r="E53" s="11">
        <v>20000</v>
      </c>
      <c r="G53" s="14">
        <f>SUM(G44:G52)</f>
        <v>391</v>
      </c>
      <c r="H53" s="14">
        <f>SUM(H44:H52)</f>
        <v>407</v>
      </c>
      <c r="I53" s="14">
        <f>SUM(I44:I52)</f>
        <v>303</v>
      </c>
      <c r="J53" s="14">
        <f>SUM(J44:J52)</f>
        <v>325</v>
      </c>
      <c r="K53" s="14">
        <f>SUM(K44:K52)</f>
        <v>433</v>
      </c>
      <c r="L53" s="14">
        <f>SUM(L44:L52)</f>
        <v>317</v>
      </c>
    </row>
    <row r="56" spans="3:13" ht="24.75">
      <c r="C56" s="1" t="s">
        <v>10</v>
      </c>
      <c r="D56" s="5" t="s">
        <v>87</v>
      </c>
      <c r="E56" s="20" t="s">
        <v>88</v>
      </c>
      <c r="G56" s="6" t="s">
        <v>88</v>
      </c>
    </row>
    <row r="57" spans="3:13" ht="21">
      <c r="C57" s="9" t="s">
        <v>19</v>
      </c>
      <c r="D57" s="19">
        <v>15762</v>
      </c>
      <c r="E57" s="18" t="str">
        <f>IF(D57&gt;$E$53,"Higher",IF(D57&lt;$E$53,"Lower",IF(D57=$E$53,"Equal")))</f>
        <v>Lower</v>
      </c>
      <c r="G57" t="str">
        <f>IF(D57&gt;$E$53,"Higher",IF(D57&lt;$E$53,"Lower",IF(D57=$E$53,"Equal")))</f>
        <v>Lower</v>
      </c>
      <c r="H57" t="b">
        <f>IF(D57=$D$59,"Equal")</f>
        <v>0</v>
      </c>
    </row>
    <row r="58" spans="3:13" ht="21">
      <c r="C58" s="9" t="s">
        <v>22</v>
      </c>
      <c r="D58" s="19">
        <v>43834</v>
      </c>
      <c r="E58" s="18" t="str">
        <f>IF(D58&gt;$E$53,"Higher",IF(D58&lt;$E$53,"Lower",IF(D58=$E$53,"Equal")))</f>
        <v>Higher</v>
      </c>
      <c r="G58" t="str">
        <f>IF(D58&gt;$E$53,"Higher",IF(D58&lt;$E$53,"Lower",IF(D58=$E$53,"Equal")))</f>
        <v>Higher</v>
      </c>
      <c r="H58" t="b">
        <f>IF(D58=$D$59,"Equal")</f>
        <v>0</v>
      </c>
    </row>
    <row r="59" spans="3:13" ht="21">
      <c r="C59" s="9" t="s">
        <v>26</v>
      </c>
      <c r="D59" s="19" t="s">
        <v>89</v>
      </c>
      <c r="E59" s="18" t="str">
        <f>IF(D59&gt;$E$53,"Higher",IF(D59&lt;$E$53,"Lower",IF(D59=$E$53,"Equal")))</f>
        <v>Higher</v>
      </c>
      <c r="G59" t="str">
        <f>IF(D59&gt;$E$53,"Higher",IF(D59&lt;$E$53,"Lower",IF(D59=$E$53,"Equal")))</f>
        <v>Higher</v>
      </c>
      <c r="H59" t="str">
        <f>IF(D59=$D$59,"Equal")</f>
        <v>Equal</v>
      </c>
    </row>
    <row r="60" spans="3:13" ht="21">
      <c r="C60" s="9" t="s">
        <v>31</v>
      </c>
      <c r="D60" s="19">
        <v>36239</v>
      </c>
      <c r="E60" s="18" t="str">
        <f>IF(D60&gt;$E$53,"Higher",IF(D60&lt;$E$53,"Lower",IF(D60=$E$53,"Equal")))</f>
        <v>Higher</v>
      </c>
      <c r="G60" t="str">
        <f>IF(D60&gt;$E$53,"Higher",IF(D60&lt;$E$53,"Lower",IF(D60=$E$53,"Equal")))</f>
        <v>Higher</v>
      </c>
      <c r="H60" t="b">
        <f>IF(D60=$D$59,"Equal")</f>
        <v>0</v>
      </c>
    </row>
    <row r="61" spans="3:13" ht="21">
      <c r="C61" s="9" t="s">
        <v>35</v>
      </c>
      <c r="D61" s="19">
        <v>34377</v>
      </c>
      <c r="E61" s="18" t="str">
        <f>IF(D61&gt;$E$53,"Higher",IF(D61&lt;$E$53,"Lower",IF(D61=$E$53,"Equal")))</f>
        <v>Higher</v>
      </c>
      <c r="G61" t="str">
        <f>IF(D61&gt;$E$53,"Higher",IF(D61&lt;$E$53,"Lower",IF(D61=$E$53,"Equal")))</f>
        <v>Higher</v>
      </c>
      <c r="H61" t="b">
        <f>IF(D61=$D$59,"Equal")</f>
        <v>0</v>
      </c>
    </row>
    <row r="62" spans="3:13" ht="21">
      <c r="C62" s="9" t="s">
        <v>39</v>
      </c>
      <c r="D62" s="19">
        <v>18321</v>
      </c>
      <c r="E62" s="18" t="str">
        <f>IF(D62&gt;$E$53,"Higher",IF(D62&lt;$E$53,"Lower",IF(D62=$E$53,"Equal")))</f>
        <v>Lower</v>
      </c>
      <c r="G62" t="str">
        <f>IF(D62&gt;$E$53,"Higher",IF(D62&lt;$E$53,"Lower",IF(D62=$E$53,"Equal")))</f>
        <v>Lower</v>
      </c>
      <c r="H62" t="b">
        <f>IF(D62=$D$59,"Equal")</f>
        <v>0</v>
      </c>
    </row>
    <row r="63" spans="3:13" ht="21">
      <c r="C63" s="9" t="s">
        <v>41</v>
      </c>
      <c r="D63" s="19">
        <v>43762</v>
      </c>
      <c r="E63" s="18" t="str">
        <f>IF(D63&gt;$E$53,"Higher",IF(D63&lt;$E$53,"Lower",IF(D63=$E$53,"Equal")))</f>
        <v>Higher</v>
      </c>
      <c r="G63" t="str">
        <f>IF(D63&gt;$E$53,"Higher",IF(D63&lt;$E$53,"Lower",IF(D63=$E$53,"Equal")))</f>
        <v>Higher</v>
      </c>
      <c r="H63" t="b">
        <f>IF(D63=$D$59,"Equal")</f>
        <v>0</v>
      </c>
    </row>
    <row r="64" spans="3:13" ht="21">
      <c r="C64" s="9" t="s">
        <v>43</v>
      </c>
      <c r="D64" s="19">
        <v>11135</v>
      </c>
      <c r="E64" s="18" t="str">
        <f>IF(D64&gt;$E$53,"Higher",IF(D64&lt;$E$53,"Lower",IF(D64=$E$53,"Equal")))</f>
        <v>Lower</v>
      </c>
      <c r="G64" t="str">
        <f>IF(D64&gt;$E$53,"Higher",IF(D64&lt;$E$53,"Lower",IF(D64=$E$53,"Equal")))</f>
        <v>Lower</v>
      </c>
      <c r="H64" t="b">
        <f>IF(D64=$D$59,"Equal")</f>
        <v>0</v>
      </c>
    </row>
    <row r="65" spans="3:15" ht="21">
      <c r="C65" s="9" t="s">
        <v>46</v>
      </c>
      <c r="D65" s="19" t="s">
        <v>89</v>
      </c>
      <c r="E65" s="18" t="str">
        <f>IF(D65&gt;$E$53,"Higher",IF(D65&lt;$E$53,"Lower",IF(D65=$E$53,"Equal")))</f>
        <v>Higher</v>
      </c>
      <c r="G65" t="str">
        <f>IF(D65&gt;$E$53,"Higher",IF(D65&lt;$E$53,"Lower",IF(D65=$E$53,"Equal")))</f>
        <v>Higher</v>
      </c>
      <c r="H65" t="str">
        <f>IF(D65=$D$59,"Equal")</f>
        <v>Equal</v>
      </c>
    </row>
    <row r="66" spans="3:15" ht="21">
      <c r="C66" s="9" t="s">
        <v>48</v>
      </c>
      <c r="D66" s="19">
        <v>45856</v>
      </c>
      <c r="E66" s="18" t="str">
        <f>IF(D66&gt;$E$53,"Higher",IF(D66&lt;$E$53,"Lower",IF(D66=$E$53,"Equal")))</f>
        <v>Higher</v>
      </c>
      <c r="G66" t="str">
        <f>IF(D66&gt;$E$53,"Higher",IF(D66&lt;$E$53,"Lower",IF(D66=$E$53,"Equal")))</f>
        <v>Higher</v>
      </c>
      <c r="H66" t="b">
        <f>IF(D66=$D$59,"Equal")</f>
        <v>0</v>
      </c>
    </row>
    <row r="69" spans="3:15" ht="23.25">
      <c r="G69" s="21" t="s">
        <v>86</v>
      </c>
      <c r="H69" s="22"/>
      <c r="I69" s="22"/>
      <c r="J69" s="22"/>
      <c r="K69" s="22"/>
    </row>
    <row r="70" spans="3:15" ht="21">
      <c r="G70" s="23">
        <v>20000</v>
      </c>
      <c r="H70" s="22"/>
      <c r="I70" s="22"/>
      <c r="J70" s="22"/>
      <c r="K70" s="22"/>
    </row>
    <row r="71" spans="3:15" ht="18.75">
      <c r="G71" s="22"/>
      <c r="H71" s="22"/>
      <c r="I71" s="24" t="s">
        <v>90</v>
      </c>
      <c r="J71" s="24"/>
      <c r="K71" s="24" t="s">
        <v>91</v>
      </c>
      <c r="M71" s="24" t="s">
        <v>91</v>
      </c>
      <c r="O71" s="24" t="s">
        <v>90</v>
      </c>
    </row>
    <row r="72" spans="3:15" ht="23.25">
      <c r="G72" s="25" t="s">
        <v>10</v>
      </c>
      <c r="H72" s="26" t="s">
        <v>87</v>
      </c>
      <c r="I72" s="27" t="s">
        <v>88</v>
      </c>
      <c r="J72" s="22"/>
      <c r="K72" s="27" t="s">
        <v>88</v>
      </c>
      <c r="M72" s="27" t="s">
        <v>88</v>
      </c>
      <c r="O72" s="27" t="s">
        <v>88</v>
      </c>
    </row>
    <row r="73" spans="3:15" ht="21">
      <c r="G73" s="23" t="s">
        <v>19</v>
      </c>
      <c r="H73" s="28">
        <v>15762</v>
      </c>
      <c r="I73" s="29" t="s">
        <v>92</v>
      </c>
      <c r="J73" s="22"/>
      <c r="K73" s="29" t="s">
        <v>93</v>
      </c>
      <c r="M73" s="29" t="str" cm="1">
        <f t="array" ref="M73">_xlfn.IFS(H74&gt;G71,"Higher",H74&lt;G71,"Lower",H74=G71,"Equal")</f>
        <v>Higher</v>
      </c>
      <c r="O73" s="29" t="str" cm="1">
        <f t="array" ref="O73">_xlfn.IFS(H74&gt;$G$70,"Higher",H74&lt;$G$70,"Lower",H74=$G$70,"Equal")</f>
        <v>Higher</v>
      </c>
    </row>
    <row r="74" spans="3:15" ht="21">
      <c r="G74" s="23" t="s">
        <v>22</v>
      </c>
      <c r="H74" s="28">
        <v>43834</v>
      </c>
      <c r="I74" s="29" t="s">
        <v>94</v>
      </c>
      <c r="J74" s="22"/>
      <c r="K74" s="29" t="s">
        <v>95</v>
      </c>
      <c r="M74" s="29" t="str" cm="1">
        <f t="array" ref="M74">_xlfn.IFS(H75&gt;G72,"Higher",H75&lt;G72,"Lower",H75=G72,"Equal")</f>
        <v>Lower</v>
      </c>
      <c r="O74" s="29" t="str" cm="1">
        <f t="array" ref="O74">_xlfn.IFS(H75&gt;$G$70,"Higher",H75&lt;$G$70,"Lower",H75=$G$70,"Equal")</f>
        <v>Equal</v>
      </c>
    </row>
    <row r="75" spans="3:15" ht="21">
      <c r="G75" s="23" t="s">
        <v>26</v>
      </c>
      <c r="H75" s="28">
        <v>20000</v>
      </c>
      <c r="I75" s="29" t="s">
        <v>96</v>
      </c>
      <c r="J75" s="22"/>
      <c r="K75" s="29" t="s">
        <v>95</v>
      </c>
      <c r="M75" s="29" t="str" cm="1">
        <f t="array" ref="M75">_xlfn.IFS(H76&gt;G73,"Higher",H76&lt;G73,"Lower",H76=G73,"Equal")</f>
        <v>Lower</v>
      </c>
      <c r="O75" s="29" t="str" cm="1">
        <f t="array" ref="O75">_xlfn.IFS(H76&gt;$G$70,"Higher",H76&lt;$G$70,"Lower",H76=$G$70,"Equal")</f>
        <v>Higher</v>
      </c>
    </row>
    <row r="76" spans="3:15" ht="21">
      <c r="G76" s="23" t="s">
        <v>31</v>
      </c>
      <c r="H76" s="28">
        <v>36239</v>
      </c>
      <c r="I76" s="29" t="s">
        <v>94</v>
      </c>
      <c r="J76" s="22"/>
      <c r="K76" s="29" t="s">
        <v>95</v>
      </c>
      <c r="M76" s="29" t="str" cm="1">
        <f t="array" ref="M76">_xlfn.IFS(H77&gt;G74,"Higher",H77&lt;G74,"Lower",H77=G74,"Equal")</f>
        <v>Lower</v>
      </c>
      <c r="O76" s="29" t="str" cm="1">
        <f t="array" ref="O76">_xlfn.IFS(H77&gt;$G$70,"Higher",H77&lt;$G$70,"Lower",H77=$G$70,"Equal")</f>
        <v>Higher</v>
      </c>
    </row>
    <row r="77" spans="3:15" ht="21">
      <c r="G77" s="23" t="s">
        <v>35</v>
      </c>
      <c r="H77" s="28">
        <v>34377</v>
      </c>
      <c r="I77" s="29" t="s">
        <v>94</v>
      </c>
      <c r="J77" s="22"/>
      <c r="K77" s="29" t="s">
        <v>95</v>
      </c>
      <c r="M77" s="29" t="str" cm="1">
        <f t="array" ref="M77">_xlfn.IFS(H78&gt;G75,"Higher",H78&lt;G75,"Lower",H78=G75,"Equal")</f>
        <v>Lower</v>
      </c>
      <c r="O77" s="29" t="str" cm="1">
        <f t="array" ref="O77">_xlfn.IFS(H78&gt;$G$70,"Higher",H78&lt;$G$70,"Lower",H78=$G$70,"Equal")</f>
        <v>Lower</v>
      </c>
    </row>
    <row r="78" spans="3:15" ht="21">
      <c r="G78" s="23" t="s">
        <v>39</v>
      </c>
      <c r="H78" s="28">
        <v>18321</v>
      </c>
      <c r="I78" s="29" t="s">
        <v>92</v>
      </c>
      <c r="J78" s="22"/>
      <c r="K78" s="29" t="s">
        <v>95</v>
      </c>
      <c r="M78" s="29" t="str" cm="1">
        <f t="array" ref="M78">_xlfn.IFS(H79&gt;G76,"Higher",H79&lt;G76,"Lower",H79=G76,"Equal")</f>
        <v>Lower</v>
      </c>
      <c r="O78" s="29" t="str" cm="1">
        <f t="array" ref="O78">_xlfn.IFS(H79&gt;$G$70,"Higher",H79&lt;$G$70,"Lower",H79=$G$70,"Equal")</f>
        <v>Higher</v>
      </c>
    </row>
    <row r="79" spans="3:15" ht="21">
      <c r="G79" s="23" t="s">
        <v>41</v>
      </c>
      <c r="H79" s="28">
        <v>43762</v>
      </c>
      <c r="I79" s="29" t="s">
        <v>94</v>
      </c>
      <c r="J79" s="22"/>
      <c r="K79" s="29" t="s">
        <v>95</v>
      </c>
      <c r="M79" s="29" t="str" cm="1">
        <f t="array" ref="M79">_xlfn.IFS(H80&gt;G77,"Higher",H80&lt;G77,"Lower",H80=G77,"Equal")</f>
        <v>Lower</v>
      </c>
      <c r="O79" s="29" t="str" cm="1">
        <f t="array" ref="O79">_xlfn.IFS(H80&gt;$G$70,"Higher",H80&lt;$G$70,"Lower",H80=$G$70,"Equal")</f>
        <v>Lower</v>
      </c>
    </row>
    <row r="80" spans="3:15" ht="21">
      <c r="G80" s="23" t="s">
        <v>43</v>
      </c>
      <c r="H80" s="28">
        <v>11135</v>
      </c>
      <c r="I80" s="29" t="s">
        <v>92</v>
      </c>
      <c r="J80" s="22"/>
      <c r="K80" s="29" t="s">
        <v>95</v>
      </c>
      <c r="M80" s="29" t="str" cm="1">
        <f t="array" ref="M80">_xlfn.IFS(H81&gt;G78,"Higher",H81&lt;G78,"Lower",H81=G78,"Equal")</f>
        <v>Lower</v>
      </c>
      <c r="O80" s="29" t="str" cm="1">
        <f t="array" ref="O80">_xlfn.IFS(H81&gt;$G$70,"Higher",H81&lt;$G$70,"Lower",H81=$G$70,"Equal")</f>
        <v>Equal</v>
      </c>
    </row>
    <row r="81" spans="3:15" ht="21">
      <c r="G81" s="23" t="s">
        <v>46</v>
      </c>
      <c r="H81" s="28">
        <v>20000</v>
      </c>
      <c r="I81" s="29" t="s">
        <v>96</v>
      </c>
      <c r="J81" s="22"/>
      <c r="K81" s="29" t="s">
        <v>95</v>
      </c>
      <c r="M81" s="29" t="str" cm="1">
        <f t="array" ref="M81">_xlfn.IFS(H82&gt;G79,"Higher",H82&lt;G79,"Lower",H82=G79,"Equal")</f>
        <v>Lower</v>
      </c>
      <c r="O81" s="29" t="str" cm="1">
        <f t="array" ref="O81">_xlfn.IFS(H82&gt;$G$70,"Higher",H82&lt;$G$70,"Lower",H82=$G$70,"Equal")</f>
        <v>Higher</v>
      </c>
    </row>
    <row r="82" spans="3:15" ht="21">
      <c r="G82" s="23" t="s">
        <v>48</v>
      </c>
      <c r="H82" s="28">
        <v>45856</v>
      </c>
      <c r="I82" s="29" t="s">
        <v>94</v>
      </c>
      <c r="J82" s="22"/>
      <c r="K82" s="29" t="s">
        <v>95</v>
      </c>
      <c r="M82" s="29" t="str" cm="1">
        <f t="array" ref="M82">_xlfn.IFS(H83&gt;G80,"Higher",H83&lt;G80,"Lower",H83=G80,"Equal")</f>
        <v>Lower</v>
      </c>
      <c r="O82" s="29" t="str" cm="1">
        <f t="array" ref="O82">_xlfn.IFS(H83&gt;$G$70,"Higher",H83&lt;$G$70,"Lower",H83=$G$70,"Equal")</f>
        <v>Lower</v>
      </c>
    </row>
    <row r="89" spans="3:15" ht="24.75">
      <c r="C89" s="517" t="s">
        <v>97</v>
      </c>
      <c r="D89" s="517"/>
      <c r="E89" s="517"/>
      <c r="F89" s="517"/>
    </row>
    <row r="90" spans="3:15" ht="24.75">
      <c r="C90" s="30" t="s">
        <v>98</v>
      </c>
      <c r="D90" s="30" t="s">
        <v>99</v>
      </c>
      <c r="E90" s="30" t="s">
        <v>100</v>
      </c>
      <c r="F90" s="30" t="s">
        <v>101</v>
      </c>
      <c r="H90" s="31" t="s">
        <v>102</v>
      </c>
      <c r="I90" s="31" t="s">
        <v>103</v>
      </c>
      <c r="J90" s="31" t="s">
        <v>104</v>
      </c>
      <c r="K90" s="31" t="s">
        <v>104</v>
      </c>
    </row>
    <row r="91" spans="3:15" ht="18.75">
      <c r="C91" s="90">
        <v>89</v>
      </c>
      <c r="D91" s="90">
        <v>79</v>
      </c>
      <c r="E91" s="90">
        <v>62</v>
      </c>
      <c r="F91" s="90">
        <v>69</v>
      </c>
      <c r="H91" s="90">
        <f>AVERAGE(C91:F91)</f>
        <v>74.75</v>
      </c>
      <c r="I91" s="90" t="str">
        <f>IF(AND(C91&gt;32,D91&gt;32,E91&gt;32,F91&gt;32),"Pass","Fail")</f>
        <v>Pass</v>
      </c>
      <c r="J91" s="90" t="str">
        <f>IF(I91="Fail","Fail",IF(H91&gt;=80,"A",IF(H91&gt;=60,"B",IF(H91&gt;=40,"C"))))</f>
        <v>B</v>
      </c>
      <c r="K91" s="90" t="str" cm="1">
        <f t="array" ref="K91">_xlfn.IFS(I91="Fail","F",H91&gt;80,"A",H91&gt;60,"B",H91&gt;40,"C")</f>
        <v>B</v>
      </c>
    </row>
    <row r="92" spans="3:15" ht="18.75">
      <c r="C92" s="90">
        <v>27</v>
      </c>
      <c r="D92" s="90">
        <v>47</v>
      </c>
      <c r="E92" s="90">
        <v>84</v>
      </c>
      <c r="F92" s="90">
        <v>90</v>
      </c>
      <c r="H92" s="90">
        <f>AVERAGE(C92:F92)</f>
        <v>62</v>
      </c>
      <c r="I92" s="90" t="str">
        <f>IF(AND(C92&gt;32,D92&gt;32,E92&gt;32,F92&gt;32),"Pass","Fail")</f>
        <v>Fail</v>
      </c>
      <c r="J92" s="90" t="str">
        <f>IF(I92="Fail","Fail",IF(H92&gt;=80,"A",IF(H92&gt;=60,"B",IF(H92&gt;=40,"C"))))</f>
        <v>Fail</v>
      </c>
      <c r="K92" s="90" t="str" cm="1">
        <f t="array" ref="K92">_xlfn.IFS(I92="Fail","F",H92&gt;80,"A",H92&gt;60,"B",H92&gt;40,"C")</f>
        <v>F</v>
      </c>
    </row>
    <row r="93" spans="3:15" ht="18.75">
      <c r="C93" s="90">
        <v>33</v>
      </c>
      <c r="D93" s="90">
        <v>66</v>
      </c>
      <c r="E93" s="90">
        <v>99</v>
      </c>
      <c r="F93" s="90">
        <v>52</v>
      </c>
      <c r="H93" s="90">
        <f>AVERAGE(C93:F93)</f>
        <v>62.5</v>
      </c>
      <c r="I93" s="90" t="str">
        <f>IF(AND(C93&gt;32,D93&gt;32,E93&gt;32,F93&gt;32),"Pass","Fail")</f>
        <v>Pass</v>
      </c>
      <c r="J93" s="90" t="str">
        <f>IF(I93="Fail","Fail",IF(H93&gt;=80,"A",IF(H93&gt;=60,"B",IF(H93&gt;=40,"C"))))</f>
        <v>B</v>
      </c>
      <c r="K93" s="90" t="str" cm="1">
        <f t="array" ref="K93">_xlfn.IFS(I93="Fail","F",H93&gt;80,"A",H93&gt;60,"B",H93&gt;40,"C")</f>
        <v>B</v>
      </c>
    </row>
    <row r="94" spans="3:15" ht="18.75">
      <c r="C94" s="90">
        <v>44</v>
      </c>
      <c r="D94" s="90">
        <v>40</v>
      </c>
      <c r="E94" s="90">
        <v>40</v>
      </c>
      <c r="F94" s="90">
        <v>56</v>
      </c>
      <c r="H94" s="90">
        <f>AVERAGE(C94:F94)</f>
        <v>45</v>
      </c>
      <c r="I94" s="90" t="str">
        <f>IF(AND(C94&gt;32,D94&gt;32,E94&gt;32,F94&gt;32),"Pass","Fail")</f>
        <v>Pass</v>
      </c>
      <c r="J94" s="90" t="str">
        <f>IF(I94="Fail","Fail",IF(H94&gt;=80,"A",IF(H94&gt;=60,"B",IF(H94&gt;=40,"C"))))</f>
        <v>C</v>
      </c>
      <c r="K94" s="90" t="str" cm="1">
        <f t="array" ref="K94">_xlfn.IFS(I94="Fail","F",H94&gt;80,"A",H94&gt;60,"B",H94&gt;40,"C")</f>
        <v>C</v>
      </c>
    </row>
    <row r="95" spans="3:15" ht="18.75">
      <c r="C95" s="90">
        <v>95</v>
      </c>
      <c r="D95" s="90">
        <v>63</v>
      </c>
      <c r="E95" s="90">
        <v>99</v>
      </c>
      <c r="F95" s="90">
        <v>85</v>
      </c>
      <c r="H95" s="90">
        <f>AVERAGE(C95:F95)</f>
        <v>85.5</v>
      </c>
      <c r="I95" s="90" t="str">
        <f>IF(AND(C95&gt;32,D95&gt;32,E95&gt;32,F95&gt;32),"Pass","Fail")</f>
        <v>Pass</v>
      </c>
      <c r="J95" s="90" t="str">
        <f>IF(I95="Fail","Fail",IF(H95&gt;=80,"A",IF(H95&gt;=60,"B",IF(H95&gt;=40,"C"))))</f>
        <v>A</v>
      </c>
      <c r="K95" s="90" t="str" cm="1">
        <f t="array" ref="K95">_xlfn.IFS(I95="Fail","F",H95&gt;80,"A",H95&gt;60,"B",H95&gt;40,"C")</f>
        <v>A</v>
      </c>
    </row>
    <row r="96" spans="3:15" ht="18.75">
      <c r="C96" s="90">
        <v>27</v>
      </c>
      <c r="D96" s="90">
        <v>96</v>
      </c>
      <c r="E96" s="90">
        <v>68</v>
      </c>
      <c r="F96" s="90">
        <v>22</v>
      </c>
      <c r="H96" s="90">
        <f>AVERAGE(C96:F96)</f>
        <v>53.25</v>
      </c>
      <c r="I96" s="90" t="str">
        <f>IF(AND(C96&gt;32,D96&gt;32,E96&gt;32,F96&gt;32),"Pass","Fail")</f>
        <v>Fail</v>
      </c>
      <c r="J96" s="90" t="str">
        <f>IF(I96="Fail","Fail",IF(H96&gt;=80,"A",IF(H96&gt;=60,"B",IF(H96&gt;=40,"C"))))</f>
        <v>Fail</v>
      </c>
      <c r="K96" s="90" t="str" cm="1">
        <f t="array" ref="K96">_xlfn.IFS(I96="Fail","F",H96&gt;80,"A",H96&gt;60,"B",H96&gt;40,"C")</f>
        <v>F</v>
      </c>
    </row>
    <row r="97" spans="3:11" ht="18.75">
      <c r="C97" s="90">
        <v>34</v>
      </c>
      <c r="D97" s="90">
        <v>40</v>
      </c>
      <c r="E97" s="90">
        <v>36</v>
      </c>
      <c r="F97" s="90">
        <v>85</v>
      </c>
      <c r="H97" s="90">
        <f>AVERAGE(C97:F97)</f>
        <v>48.75</v>
      </c>
      <c r="I97" s="90" t="str">
        <f>IF(AND(C97&gt;32,D97&gt;32,E97&gt;32,F97&gt;32),"Pass","Fail")</f>
        <v>Pass</v>
      </c>
      <c r="J97" s="90" t="str">
        <f>IF(I97="Fail","Fail",IF(H97&gt;=80,"A",IF(H97&gt;=60,"B",IF(H97&gt;=40,"C"))))</f>
        <v>C</v>
      </c>
      <c r="K97" s="90" t="str" cm="1">
        <f t="array" ref="K97">_xlfn.IFS(I97="Fail","F",H97&gt;80,"A",H97&gt;60,"B",H97&gt;40,"C")</f>
        <v>C</v>
      </c>
    </row>
    <row r="98" spans="3:11" ht="18.75">
      <c r="C98" s="90">
        <v>83</v>
      </c>
      <c r="D98" s="90">
        <v>73</v>
      </c>
      <c r="E98" s="90">
        <v>66</v>
      </c>
      <c r="F98" s="90">
        <v>77</v>
      </c>
      <c r="H98" s="90">
        <f>AVERAGE(C98:F98)</f>
        <v>74.75</v>
      </c>
      <c r="I98" s="90" t="str">
        <f>IF(AND(C98&gt;32,D98&gt;32,E98&gt;32,F98&gt;32),"Pass","Fail")</f>
        <v>Pass</v>
      </c>
      <c r="J98" s="90" t="str">
        <f>IF(I98="Fail","Fail",IF(H98&gt;=80,"A",IF(H98&gt;=60,"B",IF(H98&gt;=40,"C"))))</f>
        <v>B</v>
      </c>
      <c r="K98" s="90" t="str" cm="1">
        <f t="array" ref="K98">_xlfn.IFS(I98="Fail","F",H98&gt;80,"A",H98&gt;60,"B",H98&gt;40,"C")</f>
        <v>B</v>
      </c>
    </row>
    <row r="99" spans="3:11" ht="18.75">
      <c r="C99" s="90">
        <v>22</v>
      </c>
      <c r="D99" s="90">
        <v>66</v>
      </c>
      <c r="E99" s="90">
        <v>86</v>
      </c>
      <c r="F99" s="90">
        <v>52</v>
      </c>
      <c r="H99" s="90">
        <f>AVERAGE(C99:F99)</f>
        <v>56.5</v>
      </c>
      <c r="I99" s="90" t="str">
        <f>IF(AND(C99&gt;32,D99&gt;32,E99&gt;32,F99&gt;32),"Pass","Fail")</f>
        <v>Fail</v>
      </c>
      <c r="J99" s="90" t="str">
        <f>IF(I99="Fail","Fail",IF(H99&gt;=80,"A",IF(H99&gt;=60,"B",IF(H99&gt;=40,"C"))))</f>
        <v>Fail</v>
      </c>
      <c r="K99" s="90" t="str" cm="1">
        <f t="array" ref="K99">_xlfn.IFS(I99="Fail","F",H99&gt;80,"A",H99&gt;60,"B",H99&gt;40,"C")</f>
        <v>F</v>
      </c>
    </row>
    <row r="102" spans="3:11" ht="23.25">
      <c r="C102" s="25" t="s">
        <v>105</v>
      </c>
      <c r="D102" s="25" t="s">
        <v>106</v>
      </c>
      <c r="E102" s="37" t="s">
        <v>107</v>
      </c>
      <c r="F102" s="37" t="s">
        <v>16</v>
      </c>
    </row>
    <row r="103" spans="3:11" ht="23.25">
      <c r="C103" s="28">
        <v>2016</v>
      </c>
      <c r="D103" s="28">
        <v>15762</v>
      </c>
      <c r="E103" s="91" t="b">
        <f>OR(C103="2016",D103&gt;18500)</f>
        <v>0</v>
      </c>
      <c r="F103" s="91" t="b">
        <f>AND(C103="2016",D103&gt;18500)</f>
        <v>0</v>
      </c>
      <c r="H103" s="25" t="s">
        <v>105</v>
      </c>
      <c r="I103" s="25" t="s">
        <v>108</v>
      </c>
    </row>
    <row r="104" spans="3:11" ht="21">
      <c r="C104" s="28">
        <v>2024</v>
      </c>
      <c r="D104" s="28">
        <v>43834</v>
      </c>
      <c r="E104" s="91" t="b">
        <f>OR(C104="2016",D104&gt;18500)</f>
        <v>1</v>
      </c>
      <c r="F104" s="91" t="b">
        <f>AND(C104="2016",D104&gt;18500)</f>
        <v>0</v>
      </c>
      <c r="H104" s="28">
        <v>2017</v>
      </c>
      <c r="I104" s="28">
        <f>AVERAGEIF(C103:C113,H104,D103:D113)</f>
        <v>21898.333333333332</v>
      </c>
    </row>
    <row r="105" spans="3:11" ht="21">
      <c r="C105" s="28">
        <v>2016</v>
      </c>
      <c r="D105" s="28">
        <v>20000</v>
      </c>
      <c r="E105" s="91" t="b">
        <f>OR(C105="2016",D105&gt;18500)</f>
        <v>1</v>
      </c>
      <c r="F105" s="91" t="b">
        <f>AND(C105="2016",D105&gt;18500)</f>
        <v>0</v>
      </c>
    </row>
    <row r="106" spans="3:11" ht="21">
      <c r="C106" s="28">
        <v>2017</v>
      </c>
      <c r="D106" s="28">
        <v>36239</v>
      </c>
      <c r="E106" s="91" t="b">
        <f>OR(C106="2016",D106&gt;18500)</f>
        <v>1</v>
      </c>
      <c r="F106" s="91" t="b">
        <f>AND(C106="2016",D106&gt;18500)</f>
        <v>0</v>
      </c>
    </row>
    <row r="107" spans="3:11" ht="21">
      <c r="C107" s="28">
        <v>2016</v>
      </c>
      <c r="D107" s="28">
        <v>34377</v>
      </c>
      <c r="E107" s="91" t="b">
        <f>OR(C107="2016",D107&gt;18500)</f>
        <v>1</v>
      </c>
      <c r="F107" s="91" t="b">
        <f>AND(C107="2016",D107&gt;18500)</f>
        <v>0</v>
      </c>
    </row>
    <row r="108" spans="3:11" ht="21">
      <c r="C108" s="28">
        <v>2017</v>
      </c>
      <c r="D108" s="28">
        <v>18321</v>
      </c>
      <c r="E108" s="91" t="b">
        <f>OR(C108="2016",D108&gt;18500)</f>
        <v>0</v>
      </c>
      <c r="F108" s="91" t="b">
        <f>AND(C108="2016",D108&gt;18500)</f>
        <v>0</v>
      </c>
    </row>
    <row r="109" spans="3:11" ht="21">
      <c r="C109" s="28">
        <v>2024</v>
      </c>
      <c r="D109" s="28">
        <v>43762</v>
      </c>
      <c r="E109" s="91" t="b">
        <f>OR(C109="2016",D109&gt;18500)</f>
        <v>1</v>
      </c>
      <c r="F109" s="91" t="b">
        <f>AND(C109="2016",D109&gt;18500)</f>
        <v>0</v>
      </c>
    </row>
    <row r="110" spans="3:11" ht="21">
      <c r="C110" s="28">
        <v>2017</v>
      </c>
      <c r="D110" s="28">
        <v>11135</v>
      </c>
      <c r="E110" s="91" t="b">
        <f>OR(C110="2016",D110&gt;18500)</f>
        <v>0</v>
      </c>
      <c r="F110" s="91" t="b">
        <f>AND(C110="2016",D110&gt;18500)</f>
        <v>0</v>
      </c>
    </row>
    <row r="111" spans="3:11" ht="21">
      <c r="C111" s="28">
        <v>2016</v>
      </c>
      <c r="D111" s="28">
        <v>20000</v>
      </c>
      <c r="E111" s="91" t="b">
        <f>OR(C111="2016",D111&gt;18500)</f>
        <v>1</v>
      </c>
      <c r="F111" s="91" t="b">
        <f>AND(C111="2016",D111&gt;18500)</f>
        <v>0</v>
      </c>
    </row>
    <row r="112" spans="3:11" ht="21">
      <c r="C112" s="28">
        <v>2015</v>
      </c>
      <c r="D112" s="28">
        <v>45856</v>
      </c>
      <c r="E112" s="91" t="b">
        <f>OR(C112="2016",D112&gt;18500)</f>
        <v>1</v>
      </c>
      <c r="F112" s="91" t="b">
        <f>AND(C112="2016",D112&gt;18500)</f>
        <v>0</v>
      </c>
    </row>
    <row r="113" spans="3:8" ht="21">
      <c r="C113" s="28">
        <v>2016</v>
      </c>
      <c r="D113" s="28">
        <v>43762</v>
      </c>
      <c r="E113" s="91" t="b">
        <f>OR(C113="2016",D113&gt;18500)</f>
        <v>1</v>
      </c>
      <c r="F113" s="91" t="b">
        <f>AND(C113="2016",D113&gt;18500)</f>
        <v>0</v>
      </c>
    </row>
    <row r="114" spans="3:8" ht="21">
      <c r="F114" s="91" t="b">
        <f>AND(C114="2016",D114&gt;18500)</f>
        <v>0</v>
      </c>
    </row>
    <row r="115" spans="3:8" ht="21">
      <c r="G115" s="37" t="s">
        <v>107</v>
      </c>
      <c r="H115" s="37" t="s">
        <v>16</v>
      </c>
    </row>
    <row r="116" spans="3:8" ht="21">
      <c r="C116" s="90">
        <v>89</v>
      </c>
      <c r="D116" s="90">
        <v>79</v>
      </c>
      <c r="E116" s="90">
        <v>62</v>
      </c>
      <c r="F116" s="90">
        <v>69</v>
      </c>
      <c r="G116" s="91" t="b">
        <f>OR(C116&gt;33,D116&gt;33,E116&gt;33,F116&gt;33)</f>
        <v>1</v>
      </c>
      <c r="H116" s="91" t="b">
        <f>AND(C116&gt;33,D116&gt;33,E116&gt;33,F116&gt;33)</f>
        <v>1</v>
      </c>
    </row>
    <row r="117" spans="3:8" ht="21">
      <c r="C117" s="90">
        <v>27</v>
      </c>
      <c r="D117" s="90">
        <v>47</v>
      </c>
      <c r="E117" s="90">
        <v>84</v>
      </c>
      <c r="F117" s="90">
        <v>90</v>
      </c>
      <c r="G117" s="91" t="b">
        <f>OR(C117&gt;33,D117&gt;33,E117&gt;33,F117&gt;33)</f>
        <v>1</v>
      </c>
      <c r="H117" s="91" t="b">
        <f>AND(C117&gt;33,D117&gt;33,E117&gt;33,F117&gt;33)</f>
        <v>0</v>
      </c>
    </row>
    <row r="118" spans="3:8" ht="21">
      <c r="C118" s="90">
        <v>50</v>
      </c>
      <c r="D118" s="90">
        <v>12</v>
      </c>
      <c r="E118" s="90">
        <v>15</v>
      </c>
      <c r="F118" s="90">
        <v>22</v>
      </c>
      <c r="G118" s="91" t="b">
        <f>OR(C118&gt;33,D118&gt;33,E118&gt;33,F118&gt;33)</f>
        <v>1</v>
      </c>
      <c r="H118" s="91" t="b">
        <f>AND(C118&gt;33,D118&gt;33,E118&gt;33,F118&gt;33)</f>
        <v>0</v>
      </c>
    </row>
    <row r="119" spans="3:8" ht="21">
      <c r="C119" s="90">
        <v>44</v>
      </c>
      <c r="D119" s="90">
        <v>40</v>
      </c>
      <c r="E119" s="90">
        <v>40</v>
      </c>
      <c r="F119" s="90">
        <v>20</v>
      </c>
      <c r="G119" s="91" t="b">
        <f>OR(C119&gt;33,D119&gt;33,E119&gt;33,F119&gt;33)</f>
        <v>1</v>
      </c>
      <c r="H119" s="91" t="b">
        <f>AND(C119&gt;33,D119&gt;33,E119&gt;33,F119&gt;33)</f>
        <v>0</v>
      </c>
    </row>
    <row r="120" spans="3:8" ht="21">
      <c r="C120" s="90">
        <v>20</v>
      </c>
      <c r="D120" s="90">
        <v>22</v>
      </c>
      <c r="E120" s="90">
        <v>25</v>
      </c>
      <c r="F120" s="90">
        <v>32</v>
      </c>
      <c r="G120" s="91" t="b">
        <f>OR(C120&gt;33,D120&gt;33,E120&gt;33,F120&gt;33)</f>
        <v>0</v>
      </c>
      <c r="H120" s="91" t="b">
        <f>AND(C120&gt;33,D120&gt;33,E120&gt;33,F120&gt;33)</f>
        <v>0</v>
      </c>
    </row>
    <row r="121" spans="3:8" ht="21">
      <c r="C121" s="90">
        <v>27</v>
      </c>
      <c r="D121" s="90">
        <v>96</v>
      </c>
      <c r="E121" s="90">
        <v>68</v>
      </c>
      <c r="F121" s="90">
        <v>22</v>
      </c>
      <c r="G121" s="91" t="b">
        <f>OR(C121&gt;33,D121&gt;33,E121&gt;33,F121&gt;33)</f>
        <v>1</v>
      </c>
      <c r="H121" s="91" t="b">
        <f>AND(C121&gt;33,D121&gt;33,E121&gt;33,F121&gt;33)</f>
        <v>0</v>
      </c>
    </row>
    <row r="122" spans="3:8" ht="21">
      <c r="C122" s="90">
        <v>34</v>
      </c>
      <c r="D122" s="90">
        <v>40</v>
      </c>
      <c r="E122" s="90">
        <v>36</v>
      </c>
      <c r="F122" s="90">
        <v>85</v>
      </c>
      <c r="G122" s="91" t="b">
        <f>OR(C122&gt;33,D122&gt;33,E122&gt;33,F122&gt;33)</f>
        <v>1</v>
      </c>
      <c r="H122" s="91" t="b">
        <f>AND(C122&gt;33,D122&gt;33,E122&gt;33,F122&gt;33)</f>
        <v>1</v>
      </c>
    </row>
    <row r="123" spans="3:8" ht="21">
      <c r="C123" s="90">
        <v>83</v>
      </c>
      <c r="D123" s="90">
        <v>73</v>
      </c>
      <c r="E123" s="90">
        <v>66</v>
      </c>
      <c r="F123" s="90">
        <v>77</v>
      </c>
      <c r="G123" s="91" t="b">
        <f>OR(C123&gt;33,D123&gt;33,E123&gt;33,F123&gt;33)</f>
        <v>1</v>
      </c>
      <c r="H123" s="91" t="b">
        <f>AND(C123&gt;33,D123&gt;33,E123&gt;33,F123&gt;33)</f>
        <v>1</v>
      </c>
    </row>
    <row r="124" spans="3:8" ht="21">
      <c r="C124" s="90">
        <v>22</v>
      </c>
      <c r="D124" s="90">
        <v>66</v>
      </c>
      <c r="E124" s="90">
        <v>86</v>
      </c>
      <c r="F124" s="90">
        <v>52</v>
      </c>
      <c r="G124" s="91" t="b">
        <f>OR(C124&gt;33,D124&gt;33,E124&gt;33,F124&gt;33)</f>
        <v>1</v>
      </c>
      <c r="H124" s="91" t="b">
        <f>AND(C124&gt;33,D124&gt;33,E124&gt;33,F124&gt;33)</f>
        <v>0</v>
      </c>
    </row>
    <row r="132" ht="43.5" customHeight="1"/>
    <row r="169" spans="2:11" ht="25.5" customHeight="1">
      <c r="B169" s="519" t="s">
        <v>109</v>
      </c>
      <c r="C169" s="520"/>
    </row>
    <row r="170" spans="2:11">
      <c r="K170">
        <v>13000</v>
      </c>
    </row>
    <row r="171" spans="2:11" ht="23.25">
      <c r="B171" s="113" t="s">
        <v>110</v>
      </c>
      <c r="C171" s="117" t="s">
        <v>111</v>
      </c>
      <c r="K171">
        <v>14500</v>
      </c>
    </row>
    <row r="172" spans="2:11" ht="21">
      <c r="B172" s="115">
        <v>45292</v>
      </c>
      <c r="C172" s="114">
        <v>-10000</v>
      </c>
      <c r="K172" s="118">
        <f>K171/K170-1</f>
        <v>0.11538461538461542</v>
      </c>
    </row>
    <row r="173" spans="2:11" ht="21">
      <c r="B173" s="116">
        <v>45323</v>
      </c>
      <c r="C173" s="114">
        <v>-10000</v>
      </c>
    </row>
    <row r="174" spans="2:11" ht="21">
      <c r="B174" s="116">
        <v>45352</v>
      </c>
      <c r="C174" s="114">
        <v>-10000</v>
      </c>
    </row>
    <row r="175" spans="2:11" ht="21">
      <c r="B175" s="116">
        <v>45383</v>
      </c>
      <c r="C175" s="114">
        <v>-10000</v>
      </c>
    </row>
    <row r="176" spans="2:11" ht="21">
      <c r="B176" s="116">
        <v>45413</v>
      </c>
      <c r="C176" s="114">
        <v>-10000</v>
      </c>
    </row>
    <row r="177" spans="2:7" ht="21">
      <c r="B177" s="116">
        <v>45444</v>
      </c>
      <c r="C177" s="114">
        <v>-10000</v>
      </c>
    </row>
    <row r="178" spans="2:7" ht="21">
      <c r="B178" s="116">
        <v>45474</v>
      </c>
      <c r="C178" s="114">
        <v>-10000</v>
      </c>
    </row>
    <row r="179" spans="2:7" ht="21">
      <c r="B179" s="116">
        <v>45505</v>
      </c>
      <c r="C179" s="114">
        <v>-10000</v>
      </c>
    </row>
    <row r="180" spans="2:7" ht="21">
      <c r="B180" s="116">
        <v>45536</v>
      </c>
      <c r="C180" s="114">
        <v>-10000</v>
      </c>
    </row>
    <row r="181" spans="2:7" ht="21">
      <c r="B181" s="116">
        <v>45566</v>
      </c>
      <c r="C181" s="114">
        <v>-10000</v>
      </c>
    </row>
    <row r="182" spans="2:7" ht="21">
      <c r="B182" s="116">
        <v>45597</v>
      </c>
      <c r="C182" s="114">
        <v>-10000</v>
      </c>
    </row>
    <row r="183" spans="2:7" ht="21">
      <c r="B183" s="116">
        <v>45627</v>
      </c>
      <c r="C183" s="114">
        <v>-10000</v>
      </c>
    </row>
    <row r="184" spans="2:7" ht="21">
      <c r="B184" s="116">
        <v>45658</v>
      </c>
      <c r="C184" s="114">
        <v>-10000</v>
      </c>
      <c r="E184" s="122"/>
    </row>
    <row r="185" spans="2:7" ht="21">
      <c r="B185" s="115">
        <v>45689</v>
      </c>
      <c r="C185" s="114" cm="1">
        <f t="array" ref="C185">SUM(-C172:C184)</f>
        <v>130000</v>
      </c>
    </row>
    <row r="187" spans="2:7">
      <c r="C187" s="112"/>
    </row>
    <row r="189" spans="2:7" ht="24.75">
      <c r="B189" s="76" t="s">
        <v>112</v>
      </c>
    </row>
    <row r="190" spans="2:7" ht="21">
      <c r="B190" s="121" t="s">
        <v>113</v>
      </c>
      <c r="C190" s="121" t="s">
        <v>114</v>
      </c>
      <c r="D190" s="121" t="s">
        <v>115</v>
      </c>
      <c r="E190" s="121" t="s">
        <v>116</v>
      </c>
      <c r="F190" s="121" t="s">
        <v>117</v>
      </c>
      <c r="G190" s="121" t="s">
        <v>118</v>
      </c>
    </row>
    <row r="191" spans="2:7" ht="18.75">
      <c r="B191" s="119" t="s">
        <v>119</v>
      </c>
      <c r="C191" s="120">
        <f>DATE(2022,5,1)</f>
        <v>44682</v>
      </c>
      <c r="D191" s="120">
        <f ca="1">TODAY()</f>
        <v>45742</v>
      </c>
      <c r="E191" s="119">
        <f ca="1">DATEDIF(C191,D191,"Y")</f>
        <v>2</v>
      </c>
      <c r="F191" s="119">
        <f ca="1">DATEDIF(C191,D191,"M")</f>
        <v>34</v>
      </c>
      <c r="G191" s="119">
        <f ca="1">DATEDIF(C191,D191,"D")</f>
        <v>1060</v>
      </c>
    </row>
    <row r="192" spans="2:7" ht="18.75">
      <c r="B192" s="119" t="s">
        <v>120</v>
      </c>
      <c r="C192" s="120">
        <f>DATE(1995,5,12)</f>
        <v>34831</v>
      </c>
      <c r="D192" s="120">
        <f ca="1">TODAY()</f>
        <v>45742</v>
      </c>
      <c r="E192" s="119">
        <f ca="1">DATEDIF(C192,D192,"Y")</f>
        <v>29</v>
      </c>
      <c r="F192" s="119">
        <f ca="1">DATEDIF(C192,D192,"M")</f>
        <v>358</v>
      </c>
      <c r="G192" s="119">
        <f ca="1">DATEDIF(C192,D192,"D")</f>
        <v>10911</v>
      </c>
    </row>
    <row r="193" spans="2:7" ht="18.75">
      <c r="B193" s="119" t="s">
        <v>121</v>
      </c>
      <c r="C193" s="120">
        <f>DATE(2019,5,1)</f>
        <v>43586</v>
      </c>
      <c r="D193" s="120">
        <f t="shared" ref="D193:D202" ca="1" si="2">TODAY()</f>
        <v>45742</v>
      </c>
      <c r="E193" s="119">
        <f ca="1">DATEDIF(C193,D193,"Y")</f>
        <v>5</v>
      </c>
      <c r="F193" s="119">
        <f ca="1">DATEDIF(C193,D193,"M")</f>
        <v>70</v>
      </c>
      <c r="G193" s="119">
        <f ca="1">DATEDIF(C193,D193,"D")</f>
        <v>2156</v>
      </c>
    </row>
    <row r="194" spans="2:7" ht="18.75">
      <c r="B194" s="119" t="s">
        <v>122</v>
      </c>
      <c r="C194" s="120">
        <f>DATE(2011,6,12)</f>
        <v>40706</v>
      </c>
      <c r="D194" s="120">
        <f t="shared" ca="1" si="2"/>
        <v>45742</v>
      </c>
      <c r="E194" s="119">
        <f ca="1">DATEDIF(C194,D194,"Y")</f>
        <v>13</v>
      </c>
      <c r="F194" s="119">
        <f ca="1">DATEDIF(C194,D194,"M")</f>
        <v>165</v>
      </c>
      <c r="G194" s="119">
        <f ca="1">DATEDIF(C194,D194,"D")</f>
        <v>5036</v>
      </c>
    </row>
    <row r="195" spans="2:7" ht="18.75">
      <c r="B195" s="119" t="s">
        <v>123</v>
      </c>
      <c r="C195" s="120">
        <f>DATE(2017,5,5)</f>
        <v>42860</v>
      </c>
      <c r="D195" s="120">
        <f t="shared" ca="1" si="2"/>
        <v>45742</v>
      </c>
      <c r="E195" s="119">
        <f ca="1">DATEDIF(C195,D195,"Y")</f>
        <v>7</v>
      </c>
      <c r="F195" s="119">
        <f ca="1">DATEDIF(C195,D195,"M")</f>
        <v>94</v>
      </c>
      <c r="G195" s="119">
        <f ca="1">DATEDIF(C195,D195,"D")</f>
        <v>2882</v>
      </c>
    </row>
    <row r="196" spans="2:7" ht="18.75">
      <c r="B196" s="119" t="s">
        <v>124</v>
      </c>
      <c r="C196" s="120">
        <f t="shared" ref="C196:C202" si="3">DATE(1995,5,12)</f>
        <v>34831</v>
      </c>
      <c r="D196" s="120">
        <f t="shared" ca="1" si="2"/>
        <v>45742</v>
      </c>
      <c r="E196" s="119">
        <f ca="1">DATEDIF(C196,D196,"Y")</f>
        <v>29</v>
      </c>
      <c r="F196" s="119">
        <f ca="1">DATEDIF(C196,D196,"M")</f>
        <v>358</v>
      </c>
      <c r="G196" s="119">
        <f ca="1">DATEDIF(C196,D196,"D")</f>
        <v>10911</v>
      </c>
    </row>
    <row r="197" spans="2:7" ht="18.75">
      <c r="B197" s="119" t="s">
        <v>125</v>
      </c>
      <c r="C197" s="120">
        <f>DATE(2020,25,9)</f>
        <v>44570</v>
      </c>
      <c r="D197" s="120">
        <f t="shared" ca="1" si="2"/>
        <v>45742</v>
      </c>
      <c r="E197" s="119">
        <f ca="1">DATEDIF(C197,D197,"Y")</f>
        <v>3</v>
      </c>
      <c r="F197" s="119">
        <f ca="1">DATEDIF(C197,D197,"M")</f>
        <v>38</v>
      </c>
      <c r="G197" s="119">
        <f ca="1">DATEDIF(C197,D197,"D")</f>
        <v>1172</v>
      </c>
    </row>
    <row r="198" spans="2:7" ht="18.75">
      <c r="B198" s="119" t="s">
        <v>126</v>
      </c>
      <c r="C198" s="120">
        <f>DATE(1993,5,11)</f>
        <v>34100</v>
      </c>
      <c r="D198" s="120">
        <f t="shared" ca="1" si="2"/>
        <v>45742</v>
      </c>
      <c r="E198" s="119">
        <f ca="1">DATEDIF(C198,D198,"Y")</f>
        <v>31</v>
      </c>
      <c r="F198" s="119">
        <f ca="1">DATEDIF(C198,D198,"M")</f>
        <v>382</v>
      </c>
      <c r="G198" s="119">
        <f ca="1">DATEDIF(C198,D198,"D")</f>
        <v>11642</v>
      </c>
    </row>
    <row r="199" spans="2:7" ht="18.75">
      <c r="B199" s="119" t="s">
        <v>127</v>
      </c>
      <c r="C199" s="120">
        <f t="shared" ref="C199:C202" si="4">DATE(2022,5,1)</f>
        <v>44682</v>
      </c>
      <c r="D199" s="120">
        <f t="shared" ca="1" si="2"/>
        <v>45742</v>
      </c>
      <c r="E199" s="119">
        <f ca="1">DATEDIF(C199,D199,"Y")</f>
        <v>2</v>
      </c>
      <c r="F199" s="119">
        <f ca="1">DATEDIF(C199,D199,"M")</f>
        <v>34</v>
      </c>
      <c r="G199" s="119">
        <f ca="1">DATEDIF(C199,D199,"D")</f>
        <v>1060</v>
      </c>
    </row>
    <row r="200" spans="2:7" ht="18.75">
      <c r="B200" s="119" t="s">
        <v>128</v>
      </c>
      <c r="C200" s="120">
        <f>DATE(2014,7,12)</f>
        <v>41832</v>
      </c>
      <c r="D200" s="120">
        <f t="shared" ca="1" si="2"/>
        <v>45742</v>
      </c>
      <c r="E200" s="119">
        <f ca="1">DATEDIF(C200,D200,"Y")</f>
        <v>10</v>
      </c>
      <c r="F200" s="119">
        <f ca="1">DATEDIF(C200,D200,"M")</f>
        <v>128</v>
      </c>
      <c r="G200" s="119">
        <f ca="1">DATEDIF(C200,D200,"D")</f>
        <v>3910</v>
      </c>
    </row>
    <row r="201" spans="2:7" ht="18.75">
      <c r="B201" s="119" t="s">
        <v>129</v>
      </c>
      <c r="C201" s="120">
        <f>DATE(2015,5,12)</f>
        <v>42136</v>
      </c>
      <c r="D201" s="120">
        <f t="shared" ca="1" si="2"/>
        <v>45742</v>
      </c>
      <c r="E201" s="119">
        <f ca="1">DATEDIF(C201,D201,"Y")</f>
        <v>9</v>
      </c>
      <c r="F201" s="119">
        <f ca="1">DATEDIF(C201,D201,"M")</f>
        <v>118</v>
      </c>
      <c r="G201" s="119">
        <f ca="1">DATEDIF(C201,D201,"D")</f>
        <v>3606</v>
      </c>
    </row>
    <row r="202" spans="2:7" ht="18.75">
      <c r="B202" s="119" t="s">
        <v>130</v>
      </c>
      <c r="C202" s="120">
        <f>DATE(1991,10,10)</f>
        <v>33521</v>
      </c>
      <c r="D202" s="120">
        <f t="shared" ca="1" si="2"/>
        <v>45742</v>
      </c>
      <c r="E202" s="119">
        <f ca="1">DATEDIF(C202,D202,"Y")</f>
        <v>33</v>
      </c>
      <c r="F202" s="119">
        <f ca="1">DATEDIF(C202,D202,"M")</f>
        <v>401</v>
      </c>
      <c r="G202" s="119">
        <f ca="1">DATEDIF(C202,D202,"D")</f>
        <v>12221</v>
      </c>
    </row>
    <row r="204" spans="2:7" ht="21">
      <c r="B204" s="121" t="s">
        <v>113</v>
      </c>
      <c r="C204" s="121" t="s">
        <v>131</v>
      </c>
    </row>
    <row r="205" spans="2:7" ht="18.75">
      <c r="B205" s="119" t="s">
        <v>119</v>
      </c>
      <c r="C205" s="122">
        <v>0.75</v>
      </c>
    </row>
    <row r="206" spans="2:7" ht="18.75">
      <c r="B206" s="119" t="s">
        <v>120</v>
      </c>
      <c r="C206" s="122">
        <v>0.78</v>
      </c>
    </row>
    <row r="207" spans="2:7" ht="18.75">
      <c r="B207" s="119" t="s">
        <v>121</v>
      </c>
      <c r="C207" s="122">
        <v>0.81</v>
      </c>
    </row>
    <row r="208" spans="2:7" ht="18.75">
      <c r="B208" s="119" t="s">
        <v>122</v>
      </c>
      <c r="C208" s="122">
        <v>0.84</v>
      </c>
    </row>
    <row r="209" spans="1:4" ht="18.75">
      <c r="B209" s="119" t="s">
        <v>123</v>
      </c>
      <c r="C209" s="122">
        <v>0.87</v>
      </c>
    </row>
    <row r="210" spans="1:4" ht="18.75">
      <c r="B210" s="119" t="s">
        <v>124</v>
      </c>
      <c r="C210" s="122">
        <v>0.9</v>
      </c>
    </row>
    <row r="211" spans="1:4" ht="18.75">
      <c r="B211" s="119" t="s">
        <v>125</v>
      </c>
      <c r="C211" s="122">
        <v>0.55000000000000004</v>
      </c>
    </row>
    <row r="212" spans="1:4" ht="18.75">
      <c r="B212" s="119" t="s">
        <v>126</v>
      </c>
      <c r="C212" s="122">
        <v>0.96</v>
      </c>
    </row>
    <row r="213" spans="1:4" ht="18.75">
      <c r="B213" s="119" t="s">
        <v>127</v>
      </c>
      <c r="C213" s="122">
        <v>0.2</v>
      </c>
    </row>
    <row r="214" spans="1:4" ht="18.75">
      <c r="B214" s="119" t="s">
        <v>128</v>
      </c>
      <c r="C214" s="122">
        <v>0.66</v>
      </c>
    </row>
    <row r="215" spans="1:4" ht="18.75">
      <c r="B215" s="119" t="s">
        <v>129</v>
      </c>
      <c r="C215" s="122">
        <v>0.22</v>
      </c>
    </row>
    <row r="216" spans="1:4" ht="18.75">
      <c r="B216" s="119" t="s">
        <v>130</v>
      </c>
      <c r="C216" s="122">
        <v>0.99</v>
      </c>
    </row>
    <row r="219" spans="1:4" ht="27">
      <c r="A219" s="518" t="s">
        <v>132</v>
      </c>
      <c r="B219" s="518"/>
      <c r="C219" s="518"/>
      <c r="D219" s="518"/>
    </row>
    <row r="222" spans="1:4" ht="24.75">
      <c r="B222" s="150" t="s">
        <v>133</v>
      </c>
    </row>
    <row r="224" spans="1:4" ht="18.75">
      <c r="C224" s="149" t="s">
        <v>134</v>
      </c>
      <c r="D224" s="149" t="s">
        <v>134</v>
      </c>
    </row>
    <row r="225" spans="2:10" ht="21">
      <c r="B225" s="141" t="s">
        <v>135</v>
      </c>
      <c r="C225" s="139">
        <v>11000</v>
      </c>
      <c r="D225" s="139">
        <v>100000</v>
      </c>
      <c r="G225" s="136" t="s">
        <v>136</v>
      </c>
      <c r="H225" s="136" t="s">
        <v>137</v>
      </c>
      <c r="I225" s="136" t="s">
        <v>138</v>
      </c>
      <c r="J225" s="136" t="s">
        <v>139</v>
      </c>
    </row>
    <row r="226" spans="2:10" ht="21">
      <c r="B226" s="141" t="s">
        <v>140</v>
      </c>
      <c r="C226" s="137">
        <v>7.0000000000000007E-2</v>
      </c>
      <c r="D226" s="137">
        <v>7.0000000000000007E-2</v>
      </c>
      <c r="G226" s="137">
        <v>7.0000000000000007E-2</v>
      </c>
      <c r="H226" s="138">
        <v>20</v>
      </c>
      <c r="I226" s="139">
        <v>1000</v>
      </c>
      <c r="J226" s="140"/>
    </row>
    <row r="227" spans="2:10" ht="21">
      <c r="B227" s="141" t="s">
        <v>141</v>
      </c>
      <c r="C227" s="138">
        <v>1</v>
      </c>
      <c r="D227" s="138">
        <v>5</v>
      </c>
    </row>
    <row r="229" spans="2:10" ht="21">
      <c r="B229" s="145" t="s">
        <v>133</v>
      </c>
      <c r="C229" s="139">
        <f>PV(C226,C227,0,-C225)</f>
        <v>10280.3738317757</v>
      </c>
      <c r="D229" s="139">
        <f>PV(D226,D227,0,-D225)</f>
        <v>71298.617948366838</v>
      </c>
    </row>
    <row r="231" spans="2:10" ht="21">
      <c r="B231" s="141" t="s">
        <v>135</v>
      </c>
      <c r="C231" s="138">
        <v>0</v>
      </c>
      <c r="D231" s="138">
        <v>0</v>
      </c>
    </row>
    <row r="232" spans="2:10" ht="21">
      <c r="B232" s="141" t="s">
        <v>142</v>
      </c>
      <c r="C232" s="139">
        <v>10000</v>
      </c>
      <c r="D232" s="139">
        <v>10000</v>
      </c>
      <c r="E232" t="s">
        <v>143</v>
      </c>
    </row>
    <row r="233" spans="2:10" ht="21">
      <c r="B233" s="141" t="s">
        <v>140</v>
      </c>
      <c r="C233" s="137">
        <v>7.0000000000000007E-2</v>
      </c>
      <c r="D233" s="137">
        <v>7.0000000000000007E-2</v>
      </c>
    </row>
    <row r="234" spans="2:10" ht="21">
      <c r="B234" s="141" t="s">
        <v>141</v>
      </c>
      <c r="C234" s="144">
        <v>2</v>
      </c>
      <c r="D234" s="144">
        <v>3</v>
      </c>
      <c r="G234" s="146"/>
    </row>
    <row r="235" spans="2:10" ht="21">
      <c r="B235" s="141" t="s">
        <v>144</v>
      </c>
      <c r="C235" s="142" t="s">
        <v>145</v>
      </c>
      <c r="D235" s="142" t="s">
        <v>146</v>
      </c>
    </row>
    <row r="236" spans="2:10" ht="18.75">
      <c r="E236" s="149" t="s">
        <v>147</v>
      </c>
    </row>
    <row r="237" spans="2:10" ht="21">
      <c r="B237" s="145" t="s">
        <v>148</v>
      </c>
      <c r="C237" s="139">
        <f>PV(C233,C234,-C232,C231)</f>
        <v>18080.181675255484</v>
      </c>
      <c r="D237" s="139">
        <f>PV(D233/12,D234*12,-D232,D231)</f>
        <v>323864.64451633178</v>
      </c>
      <c r="E237" s="154">
        <f>D232*36</f>
        <v>360000</v>
      </c>
    </row>
    <row r="240" spans="2:10" ht="24.75">
      <c r="B240" s="150" t="s">
        <v>135</v>
      </c>
    </row>
    <row r="242" spans="2:5" ht="18.75">
      <c r="C242" s="149" t="s">
        <v>134</v>
      </c>
      <c r="D242" s="149" t="s">
        <v>134</v>
      </c>
      <c r="E242" s="149" t="s">
        <v>134</v>
      </c>
    </row>
    <row r="243" spans="2:5" ht="21">
      <c r="B243" s="141" t="s">
        <v>133</v>
      </c>
      <c r="C243" s="139">
        <v>10000</v>
      </c>
      <c r="D243" s="139">
        <v>10000</v>
      </c>
      <c r="E243" s="139">
        <v>100000</v>
      </c>
    </row>
    <row r="244" spans="2:5" ht="21">
      <c r="B244" s="141" t="s">
        <v>149</v>
      </c>
      <c r="C244" s="137">
        <v>7.0000000000000007E-2</v>
      </c>
      <c r="D244" s="137">
        <v>7.0000000000000007E-2</v>
      </c>
      <c r="E244" s="137">
        <v>0.15</v>
      </c>
    </row>
    <row r="245" spans="2:5" ht="21">
      <c r="B245" s="141" t="s">
        <v>141</v>
      </c>
      <c r="C245" s="144">
        <v>5</v>
      </c>
      <c r="D245" s="144">
        <v>5</v>
      </c>
      <c r="E245" s="144">
        <v>36</v>
      </c>
    </row>
    <row r="246" spans="2:5" ht="21">
      <c r="B246" s="143" t="s">
        <v>144</v>
      </c>
      <c r="C246" s="142" t="s">
        <v>145</v>
      </c>
      <c r="D246" s="142" t="s">
        <v>146</v>
      </c>
      <c r="E246" s="142" t="s">
        <v>146</v>
      </c>
    </row>
    <row r="248" spans="2:5" ht="21">
      <c r="B248" s="145" t="s">
        <v>135</v>
      </c>
      <c r="C248" s="139">
        <f>FV(C244,C245,0,-C243)</f>
        <v>14025.517307000002</v>
      </c>
      <c r="D248" s="139">
        <f>FV(D244/12,D245*12,0,-D243)</f>
        <v>14176.252596139897</v>
      </c>
      <c r="E248" s="139">
        <f>FV(E244/12,E245*12,0,-E243)</f>
        <v>21411829.429507803</v>
      </c>
    </row>
    <row r="251" spans="2:5" ht="21">
      <c r="B251" s="141" t="s">
        <v>133</v>
      </c>
      <c r="C251" s="144">
        <v>0</v>
      </c>
      <c r="D251" s="144">
        <v>0</v>
      </c>
    </row>
    <row r="252" spans="2:5" ht="21">
      <c r="B252" s="141" t="s">
        <v>150</v>
      </c>
      <c r="C252" s="139">
        <v>10000</v>
      </c>
      <c r="D252" s="139">
        <v>10000</v>
      </c>
      <c r="E252" s="147" t="s">
        <v>143</v>
      </c>
    </row>
    <row r="253" spans="2:5" ht="21">
      <c r="B253" s="141" t="s">
        <v>149</v>
      </c>
      <c r="C253" s="148">
        <v>7.0000000000000007E-2</v>
      </c>
      <c r="D253" s="148">
        <v>0.15</v>
      </c>
    </row>
    <row r="254" spans="2:5" ht="21">
      <c r="B254" s="143" t="s">
        <v>141</v>
      </c>
      <c r="C254" s="144">
        <v>3</v>
      </c>
      <c r="D254" s="144">
        <v>5</v>
      </c>
    </row>
    <row r="255" spans="2:5" ht="21">
      <c r="B255" s="143" t="s">
        <v>144</v>
      </c>
      <c r="C255" s="142" t="s">
        <v>145</v>
      </c>
      <c r="D255" s="142" t="s">
        <v>146</v>
      </c>
    </row>
    <row r="257" spans="2:9" ht="21">
      <c r="B257" s="145" t="s">
        <v>151</v>
      </c>
      <c r="C257" s="139">
        <f>FV(C253,C254,-C252,C251)</f>
        <v>32149.000000000011</v>
      </c>
      <c r="D257" s="139">
        <f>FV(D253/12,D254*12,-D252,D251)</f>
        <v>885745.0775609914</v>
      </c>
    </row>
    <row r="260" spans="2:9" ht="24.75">
      <c r="B260" s="515" t="s">
        <v>152</v>
      </c>
      <c r="C260" s="515"/>
    </row>
    <row r="262" spans="2:9" ht="18.75">
      <c r="B262" s="144" t="s">
        <v>153</v>
      </c>
      <c r="C262" s="144">
        <v>1</v>
      </c>
      <c r="D262" s="144">
        <v>2</v>
      </c>
      <c r="E262" s="144">
        <v>3</v>
      </c>
      <c r="F262" s="144">
        <v>4</v>
      </c>
      <c r="G262" s="144">
        <v>5</v>
      </c>
      <c r="H262" s="144">
        <v>6</v>
      </c>
      <c r="I262" t="s">
        <v>154</v>
      </c>
    </row>
    <row r="263" spans="2:9" ht="18.75">
      <c r="B263" s="144" t="s">
        <v>155</v>
      </c>
      <c r="C263" s="139">
        <v>1000000</v>
      </c>
      <c r="D263" s="139">
        <v>1500000</v>
      </c>
      <c r="E263" s="139">
        <v>1800000</v>
      </c>
      <c r="F263" s="139">
        <v>1600000</v>
      </c>
      <c r="G263" s="139">
        <v>2000000</v>
      </c>
      <c r="H263" s="139">
        <v>2200000</v>
      </c>
      <c r="I263" s="152">
        <v>10100000</v>
      </c>
    </row>
    <row r="264" spans="2:9" ht="18.75">
      <c r="B264" s="144" t="s">
        <v>156</v>
      </c>
      <c r="C264" s="137"/>
      <c r="D264" s="137">
        <v>0.5</v>
      </c>
      <c r="E264" s="137">
        <v>0.2</v>
      </c>
      <c r="F264" s="137">
        <v>-0.11</v>
      </c>
      <c r="G264" s="137">
        <v>0.25</v>
      </c>
      <c r="H264" s="137">
        <v>0.1</v>
      </c>
    </row>
    <row r="267" spans="2:9" ht="21">
      <c r="B267" s="145" t="s">
        <v>157</v>
      </c>
      <c r="C267" s="151">
        <f>((H263/C263)^(1/5))-1</f>
        <v>0.17080491296489231</v>
      </c>
    </row>
    <row r="269" spans="2:9" ht="21">
      <c r="B269" s="145" t="s">
        <v>158</v>
      </c>
      <c r="C269" s="151">
        <f>RATE(5,0,C263,-H263)</f>
        <v>0.17080491296489242</v>
      </c>
    </row>
    <row r="272" spans="2:9" ht="24.75">
      <c r="B272" s="150" t="s">
        <v>135</v>
      </c>
      <c r="H272" s="152">
        <f>FV(C269,H262,0,-I263)</f>
        <v>26015285.166079931</v>
      </c>
    </row>
    <row r="274" spans="2:5" ht="18.75">
      <c r="C274" s="149" t="s">
        <v>134</v>
      </c>
    </row>
    <row r="275" spans="2:5" ht="21">
      <c r="B275" s="141" t="s">
        <v>133</v>
      </c>
      <c r="C275" s="139">
        <v>1000000</v>
      </c>
    </row>
    <row r="276" spans="2:5" ht="21">
      <c r="B276" s="141" t="s">
        <v>149</v>
      </c>
      <c r="C276" s="153">
        <v>0.17080000000000001</v>
      </c>
    </row>
    <row r="277" spans="2:5" ht="21">
      <c r="B277" s="141" t="s">
        <v>141</v>
      </c>
      <c r="C277" s="144">
        <v>6</v>
      </c>
    </row>
    <row r="278" spans="2:5" ht="21">
      <c r="B278" s="143" t="s">
        <v>144</v>
      </c>
      <c r="C278" s="142" t="s">
        <v>145</v>
      </c>
    </row>
    <row r="280" spans="2:5" ht="21">
      <c r="B280" s="145" t="s">
        <v>135</v>
      </c>
      <c r="C280" s="139">
        <f>FV(C276,C277,0,-C275)</f>
        <v>2575705.9580665072</v>
      </c>
    </row>
    <row r="284" spans="2:5" ht="24">
      <c r="B284" s="150" t="s">
        <v>159</v>
      </c>
    </row>
    <row r="286" spans="2:5" ht="24">
      <c r="B286" s="202" t="s">
        <v>160</v>
      </c>
      <c r="C286" s="202" t="s">
        <v>161</v>
      </c>
      <c r="D286" s="202" t="s">
        <v>162</v>
      </c>
      <c r="E286" s="202" t="s">
        <v>163</v>
      </c>
    </row>
    <row r="287" spans="2:5" ht="21">
      <c r="B287" s="203" t="s">
        <v>164</v>
      </c>
      <c r="C287" s="127" t="s">
        <v>165</v>
      </c>
      <c r="D287" s="127" t="s">
        <v>166</v>
      </c>
      <c r="E287" s="127">
        <v>4512</v>
      </c>
    </row>
    <row r="288" spans="2:5" ht="21">
      <c r="B288" s="203" t="s">
        <v>167</v>
      </c>
      <c r="C288" s="127" t="s">
        <v>168</v>
      </c>
      <c r="D288" s="127" t="s">
        <v>169</v>
      </c>
      <c r="E288" s="127">
        <v>5886</v>
      </c>
    </row>
    <row r="289" spans="2:5" ht="21">
      <c r="B289" s="203" t="s">
        <v>170</v>
      </c>
      <c r="C289" s="127" t="s">
        <v>171</v>
      </c>
      <c r="D289" s="127" t="s">
        <v>172</v>
      </c>
      <c r="E289" s="127">
        <v>2356</v>
      </c>
    </row>
    <row r="290" spans="2:5" ht="21">
      <c r="B290" s="203" t="s">
        <v>173</v>
      </c>
      <c r="C290" s="127" t="s">
        <v>174</v>
      </c>
      <c r="D290" s="127" t="s">
        <v>175</v>
      </c>
      <c r="E290" s="127">
        <v>5689</v>
      </c>
    </row>
    <row r="291" spans="2:5" ht="21">
      <c r="B291" s="203" t="s">
        <v>176</v>
      </c>
      <c r="C291" s="127" t="s">
        <v>177</v>
      </c>
      <c r="D291" s="127" t="s">
        <v>178</v>
      </c>
      <c r="E291" s="127">
        <v>4589</v>
      </c>
    </row>
    <row r="292" spans="2:5" ht="21">
      <c r="B292" s="203" t="s">
        <v>179</v>
      </c>
      <c r="C292" s="127" t="s">
        <v>180</v>
      </c>
      <c r="D292" s="127" t="s">
        <v>181</v>
      </c>
      <c r="E292" s="127">
        <v>2589</v>
      </c>
    </row>
    <row r="293" spans="2:5" ht="21">
      <c r="B293" s="203" t="s">
        <v>182</v>
      </c>
      <c r="C293" s="127" t="s">
        <v>183</v>
      </c>
      <c r="D293" s="127" t="s">
        <v>184</v>
      </c>
      <c r="E293" s="127">
        <v>9564</v>
      </c>
    </row>
    <row r="294" spans="2:5" ht="21">
      <c r="B294" s="203" t="s">
        <v>185</v>
      </c>
      <c r="C294" s="127" t="s">
        <v>186</v>
      </c>
      <c r="D294" s="127" t="s">
        <v>187</v>
      </c>
      <c r="E294" s="127">
        <v>5463</v>
      </c>
    </row>
    <row r="295" spans="2:5" ht="21">
      <c r="B295" s="203" t="s">
        <v>188</v>
      </c>
      <c r="C295" s="127" t="s">
        <v>189</v>
      </c>
      <c r="D295" s="127" t="s">
        <v>175</v>
      </c>
      <c r="E295" s="127">
        <v>7825</v>
      </c>
    </row>
    <row r="296" spans="2:5" ht="21">
      <c r="B296" s="203" t="s">
        <v>190</v>
      </c>
      <c r="C296" s="127" t="s">
        <v>191</v>
      </c>
      <c r="D296" s="127" t="s">
        <v>192</v>
      </c>
      <c r="E296" s="127">
        <v>4422</v>
      </c>
    </row>
    <row r="299" spans="2:5" ht="24">
      <c r="B299" s="202" t="s">
        <v>193</v>
      </c>
    </row>
    <row r="300" spans="2:5" ht="21">
      <c r="B300" s="127">
        <v>64</v>
      </c>
    </row>
    <row r="301" spans="2:5" ht="21">
      <c r="B301" s="127">
        <v>32</v>
      </c>
    </row>
    <row r="302" spans="2:5" ht="21">
      <c r="B302" s="127">
        <v>31</v>
      </c>
    </row>
    <row r="303" spans="2:5" ht="21">
      <c r="B303" s="127">
        <v>45</v>
      </c>
    </row>
    <row r="304" spans="2:5" ht="21">
      <c r="B304" s="127">
        <v>74</v>
      </c>
    </row>
    <row r="305" spans="2:8" ht="21">
      <c r="B305" s="127">
        <v>68</v>
      </c>
    </row>
    <row r="306" spans="2:8" ht="21">
      <c r="B306" s="127">
        <v>59</v>
      </c>
    </row>
    <row r="307" spans="2:8" ht="21">
      <c r="B307" s="127">
        <v>21</v>
      </c>
    </row>
    <row r="308" spans="2:8" ht="21">
      <c r="B308" s="127">
        <v>21</v>
      </c>
    </row>
    <row r="309" spans="2:8" ht="21">
      <c r="B309" s="127">
        <v>56</v>
      </c>
    </row>
    <row r="310" spans="2:8" ht="21">
      <c r="B310" s="127">
        <v>60</v>
      </c>
    </row>
    <row r="311" spans="2:8" ht="21">
      <c r="B311" s="127">
        <v>66</v>
      </c>
    </row>
    <row r="312" spans="2:8" ht="21">
      <c r="B312" s="127">
        <v>79</v>
      </c>
    </row>
    <row r="314" spans="2:8" ht="24">
      <c r="B314" s="204" t="s">
        <v>194</v>
      </c>
    </row>
    <row r="315" spans="2:8" ht="21">
      <c r="B315" s="127">
        <f>SUMIF(B300:B312,"&gt;45")</f>
        <v>526</v>
      </c>
    </row>
    <row r="317" spans="2:8" ht="24">
      <c r="B317" s="204" t="s">
        <v>195</v>
      </c>
    </row>
    <row r="318" spans="2:8" ht="21">
      <c r="B318" s="127">
        <f>AVERAGEIF(B300:B312,"&gt;45")</f>
        <v>65.75</v>
      </c>
    </row>
    <row r="320" spans="2:8" ht="18.75" customHeight="1">
      <c r="C320" s="215" t="s">
        <v>196</v>
      </c>
      <c r="D320" s="215"/>
      <c r="E320" s="215"/>
      <c r="F320" s="215"/>
      <c r="G320" s="215"/>
      <c r="H320" s="36"/>
    </row>
    <row r="321" spans="3:8" ht="18.75">
      <c r="C321" s="215"/>
      <c r="D321" s="215"/>
      <c r="E321" s="215"/>
      <c r="F321" s="215"/>
      <c r="G321" s="215"/>
      <c r="H321" s="36"/>
    </row>
    <row r="322" spans="3:8" ht="18.75">
      <c r="C322" s="215"/>
      <c r="D322" s="215"/>
      <c r="E322" s="215"/>
      <c r="F322" s="215"/>
      <c r="G322" s="215"/>
      <c r="H322" s="36"/>
    </row>
    <row r="323" spans="3:8" ht="18.75">
      <c r="C323" s="215"/>
      <c r="D323" s="215"/>
      <c r="E323" s="215"/>
      <c r="F323" s="215"/>
      <c r="G323" s="215"/>
      <c r="H323" s="36"/>
    </row>
    <row r="324" spans="3:8" ht="18.75">
      <c r="C324" s="36"/>
      <c r="D324" s="36"/>
      <c r="E324" s="36"/>
      <c r="F324" s="36"/>
      <c r="G324" s="36"/>
      <c r="H324" s="36"/>
    </row>
    <row r="325" spans="3:8" ht="18.75">
      <c r="C325" s="36"/>
      <c r="D325" s="36"/>
      <c r="E325" s="36"/>
      <c r="F325" s="36"/>
      <c r="G325" s="36"/>
      <c r="H325" s="36"/>
    </row>
    <row r="326" spans="3:8" ht="18.75">
      <c r="C326" s="214" t="s">
        <v>197</v>
      </c>
      <c r="D326" s="215"/>
      <c r="E326" s="215"/>
      <c r="F326" s="215"/>
      <c r="G326" s="215"/>
      <c r="H326" s="36"/>
    </row>
    <row r="327" spans="3:8" ht="18.75" customHeight="1">
      <c r="C327" s="216" t="s">
        <v>198</v>
      </c>
      <c r="D327" s="217">
        <f ca="1">RANDBETWEEN(1,100)</f>
        <v>73</v>
      </c>
      <c r="E327" s="224" t="s">
        <v>199</v>
      </c>
      <c r="F327" s="225"/>
      <c r="G327" s="225"/>
      <c r="H327" s="36"/>
    </row>
    <row r="328" spans="3:8" ht="18.75">
      <c r="C328" s="218" t="s">
        <v>200</v>
      </c>
      <c r="D328" s="219" t="str">
        <f ca="1">IF(ISEVEN(D327),"Full-Time","Part-Time")</f>
        <v>Part-Time</v>
      </c>
      <c r="E328" s="224"/>
      <c r="F328" s="225"/>
      <c r="G328" s="225"/>
      <c r="H328" s="36"/>
    </row>
    <row r="329" spans="3:8" ht="18.75">
      <c r="C329" s="220" t="s">
        <v>201</v>
      </c>
      <c r="D329" s="221">
        <f ca="1">ROUND(4+RAND(),2)</f>
        <v>4.4000000000000004</v>
      </c>
      <c r="E329" s="224"/>
      <c r="F329" s="225"/>
      <c r="G329" s="225"/>
      <c r="H329" s="36"/>
    </row>
    <row r="330" spans="3:8" ht="18.75">
      <c r="C330" s="36"/>
      <c r="D330" s="36"/>
      <c r="E330" s="36"/>
      <c r="F330" s="36"/>
      <c r="G330" s="36"/>
      <c r="H330" s="36"/>
    </row>
    <row r="331" spans="3:8" ht="18.75">
      <c r="C331" s="36"/>
      <c r="D331" s="36"/>
      <c r="E331" s="226" t="s">
        <v>202</v>
      </c>
      <c r="F331" s="226"/>
      <c r="G331" s="226"/>
      <c r="H331" s="226"/>
    </row>
    <row r="332" spans="3:8" ht="18.75">
      <c r="C332" s="222" t="s">
        <v>203</v>
      </c>
      <c r="D332" s="223"/>
      <c r="E332" s="226"/>
      <c r="F332" s="226"/>
      <c r="G332" s="226"/>
      <c r="H332" s="226"/>
    </row>
    <row r="333" spans="3:8" ht="18.75">
      <c r="C333" s="36"/>
      <c r="D333" s="36"/>
      <c r="E333" s="226"/>
      <c r="F333" s="226"/>
      <c r="G333" s="226"/>
      <c r="H333" s="226"/>
    </row>
  </sheetData>
  <mergeCells count="6">
    <mergeCell ref="B260:C260"/>
    <mergeCell ref="T9:U9"/>
    <mergeCell ref="C89:F89"/>
    <mergeCell ref="A219:D219"/>
    <mergeCell ref="B169:C169"/>
    <mergeCell ref="P9:R9"/>
  </mergeCells>
  <conditionalFormatting sqref="C205:C216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{4CB63853-25F7-4AE2-9DF6-0E06DFA86CAD}</x14:id>
        </ext>
      </extLst>
    </cfRule>
  </conditionalFormatting>
  <conditionalFormatting sqref="H4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{038FCC05-A948-44F2-804E-884C8A50FBF9}</x14:id>
        </ext>
      </extLst>
    </cfRule>
  </conditionalFormatting>
  <conditionalFormatting sqref="J10:J39">
    <cfRule type="dataBar" priority="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{032013F6-1115-4B93-A54D-F21D496273A0}</x14:id>
        </ext>
      </extLst>
    </cfRule>
  </conditionalFormatting>
  <conditionalFormatting sqref="L10:L39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{7F0EADEE-6972-41A3-A7B6-64284F77C87A}</x14:id>
        </ext>
      </extLst>
    </cfRule>
  </conditionalFormatting>
  <conditionalFormatting sqref="N10:N39">
    <cfRule type="dataBar" priority="1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{3D2C6F9E-FF04-443A-9CA2-2E2BE4A33CAB}</x14:id>
        </ext>
      </extLst>
    </cfRule>
  </conditionalFormatting>
  <conditionalFormatting sqref="R6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{514073A6-529D-45E7-8EA2-5A289E0F3BFD}</x14:id>
        </ext>
      </extLst>
    </cfRule>
  </conditionalFormatting>
  <hyperlinks>
    <hyperlink ref="B296" r:id="rId1" xr:uid="{16733E6E-93E4-4CB9-A86E-A1D439B744D1}"/>
    <hyperlink ref="B295" r:id="rId2" xr:uid="{12AE2EB3-5E8D-4EE4-8D81-518CAD3F2099}"/>
    <hyperlink ref="B294" r:id="rId3" xr:uid="{06C68D58-07FA-4014-9472-BFE1E68380BF}"/>
    <hyperlink ref="B293" r:id="rId4" xr:uid="{C5196C5E-DBBB-4523-B28B-AD4A9900D74C}"/>
    <hyperlink ref="B292" r:id="rId5" xr:uid="{2C0C5037-0033-40CD-B680-4AAE25ACC798}"/>
    <hyperlink ref="B291" r:id="rId6" xr:uid="{933D2AE2-4FA8-4C5B-843D-878ED0493029}"/>
    <hyperlink ref="B290" r:id="rId7" xr:uid="{47EF3544-0A0B-48D6-863C-BEC32FD251DF}"/>
    <hyperlink ref="B289" r:id="rId8" xr:uid="{CE1F6CAC-2617-446E-9A08-1C71886BFF4D}"/>
    <hyperlink ref="B288" r:id="rId9" xr:uid="{ED71932F-6265-4232-BFC6-7898734119EB}"/>
    <hyperlink ref="B287" r:id="rId10" xr:uid="{70954CFD-1BD7-49E3-AFE6-56218C5593CF}"/>
  </hyperlinks>
  <pageMargins left="0.7" right="0.7" top="0.75" bottom="0.75" header="0.3" footer="0.3"/>
  <drawing r:id="rId11"/>
  <tableParts count="2">
    <tablePart r:id="rId12"/>
    <tablePart r:id="rId1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CB63853-25F7-4AE2-9DF6-0E06DFA86CA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C205:C216</xm:sqref>
        </x14:conditionalFormatting>
        <x14:conditionalFormatting xmlns:xm="http://schemas.microsoft.com/office/excel/2006/main">
          <x14:cfRule type="dataBar" id="{038FCC05-A948-44F2-804E-884C8A50FBF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H4</xm:sqref>
        </x14:conditionalFormatting>
        <x14:conditionalFormatting xmlns:xm="http://schemas.microsoft.com/office/excel/2006/main">
          <x14:cfRule type="dataBar" id="{032013F6-1115-4B93-A54D-F21D496273A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J10:J39</xm:sqref>
        </x14:conditionalFormatting>
        <x14:conditionalFormatting xmlns:xm="http://schemas.microsoft.com/office/excel/2006/main">
          <x14:cfRule type="dataBar" id="{7F0EADEE-6972-41A3-A7B6-64284F77C87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L10:L39</xm:sqref>
        </x14:conditionalFormatting>
        <x14:conditionalFormatting xmlns:xm="http://schemas.microsoft.com/office/excel/2006/main">
          <x14:cfRule type="dataBar" id="{3D2C6F9E-FF04-443A-9CA2-2E2BE4A33CA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N10:N39</xm:sqref>
        </x14:conditionalFormatting>
        <x14:conditionalFormatting xmlns:xm="http://schemas.microsoft.com/office/excel/2006/main">
          <x14:cfRule type="dataBar" id="{514073A6-529D-45E7-8EA2-5A289E0F3BF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19948-3DAF-446C-A38E-66D3EFD247C4}">
  <sheetPr>
    <tabColor theme="8" tint="0.39997558519241921"/>
  </sheetPr>
  <dimension ref="A2:T1014"/>
  <sheetViews>
    <sheetView topLeftCell="B1004" workbookViewId="0">
      <selection activeCell="C997" sqref="C997:E1014"/>
    </sheetView>
  </sheetViews>
  <sheetFormatPr defaultRowHeight="15"/>
  <cols>
    <col min="2" max="2" width="58.85546875" customWidth="1"/>
    <col min="3" max="3" width="36.5703125" bestFit="1" customWidth="1"/>
    <col min="4" max="4" width="28.7109375" customWidth="1"/>
    <col min="5" max="5" width="32" bestFit="1" customWidth="1"/>
    <col min="6" max="6" width="26.140625" bestFit="1" customWidth="1"/>
    <col min="7" max="7" width="30.140625" bestFit="1" customWidth="1"/>
    <col min="8" max="8" width="55.85546875" bestFit="1" customWidth="1"/>
    <col min="9" max="9" width="42.140625" bestFit="1" customWidth="1"/>
    <col min="10" max="10" width="31.85546875" bestFit="1" customWidth="1"/>
    <col min="11" max="11" width="21.85546875" bestFit="1" customWidth="1"/>
    <col min="12" max="12" width="17" bestFit="1" customWidth="1"/>
    <col min="13" max="13" width="18.28515625" bestFit="1" customWidth="1"/>
    <col min="14" max="14" width="13" bestFit="1" customWidth="1"/>
    <col min="15" max="15" width="12" bestFit="1" customWidth="1"/>
    <col min="16" max="16" width="11.7109375" bestFit="1" customWidth="1"/>
    <col min="17" max="17" width="11.28515625" bestFit="1" customWidth="1"/>
    <col min="18" max="18" width="17.140625" bestFit="1" customWidth="1"/>
    <col min="19" max="19" width="8.85546875" bestFit="1" customWidth="1"/>
    <col min="20" max="20" width="0.85546875" bestFit="1" customWidth="1"/>
  </cols>
  <sheetData>
    <row r="2" spans="1:6">
      <c r="B2" s="213" t="s">
        <v>161</v>
      </c>
      <c r="C2" s="213" t="s">
        <v>204</v>
      </c>
      <c r="D2" s="213" t="s">
        <v>205</v>
      </c>
    </row>
    <row r="3" spans="1:6">
      <c r="B3" t="s">
        <v>206</v>
      </c>
      <c r="C3">
        <v>12</v>
      </c>
      <c r="D3" s="236" t="str">
        <f>IF(C3&gt;18,"Yes","No")</f>
        <v>No</v>
      </c>
    </row>
    <row r="4" spans="1:6">
      <c r="B4" t="s">
        <v>207</v>
      </c>
      <c r="C4">
        <v>23</v>
      </c>
      <c r="D4" s="236" t="str">
        <f>IF(C4&gt;18,"Yes","No")</f>
        <v>Yes</v>
      </c>
    </row>
    <row r="6" spans="1:6">
      <c r="B6" s="213" t="s">
        <v>208</v>
      </c>
      <c r="C6" s="213" t="str">
        <f>IF(COUNTBLANK(D3:D4)=0,IF(AND(COUNTIF(F3:F4,TRUE)=2,COUNTIF(G3:G4,TRUE)=2),"Good job!","Something's wrong, try again…"), "Please insert formulas")</f>
        <v>Something's wrong, try again…</v>
      </c>
    </row>
    <row r="8" spans="1:6">
      <c r="A8" s="235"/>
    </row>
    <row r="9" spans="1:6">
      <c r="B9" s="549" t="s">
        <v>196</v>
      </c>
      <c r="C9" s="549"/>
      <c r="D9" s="549"/>
      <c r="E9" s="549"/>
      <c r="F9" s="549"/>
    </row>
    <row r="10" spans="1:6">
      <c r="B10" s="549"/>
      <c r="C10" s="549"/>
      <c r="D10" s="549"/>
      <c r="E10" s="549"/>
      <c r="F10" s="549"/>
    </row>
    <row r="11" spans="1:6">
      <c r="B11" s="549"/>
      <c r="C11" s="549"/>
      <c r="D11" s="549"/>
      <c r="E11" s="549"/>
      <c r="F11" s="549"/>
    </row>
    <row r="12" spans="1:6">
      <c r="B12" s="549"/>
      <c r="C12" s="549"/>
      <c r="D12" s="549"/>
      <c r="E12" s="549"/>
      <c r="F12" s="549"/>
    </row>
    <row r="15" spans="1:6">
      <c r="B15" s="205" t="s">
        <v>197</v>
      </c>
      <c r="C15" s="206"/>
      <c r="D15" s="206"/>
      <c r="E15" s="206"/>
      <c r="F15" s="206"/>
    </row>
    <row r="16" spans="1:6">
      <c r="B16" s="207" t="s">
        <v>198</v>
      </c>
      <c r="C16" s="208">
        <f ca="1">RANDBETWEEN(1,100)</f>
        <v>35</v>
      </c>
      <c r="D16" s="550" t="s">
        <v>199</v>
      </c>
      <c r="E16" s="551"/>
      <c r="F16" s="551"/>
    </row>
    <row r="17" spans="1:7">
      <c r="B17" s="209" t="s">
        <v>200</v>
      </c>
      <c r="C17" s="210" t="str">
        <f ca="1">IF(ISEVEN(C16),"Full-Time","Part-Time")</f>
        <v>Part-Time</v>
      </c>
      <c r="D17" s="550"/>
      <c r="E17" s="551"/>
      <c r="F17" s="551"/>
    </row>
    <row r="18" spans="1:7">
      <c r="B18" s="211" t="s">
        <v>201</v>
      </c>
      <c r="C18" s="212">
        <f ca="1">ROUND(4+RAND(),2)</f>
        <v>4.8</v>
      </c>
      <c r="D18" s="550"/>
      <c r="E18" s="551"/>
      <c r="F18" s="551"/>
    </row>
    <row r="20" spans="1:7">
      <c r="D20" s="552" t="s">
        <v>202</v>
      </c>
      <c r="E20" s="552"/>
      <c r="F20" s="552"/>
      <c r="G20" s="552"/>
    </row>
    <row r="21" spans="1:7">
      <c r="B21" s="213" t="s">
        <v>203</v>
      </c>
      <c r="C21" s="236" t="str">
        <f ca="1">IF(C17="Full-Time",IF(C18&gt;4.5,"Yes","No"),"No")</f>
        <v>No</v>
      </c>
      <c r="D21" s="552"/>
      <c r="E21" s="552"/>
      <c r="F21" s="552"/>
      <c r="G21" s="552"/>
    </row>
    <row r="22" spans="1:7">
      <c r="A22" s="235"/>
      <c r="D22" s="552"/>
      <c r="E22" s="552"/>
      <c r="F22" s="552"/>
      <c r="G22" s="552"/>
    </row>
    <row r="23" spans="1:7">
      <c r="D23" s="228"/>
      <c r="E23" s="228"/>
      <c r="F23" s="228"/>
      <c r="G23" s="228"/>
    </row>
    <row r="24" spans="1:7">
      <c r="B24" s="213" t="s">
        <v>209</v>
      </c>
      <c r="D24" s="229"/>
    </row>
    <row r="25" spans="1:7">
      <c r="B25" s="213" t="s">
        <v>210</v>
      </c>
      <c r="C25" s="213" t="s">
        <v>211</v>
      </c>
      <c r="D25" s="230" t="s">
        <v>212</v>
      </c>
    </row>
    <row r="26" spans="1:7">
      <c r="B26" t="s">
        <v>213</v>
      </c>
      <c r="C26" t="s">
        <v>214</v>
      </c>
      <c r="D26" s="229">
        <v>10</v>
      </c>
    </row>
    <row r="27" spans="1:7">
      <c r="B27" t="s">
        <v>215</v>
      </c>
      <c r="C27" t="s">
        <v>216</v>
      </c>
      <c r="D27" s="229">
        <v>20</v>
      </c>
    </row>
    <row r="28" spans="1:7">
      <c r="B28" t="s">
        <v>217</v>
      </c>
      <c r="C28" t="s">
        <v>214</v>
      </c>
      <c r="D28" s="229">
        <v>15</v>
      </c>
    </row>
    <row r="29" spans="1:7">
      <c r="B29" t="s">
        <v>218</v>
      </c>
      <c r="C29" t="s">
        <v>216</v>
      </c>
      <c r="D29" s="229">
        <v>17</v>
      </c>
    </row>
    <row r="30" spans="1:7">
      <c r="B30" t="s">
        <v>219</v>
      </c>
      <c r="C30" t="s">
        <v>214</v>
      </c>
      <c r="D30" s="229">
        <v>44</v>
      </c>
    </row>
    <row r="31" spans="1:7">
      <c r="B31" t="s">
        <v>220</v>
      </c>
      <c r="C31" t="s">
        <v>216</v>
      </c>
      <c r="D31" s="229">
        <v>90</v>
      </c>
    </row>
    <row r="32" spans="1:7">
      <c r="C32" s="213" t="s">
        <v>221</v>
      </c>
      <c r="D32" s="236">
        <f>SUMIF(C26:C31,"Yellow",D26:D31)</f>
        <v>127</v>
      </c>
      <c r="E32" s="230" t="s">
        <v>222</v>
      </c>
    </row>
    <row r="33" spans="1:4">
      <c r="A33" s="235"/>
    </row>
    <row r="35" spans="1:4">
      <c r="B35" s="213" t="s">
        <v>223</v>
      </c>
      <c r="D35" s="229"/>
    </row>
    <row r="36" spans="1:4">
      <c r="B36" s="213" t="s">
        <v>210</v>
      </c>
      <c r="C36" s="213" t="s">
        <v>211</v>
      </c>
      <c r="D36" s="229"/>
    </row>
    <row r="37" spans="1:4">
      <c r="B37" t="s">
        <v>213</v>
      </c>
      <c r="C37" t="s">
        <v>214</v>
      </c>
      <c r="D37" s="229"/>
    </row>
    <row r="38" spans="1:4">
      <c r="B38" t="s">
        <v>215</v>
      </c>
      <c r="C38" t="s">
        <v>216</v>
      </c>
      <c r="D38" s="229"/>
    </row>
    <row r="39" spans="1:4">
      <c r="B39" t="s">
        <v>217</v>
      </c>
      <c r="C39" t="s">
        <v>214</v>
      </c>
      <c r="D39" s="229"/>
    </row>
    <row r="40" spans="1:4">
      <c r="B40" t="s">
        <v>218</v>
      </c>
      <c r="C40" t="s">
        <v>216</v>
      </c>
      <c r="D40" s="229"/>
    </row>
    <row r="41" spans="1:4">
      <c r="B41" t="s">
        <v>219</v>
      </c>
      <c r="C41" t="s">
        <v>214</v>
      </c>
      <c r="D41" s="229"/>
    </row>
    <row r="42" spans="1:4">
      <c r="B42" t="s">
        <v>220</v>
      </c>
      <c r="C42" t="s">
        <v>216</v>
      </c>
      <c r="D42" s="229"/>
    </row>
    <row r="43" spans="1:4">
      <c r="B43" t="s">
        <v>224</v>
      </c>
      <c r="C43" s="236">
        <f>COUNTIF(C37:C42,"Yellow")</f>
        <v>3</v>
      </c>
      <c r="D43" s="230" t="s">
        <v>222</v>
      </c>
    </row>
    <row r="44" spans="1:4">
      <c r="D44" s="229"/>
    </row>
    <row r="45" spans="1:4">
      <c r="A45" s="235"/>
    </row>
    <row r="47" spans="1:4">
      <c r="B47" s="213" t="s">
        <v>225</v>
      </c>
    </row>
    <row r="48" spans="1:4">
      <c r="B48" s="213" t="s">
        <v>226</v>
      </c>
      <c r="C48" s="213" t="s">
        <v>227</v>
      </c>
      <c r="D48" s="213" t="s">
        <v>228</v>
      </c>
    </row>
    <row r="49" spans="1:5">
      <c r="B49" t="s">
        <v>229</v>
      </c>
      <c r="C49" t="s">
        <v>230</v>
      </c>
      <c r="D49">
        <v>77</v>
      </c>
    </row>
    <row r="50" spans="1:5">
      <c r="B50" t="s">
        <v>231</v>
      </c>
      <c r="C50" t="s">
        <v>232</v>
      </c>
      <c r="D50">
        <v>71</v>
      </c>
    </row>
    <row r="51" spans="1:5">
      <c r="B51" t="s">
        <v>233</v>
      </c>
      <c r="C51" t="s">
        <v>234</v>
      </c>
      <c r="D51">
        <v>75</v>
      </c>
    </row>
    <row r="52" spans="1:5">
      <c r="B52" t="s">
        <v>229</v>
      </c>
      <c r="C52" t="s">
        <v>235</v>
      </c>
      <c r="D52">
        <v>67</v>
      </c>
    </row>
    <row r="53" spans="1:5">
      <c r="B53" t="s">
        <v>231</v>
      </c>
      <c r="C53" t="s">
        <v>236</v>
      </c>
      <c r="D53">
        <v>89</v>
      </c>
    </row>
    <row r="54" spans="1:5">
      <c r="B54" t="s">
        <v>237</v>
      </c>
      <c r="C54" t="s">
        <v>238</v>
      </c>
      <c r="D54">
        <v>87</v>
      </c>
    </row>
    <row r="55" spans="1:5">
      <c r="B55" t="s">
        <v>239</v>
      </c>
      <c r="C55" t="s">
        <v>240</v>
      </c>
      <c r="D55">
        <v>77</v>
      </c>
    </row>
    <row r="56" spans="1:5">
      <c r="B56" t="s">
        <v>229</v>
      </c>
      <c r="C56" t="s">
        <v>241</v>
      </c>
      <c r="D56">
        <v>60</v>
      </c>
    </row>
    <row r="57" spans="1:5">
      <c r="B57" t="s">
        <v>231</v>
      </c>
      <c r="C57" t="s">
        <v>242</v>
      </c>
      <c r="D57">
        <v>83</v>
      </c>
    </row>
    <row r="58" spans="1:5">
      <c r="C58" s="213" t="s">
        <v>243</v>
      </c>
    </row>
    <row r="59" spans="1:5">
      <c r="C59" s="213" t="s">
        <v>231</v>
      </c>
      <c r="D59" s="236">
        <f>AVERAGEIF(B49:B57,C59,D49:D57)</f>
        <v>81</v>
      </c>
      <c r="E59" s="230" t="s">
        <v>244</v>
      </c>
    </row>
    <row r="60" spans="1:5">
      <c r="A60" s="235"/>
    </row>
    <row r="62" spans="1:5">
      <c r="B62" s="213" t="s">
        <v>245</v>
      </c>
    </row>
    <row r="63" spans="1:5">
      <c r="B63" s="213" t="s">
        <v>246</v>
      </c>
    </row>
    <row r="64" spans="1:5">
      <c r="B64" s="231" t="s">
        <v>247</v>
      </c>
      <c r="C64" s="231" t="s">
        <v>248</v>
      </c>
      <c r="D64" s="231" t="s">
        <v>226</v>
      </c>
      <c r="E64" s="231" t="s">
        <v>5</v>
      </c>
    </row>
    <row r="65" spans="1:5">
      <c r="B65" s="232">
        <v>1</v>
      </c>
      <c r="C65" s="233" t="s">
        <v>249</v>
      </c>
      <c r="D65" s="233" t="s">
        <v>250</v>
      </c>
      <c r="E65" s="234">
        <v>492</v>
      </c>
    </row>
    <row r="66" spans="1:5">
      <c r="B66" s="232">
        <v>2</v>
      </c>
      <c r="C66" s="233" t="s">
        <v>251</v>
      </c>
      <c r="D66" s="233" t="s">
        <v>252</v>
      </c>
      <c r="E66" s="234">
        <v>124</v>
      </c>
    </row>
    <row r="67" spans="1:5">
      <c r="B67" s="232">
        <v>3</v>
      </c>
      <c r="C67" s="233" t="s">
        <v>249</v>
      </c>
      <c r="D67" s="233" t="s">
        <v>253</v>
      </c>
      <c r="E67" s="234">
        <v>555</v>
      </c>
    </row>
    <row r="68" spans="1:5">
      <c r="B68" s="232">
        <v>4</v>
      </c>
      <c r="C68" s="233" t="s">
        <v>249</v>
      </c>
      <c r="D68" s="233" t="s">
        <v>250</v>
      </c>
      <c r="E68" s="234">
        <v>100</v>
      </c>
    </row>
    <row r="69" spans="1:5">
      <c r="B69" s="232">
        <v>5</v>
      </c>
      <c r="C69" s="233" t="s">
        <v>254</v>
      </c>
      <c r="D69" s="233" t="s">
        <v>250</v>
      </c>
      <c r="E69" s="234">
        <v>8</v>
      </c>
    </row>
    <row r="70" spans="1:5">
      <c r="B70" s="232">
        <v>6</v>
      </c>
      <c r="C70" s="233" t="s">
        <v>254</v>
      </c>
      <c r="D70" s="233" t="s">
        <v>255</v>
      </c>
      <c r="E70" s="234">
        <v>201</v>
      </c>
    </row>
    <row r="71" spans="1:5">
      <c r="B71" s="232">
        <v>7</v>
      </c>
      <c r="C71" s="233" t="s">
        <v>249</v>
      </c>
      <c r="D71" s="233" t="s">
        <v>250</v>
      </c>
      <c r="E71" s="234">
        <v>20</v>
      </c>
    </row>
    <row r="72" spans="1:5">
      <c r="B72" s="232">
        <v>8</v>
      </c>
      <c r="C72" s="233" t="s">
        <v>251</v>
      </c>
      <c r="D72" s="233" t="s">
        <v>252</v>
      </c>
      <c r="E72" s="234">
        <v>43</v>
      </c>
    </row>
    <row r="73" spans="1:5">
      <c r="B73" s="232">
        <v>9</v>
      </c>
      <c r="C73" s="233" t="s">
        <v>249</v>
      </c>
      <c r="D73" s="233" t="s">
        <v>252</v>
      </c>
      <c r="E73" s="234">
        <v>108</v>
      </c>
    </row>
    <row r="74" spans="1:5">
      <c r="B74" s="232">
        <v>10</v>
      </c>
      <c r="C74" s="233" t="s">
        <v>254</v>
      </c>
      <c r="D74" s="233" t="s">
        <v>253</v>
      </c>
      <c r="E74" s="234">
        <v>172</v>
      </c>
    </row>
    <row r="77" spans="1:5">
      <c r="C77" t="s">
        <v>203</v>
      </c>
      <c r="D77" s="236">
        <f>SUMIFS(E65:E74,C65:C74,"Gold",D65:D74,"NY")</f>
        <v>612</v>
      </c>
      <c r="E77" s="230" t="s">
        <v>244</v>
      </c>
    </row>
    <row r="78" spans="1:5">
      <c r="A78" s="235"/>
    </row>
    <row r="80" spans="1:5">
      <c r="B80" s="213" t="s">
        <v>256</v>
      </c>
    </row>
    <row r="81" spans="1:5">
      <c r="B81" s="231" t="s">
        <v>161</v>
      </c>
      <c r="C81" s="231" t="s">
        <v>257</v>
      </c>
      <c r="D81" s="231" t="s">
        <v>204</v>
      </c>
    </row>
    <row r="82" spans="1:5">
      <c r="B82" s="233" t="s">
        <v>258</v>
      </c>
      <c r="C82" s="233" t="s">
        <v>259</v>
      </c>
      <c r="D82" s="234">
        <v>12</v>
      </c>
    </row>
    <row r="83" spans="1:5">
      <c r="B83" s="233" t="s">
        <v>260</v>
      </c>
      <c r="C83" s="233" t="s">
        <v>259</v>
      </c>
      <c r="D83" s="234">
        <v>14</v>
      </c>
    </row>
    <row r="84" spans="1:5">
      <c r="B84" s="233" t="s">
        <v>261</v>
      </c>
      <c r="C84" s="233" t="s">
        <v>262</v>
      </c>
      <c r="D84" s="234">
        <v>24</v>
      </c>
    </row>
    <row r="85" spans="1:5">
      <c r="B85" s="233" t="s">
        <v>263</v>
      </c>
      <c r="C85" s="233" t="s">
        <v>262</v>
      </c>
      <c r="D85" s="234">
        <v>32</v>
      </c>
    </row>
    <row r="86" spans="1:5">
      <c r="B86" s="233" t="s">
        <v>264</v>
      </c>
      <c r="C86" s="233" t="s">
        <v>259</v>
      </c>
      <c r="D86" s="234">
        <v>12</v>
      </c>
    </row>
    <row r="87" spans="1:5">
      <c r="B87" s="233" t="s">
        <v>265</v>
      </c>
      <c r="C87" s="233" t="s">
        <v>259</v>
      </c>
      <c r="D87" s="234">
        <v>17</v>
      </c>
    </row>
    <row r="89" spans="1:5">
      <c r="C89" t="s">
        <v>203</v>
      </c>
      <c r="D89" s="236">
        <f>COUNTIFS(C82:C87,"Boy",D82:D87,"&gt;13")</f>
        <v>2</v>
      </c>
      <c r="E89" s="230" t="s">
        <v>266</v>
      </c>
    </row>
    <row r="91" spans="1:5">
      <c r="A91" s="235"/>
    </row>
    <row r="93" spans="1:5">
      <c r="A93" s="261" t="s">
        <v>267</v>
      </c>
      <c r="B93" s="213" t="s">
        <v>268</v>
      </c>
    </row>
    <row r="94" spans="1:5">
      <c r="B94" s="231" t="s">
        <v>226</v>
      </c>
      <c r="C94" s="231" t="s">
        <v>269</v>
      </c>
      <c r="D94" s="231" t="s">
        <v>228</v>
      </c>
    </row>
    <row r="95" spans="1:5">
      <c r="B95" s="233" t="s">
        <v>233</v>
      </c>
      <c r="C95" s="233" t="s">
        <v>233</v>
      </c>
      <c r="D95" s="233">
        <v>121</v>
      </c>
    </row>
    <row r="96" spans="1:5">
      <c r="B96" s="233" t="s">
        <v>239</v>
      </c>
      <c r="C96" s="233" t="s">
        <v>270</v>
      </c>
      <c r="D96" s="233">
        <v>105</v>
      </c>
    </row>
    <row r="97" spans="1:5">
      <c r="B97" s="233" t="s">
        <v>237</v>
      </c>
      <c r="C97" s="233" t="s">
        <v>271</v>
      </c>
      <c r="D97" s="233">
        <v>82</v>
      </c>
    </row>
    <row r="98" spans="1:5">
      <c r="B98" s="233" t="s">
        <v>239</v>
      </c>
      <c r="C98" s="233" t="s">
        <v>272</v>
      </c>
      <c r="D98" s="233">
        <v>77</v>
      </c>
    </row>
    <row r="99" spans="1:5">
      <c r="B99" s="233" t="s">
        <v>231</v>
      </c>
      <c r="C99" s="233" t="s">
        <v>273</v>
      </c>
      <c r="D99" s="233">
        <v>84</v>
      </c>
    </row>
    <row r="100" spans="1:5">
      <c r="B100" s="233" t="s">
        <v>237</v>
      </c>
      <c r="C100" s="233" t="s">
        <v>274</v>
      </c>
      <c r="D100" s="233">
        <v>87</v>
      </c>
    </row>
    <row r="101" spans="1:5">
      <c r="B101" s="233" t="s">
        <v>239</v>
      </c>
      <c r="C101" s="233" t="s">
        <v>275</v>
      </c>
      <c r="D101" s="233">
        <v>100</v>
      </c>
    </row>
    <row r="102" spans="1:5">
      <c r="B102" s="233" t="s">
        <v>233</v>
      </c>
      <c r="C102" s="233" t="s">
        <v>276</v>
      </c>
      <c r="D102" s="233">
        <v>118</v>
      </c>
    </row>
    <row r="103" spans="1:5">
      <c r="B103" s="233" t="s">
        <v>239</v>
      </c>
      <c r="C103" s="233" t="s">
        <v>277</v>
      </c>
      <c r="D103" s="233">
        <v>101</v>
      </c>
    </row>
    <row r="104" spans="1:5">
      <c r="C104" s="213" t="s">
        <v>278</v>
      </c>
    </row>
    <row r="105" spans="1:5">
      <c r="C105" s="213" t="s">
        <v>239</v>
      </c>
      <c r="D105" s="236">
        <f>_xlfn.MAXIFS(D95:D103,B95:B103,"California")</f>
        <v>105</v>
      </c>
      <c r="E105" s="230" t="s">
        <v>244</v>
      </c>
    </row>
    <row r="107" spans="1:5">
      <c r="A107" s="261" t="s">
        <v>279</v>
      </c>
      <c r="B107" s="213" t="s">
        <v>280</v>
      </c>
    </row>
    <row r="108" spans="1:5">
      <c r="B108" s="231" t="s">
        <v>226</v>
      </c>
      <c r="C108" s="231" t="s">
        <v>281</v>
      </c>
      <c r="D108" s="231" t="s">
        <v>228</v>
      </c>
    </row>
    <row r="109" spans="1:5">
      <c r="B109" s="233" t="s">
        <v>233</v>
      </c>
      <c r="C109" s="233" t="s">
        <v>282</v>
      </c>
      <c r="D109" s="233">
        <v>121</v>
      </c>
    </row>
    <row r="110" spans="1:5">
      <c r="B110" s="233" t="s">
        <v>239</v>
      </c>
      <c r="C110" s="233" t="s">
        <v>283</v>
      </c>
      <c r="D110" s="233">
        <v>125</v>
      </c>
    </row>
    <row r="111" spans="1:5">
      <c r="B111" s="233" t="s">
        <v>237</v>
      </c>
      <c r="C111" s="233" t="s">
        <v>284</v>
      </c>
      <c r="D111" s="233">
        <v>82</v>
      </c>
    </row>
    <row r="112" spans="1:5">
      <c r="B112" s="233" t="s">
        <v>239</v>
      </c>
      <c r="C112" s="233" t="s">
        <v>282</v>
      </c>
      <c r="D112" s="233">
        <v>77</v>
      </c>
    </row>
    <row r="113" spans="1:5">
      <c r="B113" s="233" t="s">
        <v>231</v>
      </c>
      <c r="C113" s="233" t="s">
        <v>285</v>
      </c>
      <c r="D113" s="233">
        <v>84</v>
      </c>
    </row>
    <row r="114" spans="1:5">
      <c r="B114" s="233" t="s">
        <v>239</v>
      </c>
      <c r="C114" s="233" t="s">
        <v>282</v>
      </c>
      <c r="D114" s="233">
        <v>120</v>
      </c>
    </row>
    <row r="115" spans="1:5">
      <c r="B115" s="233" t="s">
        <v>237</v>
      </c>
      <c r="C115" s="233" t="s">
        <v>286</v>
      </c>
      <c r="D115" s="233">
        <v>87</v>
      </c>
    </row>
    <row r="116" spans="1:5">
      <c r="B116" s="233" t="s">
        <v>239</v>
      </c>
      <c r="C116" s="233" t="s">
        <v>283</v>
      </c>
      <c r="D116" s="233">
        <v>100</v>
      </c>
    </row>
    <row r="117" spans="1:5">
      <c r="B117" s="233" t="s">
        <v>233</v>
      </c>
      <c r="C117" s="233" t="s">
        <v>287</v>
      </c>
      <c r="D117" s="233">
        <v>118</v>
      </c>
    </row>
    <row r="118" spans="1:5">
      <c r="B118" s="233" t="s">
        <v>239</v>
      </c>
      <c r="C118" s="233" t="s">
        <v>288</v>
      </c>
      <c r="D118" s="233">
        <v>101</v>
      </c>
    </row>
    <row r="119" spans="1:5">
      <c r="C119" s="213" t="s">
        <v>278</v>
      </c>
      <c r="D119" s="213"/>
    </row>
    <row r="120" spans="1:5">
      <c r="B120" t="s">
        <v>289</v>
      </c>
      <c r="C120" s="213" t="s">
        <v>239</v>
      </c>
      <c r="D120" s="236">
        <f>_xlfn.MAXIFS(D109:D118,B109:B118,"California")</f>
        <v>125</v>
      </c>
      <c r="E120" s="230" t="s">
        <v>244</v>
      </c>
    </row>
    <row r="121" spans="1:5">
      <c r="B121" t="s">
        <v>290</v>
      </c>
      <c r="C121" s="213" t="s">
        <v>282</v>
      </c>
      <c r="D121" s="236">
        <f>SUMIFS(D109:D118,C109:C118,"Banking")</f>
        <v>318</v>
      </c>
    </row>
    <row r="123" spans="1:5">
      <c r="A123" s="235"/>
    </row>
    <row r="125" spans="1:5">
      <c r="B125" s="213" t="s">
        <v>291</v>
      </c>
    </row>
    <row r="126" spans="1:5">
      <c r="B126" s="213"/>
    </row>
    <row r="127" spans="1:5">
      <c r="A127" s="261" t="s">
        <v>267</v>
      </c>
      <c r="B127" s="231" t="s">
        <v>292</v>
      </c>
      <c r="C127" s="231" t="s">
        <v>293</v>
      </c>
      <c r="D127" s="237" t="s">
        <v>294</v>
      </c>
    </row>
    <row r="128" spans="1:5">
      <c r="B128" s="233" t="s">
        <v>295</v>
      </c>
      <c r="C128" s="233" t="s">
        <v>296</v>
      </c>
      <c r="D128" s="238">
        <v>0.02</v>
      </c>
    </row>
    <row r="129" spans="1:5">
      <c r="B129" s="233" t="s">
        <v>297</v>
      </c>
      <c r="C129" s="233" t="s">
        <v>298</v>
      </c>
      <c r="D129" s="239">
        <v>1.2500000000000001E-2</v>
      </c>
    </row>
    <row r="130" spans="1:5">
      <c r="B130" s="233" t="s">
        <v>295</v>
      </c>
      <c r="C130" s="233" t="s">
        <v>299</v>
      </c>
      <c r="D130" s="239">
        <v>2.5000000000000001E-3</v>
      </c>
    </row>
    <row r="131" spans="1:5">
      <c r="B131" s="233" t="s">
        <v>300</v>
      </c>
      <c r="C131" s="233" t="s">
        <v>301</v>
      </c>
      <c r="D131" s="239">
        <v>2.5000000000000001E-3</v>
      </c>
    </row>
    <row r="132" spans="1:5">
      <c r="B132" s="233" t="s">
        <v>300</v>
      </c>
      <c r="C132" s="233" t="s">
        <v>302</v>
      </c>
      <c r="D132" s="239">
        <v>2.5000000000000001E-3</v>
      </c>
    </row>
    <row r="133" spans="1:5">
      <c r="B133" s="233" t="s">
        <v>303</v>
      </c>
      <c r="C133" s="233" t="s">
        <v>304</v>
      </c>
      <c r="D133" s="238">
        <v>0.01</v>
      </c>
    </row>
    <row r="134" spans="1:5">
      <c r="B134" s="233" t="s">
        <v>295</v>
      </c>
      <c r="C134" s="233" t="s">
        <v>305</v>
      </c>
      <c r="D134" s="239">
        <v>1.4999999999999999E-2</v>
      </c>
    </row>
    <row r="135" spans="1:5">
      <c r="B135" s="233" t="s">
        <v>303</v>
      </c>
      <c r="C135" s="233" t="s">
        <v>306</v>
      </c>
      <c r="D135" s="238">
        <v>0.02</v>
      </c>
    </row>
    <row r="137" spans="1:5">
      <c r="C137" s="213" t="s">
        <v>307</v>
      </c>
    </row>
    <row r="138" spans="1:5">
      <c r="C138" s="213" t="s">
        <v>295</v>
      </c>
      <c r="D138" s="240">
        <f>_xlfn.MINIFS(D128:D135,B128:B135,C138)</f>
        <v>2.5000000000000001E-3</v>
      </c>
      <c r="E138" s="230" t="s">
        <v>244</v>
      </c>
    </row>
    <row r="140" spans="1:5">
      <c r="A140" s="261" t="s">
        <v>279</v>
      </c>
      <c r="B140" s="213" t="s">
        <v>308</v>
      </c>
    </row>
    <row r="141" spans="1:5">
      <c r="B141" s="213"/>
    </row>
    <row r="142" spans="1:5" ht="30.75">
      <c r="B142" s="231" t="s">
        <v>292</v>
      </c>
      <c r="C142" s="231" t="s">
        <v>293</v>
      </c>
      <c r="D142" s="241" t="s">
        <v>309</v>
      </c>
      <c r="E142" s="237" t="s">
        <v>294</v>
      </c>
    </row>
    <row r="143" spans="1:5">
      <c r="B143" s="233" t="s">
        <v>295</v>
      </c>
      <c r="C143" s="233" t="s">
        <v>296</v>
      </c>
      <c r="D143" s="232">
        <v>19.2</v>
      </c>
      <c r="E143" s="238">
        <v>0.02</v>
      </c>
    </row>
    <row r="144" spans="1:5">
      <c r="B144" s="233" t="s">
        <v>297</v>
      </c>
      <c r="C144" s="233" t="s">
        <v>298</v>
      </c>
      <c r="D144" s="232">
        <v>7.1</v>
      </c>
      <c r="E144" s="239">
        <v>1.2500000000000001E-2</v>
      </c>
    </row>
    <row r="145" spans="1:5">
      <c r="B145" s="233" t="s">
        <v>295</v>
      </c>
      <c r="C145" s="233" t="s">
        <v>299</v>
      </c>
      <c r="D145" s="232">
        <v>10.7</v>
      </c>
      <c r="E145" s="239">
        <v>2.5000000000000001E-3</v>
      </c>
    </row>
    <row r="146" spans="1:5">
      <c r="B146" s="233" t="s">
        <v>300</v>
      </c>
      <c r="C146" s="233" t="s">
        <v>301</v>
      </c>
      <c r="D146" s="232">
        <v>37.700000000000003</v>
      </c>
      <c r="E146" s="239">
        <v>2.5000000000000001E-3</v>
      </c>
    </row>
    <row r="147" spans="1:5">
      <c r="B147" s="233" t="s">
        <v>300</v>
      </c>
      <c r="C147" s="233" t="s">
        <v>302</v>
      </c>
      <c r="D147" s="232">
        <v>331</v>
      </c>
      <c r="E147" s="239">
        <v>2.5000000000000001E-3</v>
      </c>
    </row>
    <row r="148" spans="1:5">
      <c r="B148" s="233" t="s">
        <v>303</v>
      </c>
      <c r="C148" s="233" t="s">
        <v>304</v>
      </c>
      <c r="D148" s="232">
        <v>34.799999999999997</v>
      </c>
      <c r="E148" s="238">
        <v>0.01</v>
      </c>
    </row>
    <row r="149" spans="1:5">
      <c r="B149" s="233" t="s">
        <v>295</v>
      </c>
      <c r="C149" s="233" t="s">
        <v>305</v>
      </c>
      <c r="D149" s="232">
        <v>8.6999999999999993</v>
      </c>
      <c r="E149" s="239">
        <v>1.4999999999999999E-2</v>
      </c>
    </row>
    <row r="150" spans="1:5">
      <c r="B150" s="233" t="s">
        <v>295</v>
      </c>
      <c r="C150" s="233" t="s">
        <v>310</v>
      </c>
      <c r="D150" s="232">
        <v>5.8</v>
      </c>
      <c r="E150" s="239">
        <v>-6.0000000000000001E-3</v>
      </c>
    </row>
    <row r="151" spans="1:5">
      <c r="B151" s="233" t="s">
        <v>303</v>
      </c>
      <c r="C151" s="233" t="s">
        <v>306</v>
      </c>
      <c r="D151" s="232">
        <v>32.4</v>
      </c>
      <c r="E151" s="238">
        <v>0.02</v>
      </c>
    </row>
    <row r="152" spans="1:5">
      <c r="B152" s="233" t="s">
        <v>295</v>
      </c>
      <c r="C152" s="233" t="s">
        <v>311</v>
      </c>
      <c r="D152" s="232">
        <v>17.100000000000001</v>
      </c>
      <c r="E152" s="238">
        <v>0</v>
      </c>
    </row>
    <row r="154" spans="1:5">
      <c r="B154" s="213" t="s">
        <v>307</v>
      </c>
      <c r="C154" s="213" t="s">
        <v>295</v>
      </c>
      <c r="D154" s="240">
        <f>_xlfn.MINIFS(E143:E152,B143:B152,C154,D143:D152,"&gt;15")</f>
        <v>0</v>
      </c>
      <c r="E154" s="230" t="s">
        <v>244</v>
      </c>
    </row>
    <row r="156" spans="1:5">
      <c r="A156" s="235"/>
    </row>
    <row r="158" spans="1:5" ht="24.75">
      <c r="B158" s="242" t="s">
        <v>312</v>
      </c>
    </row>
    <row r="159" spans="1:5" ht="29.25" customHeight="1">
      <c r="B159" s="243" t="s">
        <v>313</v>
      </c>
    </row>
    <row r="160" spans="1:5" ht="19.5" customHeight="1">
      <c r="B160" s="244" t="s">
        <v>314</v>
      </c>
    </row>
    <row r="161" spans="2:6" ht="19.5" customHeight="1">
      <c r="B161" s="245" t="s">
        <v>315</v>
      </c>
    </row>
    <row r="164" spans="2:6" ht="24">
      <c r="B164" s="249" t="s">
        <v>316</v>
      </c>
      <c r="C164" s="246"/>
      <c r="D164" s="247"/>
    </row>
    <row r="165" spans="2:6" ht="16.5">
      <c r="B165" s="250" t="s">
        <v>317</v>
      </c>
      <c r="C165" s="80"/>
      <c r="D165" s="248"/>
    </row>
    <row r="166" spans="2:6" ht="57" customHeight="1">
      <c r="B166" s="562" t="s">
        <v>318</v>
      </c>
      <c r="C166" s="563"/>
      <c r="D166" s="564"/>
    </row>
    <row r="167" spans="2:6" ht="24">
      <c r="B167" s="251" t="s">
        <v>319</v>
      </c>
      <c r="C167" s="80"/>
      <c r="D167" s="248"/>
    </row>
    <row r="168" spans="2:6" ht="16.5">
      <c r="B168" s="250" t="s">
        <v>320</v>
      </c>
      <c r="C168" s="80"/>
      <c r="D168" s="248"/>
    </row>
    <row r="169" spans="2:6" ht="57" customHeight="1">
      <c r="B169" s="565" t="s">
        <v>321</v>
      </c>
      <c r="C169" s="566"/>
      <c r="D169" s="567"/>
    </row>
    <row r="172" spans="2:6">
      <c r="C172" s="213" t="s">
        <v>322</v>
      </c>
      <c r="D172" s="213"/>
    </row>
    <row r="173" spans="2:6">
      <c r="C173" s="213"/>
      <c r="D173" s="213"/>
      <c r="E173" s="213"/>
      <c r="F173" s="213"/>
    </row>
    <row r="174" spans="2:6">
      <c r="C174" s="253" t="s">
        <v>323</v>
      </c>
      <c r="D174" s="253" t="s">
        <v>324</v>
      </c>
      <c r="E174" s="213"/>
      <c r="F174" s="213"/>
    </row>
    <row r="175" spans="2:6">
      <c r="C175" s="232">
        <v>40</v>
      </c>
      <c r="D175" s="232">
        <v>25</v>
      </c>
      <c r="E175" s="236" t="str">
        <f>IF(AND(C175&gt;30,D175&gt;30),"Good","Bad")</f>
        <v>Bad</v>
      </c>
      <c r="F175" s="230" t="s">
        <v>244</v>
      </c>
    </row>
    <row r="176" spans="2:6">
      <c r="E176" s="252"/>
    </row>
    <row r="177" spans="1:6">
      <c r="C177" s="213" t="s">
        <v>325</v>
      </c>
      <c r="E177" s="252"/>
    </row>
    <row r="178" spans="1:6">
      <c r="E178" s="252"/>
    </row>
    <row r="179" spans="1:6">
      <c r="C179" s="253" t="s">
        <v>323</v>
      </c>
      <c r="D179" s="253" t="s">
        <v>324</v>
      </c>
      <c r="E179" s="252"/>
    </row>
    <row r="180" spans="1:6">
      <c r="C180" s="232">
        <v>40</v>
      </c>
      <c r="D180" s="232">
        <v>25</v>
      </c>
      <c r="E180" s="236" t="str">
        <f>IF(OR(C180&gt;30,D180&gt;30),"Good","Bad")</f>
        <v>Good</v>
      </c>
      <c r="F180" s="230" t="s">
        <v>244</v>
      </c>
    </row>
    <row r="182" spans="1:6">
      <c r="A182" s="553"/>
      <c r="B182" s="554"/>
    </row>
    <row r="184" spans="1:6">
      <c r="C184" s="213" t="s">
        <v>326</v>
      </c>
    </row>
    <row r="185" spans="1:6">
      <c r="C185" s="213"/>
    </row>
    <row r="186" spans="1:6">
      <c r="C186" s="231" t="s">
        <v>327</v>
      </c>
      <c r="D186" s="237" t="s">
        <v>328</v>
      </c>
    </row>
    <row r="187" spans="1:6">
      <c r="C187" s="233" t="s">
        <v>329</v>
      </c>
      <c r="D187" s="236" t="b">
        <f>ISBLANK(C187)</f>
        <v>0</v>
      </c>
      <c r="E187" s="230" t="s">
        <v>244</v>
      </c>
    </row>
    <row r="188" spans="1:6">
      <c r="C188" s="233"/>
      <c r="D188" s="236" t="b">
        <f>ISBLANK(C188)</f>
        <v>1</v>
      </c>
      <c r="E188" s="230" t="s">
        <v>244</v>
      </c>
    </row>
    <row r="191" spans="1:6">
      <c r="C191" s="213" t="s">
        <v>330</v>
      </c>
    </row>
    <row r="192" spans="1:6">
      <c r="C192" s="213"/>
    </row>
    <row r="193" spans="1:7">
      <c r="C193" s="231" t="s">
        <v>327</v>
      </c>
      <c r="D193" s="237" t="s">
        <v>328</v>
      </c>
    </row>
    <row r="194" spans="1:7">
      <c r="C194" s="233"/>
      <c r="D194" s="236" t="b">
        <f>ISBLANK(C194)</f>
        <v>1</v>
      </c>
      <c r="E194" s="230" t="s">
        <v>244</v>
      </c>
    </row>
    <row r="195" spans="1:7">
      <c r="C195" s="233" t="s">
        <v>331</v>
      </c>
      <c r="D195" s="236" t="b">
        <f>ISBLANK(C195)</f>
        <v>0</v>
      </c>
      <c r="E195" s="230" t="s">
        <v>244</v>
      </c>
    </row>
    <row r="197" spans="1:7">
      <c r="A197" s="553"/>
      <c r="B197" s="554"/>
    </row>
    <row r="199" spans="1:7">
      <c r="B199" s="261" t="s">
        <v>267</v>
      </c>
      <c r="C199" s="260" t="s">
        <v>332</v>
      </c>
      <c r="D199" s="253" t="s">
        <v>161</v>
      </c>
      <c r="E199" s="253" t="s">
        <v>204</v>
      </c>
      <c r="F199" s="213"/>
      <c r="G199" s="229"/>
    </row>
    <row r="200" spans="1:7">
      <c r="C200" s="254">
        <v>15335</v>
      </c>
      <c r="D200" s="254" t="s">
        <v>333</v>
      </c>
      <c r="E200" s="254">
        <v>40</v>
      </c>
      <c r="G200" s="229"/>
    </row>
    <row r="201" spans="1:7">
      <c r="C201" s="254">
        <v>57564</v>
      </c>
      <c r="D201" s="254" t="s">
        <v>260</v>
      </c>
      <c r="E201" s="254">
        <v>50</v>
      </c>
      <c r="G201" s="229"/>
    </row>
    <row r="202" spans="1:7">
      <c r="C202" s="254">
        <v>73546</v>
      </c>
      <c r="D202" s="254" t="s">
        <v>334</v>
      </c>
      <c r="E202" s="254">
        <v>61</v>
      </c>
      <c r="G202" s="229"/>
    </row>
    <row r="203" spans="1:7">
      <c r="C203" s="254">
        <v>66475</v>
      </c>
      <c r="D203" s="254" t="s">
        <v>335</v>
      </c>
      <c r="E203" s="254">
        <v>23</v>
      </c>
      <c r="G203" s="229"/>
    </row>
    <row r="204" spans="1:7">
      <c r="C204" s="254">
        <v>54746</v>
      </c>
      <c r="D204" s="254" t="s">
        <v>336</v>
      </c>
      <c r="E204" s="254">
        <v>30</v>
      </c>
      <c r="G204" s="229"/>
    </row>
    <row r="205" spans="1:7">
      <c r="G205" s="229"/>
    </row>
    <row r="206" spans="1:7">
      <c r="G206" s="229"/>
    </row>
    <row r="207" spans="1:7">
      <c r="C207" s="213" t="s">
        <v>337</v>
      </c>
      <c r="G207" s="229"/>
    </row>
    <row r="208" spans="1:7">
      <c r="G208" s="229"/>
    </row>
    <row r="209" spans="2:7">
      <c r="C209" s="253" t="s">
        <v>332</v>
      </c>
      <c r="D209" s="254">
        <v>73546</v>
      </c>
      <c r="G209" s="229"/>
    </row>
    <row r="210" spans="2:7">
      <c r="C210" s="253" t="s">
        <v>204</v>
      </c>
      <c r="D210" s="236">
        <f>VLOOKUP(D209,C199:E204,3,FALSE)</f>
        <v>61</v>
      </c>
      <c r="F210" s="230" t="s">
        <v>338</v>
      </c>
      <c r="G210" s="229"/>
    </row>
    <row r="213" spans="2:7">
      <c r="B213" s="261" t="s">
        <v>279</v>
      </c>
      <c r="C213" t="s">
        <v>339</v>
      </c>
    </row>
    <row r="215" spans="2:7">
      <c r="C215" s="253" t="s">
        <v>161</v>
      </c>
      <c r="D215" s="253" t="s">
        <v>340</v>
      </c>
    </row>
    <row r="216" spans="2:7">
      <c r="C216" s="254" t="s">
        <v>341</v>
      </c>
      <c r="D216" s="236" t="str">
        <f>VLOOKUP(C216,C221:E229,3,0)</f>
        <v>Netflix</v>
      </c>
    </row>
    <row r="217" spans="2:7">
      <c r="C217" s="254" t="s">
        <v>342</v>
      </c>
      <c r="D217" s="236" t="str">
        <f>VLOOKUP(C217,C222:E230,3,0)</f>
        <v>Disney</v>
      </c>
    </row>
    <row r="219" spans="2:7">
      <c r="C219" t="s">
        <v>343</v>
      </c>
    </row>
    <row r="221" spans="2:7">
      <c r="C221" s="256" t="s">
        <v>161</v>
      </c>
      <c r="D221" s="256" t="s">
        <v>204</v>
      </c>
      <c r="E221" s="256" t="s">
        <v>344</v>
      </c>
    </row>
    <row r="222" spans="2:7">
      <c r="C222" s="257" t="s">
        <v>345</v>
      </c>
      <c r="D222" s="257">
        <v>35</v>
      </c>
      <c r="E222" s="257" t="s">
        <v>346</v>
      </c>
    </row>
    <row r="223" spans="2:7">
      <c r="C223" t="s">
        <v>347</v>
      </c>
      <c r="D223">
        <v>25</v>
      </c>
      <c r="E223" t="s">
        <v>348</v>
      </c>
    </row>
    <row r="224" spans="2:7">
      <c r="C224" s="258" t="s">
        <v>333</v>
      </c>
      <c r="D224" s="258">
        <v>48</v>
      </c>
      <c r="E224" s="258" t="s">
        <v>349</v>
      </c>
    </row>
    <row r="225" spans="3:14">
      <c r="C225" t="s">
        <v>350</v>
      </c>
      <c r="D225">
        <v>37</v>
      </c>
      <c r="E225" t="s">
        <v>20</v>
      </c>
    </row>
    <row r="226" spans="3:14">
      <c r="C226" s="258" t="s">
        <v>341</v>
      </c>
      <c r="D226" s="258">
        <v>52</v>
      </c>
      <c r="E226" s="258" t="s">
        <v>351</v>
      </c>
    </row>
    <row r="227" spans="3:14">
      <c r="C227" t="s">
        <v>342</v>
      </c>
      <c r="D227">
        <v>32</v>
      </c>
      <c r="E227" t="s">
        <v>352</v>
      </c>
    </row>
    <row r="228" spans="3:14">
      <c r="C228" s="258" t="s">
        <v>353</v>
      </c>
      <c r="D228" s="258">
        <v>33</v>
      </c>
      <c r="E228" s="258" t="s">
        <v>354</v>
      </c>
    </row>
    <row r="229" spans="3:14">
      <c r="C229" s="259" t="s">
        <v>355</v>
      </c>
      <c r="D229" s="259">
        <v>45</v>
      </c>
      <c r="E229" s="259" t="s">
        <v>356</v>
      </c>
    </row>
    <row r="232" spans="3:14">
      <c r="C232" s="262" t="s">
        <v>339</v>
      </c>
      <c r="D232" s="246"/>
      <c r="E232" s="246"/>
      <c r="F232" s="246"/>
      <c r="G232" s="246"/>
      <c r="H232" s="246"/>
      <c r="I232" s="246"/>
      <c r="J232" s="246"/>
      <c r="K232" s="246"/>
      <c r="L232" s="246"/>
      <c r="M232" s="246"/>
      <c r="N232" s="247"/>
    </row>
    <row r="233" spans="3:14">
      <c r="C233" s="263"/>
      <c r="D233" s="80"/>
      <c r="E233" s="80"/>
      <c r="F233" s="80"/>
      <c r="G233" s="80"/>
      <c r="H233" s="80"/>
      <c r="I233" s="80"/>
      <c r="J233" s="80"/>
      <c r="K233" s="80"/>
      <c r="L233" s="80"/>
      <c r="M233" s="80"/>
      <c r="N233" s="248"/>
    </row>
    <row r="234" spans="3:14">
      <c r="C234" s="264" t="s">
        <v>161</v>
      </c>
      <c r="D234" s="265" t="s">
        <v>340</v>
      </c>
      <c r="E234" s="80"/>
      <c r="F234" s="80"/>
      <c r="G234" s="80"/>
      <c r="H234" s="80"/>
      <c r="I234" s="80"/>
      <c r="J234" s="80"/>
      <c r="K234" s="80"/>
      <c r="L234" s="80"/>
      <c r="M234" s="80"/>
      <c r="N234" s="248"/>
    </row>
    <row r="235" spans="3:14">
      <c r="C235" s="263" t="s">
        <v>357</v>
      </c>
      <c r="D235" s="266" t="e">
        <f>VLOOKUP(C235,$A$9:$C$17,3,0)</f>
        <v>#N/A</v>
      </c>
      <c r="E235" s="265" t="str">
        <f ca="1">_xlfn.FORMULATEXT(D235)</f>
        <v>=VLOOKUP(C235,$A$9:$C$17,3,0)</v>
      </c>
      <c r="F235" s="80"/>
      <c r="G235" s="80"/>
      <c r="H235" s="80"/>
      <c r="I235" s="80"/>
      <c r="J235" s="80"/>
      <c r="K235" s="80"/>
      <c r="L235" s="80"/>
      <c r="M235" s="80"/>
      <c r="N235" s="248"/>
    </row>
    <row r="236" spans="3:14">
      <c r="C236" s="263" t="s">
        <v>342</v>
      </c>
      <c r="D236" s="266" t="e">
        <f>VLOOKUP(C236,$A$9:$C$17,3,0)</f>
        <v>#N/A</v>
      </c>
      <c r="E236" s="265" t="str">
        <f ca="1">_xlfn.FORMULATEXT(D236)</f>
        <v>=VLOOKUP(C236,$A$9:$C$17,3,0)</v>
      </c>
      <c r="F236" s="80"/>
      <c r="G236" s="80"/>
      <c r="H236" s="80"/>
      <c r="I236" s="80"/>
      <c r="J236" s="80"/>
      <c r="K236" s="80"/>
      <c r="L236" s="80"/>
      <c r="M236" s="80"/>
      <c r="N236" s="248"/>
    </row>
    <row r="237" spans="3:14">
      <c r="C237" s="263"/>
      <c r="D237" s="80"/>
      <c r="E237" s="80"/>
      <c r="F237" s="80"/>
      <c r="G237" s="80"/>
      <c r="H237" s="80"/>
      <c r="I237" s="80"/>
      <c r="J237" s="80"/>
      <c r="K237" s="80"/>
      <c r="L237" s="80"/>
      <c r="M237" s="80"/>
      <c r="N237" s="248"/>
    </row>
    <row r="238" spans="3:14">
      <c r="C238" s="263" t="s">
        <v>343</v>
      </c>
      <c r="D238" s="80"/>
      <c r="E238" s="80"/>
      <c r="F238" s="80"/>
      <c r="G238" s="80"/>
      <c r="H238" s="80"/>
      <c r="I238" s="80"/>
      <c r="J238" s="80"/>
      <c r="K238" s="80"/>
      <c r="L238" s="80"/>
      <c r="M238" s="80"/>
      <c r="N238" s="248"/>
    </row>
    <row r="239" spans="3:14">
      <c r="C239" s="263"/>
      <c r="D239" s="80"/>
      <c r="E239" s="80"/>
      <c r="F239" s="80"/>
      <c r="G239" s="557" t="s">
        <v>358</v>
      </c>
      <c r="H239" s="557"/>
      <c r="I239" s="557"/>
      <c r="J239" s="80"/>
      <c r="K239" s="80"/>
      <c r="L239" s="80"/>
      <c r="M239" s="80"/>
      <c r="N239" s="248"/>
    </row>
    <row r="240" spans="3:14">
      <c r="C240" s="267" t="s">
        <v>161</v>
      </c>
      <c r="D240" s="256" t="s">
        <v>204</v>
      </c>
      <c r="E240" s="256" t="s">
        <v>344</v>
      </c>
      <c r="F240" s="80"/>
      <c r="G240" s="80"/>
      <c r="H240" s="80"/>
      <c r="I240" s="80"/>
      <c r="J240" s="80"/>
      <c r="K240" s="80"/>
      <c r="L240" s="80"/>
      <c r="M240" s="80"/>
      <c r="N240" s="248"/>
    </row>
    <row r="241" spans="3:14">
      <c r="C241" s="268" t="s">
        <v>345</v>
      </c>
      <c r="D241" s="257">
        <v>35</v>
      </c>
      <c r="E241" s="257" t="s">
        <v>346</v>
      </c>
      <c r="F241" s="80"/>
      <c r="G241" s="80"/>
      <c r="H241" s="80"/>
      <c r="I241" s="80"/>
      <c r="J241" s="80"/>
      <c r="K241" s="80"/>
      <c r="L241" s="80"/>
      <c r="M241" s="80"/>
      <c r="N241" s="248"/>
    </row>
    <row r="242" spans="3:14">
      <c r="C242" s="263" t="s">
        <v>347</v>
      </c>
      <c r="D242" s="80">
        <v>25</v>
      </c>
      <c r="E242" s="80" t="s">
        <v>348</v>
      </c>
      <c r="F242" s="80"/>
      <c r="G242" s="80"/>
      <c r="H242" s="80"/>
      <c r="I242" s="80"/>
      <c r="J242" s="80"/>
      <c r="K242" s="80"/>
      <c r="L242" s="80"/>
      <c r="M242" s="80"/>
      <c r="N242" s="248"/>
    </row>
    <row r="243" spans="3:14">
      <c r="C243" s="269" t="s">
        <v>333</v>
      </c>
      <c r="D243" s="270">
        <v>48</v>
      </c>
      <c r="E243" s="270" t="s">
        <v>349</v>
      </c>
      <c r="F243" s="80"/>
      <c r="G243" s="80"/>
      <c r="H243" s="80"/>
      <c r="I243" s="80"/>
      <c r="J243" s="80"/>
      <c r="K243" s="80"/>
      <c r="L243" s="80"/>
      <c r="M243" s="80"/>
      <c r="N243" s="248"/>
    </row>
    <row r="244" spans="3:14">
      <c r="C244" s="263" t="s">
        <v>350</v>
      </c>
      <c r="D244" s="80">
        <v>37</v>
      </c>
      <c r="E244" s="80" t="s">
        <v>20</v>
      </c>
      <c r="F244" s="80"/>
      <c r="G244" s="80"/>
      <c r="H244" s="80"/>
      <c r="I244" s="80"/>
      <c r="J244" s="80"/>
      <c r="K244" s="80"/>
      <c r="L244" s="80"/>
      <c r="M244" s="80"/>
      <c r="N244" s="248"/>
    </row>
    <row r="245" spans="3:14">
      <c r="C245" s="269" t="s">
        <v>341</v>
      </c>
      <c r="D245" s="270">
        <v>52</v>
      </c>
      <c r="E245" s="270" t="s">
        <v>351</v>
      </c>
      <c r="F245" s="80"/>
      <c r="G245" s="80"/>
      <c r="H245" s="80"/>
      <c r="I245" s="80"/>
      <c r="J245" s="80"/>
      <c r="K245" s="80"/>
      <c r="L245" s="80"/>
      <c r="M245" s="80"/>
      <c r="N245" s="248"/>
    </row>
    <row r="246" spans="3:14">
      <c r="C246" s="263" t="s">
        <v>342</v>
      </c>
      <c r="D246" s="80">
        <v>32</v>
      </c>
      <c r="E246" s="80" t="s">
        <v>352</v>
      </c>
      <c r="F246" s="80"/>
      <c r="G246" s="80"/>
      <c r="H246" s="80"/>
      <c r="I246" s="80"/>
      <c r="J246" s="80"/>
      <c r="K246" s="80"/>
      <c r="L246" s="80"/>
      <c r="M246" s="80"/>
      <c r="N246" s="248"/>
    </row>
    <row r="247" spans="3:14">
      <c r="C247" s="269" t="s">
        <v>353</v>
      </c>
      <c r="D247" s="270">
        <v>33</v>
      </c>
      <c r="E247" s="270" t="s">
        <v>354</v>
      </c>
      <c r="F247" s="80"/>
      <c r="G247" s="80"/>
      <c r="H247" s="80"/>
      <c r="I247" s="80"/>
      <c r="J247" s="80"/>
      <c r="K247" s="80"/>
      <c r="L247" s="80"/>
      <c r="M247" s="80"/>
      <c r="N247" s="248"/>
    </row>
    <row r="248" spans="3:14">
      <c r="C248" s="271" t="s">
        <v>355</v>
      </c>
      <c r="D248" s="259">
        <v>45</v>
      </c>
      <c r="E248" s="259" t="s">
        <v>356</v>
      </c>
      <c r="F248" s="80"/>
      <c r="G248" s="80"/>
      <c r="H248" s="80"/>
      <c r="I248" s="80"/>
      <c r="J248" s="80"/>
      <c r="K248" s="80"/>
      <c r="L248" s="80"/>
      <c r="M248" s="80"/>
      <c r="N248" s="248"/>
    </row>
    <row r="249" spans="3:14">
      <c r="C249" s="263"/>
      <c r="D249" s="80"/>
      <c r="E249" s="80"/>
      <c r="F249" s="80"/>
      <c r="G249" s="80"/>
      <c r="H249" s="80"/>
      <c r="I249" s="80"/>
      <c r="J249" s="80"/>
      <c r="K249" s="80"/>
      <c r="L249" s="80"/>
      <c r="M249" s="80"/>
      <c r="N249" s="248"/>
    </row>
    <row r="250" spans="3:14">
      <c r="C250" s="264" t="s">
        <v>359</v>
      </c>
      <c r="D250" s="80"/>
      <c r="E250" s="80"/>
      <c r="F250" s="80"/>
      <c r="G250" s="80"/>
      <c r="H250" s="80"/>
      <c r="I250" s="80"/>
      <c r="J250" s="80"/>
      <c r="K250" s="80"/>
      <c r="L250" s="80"/>
      <c r="M250" s="80"/>
      <c r="N250" s="248"/>
    </row>
    <row r="251" spans="3:14">
      <c r="C251" s="263" t="s">
        <v>360</v>
      </c>
      <c r="D251" s="80"/>
      <c r="E251" s="80"/>
      <c r="F251" s="80"/>
      <c r="G251" s="80"/>
      <c r="H251" s="80"/>
      <c r="I251" s="80"/>
      <c r="J251" s="80"/>
      <c r="K251" s="80"/>
      <c r="L251" s="80"/>
      <c r="M251" s="80"/>
      <c r="N251" s="248"/>
    </row>
    <row r="252" spans="3:14">
      <c r="C252" s="263" t="s">
        <v>361</v>
      </c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248"/>
    </row>
    <row r="253" spans="3:14">
      <c r="C253" s="263" t="s">
        <v>362</v>
      </c>
      <c r="D253" s="80"/>
      <c r="E253" s="80"/>
      <c r="F253" s="80"/>
      <c r="G253" s="80"/>
      <c r="H253" s="80"/>
      <c r="I253" s="80"/>
      <c r="J253" s="80"/>
      <c r="K253" s="80"/>
      <c r="L253" s="80"/>
      <c r="M253" s="80"/>
      <c r="N253" s="248"/>
    </row>
    <row r="254" spans="3:14">
      <c r="C254" s="263" t="s">
        <v>363</v>
      </c>
      <c r="D254" s="80"/>
      <c r="E254" s="80"/>
      <c r="F254" s="80"/>
      <c r="G254" s="80"/>
      <c r="H254" s="80"/>
      <c r="I254" s="80"/>
      <c r="J254" s="80"/>
      <c r="K254" s="80"/>
      <c r="L254" s="80"/>
      <c r="M254" s="80"/>
      <c r="N254" s="248"/>
    </row>
    <row r="255" spans="3:14">
      <c r="C255" s="263"/>
      <c r="D255" s="80"/>
      <c r="E255" s="80"/>
      <c r="F255" s="80"/>
      <c r="G255" s="80"/>
      <c r="H255" s="80"/>
      <c r="I255" s="80"/>
      <c r="J255" s="80"/>
      <c r="K255" s="80"/>
      <c r="L255" s="80"/>
      <c r="M255" s="80"/>
      <c r="N255" s="248"/>
    </row>
    <row r="256" spans="3:14">
      <c r="C256" s="263" t="s">
        <v>364</v>
      </c>
      <c r="D256" s="80"/>
      <c r="E256" s="80" t="s">
        <v>341</v>
      </c>
      <c r="F256" s="80"/>
      <c r="G256" s="80"/>
      <c r="H256" s="80"/>
      <c r="I256" s="80"/>
      <c r="J256" s="80"/>
      <c r="K256" s="80"/>
      <c r="L256" s="80"/>
      <c r="M256" s="80"/>
      <c r="N256" s="248"/>
    </row>
    <row r="257" spans="3:14">
      <c r="C257" s="263" t="s">
        <v>365</v>
      </c>
      <c r="D257" s="80"/>
      <c r="E257" s="80" t="s">
        <v>357</v>
      </c>
      <c r="F257" s="80"/>
      <c r="G257" s="80"/>
      <c r="H257" s="80"/>
      <c r="I257" s="80"/>
      <c r="J257" s="80"/>
      <c r="K257" s="80"/>
      <c r="L257" s="80"/>
      <c r="M257" s="80"/>
      <c r="N257" s="248"/>
    </row>
    <row r="258" spans="3:14">
      <c r="C258" s="264" t="s">
        <v>366</v>
      </c>
      <c r="D258" s="265"/>
      <c r="E258" s="265" t="b">
        <f>E257=E256</f>
        <v>0</v>
      </c>
      <c r="F258" s="80"/>
      <c r="G258" s="80"/>
      <c r="H258" s="80"/>
      <c r="I258" s="80"/>
      <c r="J258" s="80"/>
      <c r="K258" s="80"/>
      <c r="L258" s="80"/>
      <c r="M258" s="80"/>
      <c r="N258" s="248"/>
    </row>
    <row r="259" spans="3:14">
      <c r="C259" s="263"/>
      <c r="D259" s="80"/>
      <c r="E259" s="80"/>
      <c r="F259" s="80"/>
      <c r="G259" s="80"/>
      <c r="H259" s="80"/>
      <c r="I259" s="80"/>
      <c r="J259" s="80"/>
      <c r="K259" s="80"/>
      <c r="L259" s="80"/>
      <c r="M259" s="80"/>
      <c r="N259" s="248"/>
    </row>
    <row r="260" spans="3:14">
      <c r="C260" s="263" t="s">
        <v>367</v>
      </c>
      <c r="D260" s="80"/>
      <c r="E260" s="80"/>
      <c r="F260" s="80"/>
      <c r="G260" s="80"/>
      <c r="H260" s="80"/>
      <c r="I260" s="80"/>
      <c r="J260" s="80"/>
      <c r="K260" s="80"/>
      <c r="L260" s="80"/>
      <c r="M260" s="80"/>
      <c r="N260" s="248"/>
    </row>
    <row r="261" spans="3:14">
      <c r="C261" s="263"/>
      <c r="D261" s="80"/>
      <c r="E261" s="80"/>
      <c r="F261" s="80"/>
      <c r="G261" s="80"/>
      <c r="H261" s="80"/>
      <c r="I261" s="80"/>
      <c r="J261" s="80"/>
      <c r="K261" s="80"/>
      <c r="L261" s="80"/>
      <c r="M261" s="80"/>
      <c r="N261" s="248"/>
    </row>
    <row r="262" spans="3:14">
      <c r="C262" s="264" t="s">
        <v>161</v>
      </c>
      <c r="D262" s="265" t="s">
        <v>340</v>
      </c>
      <c r="E262" s="80"/>
      <c r="F262" s="80"/>
      <c r="G262" s="80"/>
      <c r="H262" s="80"/>
      <c r="I262" s="80"/>
      <c r="J262" s="80"/>
      <c r="K262" s="80"/>
      <c r="L262" s="80"/>
      <c r="M262" s="80"/>
      <c r="N262" s="248"/>
    </row>
    <row r="263" spans="3:14">
      <c r="C263" s="263" t="s">
        <v>357</v>
      </c>
      <c r="D263" s="266" t="e">
        <f>VLOOKUP(C263,$A$37:$C$45,3,0)</f>
        <v>#N/A</v>
      </c>
      <c r="E263" s="265" t="str">
        <f ca="1">_xlfn.FORMULATEXT(D263)</f>
        <v>=VLOOKUP(C263,$A$37:$C$45,3,0)</v>
      </c>
      <c r="F263" s="80"/>
      <c r="G263" s="80"/>
      <c r="H263" s="80"/>
      <c r="I263" s="80"/>
      <c r="J263" s="80"/>
      <c r="K263" s="80"/>
      <c r="L263" s="80"/>
      <c r="M263" s="80"/>
      <c r="N263" s="248"/>
    </row>
    <row r="264" spans="3:14">
      <c r="C264" s="263" t="s">
        <v>342</v>
      </c>
      <c r="D264" s="266" t="e">
        <f>VLOOKUP(C264,$A$37:$C$45,3,0)</f>
        <v>#N/A</v>
      </c>
      <c r="E264" s="265" t="str">
        <f ca="1">_xlfn.FORMULATEXT(D264)</f>
        <v>=VLOOKUP(C264,$A$37:$C$45,3,0)</v>
      </c>
      <c r="F264" s="80"/>
      <c r="G264" s="80"/>
      <c r="H264" s="80"/>
      <c r="I264" s="80"/>
      <c r="J264" s="80"/>
      <c r="K264" s="80"/>
      <c r="L264" s="80"/>
      <c r="M264" s="80"/>
      <c r="N264" s="248"/>
    </row>
    <row r="265" spans="3:14">
      <c r="C265" s="263"/>
      <c r="D265" s="80"/>
      <c r="E265" s="80"/>
      <c r="F265" s="80"/>
      <c r="G265" s="80"/>
      <c r="H265" s="80"/>
      <c r="I265" s="80"/>
      <c r="J265" s="80"/>
      <c r="K265" s="80"/>
      <c r="L265" s="80"/>
      <c r="M265" s="80"/>
      <c r="N265" s="248"/>
    </row>
    <row r="266" spans="3:14">
      <c r="C266" s="263" t="s">
        <v>368</v>
      </c>
      <c r="D266" s="80"/>
      <c r="E266" s="80"/>
      <c r="F266" s="80"/>
      <c r="G266" s="80"/>
      <c r="H266" s="80"/>
      <c r="I266" s="80"/>
      <c r="J266" s="80"/>
      <c r="K266" s="80"/>
      <c r="L266" s="80"/>
      <c r="M266" s="80"/>
      <c r="N266" s="248"/>
    </row>
    <row r="267" spans="3:14">
      <c r="C267" s="263"/>
      <c r="D267" s="80"/>
      <c r="E267" s="80"/>
      <c r="F267" s="80"/>
      <c r="G267" s="80"/>
      <c r="H267" s="80"/>
      <c r="I267" s="80"/>
      <c r="J267" s="80"/>
      <c r="K267" s="80"/>
      <c r="L267" s="80"/>
      <c r="M267" s="80"/>
      <c r="N267" s="248"/>
    </row>
    <row r="268" spans="3:14">
      <c r="C268" s="267" t="s">
        <v>161</v>
      </c>
      <c r="D268" s="256" t="s">
        <v>204</v>
      </c>
      <c r="E268" s="256" t="s">
        <v>344</v>
      </c>
      <c r="F268" s="80"/>
      <c r="G268" s="80"/>
      <c r="H268" s="80"/>
      <c r="I268" s="80"/>
      <c r="J268" s="80"/>
      <c r="K268" s="80"/>
      <c r="L268" s="80"/>
      <c r="M268" s="80"/>
      <c r="N268" s="248"/>
    </row>
    <row r="269" spans="3:14">
      <c r="C269" s="268" t="s">
        <v>345</v>
      </c>
      <c r="D269" s="257">
        <v>35</v>
      </c>
      <c r="E269" s="257" t="s">
        <v>346</v>
      </c>
      <c r="F269" s="80"/>
      <c r="G269" s="80"/>
      <c r="H269" s="80"/>
      <c r="I269" s="80"/>
      <c r="J269" s="80"/>
      <c r="K269" s="80"/>
      <c r="L269" s="80"/>
      <c r="M269" s="80"/>
      <c r="N269" s="248"/>
    </row>
    <row r="270" spans="3:14">
      <c r="C270" s="263" t="s">
        <v>347</v>
      </c>
      <c r="D270" s="80">
        <v>25</v>
      </c>
      <c r="E270" s="80" t="s">
        <v>348</v>
      </c>
      <c r="F270" s="80"/>
      <c r="G270" s="80"/>
      <c r="H270" s="80"/>
      <c r="I270" s="80"/>
      <c r="J270" s="80"/>
      <c r="K270" s="80"/>
      <c r="L270" s="80"/>
      <c r="M270" s="80"/>
      <c r="N270" s="248"/>
    </row>
    <row r="271" spans="3:14">
      <c r="C271" s="269" t="s">
        <v>333</v>
      </c>
      <c r="D271" s="270">
        <v>48</v>
      </c>
      <c r="E271" s="270" t="s">
        <v>349</v>
      </c>
      <c r="F271" s="80"/>
      <c r="G271" s="80"/>
      <c r="H271" s="80"/>
      <c r="I271" s="80"/>
      <c r="J271" s="80"/>
      <c r="K271" s="80"/>
      <c r="L271" s="80"/>
      <c r="M271" s="80"/>
      <c r="N271" s="248"/>
    </row>
    <row r="272" spans="3:14">
      <c r="C272" s="263" t="s">
        <v>350</v>
      </c>
      <c r="D272" s="80">
        <v>37</v>
      </c>
      <c r="E272" s="80" t="s">
        <v>20</v>
      </c>
      <c r="F272" s="80"/>
      <c r="G272" s="80"/>
      <c r="H272" s="80"/>
      <c r="I272" s="80"/>
      <c r="J272" s="80"/>
      <c r="K272" s="80"/>
      <c r="L272" s="80"/>
      <c r="M272" s="80"/>
      <c r="N272" s="248"/>
    </row>
    <row r="273" spans="1:14">
      <c r="C273" s="269" t="s">
        <v>357</v>
      </c>
      <c r="D273" s="270">
        <v>52</v>
      </c>
      <c r="E273" s="270" t="s">
        <v>351</v>
      </c>
      <c r="F273" s="80"/>
      <c r="G273" s="80"/>
      <c r="H273" s="80"/>
      <c r="I273" s="80"/>
      <c r="J273" s="80"/>
      <c r="K273" s="80"/>
      <c r="L273" s="80"/>
      <c r="M273" s="80"/>
      <c r="N273" s="248"/>
    </row>
    <row r="274" spans="1:14">
      <c r="C274" s="263" t="s">
        <v>342</v>
      </c>
      <c r="D274" s="80">
        <v>32</v>
      </c>
      <c r="E274" s="80" t="s">
        <v>352</v>
      </c>
      <c r="F274" s="80"/>
      <c r="G274" s="80"/>
      <c r="H274" s="80"/>
      <c r="I274" s="80"/>
      <c r="J274" s="80"/>
      <c r="K274" s="80"/>
      <c r="L274" s="80"/>
      <c r="M274" s="80"/>
      <c r="N274" s="248"/>
    </row>
    <row r="275" spans="1:14">
      <c r="C275" s="269" t="s">
        <v>353</v>
      </c>
      <c r="D275" s="270">
        <v>33</v>
      </c>
      <c r="E275" s="270" t="s">
        <v>354</v>
      </c>
      <c r="F275" s="80"/>
      <c r="G275" s="80"/>
      <c r="H275" s="80"/>
      <c r="I275" s="80"/>
      <c r="J275" s="80"/>
      <c r="K275" s="80"/>
      <c r="L275" s="80"/>
      <c r="M275" s="80"/>
      <c r="N275" s="248"/>
    </row>
    <row r="276" spans="1:14">
      <c r="C276" s="271" t="s">
        <v>355</v>
      </c>
      <c r="D276" s="259">
        <v>45</v>
      </c>
      <c r="E276" s="259" t="s">
        <v>356</v>
      </c>
      <c r="F276" s="80"/>
      <c r="G276" s="80"/>
      <c r="H276" s="80"/>
      <c r="I276" s="80"/>
      <c r="J276" s="80"/>
      <c r="K276" s="80"/>
      <c r="L276" s="80"/>
      <c r="M276" s="80"/>
      <c r="N276" s="248"/>
    </row>
    <row r="277" spans="1:14">
      <c r="C277" s="263"/>
      <c r="D277" s="80"/>
      <c r="E277" s="80"/>
      <c r="F277" s="80"/>
      <c r="G277" s="80"/>
      <c r="H277" s="80"/>
      <c r="I277" s="80"/>
      <c r="J277" s="80"/>
      <c r="K277" s="80"/>
      <c r="L277" s="80"/>
      <c r="M277" s="80"/>
      <c r="N277" s="248"/>
    </row>
    <row r="278" spans="1:14">
      <c r="C278" s="558" t="s">
        <v>369</v>
      </c>
      <c r="D278" s="557"/>
      <c r="E278" s="557"/>
      <c r="F278" s="557"/>
      <c r="G278" s="557"/>
      <c r="H278" s="557"/>
      <c r="I278" s="557"/>
      <c r="J278" s="557"/>
      <c r="K278" s="557"/>
      <c r="L278" s="557"/>
      <c r="M278" s="557"/>
      <c r="N278" s="559"/>
    </row>
    <row r="279" spans="1:14">
      <c r="C279" s="263"/>
      <c r="D279" s="80"/>
      <c r="E279" s="80"/>
      <c r="F279" s="80"/>
      <c r="G279" s="80"/>
      <c r="H279" s="80"/>
      <c r="I279" s="80"/>
      <c r="J279" s="80"/>
      <c r="K279" s="80"/>
      <c r="L279" s="80"/>
      <c r="M279" s="80"/>
      <c r="N279" s="248"/>
    </row>
    <row r="280" spans="1:14">
      <c r="C280" s="263" t="s">
        <v>370</v>
      </c>
      <c r="D280" s="80"/>
      <c r="E280" s="80" t="s">
        <v>341</v>
      </c>
      <c r="F280" s="80"/>
      <c r="G280" s="80"/>
      <c r="H280" s="80"/>
      <c r="I280" s="80"/>
      <c r="J280" s="80"/>
      <c r="K280" s="80"/>
      <c r="L280" s="80"/>
      <c r="M280" s="80"/>
      <c r="N280" s="248"/>
    </row>
    <row r="281" spans="1:14">
      <c r="C281" s="272" t="s">
        <v>371</v>
      </c>
      <c r="D281" s="273"/>
      <c r="E281" s="273" t="str">
        <f>TRIM(E280)</f>
        <v>Dani</v>
      </c>
      <c r="F281" s="274" t="str">
        <f ca="1">_xlfn.FORMULATEXT(E281)</f>
        <v>=TRIM(E280)</v>
      </c>
      <c r="G281" s="273"/>
      <c r="H281" s="273"/>
      <c r="I281" s="273"/>
      <c r="J281" s="273"/>
      <c r="K281" s="273"/>
      <c r="L281" s="273"/>
      <c r="M281" s="273"/>
      <c r="N281" s="275"/>
    </row>
    <row r="283" spans="1:14">
      <c r="A283" s="553"/>
      <c r="B283" s="554"/>
    </row>
    <row r="285" spans="1:14" ht="24.75" customHeight="1">
      <c r="C285" s="555" t="s">
        <v>372</v>
      </c>
      <c r="D285" s="556"/>
    </row>
    <row r="286" spans="1:14" ht="84" customHeight="1">
      <c r="C286" s="560" t="s">
        <v>373</v>
      </c>
      <c r="D286" s="561"/>
    </row>
    <row r="287" spans="1:14" ht="33.75" customHeight="1">
      <c r="C287" s="568" t="s">
        <v>374</v>
      </c>
      <c r="D287" s="569"/>
    </row>
    <row r="288" spans="1:14" ht="50.25" customHeight="1">
      <c r="C288" s="568" t="s">
        <v>375</v>
      </c>
      <c r="D288" s="569"/>
    </row>
    <row r="289" spans="2:6" ht="183.75" customHeight="1">
      <c r="C289" s="570" t="s">
        <v>376</v>
      </c>
      <c r="D289" s="571"/>
    </row>
    <row r="291" spans="2:6">
      <c r="B291" s="261" t="s">
        <v>267</v>
      </c>
      <c r="C291" s="276" t="s">
        <v>377</v>
      </c>
      <c r="D291" s="229"/>
      <c r="E291" s="229"/>
      <c r="F291" s="229"/>
    </row>
    <row r="292" spans="2:6">
      <c r="C292" s="277" t="s">
        <v>204</v>
      </c>
      <c r="D292" s="277" t="s">
        <v>161</v>
      </c>
      <c r="E292" s="229"/>
      <c r="F292" s="229"/>
    </row>
    <row r="293" spans="2:6">
      <c r="C293" s="278">
        <v>12</v>
      </c>
      <c r="D293" s="278" t="s">
        <v>230</v>
      </c>
      <c r="E293" s="229"/>
      <c r="F293" s="229"/>
    </row>
    <row r="294" spans="2:6">
      <c r="C294" s="278">
        <v>13</v>
      </c>
      <c r="D294" s="278" t="s">
        <v>378</v>
      </c>
      <c r="E294" s="229"/>
      <c r="F294" s="229"/>
    </row>
    <row r="295" spans="2:6">
      <c r="C295" s="278">
        <v>14</v>
      </c>
      <c r="D295" s="278" t="s">
        <v>232</v>
      </c>
      <c r="E295" s="229"/>
      <c r="F295" s="229"/>
    </row>
    <row r="296" spans="2:6">
      <c r="C296" s="278">
        <v>12</v>
      </c>
      <c r="D296" s="278" t="s">
        <v>379</v>
      </c>
      <c r="E296" s="229"/>
      <c r="F296" s="229"/>
    </row>
    <row r="297" spans="2:6">
      <c r="C297" s="278">
        <v>16</v>
      </c>
      <c r="D297" s="278" t="s">
        <v>380</v>
      </c>
      <c r="E297" s="229"/>
      <c r="F297" s="229"/>
    </row>
    <row r="298" spans="2:6">
      <c r="C298" s="278">
        <v>15</v>
      </c>
      <c r="D298" s="278" t="s">
        <v>381</v>
      </c>
      <c r="E298" s="229"/>
      <c r="F298" s="229"/>
    </row>
    <row r="299" spans="2:6">
      <c r="C299" s="229"/>
      <c r="D299" s="229"/>
      <c r="E299" s="229"/>
      <c r="F299" s="229"/>
    </row>
    <row r="300" spans="2:6" ht="23.25" customHeight="1">
      <c r="C300" s="253" t="s">
        <v>382</v>
      </c>
      <c r="D300" s="236" t="s">
        <v>380</v>
      </c>
      <c r="E300" s="229"/>
    </row>
    <row r="301" spans="2:6">
      <c r="C301" s="253" t="s">
        <v>204</v>
      </c>
      <c r="D301" s="254">
        <f>_xlfn.XLOOKUP(D300,D292:D298,C292:C298,"Not_Found")</f>
        <v>16</v>
      </c>
      <c r="E301" s="229"/>
    </row>
    <row r="303" spans="2:6">
      <c r="C303" s="253" t="s">
        <v>382</v>
      </c>
      <c r="D303" s="236" t="s">
        <v>383</v>
      </c>
    </row>
    <row r="304" spans="2:6">
      <c r="C304" s="253" t="s">
        <v>204</v>
      </c>
      <c r="D304" s="254" t="str">
        <f>_xlfn.XLOOKUP(D303,D295:D301,C295:C301,"Not_Found")</f>
        <v>Not_Found</v>
      </c>
    </row>
    <row r="307" spans="2:10">
      <c r="B307" s="261" t="s">
        <v>279</v>
      </c>
      <c r="C307" s="279" t="s">
        <v>384</v>
      </c>
    </row>
    <row r="308" spans="2:10">
      <c r="C308" t="s">
        <v>385</v>
      </c>
      <c r="H308" t="s">
        <v>384</v>
      </c>
    </row>
    <row r="309" spans="2:10">
      <c r="C309" t="s">
        <v>386</v>
      </c>
      <c r="H309" t="s">
        <v>387</v>
      </c>
    </row>
    <row r="310" spans="2:10">
      <c r="H310" t="s">
        <v>386</v>
      </c>
    </row>
    <row r="311" spans="2:10">
      <c r="C311" s="280" t="s">
        <v>161</v>
      </c>
      <c r="D311" s="281" t="s">
        <v>269</v>
      </c>
      <c r="E311" s="282" t="s">
        <v>388</v>
      </c>
    </row>
    <row r="312" spans="2:10">
      <c r="C312" s="283" t="s">
        <v>389</v>
      </c>
      <c r="D312" s="196" t="s">
        <v>233</v>
      </c>
      <c r="E312" s="284" t="s">
        <v>390</v>
      </c>
      <c r="H312" s="280" t="s">
        <v>161</v>
      </c>
      <c r="I312" s="281" t="s">
        <v>269</v>
      </c>
      <c r="J312" s="282" t="s">
        <v>388</v>
      </c>
    </row>
    <row r="313" spans="2:10">
      <c r="C313" s="283" t="s">
        <v>232</v>
      </c>
      <c r="D313" s="196" t="s">
        <v>391</v>
      </c>
      <c r="E313" s="284" t="s">
        <v>392</v>
      </c>
      <c r="H313" s="283" t="s">
        <v>389</v>
      </c>
      <c r="I313" s="196" t="s">
        <v>233</v>
      </c>
      <c r="J313" s="284" t="s">
        <v>390</v>
      </c>
    </row>
    <row r="314" spans="2:10">
      <c r="C314" s="283" t="s">
        <v>393</v>
      </c>
      <c r="D314" s="196" t="s">
        <v>394</v>
      </c>
      <c r="E314" s="284" t="s">
        <v>395</v>
      </c>
      <c r="H314" s="283" t="s">
        <v>232</v>
      </c>
      <c r="I314" s="196" t="s">
        <v>391</v>
      </c>
      <c r="J314" s="284" t="s">
        <v>392</v>
      </c>
    </row>
    <row r="315" spans="2:10">
      <c r="C315" s="283" t="s">
        <v>389</v>
      </c>
      <c r="D315" s="196" t="s">
        <v>396</v>
      </c>
      <c r="E315" s="284" t="s">
        <v>216</v>
      </c>
      <c r="H315" s="283" t="s">
        <v>393</v>
      </c>
      <c r="I315" s="196" t="s">
        <v>394</v>
      </c>
      <c r="J315" s="284" t="s">
        <v>395</v>
      </c>
    </row>
    <row r="316" spans="2:10">
      <c r="C316" s="283" t="s">
        <v>397</v>
      </c>
      <c r="D316" s="196" t="s">
        <v>398</v>
      </c>
      <c r="E316" s="284" t="s">
        <v>214</v>
      </c>
      <c r="H316" s="283" t="s">
        <v>389</v>
      </c>
      <c r="I316" s="196" t="s">
        <v>396</v>
      </c>
      <c r="J316" s="284" t="s">
        <v>216</v>
      </c>
    </row>
    <row r="317" spans="2:10">
      <c r="C317" s="283" t="s">
        <v>399</v>
      </c>
      <c r="D317" s="196" t="s">
        <v>400</v>
      </c>
      <c r="E317" s="284" t="s">
        <v>392</v>
      </c>
      <c r="H317" s="283" t="s">
        <v>397</v>
      </c>
      <c r="I317" s="196" t="s">
        <v>398</v>
      </c>
      <c r="J317" s="284" t="s">
        <v>214</v>
      </c>
    </row>
    <row r="318" spans="2:10">
      <c r="C318" s="285" t="s">
        <v>230</v>
      </c>
      <c r="D318" s="286" t="s">
        <v>271</v>
      </c>
      <c r="E318" s="287" t="s">
        <v>395</v>
      </c>
      <c r="H318" s="283" t="s">
        <v>399</v>
      </c>
      <c r="I318" s="196" t="s">
        <v>400</v>
      </c>
      <c r="J318" s="284" t="s">
        <v>392</v>
      </c>
    </row>
    <row r="319" spans="2:10">
      <c r="H319" s="285" t="s">
        <v>230</v>
      </c>
      <c r="I319" s="286" t="s">
        <v>271</v>
      </c>
      <c r="J319" s="287" t="s">
        <v>395</v>
      </c>
    </row>
    <row r="320" spans="2:10">
      <c r="C320" t="s">
        <v>382</v>
      </c>
      <c r="D320" t="s">
        <v>389</v>
      </c>
    </row>
    <row r="321" spans="3:10">
      <c r="C321" t="s">
        <v>401</v>
      </c>
      <c r="D321" s="227" t="str">
        <f>_xlfn.XLOOKUP(D320,C312:C318,E312:E318,"Not_Found",,-1)</f>
        <v>Yellow</v>
      </c>
      <c r="E321" s="288" t="s">
        <v>402</v>
      </c>
      <c r="H321" t="s">
        <v>382</v>
      </c>
      <c r="I321" t="s">
        <v>389</v>
      </c>
    </row>
    <row r="322" spans="3:10">
      <c r="H322" t="s">
        <v>401</v>
      </c>
      <c r="I322" s="255" t="str">
        <f>_xlfn.XLOOKUP(I321,H313:H319,J313:J319,,,1)</f>
        <v>Blue</v>
      </c>
      <c r="J322" s="289" t="s">
        <v>403</v>
      </c>
    </row>
    <row r="324" spans="3:10">
      <c r="H324" t="s">
        <v>404</v>
      </c>
    </row>
    <row r="325" spans="3:10">
      <c r="H325" t="s">
        <v>405</v>
      </c>
    </row>
    <row r="327" spans="3:10">
      <c r="H327" s="279" t="s">
        <v>406</v>
      </c>
    </row>
    <row r="328" spans="3:10">
      <c r="H328" s="290" t="str">
        <f>_xlfn.XLOOKUP(I321,H313:H319,J313:J319,,,-1)</f>
        <v>Yellow</v>
      </c>
      <c r="I328" s="289" t="s">
        <v>403</v>
      </c>
    </row>
    <row r="329" spans="3:10">
      <c r="H329" t="s">
        <v>407</v>
      </c>
    </row>
    <row r="331" spans="3:10">
      <c r="H331" s="279" t="s">
        <v>408</v>
      </c>
    </row>
    <row r="332" spans="3:10">
      <c r="H332" s="290" t="str">
        <f>_xlfn.XLOOKUP(I321,H313:H319,J313:J319,"not found",,-1)</f>
        <v>Yellow</v>
      </c>
      <c r="I332" s="289" t="s">
        <v>409</v>
      </c>
    </row>
    <row r="333" spans="3:10">
      <c r="H333" t="s">
        <v>410</v>
      </c>
    </row>
    <row r="335" spans="3:10">
      <c r="H335" s="279" t="s">
        <v>411</v>
      </c>
    </row>
    <row r="336" spans="3:10">
      <c r="H336" s="290" t="str">
        <f>_xlfn.XLOOKUP(I321,H313:H319,J313:J319,,0,-1)</f>
        <v>Yellow</v>
      </c>
      <c r="I336" s="289" t="s">
        <v>412</v>
      </c>
    </row>
    <row r="337" spans="2:8">
      <c r="H337" t="s">
        <v>413</v>
      </c>
    </row>
    <row r="339" spans="2:8">
      <c r="B339" s="261" t="s">
        <v>414</v>
      </c>
      <c r="C339" s="291" t="s">
        <v>415</v>
      </c>
    </row>
    <row r="341" spans="2:8">
      <c r="C341" s="300" t="s">
        <v>416</v>
      </c>
      <c r="D341" s="301" t="s">
        <v>248</v>
      </c>
      <c r="E341" s="301" t="s">
        <v>417</v>
      </c>
      <c r="F341" s="301" t="s">
        <v>418</v>
      </c>
      <c r="G341" s="302" t="s">
        <v>419</v>
      </c>
    </row>
    <row r="342" spans="2:8">
      <c r="C342" s="295" t="s">
        <v>420</v>
      </c>
      <c r="D342" s="233" t="s">
        <v>421</v>
      </c>
      <c r="E342" s="233">
        <v>3343453</v>
      </c>
      <c r="F342" s="233" t="s">
        <v>395</v>
      </c>
      <c r="G342" s="296">
        <v>2013</v>
      </c>
    </row>
    <row r="343" spans="2:8">
      <c r="C343" s="295" t="s">
        <v>422</v>
      </c>
      <c r="D343" s="233" t="s">
        <v>423</v>
      </c>
      <c r="E343" s="233">
        <v>5535334</v>
      </c>
      <c r="F343" s="233" t="s">
        <v>214</v>
      </c>
      <c r="G343" s="296">
        <v>2015</v>
      </c>
    </row>
    <row r="344" spans="2:8">
      <c r="C344" s="295" t="s">
        <v>424</v>
      </c>
      <c r="D344" s="233" t="s">
        <v>425</v>
      </c>
      <c r="E344" s="233">
        <v>6474574</v>
      </c>
      <c r="F344" s="233" t="s">
        <v>395</v>
      </c>
      <c r="G344" s="296">
        <v>2012</v>
      </c>
    </row>
    <row r="345" spans="2:8">
      <c r="C345" s="295" t="s">
        <v>426</v>
      </c>
      <c r="D345" s="233" t="s">
        <v>427</v>
      </c>
      <c r="E345" s="233">
        <v>5544667</v>
      </c>
      <c r="F345" s="233" t="s">
        <v>216</v>
      </c>
      <c r="G345" s="296">
        <v>2014</v>
      </c>
    </row>
    <row r="346" spans="2:8">
      <c r="C346" s="295" t="s">
        <v>428</v>
      </c>
      <c r="D346" s="233" t="s">
        <v>429</v>
      </c>
      <c r="E346" s="233">
        <v>4356434</v>
      </c>
      <c r="F346" s="233" t="s">
        <v>390</v>
      </c>
      <c r="G346" s="296">
        <v>2015</v>
      </c>
    </row>
    <row r="348" spans="2:8">
      <c r="C348" t="s">
        <v>430</v>
      </c>
      <c r="D348" s="297">
        <v>3343453</v>
      </c>
    </row>
    <row r="349" spans="2:8">
      <c r="C349" s="300" t="s">
        <v>416</v>
      </c>
      <c r="D349" s="301" t="s">
        <v>248</v>
      </c>
      <c r="E349" s="301" t="s">
        <v>417</v>
      </c>
      <c r="F349" s="301" t="s">
        <v>418</v>
      </c>
      <c r="G349" s="302" t="s">
        <v>419</v>
      </c>
    </row>
    <row r="350" spans="2:8">
      <c r="C350" s="298" t="str">
        <f>_xlfn.XLOOKUP(D348,E341:E346,C341:C346,"Not_Found")</f>
        <v>Toyota</v>
      </c>
      <c r="D350" s="233" t="str">
        <f>_xlfn.XLOOKUP(D348,E341:E346,D341:D346,"Not_Found")</f>
        <v>Corola</v>
      </c>
      <c r="E350" s="233">
        <f>_xlfn.XLOOKUP(D348,E342:E346,E342:E346,"Not_Found")</f>
        <v>3343453</v>
      </c>
      <c r="F350" s="233" t="str">
        <f>_xlfn.XLOOKUP(D348,E341:E346,F341:F346,"Not_Found")</f>
        <v>Red</v>
      </c>
      <c r="G350" s="233">
        <f>_xlfn.XLOOKUP(D348,E341:E346,G341:G346,"Not_Found")</f>
        <v>2013</v>
      </c>
    </row>
    <row r="351" spans="2:8">
      <c r="C351" s="299" t="s">
        <v>431</v>
      </c>
    </row>
    <row r="353" spans="1:12">
      <c r="C353" t="s">
        <v>430</v>
      </c>
      <c r="D353" s="297">
        <v>1245638</v>
      </c>
    </row>
    <row r="354" spans="1:12">
      <c r="C354" s="292" t="s">
        <v>416</v>
      </c>
      <c r="D354" s="293" t="s">
        <v>248</v>
      </c>
      <c r="E354" s="293" t="s">
        <v>417</v>
      </c>
      <c r="F354" s="293" t="s">
        <v>418</v>
      </c>
      <c r="G354" s="294" t="s">
        <v>419</v>
      </c>
    </row>
    <row r="355" spans="1:12">
      <c r="C355" s="298" t="str">
        <f>_xlfn.XLOOKUP(D353,E346:E351,C346:C351,"Not_Found")</f>
        <v>Not_Found</v>
      </c>
      <c r="D355" s="233" t="str">
        <f>_xlfn.XLOOKUP(D353,E346:E351,D346:D351,"Not_Found")</f>
        <v>Not_Found</v>
      </c>
      <c r="E355" s="233" t="str">
        <f>_xlfn.XLOOKUP(D353,E347:E351,E347:E351,"Not_Found")</f>
        <v>Not_Found</v>
      </c>
      <c r="F355" s="233" t="str">
        <f>_xlfn.XLOOKUP(D353,E346:E351,F346:F351,"Not_Found")</f>
        <v>Not_Found</v>
      </c>
      <c r="G355" s="233" t="str">
        <f>_xlfn.XLOOKUP(D353,E346:E351,G346:G351,"Not_Found")</f>
        <v>Not_Found</v>
      </c>
    </row>
    <row r="358" spans="1:12">
      <c r="A358" s="576"/>
      <c r="B358" s="577"/>
      <c r="C358" s="577"/>
      <c r="D358" s="577"/>
      <c r="E358" s="577"/>
      <c r="F358" s="577"/>
      <c r="G358" s="577"/>
      <c r="H358" s="577"/>
    </row>
    <row r="360" spans="1:12">
      <c r="A360" s="303"/>
      <c r="B360" s="303"/>
      <c r="C360" s="303"/>
      <c r="D360" s="303"/>
      <c r="E360" s="303"/>
      <c r="F360" s="303"/>
      <c r="G360" s="303"/>
      <c r="H360" s="303"/>
    </row>
    <row r="361" spans="1:12">
      <c r="A361" s="303"/>
      <c r="B361" s="303"/>
      <c r="C361" s="303"/>
      <c r="D361" s="303"/>
      <c r="E361" s="303"/>
      <c r="F361" s="303"/>
      <c r="G361" s="303"/>
      <c r="H361" s="303"/>
    </row>
    <row r="362" spans="1:12">
      <c r="A362" s="303"/>
      <c r="B362" s="303"/>
      <c r="C362" s="303"/>
      <c r="D362" s="303"/>
      <c r="E362" s="303"/>
      <c r="F362" s="303"/>
      <c r="G362" s="303"/>
      <c r="H362" s="303"/>
    </row>
    <row r="363" spans="1:12">
      <c r="A363" s="303"/>
      <c r="B363" s="303"/>
      <c r="C363" s="303"/>
      <c r="D363" s="303"/>
      <c r="E363" s="303"/>
      <c r="F363" s="303"/>
      <c r="G363" s="303"/>
      <c r="H363" s="303"/>
      <c r="J363" s="578" t="s">
        <v>432</v>
      </c>
      <c r="K363" s="578"/>
      <c r="L363" s="578"/>
    </row>
    <row r="364" spans="1:12">
      <c r="A364" s="303"/>
      <c r="B364" s="303"/>
      <c r="C364" s="303"/>
      <c r="D364" s="303"/>
      <c r="E364" s="303"/>
      <c r="F364" s="303"/>
      <c r="G364" s="303"/>
      <c r="H364" s="303"/>
      <c r="J364" s="301" t="s">
        <v>227</v>
      </c>
      <c r="K364" s="301" t="s">
        <v>433</v>
      </c>
      <c r="L364" s="301" t="s">
        <v>434</v>
      </c>
    </row>
    <row r="365" spans="1:12">
      <c r="A365" s="303"/>
      <c r="B365" s="303"/>
      <c r="C365" s="303"/>
      <c r="D365" s="303"/>
      <c r="E365" s="303"/>
      <c r="F365" s="303"/>
      <c r="G365" s="303"/>
      <c r="H365" s="303"/>
      <c r="J365" s="254" t="s">
        <v>121</v>
      </c>
      <c r="K365" s="254" t="s">
        <v>435</v>
      </c>
      <c r="L365" s="304">
        <v>6915482</v>
      </c>
    </row>
    <row r="366" spans="1:12">
      <c r="A366" s="303"/>
      <c r="B366" s="303"/>
      <c r="C366" s="303"/>
      <c r="D366" s="303"/>
      <c r="E366" s="303"/>
      <c r="F366" s="303"/>
      <c r="G366" s="303"/>
      <c r="H366" s="303"/>
      <c r="J366" s="254" t="s">
        <v>122</v>
      </c>
      <c r="K366" s="254" t="s">
        <v>436</v>
      </c>
      <c r="L366" s="304">
        <v>3096747</v>
      </c>
    </row>
    <row r="367" spans="1:12">
      <c r="A367" s="303"/>
      <c r="B367" s="303"/>
      <c r="C367" s="303"/>
      <c r="D367" s="303"/>
      <c r="E367" s="303"/>
      <c r="F367" s="303"/>
      <c r="G367" s="303"/>
      <c r="H367" s="303"/>
      <c r="J367" s="254" t="s">
        <v>437</v>
      </c>
      <c r="K367" s="254" t="s">
        <v>438</v>
      </c>
      <c r="L367" s="304">
        <v>40000</v>
      </c>
    </row>
    <row r="368" spans="1:12">
      <c r="A368" s="303"/>
      <c r="B368" s="303"/>
      <c r="C368" s="303"/>
      <c r="D368" s="303"/>
      <c r="E368" s="303"/>
      <c r="F368" s="303"/>
      <c r="G368" s="303"/>
      <c r="H368" s="303"/>
      <c r="J368" s="254" t="s">
        <v>124</v>
      </c>
      <c r="K368" s="254" t="s">
        <v>439</v>
      </c>
      <c r="L368" s="304">
        <v>9942253</v>
      </c>
    </row>
    <row r="369" spans="1:12">
      <c r="A369" s="303"/>
      <c r="B369" s="303"/>
      <c r="C369" s="303"/>
      <c r="D369" s="303"/>
      <c r="E369" s="303"/>
      <c r="F369" s="303"/>
      <c r="G369" s="303"/>
      <c r="H369" s="303"/>
      <c r="J369" s="254" t="s">
        <v>125</v>
      </c>
      <c r="K369" s="254" t="s">
        <v>440</v>
      </c>
      <c r="L369" s="304">
        <v>15000000</v>
      </c>
    </row>
    <row r="370" spans="1:12">
      <c r="A370" s="303"/>
      <c r="B370" s="303"/>
      <c r="C370" s="303"/>
      <c r="D370" s="303"/>
      <c r="E370" s="303"/>
      <c r="F370" s="303"/>
      <c r="G370" s="303"/>
      <c r="H370" s="303"/>
      <c r="J370" s="254" t="s">
        <v>126</v>
      </c>
      <c r="K370" s="254" t="s">
        <v>441</v>
      </c>
      <c r="L370" s="304">
        <v>9567960</v>
      </c>
    </row>
    <row r="371" spans="1:12">
      <c r="A371" s="303"/>
      <c r="B371" s="303"/>
      <c r="C371" s="303"/>
      <c r="D371" s="303"/>
      <c r="E371" s="303"/>
      <c r="F371" s="303"/>
      <c r="G371" s="303"/>
      <c r="H371" s="303"/>
      <c r="J371" s="254" t="s">
        <v>442</v>
      </c>
      <c r="K371" s="254" t="s">
        <v>443</v>
      </c>
      <c r="L371" s="304">
        <v>100000</v>
      </c>
    </row>
    <row r="372" spans="1:12">
      <c r="A372" s="303"/>
      <c r="B372" s="303"/>
      <c r="C372" s="303"/>
      <c r="D372" s="303"/>
      <c r="E372" s="303"/>
      <c r="F372" s="303"/>
      <c r="G372" s="303"/>
      <c r="H372" s="303"/>
    </row>
    <row r="373" spans="1:12">
      <c r="A373" s="303"/>
      <c r="B373" s="303"/>
      <c r="C373" s="303"/>
      <c r="D373" s="303"/>
      <c r="E373" s="303"/>
      <c r="F373" s="303"/>
      <c r="G373" s="303"/>
      <c r="H373" s="303"/>
      <c r="J373" s="572" t="s">
        <v>432</v>
      </c>
      <c r="K373" s="573"/>
    </row>
    <row r="374" spans="1:12">
      <c r="A374" s="303"/>
      <c r="B374" s="303"/>
      <c r="C374" s="303"/>
      <c r="D374" s="303"/>
      <c r="E374" s="303"/>
      <c r="F374" s="303"/>
      <c r="G374" s="303"/>
      <c r="H374" s="303"/>
      <c r="J374" s="301" t="s">
        <v>227</v>
      </c>
      <c r="K374" s="301" t="s">
        <v>444</v>
      </c>
    </row>
    <row r="375" spans="1:12">
      <c r="A375" s="303"/>
      <c r="B375" s="303"/>
      <c r="C375" s="303"/>
      <c r="D375" s="303"/>
      <c r="E375" s="303"/>
      <c r="F375" s="303"/>
      <c r="G375" s="303"/>
      <c r="H375" s="303"/>
      <c r="J375" s="254" t="s">
        <v>126</v>
      </c>
      <c r="K375" s="254">
        <f>MATCH(J375,J365:J371,0)</f>
        <v>6</v>
      </c>
    </row>
    <row r="376" spans="1:12">
      <c r="A376" s="303"/>
      <c r="B376" s="303"/>
      <c r="C376" s="303"/>
      <c r="D376" s="303"/>
      <c r="E376" s="303"/>
      <c r="F376" s="303"/>
      <c r="G376" s="303"/>
      <c r="H376" s="303"/>
    </row>
    <row r="377" spans="1:12">
      <c r="A377" s="303"/>
      <c r="B377" s="303"/>
      <c r="C377" s="303"/>
      <c r="D377" s="303"/>
      <c r="E377" s="303"/>
      <c r="F377" s="303"/>
      <c r="G377" s="303"/>
      <c r="H377" s="303"/>
      <c r="J377" s="301" t="s">
        <v>434</v>
      </c>
      <c r="K377" s="301" t="s">
        <v>444</v>
      </c>
    </row>
    <row r="378" spans="1:12">
      <c r="A378" s="303"/>
      <c r="B378" s="303"/>
      <c r="C378" s="303"/>
      <c r="D378" s="303"/>
      <c r="E378" s="303"/>
      <c r="F378" s="303"/>
      <c r="G378" s="303"/>
      <c r="H378" s="303"/>
      <c r="J378" s="304">
        <v>9567960</v>
      </c>
      <c r="K378" s="254">
        <f>MATCH(J378,L365:L371,0)</f>
        <v>6</v>
      </c>
    </row>
    <row r="379" spans="1:12">
      <c r="A379" s="303"/>
      <c r="B379" s="303"/>
      <c r="C379" s="303"/>
      <c r="D379" s="303"/>
      <c r="E379" s="303"/>
      <c r="F379" s="303"/>
      <c r="G379" s="303"/>
      <c r="H379" s="303"/>
    </row>
    <row r="380" spans="1:12">
      <c r="A380" s="303"/>
      <c r="B380" s="303"/>
      <c r="C380" s="303"/>
      <c r="D380" s="303"/>
      <c r="E380" s="303"/>
      <c r="F380" s="303"/>
      <c r="G380" s="303"/>
      <c r="H380" s="303"/>
    </row>
    <row r="381" spans="1:12">
      <c r="A381" s="303"/>
      <c r="B381" s="303"/>
      <c r="C381" s="303"/>
      <c r="D381" s="303"/>
      <c r="E381" s="303"/>
      <c r="F381" s="303"/>
      <c r="G381" s="303"/>
      <c r="H381" s="303"/>
      <c r="J381" s="578" t="s">
        <v>445</v>
      </c>
      <c r="K381" s="578"/>
      <c r="L381" s="578"/>
    </row>
    <row r="382" spans="1:12">
      <c r="A382" s="303"/>
      <c r="B382" s="303"/>
      <c r="C382" s="303"/>
      <c r="D382" s="303"/>
      <c r="E382" s="303"/>
      <c r="F382" s="303"/>
      <c r="G382" s="303"/>
      <c r="H382" s="303"/>
      <c r="J382" s="574" t="s">
        <v>446</v>
      </c>
      <c r="K382" s="575"/>
      <c r="L382" s="575"/>
    </row>
    <row r="383" spans="1:12">
      <c r="A383" s="303"/>
      <c r="B383" s="303"/>
      <c r="C383" s="303"/>
      <c r="D383" s="303"/>
      <c r="E383" s="303"/>
      <c r="F383" s="303"/>
      <c r="G383" s="303"/>
      <c r="H383" s="303"/>
      <c r="J383" s="301" t="s">
        <v>227</v>
      </c>
      <c r="K383" s="301" t="s">
        <v>433</v>
      </c>
      <c r="L383" s="301" t="s">
        <v>434</v>
      </c>
    </row>
    <row r="384" spans="1:12">
      <c r="A384" s="303"/>
      <c r="B384" s="303"/>
      <c r="C384" s="303"/>
      <c r="D384" s="303"/>
      <c r="E384" s="303"/>
      <c r="F384" s="303"/>
      <c r="G384" s="303"/>
      <c r="H384" s="303"/>
      <c r="J384" s="254" t="s">
        <v>121</v>
      </c>
      <c r="K384" s="254" t="s">
        <v>435</v>
      </c>
      <c r="L384" s="304">
        <v>7015482</v>
      </c>
    </row>
    <row r="385" spans="1:12">
      <c r="A385" s="303"/>
      <c r="B385" s="303"/>
      <c r="C385" s="303"/>
      <c r="D385" s="303"/>
      <c r="E385" s="303"/>
      <c r="F385" s="303"/>
      <c r="G385" s="303"/>
      <c r="H385" s="303"/>
      <c r="J385" s="254" t="s">
        <v>122</v>
      </c>
      <c r="K385" s="254" t="s">
        <v>436</v>
      </c>
      <c r="L385" s="304">
        <v>3096747</v>
      </c>
    </row>
    <row r="386" spans="1:12">
      <c r="A386" s="303"/>
      <c r="B386" s="303"/>
      <c r="C386" s="303"/>
      <c r="D386" s="303"/>
      <c r="E386" s="303"/>
      <c r="F386" s="303"/>
      <c r="G386" s="303"/>
      <c r="H386" s="303"/>
      <c r="J386" s="254" t="s">
        <v>447</v>
      </c>
      <c r="K386" s="254" t="s">
        <v>438</v>
      </c>
      <c r="L386" s="304">
        <v>400000</v>
      </c>
    </row>
    <row r="387" spans="1:12">
      <c r="A387" s="303"/>
      <c r="B387" s="303"/>
      <c r="C387" s="303"/>
      <c r="D387" s="303"/>
      <c r="E387" s="303"/>
      <c r="F387" s="303"/>
      <c r="G387" s="303"/>
      <c r="H387" s="303"/>
      <c r="J387" s="254" t="s">
        <v>124</v>
      </c>
      <c r="K387" s="254" t="s">
        <v>435</v>
      </c>
      <c r="L387" s="304">
        <v>9942253</v>
      </c>
    </row>
    <row r="388" spans="1:12">
      <c r="A388" s="303"/>
      <c r="B388" s="303"/>
      <c r="C388" s="303"/>
      <c r="D388" s="303"/>
      <c r="E388" s="303"/>
      <c r="F388" s="303"/>
      <c r="G388" s="303"/>
      <c r="H388" s="303"/>
      <c r="J388" s="254" t="s">
        <v>125</v>
      </c>
      <c r="K388" s="254" t="s">
        <v>440</v>
      </c>
      <c r="L388" s="304">
        <v>15000000</v>
      </c>
    </row>
    <row r="389" spans="1:12">
      <c r="A389" s="303"/>
      <c r="B389" s="303"/>
      <c r="C389" s="303"/>
      <c r="D389" s="303"/>
      <c r="E389" s="303"/>
      <c r="F389" s="303"/>
      <c r="G389" s="303"/>
      <c r="H389" s="303"/>
      <c r="J389" s="254" t="s">
        <v>126</v>
      </c>
      <c r="K389" s="254" t="s">
        <v>438</v>
      </c>
      <c r="L389" s="304">
        <v>9567960</v>
      </c>
    </row>
    <row r="390" spans="1:12">
      <c r="A390" s="303"/>
      <c r="B390" s="303"/>
      <c r="C390" s="303"/>
      <c r="D390" s="303"/>
      <c r="E390" s="303"/>
      <c r="F390" s="303"/>
      <c r="G390" s="303"/>
      <c r="H390" s="303"/>
      <c r="J390" s="254" t="s">
        <v>442</v>
      </c>
      <c r="K390" s="254" t="s">
        <v>443</v>
      </c>
      <c r="L390" s="304">
        <v>100000</v>
      </c>
    </row>
    <row r="391" spans="1:12">
      <c r="A391" s="303"/>
      <c r="B391" s="303"/>
      <c r="C391" s="303"/>
      <c r="D391" s="303"/>
      <c r="E391" s="303"/>
      <c r="F391" s="303"/>
      <c r="G391" s="303"/>
      <c r="H391" s="303"/>
    </row>
    <row r="392" spans="1:12">
      <c r="A392" s="303"/>
      <c r="B392" s="303"/>
      <c r="C392" s="303"/>
      <c r="D392" s="303"/>
      <c r="E392" s="303"/>
      <c r="F392" s="303"/>
      <c r="G392" s="303"/>
      <c r="H392" s="303"/>
      <c r="J392" s="572" t="s">
        <v>445</v>
      </c>
      <c r="K392" s="573"/>
    </row>
    <row r="393" spans="1:12">
      <c r="A393" s="303"/>
      <c r="B393" s="303"/>
      <c r="C393" s="303"/>
      <c r="D393" s="303"/>
      <c r="E393" s="303"/>
      <c r="F393" s="303"/>
      <c r="G393" s="303"/>
      <c r="H393" s="303"/>
      <c r="J393" s="301" t="s">
        <v>227</v>
      </c>
      <c r="K393" s="301" t="s">
        <v>448</v>
      </c>
    </row>
    <row r="394" spans="1:12">
      <c r="A394" s="303"/>
      <c r="B394" s="303"/>
      <c r="C394" s="303"/>
      <c r="D394" s="303"/>
      <c r="E394" s="303"/>
      <c r="F394" s="303"/>
      <c r="G394" s="303"/>
      <c r="H394" s="303"/>
      <c r="J394" s="254" t="str" cm="1">
        <f t="array" ref="J394">INDEX(J384:J390,K394)</f>
        <v>Rahul Sharma</v>
      </c>
      <c r="K394" s="254">
        <v>2</v>
      </c>
    </row>
    <row r="395" spans="1:12">
      <c r="A395" s="303"/>
      <c r="B395" s="303"/>
      <c r="C395" s="303"/>
      <c r="D395" s="303"/>
      <c r="E395" s="303"/>
      <c r="F395" s="303"/>
      <c r="G395" s="303"/>
      <c r="H395" s="303"/>
    </row>
    <row r="396" spans="1:12">
      <c r="A396" s="303"/>
      <c r="B396" s="303"/>
      <c r="C396" s="303"/>
      <c r="D396" s="303"/>
      <c r="E396" s="303"/>
      <c r="F396" s="303"/>
      <c r="G396" s="303"/>
      <c r="H396" s="303"/>
      <c r="J396" s="301" t="s">
        <v>433</v>
      </c>
      <c r="K396" s="301" t="s">
        <v>448</v>
      </c>
    </row>
    <row r="397" spans="1:12">
      <c r="A397" s="303"/>
      <c r="B397" s="303"/>
      <c r="C397" s="303"/>
      <c r="D397" s="303"/>
      <c r="E397" s="303"/>
      <c r="F397" s="303"/>
      <c r="G397" s="303"/>
      <c r="H397" s="303"/>
      <c r="J397" s="254" t="str" cm="1">
        <f t="array" ref="J397">INDEX(K384:K390,K397)</f>
        <v>Web Developer</v>
      </c>
      <c r="K397" s="254">
        <v>2</v>
      </c>
    </row>
    <row r="398" spans="1:12">
      <c r="A398" s="303"/>
      <c r="B398" s="303"/>
      <c r="C398" s="303"/>
      <c r="D398" s="303"/>
      <c r="E398" s="303"/>
      <c r="F398" s="303"/>
      <c r="G398" s="303"/>
      <c r="H398" s="303"/>
    </row>
    <row r="399" spans="1:12">
      <c r="A399" s="303"/>
      <c r="B399" s="303"/>
      <c r="C399" s="303"/>
      <c r="D399" s="303"/>
      <c r="E399" s="303"/>
      <c r="F399" s="303"/>
      <c r="G399" s="303"/>
      <c r="H399" s="303"/>
      <c r="J399" s="301" t="s">
        <v>434</v>
      </c>
      <c r="K399" s="301" t="s">
        <v>448</v>
      </c>
    </row>
    <row r="400" spans="1:12">
      <c r="A400" s="303"/>
      <c r="B400" s="303"/>
      <c r="C400" s="303"/>
      <c r="D400" s="303"/>
      <c r="E400" s="303"/>
      <c r="F400" s="303"/>
      <c r="G400" s="303"/>
      <c r="H400" s="303"/>
      <c r="J400" s="304" cm="1">
        <f t="array" ref="J400">INDEX(L384:L390,K400)</f>
        <v>3096747</v>
      </c>
      <c r="K400" s="254">
        <v>2</v>
      </c>
    </row>
    <row r="402" spans="1:6">
      <c r="A402" s="521"/>
      <c r="B402" s="521"/>
      <c r="D402" s="305" t="s">
        <v>449</v>
      </c>
    </row>
    <row r="404" spans="1:6">
      <c r="D404" s="213" t="s">
        <v>450</v>
      </c>
    </row>
    <row r="405" spans="1:6">
      <c r="D405" s="301" t="s">
        <v>332</v>
      </c>
      <c r="E405" s="301" t="s">
        <v>161</v>
      </c>
    </row>
    <row r="406" spans="1:6">
      <c r="D406" s="254">
        <v>9584423</v>
      </c>
      <c r="E406" s="254" t="s">
        <v>333</v>
      </c>
    </row>
    <row r="407" spans="1:6">
      <c r="D407" s="254">
        <v>5034521</v>
      </c>
      <c r="E407" s="254" t="s">
        <v>451</v>
      </c>
    </row>
    <row r="408" spans="1:6">
      <c r="D408" s="254">
        <v>9543669</v>
      </c>
      <c r="E408" s="254" t="s">
        <v>452</v>
      </c>
    </row>
    <row r="409" spans="1:6">
      <c r="D409" s="254">
        <v>9995553</v>
      </c>
      <c r="E409" s="254" t="s">
        <v>453</v>
      </c>
    </row>
    <row r="410" spans="1:6">
      <c r="D410" s="254">
        <v>8595323</v>
      </c>
      <c r="E410" s="254" t="s">
        <v>336</v>
      </c>
    </row>
    <row r="411" spans="1:6">
      <c r="D411" s="254">
        <v>9359305</v>
      </c>
      <c r="E411" s="254" t="s">
        <v>454</v>
      </c>
    </row>
    <row r="413" spans="1:6">
      <c r="D413" s="301" t="s">
        <v>382</v>
      </c>
      <c r="E413" s="254" t="s">
        <v>454</v>
      </c>
    </row>
    <row r="414" spans="1:6">
      <c r="D414" s="301" t="s">
        <v>203</v>
      </c>
      <c r="E414" s="306">
        <f>INDEX(D406:D411,MATCH(E413,E406:E411,0))</f>
        <v>9359305</v>
      </c>
      <c r="F414" s="230" t="s">
        <v>402</v>
      </c>
    </row>
    <row r="416" spans="1:6">
      <c r="D416" s="574" t="s">
        <v>446</v>
      </c>
      <c r="E416" s="575"/>
      <c r="F416" s="575"/>
    </row>
    <row r="417" spans="1:6">
      <c r="D417" s="301" t="s">
        <v>227</v>
      </c>
      <c r="E417" s="301" t="s">
        <v>433</v>
      </c>
      <c r="F417" s="301" t="s">
        <v>434</v>
      </c>
    </row>
    <row r="418" spans="1:6">
      <c r="D418" s="254" t="s">
        <v>121</v>
      </c>
      <c r="E418" s="254" t="s">
        <v>435</v>
      </c>
      <c r="F418" s="304">
        <v>7015482</v>
      </c>
    </row>
    <row r="419" spans="1:6">
      <c r="D419" s="254" t="s">
        <v>122</v>
      </c>
      <c r="E419" s="254" t="s">
        <v>436</v>
      </c>
      <c r="F419" s="304">
        <v>3096747</v>
      </c>
    </row>
    <row r="420" spans="1:6">
      <c r="D420" s="254" t="s">
        <v>447</v>
      </c>
      <c r="E420" s="254" t="s">
        <v>455</v>
      </c>
      <c r="F420" s="304">
        <v>400000</v>
      </c>
    </row>
    <row r="421" spans="1:6">
      <c r="D421" s="254" t="s">
        <v>124</v>
      </c>
      <c r="E421" s="254" t="s">
        <v>435</v>
      </c>
      <c r="F421" s="304">
        <v>9942253</v>
      </c>
    </row>
    <row r="422" spans="1:6">
      <c r="D422" s="254" t="s">
        <v>125</v>
      </c>
      <c r="E422" s="254" t="s">
        <v>440</v>
      </c>
      <c r="F422" s="304">
        <v>15000000</v>
      </c>
    </row>
    <row r="423" spans="1:6">
      <c r="D423" s="254" t="s">
        <v>126</v>
      </c>
      <c r="E423" s="254" t="s">
        <v>438</v>
      </c>
      <c r="F423" s="304">
        <v>9567960</v>
      </c>
    </row>
    <row r="424" spans="1:6">
      <c r="D424" s="254" t="s">
        <v>442</v>
      </c>
      <c r="E424" s="254" t="s">
        <v>443</v>
      </c>
      <c r="F424" s="304">
        <v>100000</v>
      </c>
    </row>
    <row r="425" spans="1:6">
      <c r="E425" s="371">
        <f>COUNTIF(E418:E424,"*er")</f>
        <v>4</v>
      </c>
    </row>
    <row r="427" spans="1:6">
      <c r="D427" s="301" t="s">
        <v>227</v>
      </c>
      <c r="E427" s="261" t="s">
        <v>125</v>
      </c>
    </row>
    <row r="428" spans="1:6">
      <c r="D428" s="301" t="s">
        <v>434</v>
      </c>
      <c r="E428" s="307">
        <f>INDEX(F418:F424,MATCH(E427,D418:D424,0))</f>
        <v>15000000</v>
      </c>
    </row>
    <row r="430" spans="1:6">
      <c r="D430" s="301" t="s">
        <v>456</v>
      </c>
      <c r="E430" s="261" t="s">
        <v>438</v>
      </c>
    </row>
    <row r="431" spans="1:6">
      <c r="D431" s="301" t="s">
        <v>434</v>
      </c>
      <c r="E431" s="307">
        <f>INDEX(F418:F424,MATCH(E430,E418:E424,0))</f>
        <v>9567960</v>
      </c>
    </row>
    <row r="432" spans="1:6">
      <c r="A432" s="521"/>
      <c r="B432" s="521"/>
    </row>
    <row r="434" spans="1:7">
      <c r="D434" s="308" t="s">
        <v>457</v>
      </c>
      <c r="E434" s="306">
        <v>3265987412</v>
      </c>
    </row>
    <row r="435" spans="1:7">
      <c r="D435" s="309" t="s">
        <v>458</v>
      </c>
      <c r="E435" s="254" t="str">
        <f>LEFT(E434,4)</f>
        <v>3265</v>
      </c>
    </row>
    <row r="436" spans="1:7">
      <c r="D436" s="309" t="s">
        <v>459</v>
      </c>
      <c r="E436" s="254" t="str">
        <f>MID(E434,5,7)</f>
        <v>987412</v>
      </c>
    </row>
    <row r="437" spans="1:7">
      <c r="D437" s="309" t="s">
        <v>460</v>
      </c>
      <c r="E437" s="254" t="str">
        <f>RIGHT(E434,4)</f>
        <v>7412</v>
      </c>
    </row>
    <row r="439" spans="1:7">
      <c r="A439" s="521"/>
      <c r="B439" s="521"/>
    </row>
    <row r="440" spans="1:7" ht="15.75">
      <c r="D440" s="311" t="s">
        <v>159</v>
      </c>
    </row>
    <row r="441" spans="1:7">
      <c r="D441" s="310" t="s">
        <v>160</v>
      </c>
      <c r="E441" s="310" t="s">
        <v>161</v>
      </c>
      <c r="F441" s="310" t="s">
        <v>162</v>
      </c>
      <c r="G441" s="310" t="s">
        <v>163</v>
      </c>
    </row>
    <row r="442" spans="1:7">
      <c r="D442" s="312" t="s">
        <v>164</v>
      </c>
      <c r="E442" s="254" t="s">
        <v>165</v>
      </c>
      <c r="F442" s="254" t="s">
        <v>166</v>
      </c>
      <c r="G442" s="254">
        <v>4512</v>
      </c>
    </row>
    <row r="443" spans="1:7">
      <c r="D443" s="312" t="s">
        <v>167</v>
      </c>
      <c r="E443" s="254" t="s">
        <v>168</v>
      </c>
      <c r="F443" s="254" t="s">
        <v>169</v>
      </c>
      <c r="G443" s="254">
        <v>5886</v>
      </c>
    </row>
    <row r="444" spans="1:7">
      <c r="D444" s="312" t="s">
        <v>170</v>
      </c>
      <c r="E444" s="254" t="s">
        <v>171</v>
      </c>
      <c r="F444" s="254" t="s">
        <v>172</v>
      </c>
      <c r="G444" s="254">
        <v>2356</v>
      </c>
    </row>
    <row r="445" spans="1:7">
      <c r="D445" s="312" t="s">
        <v>173</v>
      </c>
      <c r="E445" s="254" t="s">
        <v>174</v>
      </c>
      <c r="F445" s="254" t="s">
        <v>175</v>
      </c>
      <c r="G445" s="254">
        <v>5689</v>
      </c>
    </row>
    <row r="446" spans="1:7">
      <c r="D446" s="312" t="s">
        <v>176</v>
      </c>
      <c r="E446" s="254" t="s">
        <v>177</v>
      </c>
      <c r="F446" s="254" t="s">
        <v>178</v>
      </c>
      <c r="G446" s="254">
        <v>4589</v>
      </c>
    </row>
    <row r="447" spans="1:7">
      <c r="D447" s="312" t="s">
        <v>179</v>
      </c>
      <c r="E447" s="254" t="s">
        <v>180</v>
      </c>
      <c r="F447" s="254" t="s">
        <v>181</v>
      </c>
      <c r="G447" s="254">
        <v>2589</v>
      </c>
    </row>
    <row r="448" spans="1:7">
      <c r="D448" s="312" t="s">
        <v>182</v>
      </c>
      <c r="E448" s="254" t="s">
        <v>183</v>
      </c>
      <c r="F448" s="254" t="s">
        <v>184</v>
      </c>
      <c r="G448" s="254">
        <v>9564</v>
      </c>
    </row>
    <row r="449" spans="1:7">
      <c r="D449" s="312" t="s">
        <v>185</v>
      </c>
      <c r="E449" s="254" t="s">
        <v>186</v>
      </c>
      <c r="F449" s="254" t="s">
        <v>187</v>
      </c>
      <c r="G449" s="254">
        <v>5463</v>
      </c>
    </row>
    <row r="450" spans="1:7">
      <c r="D450" s="312" t="s">
        <v>188</v>
      </c>
      <c r="E450" s="254" t="s">
        <v>189</v>
      </c>
      <c r="F450" s="254" t="s">
        <v>175</v>
      </c>
      <c r="G450" s="254">
        <v>7825</v>
      </c>
    </row>
    <row r="451" spans="1:7">
      <c r="D451" s="312" t="s">
        <v>190</v>
      </c>
      <c r="E451" s="254" t="s">
        <v>191</v>
      </c>
      <c r="F451" s="254" t="s">
        <v>192</v>
      </c>
      <c r="G451" s="254">
        <v>4422</v>
      </c>
    </row>
    <row r="453" spans="1:7">
      <c r="A453" s="521"/>
      <c r="B453" s="521"/>
    </row>
    <row r="455" spans="1:7">
      <c r="D455" s="310" t="s">
        <v>160</v>
      </c>
      <c r="E455" s="313"/>
      <c r="F455" s="310" t="s">
        <v>461</v>
      </c>
      <c r="G455" s="310" t="s">
        <v>462</v>
      </c>
    </row>
    <row r="456" spans="1:7">
      <c r="D456" s="254" t="s">
        <v>164</v>
      </c>
      <c r="E456" s="313"/>
      <c r="F456" s="254" t="str">
        <f>_xlfn.TEXTBEFORE(D456,"@")</f>
        <v>Aayush.Delhi</v>
      </c>
      <c r="G456" s="254" t="str">
        <f>_xlfn.TEXTAFTER(D456,".")</f>
        <v>Delhi@4512.com</v>
      </c>
    </row>
    <row r="457" spans="1:7">
      <c r="D457" s="254" t="s">
        <v>167</v>
      </c>
      <c r="E457" s="313"/>
      <c r="F457" s="254" t="str">
        <f>_xlfn.TEXTBEFORE(D457,"@")</f>
        <v>Mahi.Banglore</v>
      </c>
      <c r="G457" s="254" t="str">
        <f>_xlfn.TEXTAFTER(D457,".")</f>
        <v>Banglore@5886.com</v>
      </c>
    </row>
    <row r="458" spans="1:7">
      <c r="D458" s="254" t="s">
        <v>170</v>
      </c>
      <c r="E458" s="313"/>
      <c r="F458" s="254" t="str">
        <f>_xlfn.TEXTBEFORE(D458,"@")</f>
        <v>Shiwani.Karnataka</v>
      </c>
      <c r="G458" s="254" t="str">
        <f>_xlfn.TEXTAFTER(D458,".")</f>
        <v>Karnataka@2356.com</v>
      </c>
    </row>
    <row r="459" spans="1:7">
      <c r="D459" s="254" t="s">
        <v>173</v>
      </c>
      <c r="E459" s="313"/>
      <c r="F459" s="254" t="str">
        <f>_xlfn.TEXTBEFORE(D459,"@")</f>
        <v>Shalini.Jaipur</v>
      </c>
      <c r="G459" s="254" t="str">
        <f>_xlfn.TEXTAFTER(D459,".")</f>
        <v>Jaipur@5689.com</v>
      </c>
    </row>
    <row r="460" spans="1:7">
      <c r="D460" s="254" t="s">
        <v>176</v>
      </c>
      <c r="E460" s="313"/>
      <c r="F460" s="254" t="str">
        <f>_xlfn.TEXTBEFORE(D460,"@")</f>
        <v>Kartik.Channai</v>
      </c>
      <c r="G460" s="254" t="str">
        <f>_xlfn.TEXTAFTER(D460,".")</f>
        <v>Channai@4589.com</v>
      </c>
    </row>
    <row r="461" spans="1:7">
      <c r="D461" s="254" t="s">
        <v>179</v>
      </c>
      <c r="E461" s="313"/>
      <c r="F461" s="254" t="str">
        <f>_xlfn.TEXTBEFORE(D461,"@")</f>
        <v>Kajal.Hydrabad</v>
      </c>
      <c r="G461" s="254" t="str">
        <f>_xlfn.TEXTAFTER(D461,".")</f>
        <v>Hydrabad@2589.com</v>
      </c>
    </row>
    <row r="462" spans="1:7">
      <c r="D462" s="254" t="s">
        <v>182</v>
      </c>
      <c r="E462" s="313"/>
      <c r="F462" s="254" t="str">
        <f>_xlfn.TEXTBEFORE(D462,"@")</f>
        <v>Rahul.Goa</v>
      </c>
      <c r="G462" s="254" t="str">
        <f>_xlfn.TEXTAFTER(D462,".")</f>
        <v>Goa@9564.com</v>
      </c>
    </row>
    <row r="463" spans="1:7">
      <c r="D463" s="254" t="s">
        <v>185</v>
      </c>
      <c r="E463" s="313"/>
      <c r="F463" s="254" t="str">
        <f>_xlfn.TEXTBEFORE(D463,"@")</f>
        <v>Arjun.Utterpadesh</v>
      </c>
      <c r="G463" s="254" t="str">
        <f>_xlfn.TEXTAFTER(D463,".")</f>
        <v>Utterpadesh@5463.com</v>
      </c>
    </row>
    <row r="464" spans="1:7">
      <c r="D464" s="254" t="s">
        <v>188</v>
      </c>
      <c r="E464" s="313"/>
      <c r="F464" s="254" t="str">
        <f>_xlfn.TEXTBEFORE(D464,"@")</f>
        <v>Amit.Jaipur</v>
      </c>
      <c r="G464" s="254" t="str">
        <f>_xlfn.TEXTAFTER(D464,".")</f>
        <v>Jaipur@7825.com</v>
      </c>
    </row>
    <row r="465" spans="1:19">
      <c r="D465" s="254" t="s">
        <v>190</v>
      </c>
      <c r="E465" s="313"/>
      <c r="F465" s="254" t="str">
        <f>_xlfn.TEXTBEFORE(D465,"@")</f>
        <v>Sneha.Gurugram</v>
      </c>
      <c r="G465" s="254" t="str">
        <f>_xlfn.TEXTAFTER(D465,".")</f>
        <v>Gurugram@4422.com</v>
      </c>
    </row>
    <row r="467" spans="1:19">
      <c r="A467" s="521"/>
      <c r="B467" s="521"/>
    </row>
    <row r="469" spans="1:19" ht="15.75">
      <c r="D469" s="314" t="s">
        <v>160</v>
      </c>
      <c r="E469" s="588" t="s">
        <v>463</v>
      </c>
      <c r="F469" s="589"/>
      <c r="G469" s="590"/>
      <c r="L469" s="579" t="s">
        <v>464</v>
      </c>
      <c r="M469" s="580"/>
      <c r="N469" s="580"/>
      <c r="O469" s="580"/>
      <c r="P469" s="580"/>
      <c r="Q469" s="581"/>
      <c r="R469" s="319"/>
      <c r="S469" s="319"/>
    </row>
    <row r="470" spans="1:19" ht="15.75">
      <c r="D470" s="315" t="s">
        <v>164</v>
      </c>
      <c r="E470" s="80" t="str" cm="1">
        <f t="array" ref="E470:G470">_xlfn.TEXTSPLIT(D470,".")</f>
        <v>Aayush</v>
      </c>
      <c r="F470" s="80" t="str">
        <v>Delhi@4512</v>
      </c>
      <c r="G470" s="166" t="str">
        <v>com</v>
      </c>
      <c r="L470" s="319"/>
      <c r="M470" s="319"/>
      <c r="N470" s="319"/>
      <c r="O470" s="319"/>
      <c r="P470" s="319"/>
      <c r="Q470" s="319"/>
      <c r="R470" s="319"/>
      <c r="S470" s="319"/>
    </row>
    <row r="471" spans="1:19" ht="15.75">
      <c r="D471" s="315" t="s">
        <v>167</v>
      </c>
      <c r="E471" s="80" t="str" cm="1">
        <f t="array" ref="E471:G471">_xlfn.TEXTSPLIT(D471,".")</f>
        <v>Mahi</v>
      </c>
      <c r="F471" s="80" t="str">
        <v>Banglore@5886</v>
      </c>
      <c r="G471" s="166" t="str">
        <v>com</v>
      </c>
      <c r="L471" s="323" t="s">
        <v>11</v>
      </c>
      <c r="M471" s="324" t="s">
        <v>465</v>
      </c>
      <c r="N471" s="324" t="s">
        <v>153</v>
      </c>
      <c r="O471" s="324" t="s">
        <v>466</v>
      </c>
      <c r="P471" s="324" t="s">
        <v>465</v>
      </c>
      <c r="Q471" s="324" t="s">
        <v>153</v>
      </c>
      <c r="R471" s="319"/>
      <c r="S471" s="319"/>
    </row>
    <row r="472" spans="1:19" ht="15.75">
      <c r="D472" s="315" t="s">
        <v>170</v>
      </c>
      <c r="E472" s="80" t="str" cm="1">
        <f t="array" ref="E472:G472">_xlfn.TEXTSPLIT(D472,".")</f>
        <v>Shiwani</v>
      </c>
      <c r="F472" s="80" t="str">
        <v>Karnataka@2356</v>
      </c>
      <c r="G472" s="166" t="str">
        <v>com</v>
      </c>
      <c r="L472" s="325">
        <v>45292</v>
      </c>
      <c r="M472" s="326" t="str">
        <f>TEXT(L472,"MM")</f>
        <v>01</v>
      </c>
      <c r="N472" s="326" t="str">
        <f>TEXT(L472,"YY")</f>
        <v>24</v>
      </c>
      <c r="O472" s="326" t="str">
        <f>TEXT(L472,"DDDD")</f>
        <v>Monday</v>
      </c>
      <c r="P472" s="326" t="str">
        <f>TEXT(L472,"MMMM")</f>
        <v>January</v>
      </c>
      <c r="Q472" s="326" t="str">
        <f>TEXT(L472,"YYYY")</f>
        <v>2024</v>
      </c>
      <c r="R472" s="319"/>
      <c r="S472" s="319"/>
    </row>
    <row r="473" spans="1:19" ht="15.75">
      <c r="D473" s="315" t="s">
        <v>173</v>
      </c>
      <c r="E473" s="80" t="str" cm="1">
        <f t="array" ref="E473:G473">_xlfn.TEXTSPLIT(D473,".")</f>
        <v>Shalini</v>
      </c>
      <c r="F473" s="80" t="str">
        <v>Jaipur@5689</v>
      </c>
      <c r="G473" s="166" t="str">
        <v>com</v>
      </c>
      <c r="L473" s="325">
        <v>45350</v>
      </c>
      <c r="M473" s="326" t="str">
        <f>TEXT(L473,"MM")</f>
        <v>02</v>
      </c>
      <c r="N473" s="326" t="str">
        <f>TEXT(L473,"YY")</f>
        <v>24</v>
      </c>
      <c r="O473" s="326" t="str">
        <f>TEXT(L473,"DDDD")</f>
        <v>Wednesday</v>
      </c>
      <c r="P473" s="326" t="str">
        <f>TEXT(L473,"MMMM")</f>
        <v>February</v>
      </c>
      <c r="Q473" s="326" t="str">
        <f>TEXT(L473,"YYYY")</f>
        <v>2024</v>
      </c>
      <c r="R473" s="319"/>
      <c r="S473" s="319"/>
    </row>
    <row r="474" spans="1:19" ht="15.75">
      <c r="D474" s="315" t="s">
        <v>176</v>
      </c>
      <c r="E474" s="80" t="str" cm="1">
        <f t="array" ref="E474:G474">_xlfn.TEXTSPLIT(D474,".")</f>
        <v>Kartik</v>
      </c>
      <c r="F474" s="80" t="str">
        <v>Channai@4589</v>
      </c>
      <c r="G474" s="166" t="str">
        <v>com</v>
      </c>
      <c r="L474" s="325">
        <v>45294</v>
      </c>
      <c r="M474" s="326" t="str">
        <f>TEXT(L474,"MM")</f>
        <v>01</v>
      </c>
      <c r="N474" s="326" t="str">
        <f>TEXT(L474,"YY")</f>
        <v>24</v>
      </c>
      <c r="O474" s="326" t="str">
        <f>TEXT(L474,"DDDD")</f>
        <v>Wednesday</v>
      </c>
      <c r="P474" s="326" t="str">
        <f>TEXT(L474,"MMMM")</f>
        <v>January</v>
      </c>
      <c r="Q474" s="326" t="str">
        <f>TEXT(L474,"YYYY")</f>
        <v>2024</v>
      </c>
      <c r="R474" s="319"/>
      <c r="S474" s="319"/>
    </row>
    <row r="475" spans="1:19" ht="15.75">
      <c r="D475" s="315" t="s">
        <v>179</v>
      </c>
      <c r="E475" s="80" t="str" cm="1">
        <f t="array" ref="E475:G475">_xlfn.TEXTSPLIT(D475,".")</f>
        <v>Kajal</v>
      </c>
      <c r="F475" s="80" t="str">
        <v>Hydrabad@2589</v>
      </c>
      <c r="G475" s="166" t="str">
        <v>com</v>
      </c>
      <c r="L475" s="325">
        <v>45267</v>
      </c>
      <c r="M475" s="326" t="str">
        <f>TEXT(L475,"MM")</f>
        <v>12</v>
      </c>
      <c r="N475" s="326" t="str">
        <f>TEXT(L475,"YY")</f>
        <v>23</v>
      </c>
      <c r="O475" s="326" t="str">
        <f>TEXT(L475,"DDDD")</f>
        <v>Thursday</v>
      </c>
      <c r="P475" s="326" t="str">
        <f>TEXT(L475,"MMMM")</f>
        <v>December</v>
      </c>
      <c r="Q475" s="326" t="str">
        <f>TEXT(L475,"YYYY")</f>
        <v>2023</v>
      </c>
      <c r="R475" s="319"/>
      <c r="S475" s="319"/>
    </row>
    <row r="476" spans="1:19" ht="15.75">
      <c r="D476" s="315" t="s">
        <v>182</v>
      </c>
      <c r="E476" s="80" t="str" cm="1">
        <f t="array" ref="E476:G476">_xlfn.TEXTSPLIT(D476,".")</f>
        <v>Rahul</v>
      </c>
      <c r="F476" s="80" t="str">
        <v>Goa@9564</v>
      </c>
      <c r="G476" s="166" t="str">
        <v>com</v>
      </c>
      <c r="L476" s="325">
        <v>45296</v>
      </c>
      <c r="M476" s="326" t="str">
        <f>TEXT(L476,"MM")</f>
        <v>01</v>
      </c>
      <c r="N476" s="326" t="str">
        <f>TEXT(L476,"YY")</f>
        <v>24</v>
      </c>
      <c r="O476" s="326" t="str">
        <f>TEXT(L476,"DDDD")</f>
        <v>Friday</v>
      </c>
      <c r="P476" s="326" t="str">
        <f>TEXT(L476,"MMMM")</f>
        <v>January</v>
      </c>
      <c r="Q476" s="326" t="str">
        <f>TEXT(L476,"YYYY")</f>
        <v>2024</v>
      </c>
      <c r="R476" s="319"/>
      <c r="S476" s="319"/>
    </row>
    <row r="477" spans="1:19" ht="15.75">
      <c r="D477" s="315" t="s">
        <v>185</v>
      </c>
      <c r="E477" s="80" t="str" cm="1">
        <f t="array" ref="E477:G477">_xlfn.TEXTSPLIT(D477,".")</f>
        <v>Arjun</v>
      </c>
      <c r="F477" s="80" t="str">
        <v>Utterpadesh@5463</v>
      </c>
      <c r="G477" s="166" t="str">
        <v>com</v>
      </c>
      <c r="L477" s="325">
        <v>39645</v>
      </c>
      <c r="M477" s="326" t="str">
        <f>TEXT(L477,"MM")</f>
        <v>07</v>
      </c>
      <c r="N477" s="326" t="str">
        <f>TEXT(L477,"YY")</f>
        <v>08</v>
      </c>
      <c r="O477" s="326" t="str">
        <f>TEXT(L477,"DDDD")</f>
        <v>Wednesday</v>
      </c>
      <c r="P477" s="326" t="str">
        <f>TEXT(L477,"MMMM")</f>
        <v>July</v>
      </c>
      <c r="Q477" s="326" t="str">
        <f>TEXT(L477,"YYYY")</f>
        <v>2008</v>
      </c>
      <c r="R477" s="319"/>
      <c r="S477" s="319"/>
    </row>
    <row r="478" spans="1:19" ht="15.75">
      <c r="D478" s="315" t="s">
        <v>188</v>
      </c>
      <c r="E478" s="80" t="str" cm="1">
        <f t="array" ref="E478:G478">_xlfn.TEXTSPLIT(D478,".")</f>
        <v>Amit</v>
      </c>
      <c r="F478" s="80" t="str">
        <v>Jaipur@7825</v>
      </c>
      <c r="G478" s="166" t="str">
        <v>com</v>
      </c>
      <c r="L478" s="325">
        <v>45336</v>
      </c>
      <c r="M478" s="326" t="str">
        <f>TEXT(L478,"MM")</f>
        <v>02</v>
      </c>
      <c r="N478" s="326" t="str">
        <f>TEXT(L478,"YY")</f>
        <v>24</v>
      </c>
      <c r="O478" s="326" t="str">
        <f>TEXT(L478,"DDDD")</f>
        <v>Wednesday</v>
      </c>
      <c r="P478" s="326" t="str">
        <f>TEXT(L478,"MMMM")</f>
        <v>February</v>
      </c>
      <c r="Q478" s="326" t="str">
        <f>TEXT(L478,"YYYY")</f>
        <v>2024</v>
      </c>
      <c r="R478" s="319"/>
      <c r="S478" s="319"/>
    </row>
    <row r="479" spans="1:19" ht="15.75">
      <c r="D479" s="316" t="s">
        <v>190</v>
      </c>
      <c r="E479" s="317" t="str" cm="1">
        <f t="array" ref="E479:G479">_xlfn.TEXTSPLIT(D479,".")</f>
        <v>Sneha</v>
      </c>
      <c r="F479" s="317" t="str">
        <v>Gurugram@4422</v>
      </c>
      <c r="G479" s="318" t="str">
        <v>com</v>
      </c>
      <c r="L479" s="325">
        <v>45299</v>
      </c>
      <c r="M479" s="326" t="str">
        <f>TEXT(L479,"MM")</f>
        <v>01</v>
      </c>
      <c r="N479" s="326" t="str">
        <f>TEXT(L479,"YY")</f>
        <v>24</v>
      </c>
      <c r="O479" s="326" t="str">
        <f>TEXT(L479,"DDDD")</f>
        <v>Monday</v>
      </c>
      <c r="P479" s="326" t="str">
        <f>TEXT(L479,"MMMM")</f>
        <v>January</v>
      </c>
      <c r="Q479" s="326" t="str">
        <f>TEXT(L479,"YYYY")</f>
        <v>2024</v>
      </c>
      <c r="R479" s="319"/>
      <c r="S479" s="319"/>
    </row>
    <row r="480" spans="1:19" ht="15.75">
      <c r="L480" s="325">
        <v>45736</v>
      </c>
      <c r="M480" s="326" t="str">
        <f>TEXT(L480,"MM")</f>
        <v>03</v>
      </c>
      <c r="N480" s="326" t="str">
        <f>TEXT(L480,"YY")</f>
        <v>25</v>
      </c>
      <c r="O480" s="326" t="str">
        <f>TEXT(L480,"DDDD")</f>
        <v>Thursday</v>
      </c>
      <c r="P480" s="326" t="str">
        <f>TEXT(L480,"MMMM")</f>
        <v>March</v>
      </c>
      <c r="Q480" s="326" t="str">
        <f>TEXT(L480,"YYYY")</f>
        <v>2025</v>
      </c>
      <c r="R480" s="319"/>
      <c r="S480" s="319"/>
    </row>
    <row r="481" spans="4:19" ht="15.75">
      <c r="L481" s="325">
        <v>45301</v>
      </c>
      <c r="M481" s="326" t="str">
        <f>TEXT(L481,"MM")</f>
        <v>01</v>
      </c>
      <c r="N481" s="326" t="str">
        <f>TEXT(L481,"YY")</f>
        <v>24</v>
      </c>
      <c r="O481" s="326" t="str">
        <f>TEXT(L481,"DDDD")</f>
        <v>Wednesday</v>
      </c>
      <c r="P481" s="326" t="str">
        <f>TEXT(L481,"MMMM")</f>
        <v>January</v>
      </c>
      <c r="Q481" s="326" t="str">
        <f>TEXT(L481,"YYYY")</f>
        <v>2024</v>
      </c>
      <c r="R481" s="319"/>
      <c r="S481" s="319"/>
    </row>
    <row r="482" spans="4:19" ht="15.75">
      <c r="L482" s="325">
        <v>45302</v>
      </c>
      <c r="M482" s="326" t="str">
        <f>TEXT(L482,"MM")</f>
        <v>01</v>
      </c>
      <c r="N482" s="326" t="str">
        <f>TEXT(L482,"YY")</f>
        <v>24</v>
      </c>
      <c r="O482" s="326" t="str">
        <f>TEXT(L482,"DDDD")</f>
        <v>Thursday</v>
      </c>
      <c r="P482" s="326" t="str">
        <f>TEXT(L482,"MMMM")</f>
        <v>January</v>
      </c>
      <c r="Q482" s="326" t="str">
        <f>TEXT(L482,"YYYY")</f>
        <v>2024</v>
      </c>
      <c r="R482" s="319"/>
      <c r="S482" s="319"/>
    </row>
    <row r="483" spans="4:19" ht="15.75">
      <c r="D483" s="310" t="s">
        <v>160</v>
      </c>
      <c r="F483" s="310" t="s">
        <v>463</v>
      </c>
      <c r="L483" s="325">
        <v>45395</v>
      </c>
      <c r="M483" s="326" t="str">
        <f>TEXT(L483,"MM")</f>
        <v>04</v>
      </c>
      <c r="N483" s="326" t="str">
        <f>TEXT(L483,"YY")</f>
        <v>24</v>
      </c>
      <c r="O483" s="326" t="str">
        <f>TEXT(L483,"DDDD")</f>
        <v>Saturday</v>
      </c>
      <c r="P483" s="326" t="str">
        <f>TEXT(L483,"MMMM")</f>
        <v>April</v>
      </c>
      <c r="Q483" s="326" t="str">
        <f>TEXT(L483,"YYYY")</f>
        <v>2024</v>
      </c>
      <c r="R483" s="319"/>
      <c r="S483" s="319"/>
    </row>
    <row r="484" spans="4:19" ht="15.75">
      <c r="D484" s="312" t="s">
        <v>164</v>
      </c>
      <c r="F484" s="334" t="str" cm="1">
        <f t="array" ref="F484:F486">_xlfn.TEXTSPLIT(D484,,".")</f>
        <v>Aayush</v>
      </c>
      <c r="L484" s="325">
        <v>45304</v>
      </c>
      <c r="M484" s="326" t="str">
        <f>TEXT(L484,"MM")</f>
        <v>01</v>
      </c>
      <c r="N484" s="326" t="str">
        <f>TEXT(L484,"YY")</f>
        <v>24</v>
      </c>
      <c r="O484" s="326" t="str">
        <f>TEXT(L484,"DDDD")</f>
        <v>Saturday</v>
      </c>
      <c r="P484" s="326" t="str">
        <f>TEXT(L484,"MMMM")</f>
        <v>January</v>
      </c>
      <c r="Q484" s="326" t="str">
        <f>TEXT(L484,"YYYY")</f>
        <v>2024</v>
      </c>
      <c r="R484" s="319"/>
      <c r="S484" s="319"/>
    </row>
    <row r="485" spans="4:19" ht="15.75">
      <c r="D485" s="312" t="s">
        <v>167</v>
      </c>
      <c r="F485" s="335" t="str">
        <v>Delhi@4512</v>
      </c>
      <c r="L485" s="325">
        <v>45305</v>
      </c>
      <c r="M485" s="326" t="str">
        <f>TEXT(L485,"MM")</f>
        <v>01</v>
      </c>
      <c r="N485" s="326" t="str">
        <f>TEXT(L485,"YY")</f>
        <v>24</v>
      </c>
      <c r="O485" s="326" t="str">
        <f>TEXT(L485,"DDDD")</f>
        <v>Sunday</v>
      </c>
      <c r="P485" s="326" t="str">
        <f>TEXT(L485,"MMMM")</f>
        <v>January</v>
      </c>
      <c r="Q485" s="326" t="str">
        <f>TEXT(L485,"YYYY")</f>
        <v>2024</v>
      </c>
      <c r="R485" s="319"/>
      <c r="S485" s="319"/>
    </row>
    <row r="486" spans="4:19" ht="15.75">
      <c r="D486" s="312" t="s">
        <v>170</v>
      </c>
      <c r="F486" s="335" t="str">
        <v>com</v>
      </c>
      <c r="L486" s="325">
        <v>45400</v>
      </c>
      <c r="M486" s="326" t="str">
        <f>TEXT(L486,"MM")</f>
        <v>04</v>
      </c>
      <c r="N486" s="326" t="str">
        <f>TEXT(L486,"YY")</f>
        <v>24</v>
      </c>
      <c r="O486" s="326" t="str">
        <f>TEXT(L486,"DDDD")</f>
        <v>Thursday</v>
      </c>
      <c r="P486" s="326" t="str">
        <f>TEXT(L486,"MMMM")</f>
        <v>April</v>
      </c>
      <c r="Q486" s="326" t="str">
        <f>TEXT(L486,"YYYY")</f>
        <v>2024</v>
      </c>
      <c r="R486" s="319"/>
      <c r="S486" s="319"/>
    </row>
    <row r="487" spans="4:19" ht="15.75">
      <c r="D487" s="312" t="s">
        <v>173</v>
      </c>
      <c r="F487" s="335" t="str" cm="1">
        <f t="array" ref="F487:F489">_xlfn.TEXTSPLIT(D487,,".")</f>
        <v>Shalini</v>
      </c>
      <c r="L487" s="325">
        <v>45351</v>
      </c>
      <c r="M487" s="326" t="str">
        <f>TEXT(L487,"MM")</f>
        <v>02</v>
      </c>
      <c r="N487" s="326" t="str">
        <f>TEXT(L487,"YY")</f>
        <v>24</v>
      </c>
      <c r="O487" s="326" t="str">
        <f>TEXT(L487,"DDDD")</f>
        <v>Thursday</v>
      </c>
      <c r="P487" s="326" t="str">
        <f>TEXT(L487,"MMMM")</f>
        <v>February</v>
      </c>
      <c r="Q487" s="326" t="str">
        <f>TEXT(L487,"YYYY")</f>
        <v>2024</v>
      </c>
      <c r="R487" s="319"/>
      <c r="S487" s="319"/>
    </row>
    <row r="488" spans="4:19" ht="15.75">
      <c r="D488" s="312" t="s">
        <v>176</v>
      </c>
      <c r="F488" s="335" t="str">
        <v>Jaipur@5689</v>
      </c>
      <c r="L488" s="325">
        <v>45308</v>
      </c>
      <c r="M488" s="326" t="str">
        <f>TEXT(L488,"MM")</f>
        <v>01</v>
      </c>
      <c r="N488" s="326" t="str">
        <f>TEXT(L488,"YY")</f>
        <v>24</v>
      </c>
      <c r="O488" s="326" t="str">
        <f>TEXT(L488,"DDDD")</f>
        <v>Wednesday</v>
      </c>
      <c r="P488" s="326" t="str">
        <f>TEXT(L488,"MMMM")</f>
        <v>January</v>
      </c>
      <c r="Q488" s="326" t="str">
        <f>TEXT(L488,"YYYY")</f>
        <v>2024</v>
      </c>
      <c r="R488" s="319"/>
      <c r="S488" s="319"/>
    </row>
    <row r="489" spans="4:19" ht="15.75">
      <c r="D489" s="312" t="s">
        <v>179</v>
      </c>
      <c r="F489" s="335" t="str">
        <v>com</v>
      </c>
      <c r="L489" s="325">
        <v>45434</v>
      </c>
      <c r="M489" s="326" t="str">
        <f>TEXT(L489,"MM")</f>
        <v>05</v>
      </c>
      <c r="N489" s="326" t="str">
        <f>TEXT(L489,"YY")</f>
        <v>24</v>
      </c>
      <c r="O489" s="326" t="str">
        <f>TEXT(L489,"DDDD")</f>
        <v>Wednesday</v>
      </c>
      <c r="P489" s="326" t="str">
        <f>TEXT(L489,"MMMM")</f>
        <v>May</v>
      </c>
      <c r="Q489" s="326" t="str">
        <f>TEXT(L489,"YYYY")</f>
        <v>2024</v>
      </c>
      <c r="R489" s="319"/>
      <c r="S489" s="319"/>
    </row>
    <row r="490" spans="4:19" ht="15.75">
      <c r="D490" s="312" t="s">
        <v>182</v>
      </c>
      <c r="F490" s="335" t="str" cm="1">
        <f t="array" ref="F490:F492">_xlfn.TEXTSPLIT(D490,,".")</f>
        <v>Rahul</v>
      </c>
      <c r="L490" s="325">
        <v>45310</v>
      </c>
      <c r="M490" s="326" t="str">
        <f>TEXT(L490,"MM")</f>
        <v>01</v>
      </c>
      <c r="N490" s="326" t="str">
        <f>TEXT(L490,"YY")</f>
        <v>24</v>
      </c>
      <c r="O490" s="326" t="str">
        <f>TEXT(L490,"DDDD")</f>
        <v>Friday</v>
      </c>
      <c r="P490" s="326" t="str">
        <f>TEXT(L490,"MMMM")</f>
        <v>January</v>
      </c>
      <c r="Q490" s="326" t="str">
        <f>TEXT(L490,"YYYY")</f>
        <v>2024</v>
      </c>
      <c r="R490" s="319"/>
      <c r="S490" s="319"/>
    </row>
    <row r="491" spans="4:19" ht="15.75">
      <c r="D491" s="312" t="s">
        <v>185</v>
      </c>
      <c r="F491" s="335" t="str">
        <v>Goa@9564</v>
      </c>
      <c r="L491" s="325">
        <v>43391</v>
      </c>
      <c r="M491" s="326" t="str">
        <f>TEXT(L491,"MM")</f>
        <v>10</v>
      </c>
      <c r="N491" s="326" t="str">
        <f>TEXT(L491,"YY")</f>
        <v>18</v>
      </c>
      <c r="O491" s="326" t="str">
        <f>TEXT(L491,"DDDD")</f>
        <v>Thursday</v>
      </c>
      <c r="P491" s="326" t="str">
        <f>TEXT(L491,"MMMM")</f>
        <v>October</v>
      </c>
      <c r="Q491" s="326" t="str">
        <f>TEXT(L491,"YYYY")</f>
        <v>2018</v>
      </c>
      <c r="R491" s="319"/>
      <c r="S491" s="319"/>
    </row>
    <row r="492" spans="4:19" ht="15.75">
      <c r="D492" s="312" t="s">
        <v>188</v>
      </c>
      <c r="F492" s="335" t="str">
        <v>com</v>
      </c>
      <c r="L492" s="325">
        <v>45365</v>
      </c>
      <c r="M492" s="326" t="str">
        <f>TEXT(L492,"MM")</f>
        <v>03</v>
      </c>
      <c r="N492" s="326" t="str">
        <f>TEXT(L492,"YY")</f>
        <v>24</v>
      </c>
      <c r="O492" s="326" t="str">
        <f>TEXT(L492,"DDDD")</f>
        <v>Thursday</v>
      </c>
      <c r="P492" s="326" t="str">
        <f>TEXT(L492,"MMMM")</f>
        <v>March</v>
      </c>
      <c r="Q492" s="326" t="str">
        <f>TEXT(L492,"YYYY")</f>
        <v>2024</v>
      </c>
      <c r="R492" s="319"/>
      <c r="S492" s="319"/>
    </row>
    <row r="493" spans="4:19" ht="15.75">
      <c r="D493" s="312" t="s">
        <v>190</v>
      </c>
      <c r="F493" s="335" t="str" cm="1">
        <f t="array" ref="F493:F495">_xlfn.TEXTSPLIT(D493,,".")</f>
        <v>Sneha</v>
      </c>
      <c r="L493" s="325">
        <v>45313</v>
      </c>
      <c r="M493" s="326" t="str">
        <f>TEXT(L493,"MM")</f>
        <v>01</v>
      </c>
      <c r="N493" s="326" t="str">
        <f>TEXT(L493,"YY")</f>
        <v>24</v>
      </c>
      <c r="O493" s="326" t="str">
        <f>TEXT(L493,"DDDD")</f>
        <v>Monday</v>
      </c>
      <c r="P493" s="326" t="str">
        <f>TEXT(L493,"MMMM")</f>
        <v>January</v>
      </c>
      <c r="Q493" s="326" t="str">
        <f>TEXT(L493,"YYYY")</f>
        <v>2024</v>
      </c>
      <c r="R493" s="319"/>
      <c r="S493" s="319"/>
    </row>
    <row r="494" spans="4:19" ht="15.75">
      <c r="F494" s="335" t="str">
        <v>Gurugram@4422</v>
      </c>
      <c r="L494" s="325">
        <v>38716</v>
      </c>
      <c r="M494" s="326" t="str">
        <f>TEXT(L494,"MM")</f>
        <v>12</v>
      </c>
      <c r="N494" s="326" t="str">
        <f>TEXT(L494,"YY")</f>
        <v>05</v>
      </c>
      <c r="O494" s="326" t="str">
        <f>TEXT(L494,"DDDD")</f>
        <v>Friday</v>
      </c>
      <c r="P494" s="326" t="str">
        <f>TEXT(L494,"MMMM")</f>
        <v>December</v>
      </c>
      <c r="Q494" s="326" t="str">
        <f>TEXT(L494,"YYYY")</f>
        <v>2005</v>
      </c>
      <c r="R494" s="319"/>
      <c r="S494" s="319"/>
    </row>
    <row r="495" spans="4:19" ht="15.75">
      <c r="F495" s="336" t="str">
        <v>com</v>
      </c>
      <c r="L495" s="325">
        <v>45456</v>
      </c>
      <c r="M495" s="326" t="str">
        <f>TEXT(L495,"MM")</f>
        <v>06</v>
      </c>
      <c r="N495" s="326" t="str">
        <f>TEXT(L495,"YY")</f>
        <v>24</v>
      </c>
      <c r="O495" s="326" t="str">
        <f>TEXT(L495,"DDDD")</f>
        <v>Thursday</v>
      </c>
      <c r="P495" s="326" t="str">
        <f>TEXT(L495,"MMMM")</f>
        <v>June</v>
      </c>
      <c r="Q495" s="326" t="str">
        <f>TEXT(L495,"YYYY")</f>
        <v>2024</v>
      </c>
      <c r="R495" s="319"/>
      <c r="S495" s="319"/>
    </row>
    <row r="496" spans="4:19" ht="15.75">
      <c r="L496" s="325">
        <v>45316</v>
      </c>
      <c r="M496" s="326" t="str">
        <f>TEXT(L496,"MM")</f>
        <v>01</v>
      </c>
      <c r="N496" s="326" t="str">
        <f>TEXT(L496,"YY")</f>
        <v>24</v>
      </c>
      <c r="O496" s="326" t="str">
        <f>TEXT(L496,"DDDD")</f>
        <v>Thursday</v>
      </c>
      <c r="P496" s="326" t="str">
        <f>TEXT(L496,"MMMM")</f>
        <v>January</v>
      </c>
      <c r="Q496" s="326" t="str">
        <f>TEXT(L496,"YYYY")</f>
        <v>2024</v>
      </c>
      <c r="R496" s="319"/>
      <c r="S496" s="319"/>
    </row>
    <row r="497" spans="1:19" ht="15.75">
      <c r="L497" s="325">
        <v>45481</v>
      </c>
      <c r="M497" s="326" t="str">
        <f>TEXT(L497,"MM")</f>
        <v>07</v>
      </c>
      <c r="N497" s="326" t="str">
        <f>TEXT(L497,"YY")</f>
        <v>24</v>
      </c>
      <c r="O497" s="326" t="str">
        <f>TEXT(L497,"DDDD")</f>
        <v>Monday</v>
      </c>
      <c r="P497" s="326" t="str">
        <f>TEXT(L497,"MMMM")</f>
        <v>July</v>
      </c>
      <c r="Q497" s="326" t="str">
        <f>TEXT(L497,"YYYY")</f>
        <v>2024</v>
      </c>
      <c r="R497" s="319"/>
      <c r="S497" s="319"/>
    </row>
    <row r="498" spans="1:19" ht="15.75">
      <c r="A498" s="521"/>
      <c r="B498" s="521"/>
      <c r="L498" s="325">
        <v>45318</v>
      </c>
      <c r="M498" s="326" t="str">
        <f>TEXT(L498,"MM")</f>
        <v>01</v>
      </c>
      <c r="N498" s="326" t="str">
        <f>TEXT(L498,"YY")</f>
        <v>24</v>
      </c>
      <c r="O498" s="326" t="str">
        <f>TEXT(L498,"DDDD")</f>
        <v>Saturday</v>
      </c>
      <c r="P498" s="326" t="str">
        <f>TEXT(L498,"MMMM")</f>
        <v>January</v>
      </c>
      <c r="Q498" s="326" t="str">
        <f>TEXT(L498,"YYYY")</f>
        <v>2024</v>
      </c>
      <c r="R498" s="319"/>
      <c r="S498" s="319"/>
    </row>
    <row r="499" spans="1:19" ht="15.75">
      <c r="L499" s="325">
        <v>47646</v>
      </c>
      <c r="M499" s="326" t="str">
        <f>TEXT(L499,"MM")</f>
        <v>06</v>
      </c>
      <c r="N499" s="326" t="str">
        <f>TEXT(L499,"YY")</f>
        <v>30</v>
      </c>
      <c r="O499" s="326" t="str">
        <f>TEXT(L499,"DDDD")</f>
        <v>Wednesday</v>
      </c>
      <c r="P499" s="326" t="str">
        <f>TEXT(L499,"MMMM")</f>
        <v>June</v>
      </c>
      <c r="Q499" s="326" t="str">
        <f>TEXT(L499,"YYYY")</f>
        <v>2030</v>
      </c>
      <c r="R499" s="319"/>
      <c r="S499" s="319"/>
    </row>
    <row r="500" spans="1:19" ht="15.75">
      <c r="P500" s="326" t="str">
        <f>TEXT(L500,"MMMM")</f>
        <v>January</v>
      </c>
      <c r="Q500" s="326" t="str">
        <f>TEXT(L500,"YYYY")</f>
        <v>1900</v>
      </c>
      <c r="R500" s="319"/>
      <c r="S500" s="319"/>
    </row>
    <row r="501" spans="1:19" ht="15.75">
      <c r="D501" t="s">
        <v>467</v>
      </c>
      <c r="P501" s="326" t="str">
        <f>TEXT(L501,"MMMM")</f>
        <v>January</v>
      </c>
      <c r="Q501" s="326" t="str">
        <f>TEXT(L501,"YYYY")</f>
        <v>1900</v>
      </c>
      <c r="R501" s="319"/>
      <c r="S501" s="319"/>
    </row>
    <row r="502" spans="1:19" ht="15.75">
      <c r="P502" s="319"/>
      <c r="Q502" s="319"/>
      <c r="R502" s="319"/>
      <c r="S502" s="319"/>
    </row>
    <row r="503" spans="1:19" ht="15.75">
      <c r="D503" s="310" t="s">
        <v>468</v>
      </c>
      <c r="E503" s="310" t="s">
        <v>469</v>
      </c>
      <c r="F503" s="310" t="s">
        <v>470</v>
      </c>
      <c r="G503" s="310" t="s">
        <v>471</v>
      </c>
      <c r="H503" s="310" t="s">
        <v>472</v>
      </c>
      <c r="P503" s="319"/>
      <c r="Q503" s="319"/>
      <c r="R503" s="319"/>
      <c r="S503" s="319"/>
    </row>
    <row r="504" spans="1:19" ht="15.75">
      <c r="D504" s="254" t="s">
        <v>473</v>
      </c>
      <c r="E504" s="254" t="s">
        <v>230</v>
      </c>
      <c r="F504" s="254" t="s">
        <v>474</v>
      </c>
      <c r="G504" s="337" t="str">
        <f>CONCATENATE(E504,F504)</f>
        <v>JohnSmith</v>
      </c>
      <c r="H504" s="337" t="str">
        <f>CONCATENATE(E504,"_",F504)</f>
        <v>John_Smith</v>
      </c>
      <c r="P504" s="508"/>
      <c r="Q504" s="509"/>
      <c r="R504" s="319"/>
      <c r="S504" s="319"/>
    </row>
    <row r="505" spans="1:19" ht="15.75">
      <c r="D505" s="254" t="s">
        <v>475</v>
      </c>
      <c r="E505" s="254" t="s">
        <v>476</v>
      </c>
      <c r="F505" s="254" t="s">
        <v>477</v>
      </c>
      <c r="G505" s="337" t="str">
        <f>CONCATENATE(E505,F505)</f>
        <v>JaneDoe</v>
      </c>
      <c r="H505" s="337" t="str">
        <f>CONCATENATE(E505,"_",F505)</f>
        <v>Jane_Doe</v>
      </c>
      <c r="P505" s="319"/>
      <c r="Q505" s="319"/>
      <c r="R505" s="319"/>
      <c r="S505" s="319"/>
    </row>
    <row r="506" spans="1:19" ht="15.75">
      <c r="D506" s="254" t="s">
        <v>478</v>
      </c>
      <c r="E506" s="254" t="s">
        <v>451</v>
      </c>
      <c r="F506" s="254" t="s">
        <v>479</v>
      </c>
      <c r="G506" s="337" t="str">
        <f>CONCATENATE(E506,F506)</f>
        <v>BobJohnson</v>
      </c>
      <c r="H506" s="337" t="str">
        <f>CONCATENATE(E506,"_",F506)</f>
        <v>Bob_Johnson</v>
      </c>
      <c r="P506" s="319"/>
      <c r="Q506" s="319"/>
      <c r="R506" s="319"/>
      <c r="S506" s="319"/>
    </row>
    <row r="507" spans="1:19" ht="15.75">
      <c r="P507" s="324" t="s">
        <v>480</v>
      </c>
      <c r="Q507" s="324" t="s">
        <v>481</v>
      </c>
      <c r="R507" s="319"/>
      <c r="S507" s="319"/>
    </row>
    <row r="508" spans="1:19" ht="15.75">
      <c r="L508" s="328" t="s">
        <v>482</v>
      </c>
      <c r="M508" s="329" t="s">
        <v>435</v>
      </c>
      <c r="N508" s="330">
        <v>6915482</v>
      </c>
      <c r="O508" s="319"/>
      <c r="P508" s="328" t="str">
        <f>_xlfn.TEXTBEFORE(L508,".")</f>
        <v>Tushar</v>
      </c>
      <c r="Q508" s="328" t="str">
        <f>_xlfn.TEXTAFTER(L508,".")</f>
        <v>Taak</v>
      </c>
      <c r="R508" s="319"/>
      <c r="S508" s="319"/>
    </row>
    <row r="509" spans="1:19" ht="15.75">
      <c r="L509" s="328" t="s">
        <v>483</v>
      </c>
      <c r="M509" s="329" t="s">
        <v>436</v>
      </c>
      <c r="N509" s="330">
        <v>3096747</v>
      </c>
      <c r="O509" s="319"/>
      <c r="P509" s="328" t="str">
        <f>_xlfn.TEXTBEFORE(L509,".")</f>
        <v>Rahul</v>
      </c>
      <c r="Q509" s="328" t="str">
        <f>_xlfn.TEXTAFTER(L509,".")</f>
        <v>Sharma</v>
      </c>
      <c r="R509" s="319"/>
      <c r="S509" s="319"/>
    </row>
    <row r="510" spans="1:19" ht="15.75">
      <c r="L510" s="328" t="s">
        <v>484</v>
      </c>
      <c r="M510" s="329" t="s">
        <v>438</v>
      </c>
      <c r="N510" s="330">
        <v>40000</v>
      </c>
      <c r="O510" s="319"/>
      <c r="P510" s="328" t="str">
        <f>_xlfn.TEXTBEFORE(L510,".")</f>
        <v>Preeti</v>
      </c>
      <c r="Q510" s="328" t="str">
        <f>_xlfn.TEXTAFTER(L510,".")</f>
        <v>Saini</v>
      </c>
      <c r="R510" s="319"/>
      <c r="S510" s="319"/>
    </row>
    <row r="511" spans="1:19" ht="15.75">
      <c r="D511" s="213" t="s">
        <v>485</v>
      </c>
      <c r="L511" s="328" t="s">
        <v>486</v>
      </c>
      <c r="M511" s="329" t="s">
        <v>435</v>
      </c>
      <c r="N511" s="330">
        <v>9942253</v>
      </c>
      <c r="O511" s="319"/>
      <c r="P511" s="328" t="str">
        <f>_xlfn.TEXTBEFORE(L511,".")</f>
        <v>Shalini</v>
      </c>
      <c r="Q511" s="328" t="str">
        <f>_xlfn.TEXTAFTER(L511,".")</f>
        <v>Dhiman</v>
      </c>
      <c r="R511" s="319"/>
      <c r="S511" s="319"/>
    </row>
    <row r="512" spans="1:19" ht="15.75">
      <c r="D512" s="213" t="s">
        <v>487</v>
      </c>
      <c r="L512" s="328" t="s">
        <v>488</v>
      </c>
      <c r="M512" s="329" t="s">
        <v>440</v>
      </c>
      <c r="N512" s="330">
        <v>15000000</v>
      </c>
      <c r="O512" s="319"/>
      <c r="P512" s="328" t="str">
        <f>_xlfn.TEXTBEFORE(L512,".")</f>
        <v>Aayush</v>
      </c>
      <c r="Q512" s="328" t="str">
        <f>_xlfn.TEXTAFTER(L512,".")</f>
        <v>Sharma</v>
      </c>
      <c r="R512" s="319"/>
      <c r="S512" s="319"/>
    </row>
    <row r="513" spans="1:19" ht="15.75">
      <c r="D513" s="213"/>
      <c r="L513" s="328" t="s">
        <v>484</v>
      </c>
      <c r="M513" s="329" t="s">
        <v>438</v>
      </c>
      <c r="N513" s="330">
        <v>9567960</v>
      </c>
      <c r="O513" s="319"/>
      <c r="P513" s="328" t="str">
        <f>_xlfn.TEXTBEFORE(L513,".")</f>
        <v>Preeti</v>
      </c>
      <c r="Q513" s="328" t="str">
        <f>_xlfn.TEXTAFTER(L513,".")</f>
        <v>Saini</v>
      </c>
      <c r="R513" s="319"/>
      <c r="S513" s="319"/>
    </row>
    <row r="514" spans="1:19" ht="15.75">
      <c r="D514" s="231" t="s">
        <v>489</v>
      </c>
      <c r="L514" s="328" t="s">
        <v>490</v>
      </c>
      <c r="M514" s="329" t="s">
        <v>443</v>
      </c>
      <c r="N514" s="330">
        <v>100000</v>
      </c>
      <c r="O514" s="319"/>
      <c r="P514" s="328" t="str">
        <f>_xlfn.TEXTBEFORE(L514,".")</f>
        <v>Bhumii</v>
      </c>
      <c r="Q514" s="328" t="str">
        <f>_xlfn.TEXTAFTER(L514,".")</f>
        <v>Malhotra</v>
      </c>
      <c r="R514" s="319"/>
      <c r="S514" s="319"/>
    </row>
    <row r="515" spans="1:19" ht="15.75">
      <c r="D515" s="233" t="s">
        <v>491</v>
      </c>
      <c r="L515" s="319"/>
      <c r="M515" s="319"/>
      <c r="N515" s="319"/>
      <c r="O515" s="319"/>
      <c r="P515" s="319"/>
      <c r="Q515" s="319"/>
      <c r="R515" s="319"/>
      <c r="S515" s="319"/>
    </row>
    <row r="516" spans="1:19" ht="15.75">
      <c r="D516" s="233" t="s">
        <v>492</v>
      </c>
      <c r="L516" s="582" t="s">
        <v>493</v>
      </c>
      <c r="M516" s="583"/>
      <c r="N516" s="583"/>
      <c r="O516" s="583"/>
      <c r="P516" s="583"/>
      <c r="Q516" s="583"/>
      <c r="R516" s="584"/>
      <c r="S516" s="319"/>
    </row>
    <row r="517" spans="1:19" ht="15.75">
      <c r="D517" s="233" t="s">
        <v>494</v>
      </c>
      <c r="L517" s="319"/>
      <c r="M517" s="319"/>
      <c r="N517" s="319"/>
      <c r="O517" s="319"/>
      <c r="P517" s="319"/>
      <c r="Q517" s="319"/>
      <c r="R517" s="319"/>
      <c r="S517" s="319"/>
    </row>
    <row r="518" spans="1:19" ht="15.75">
      <c r="D518" s="233" t="s">
        <v>495</v>
      </c>
      <c r="L518" s="585" t="s">
        <v>496</v>
      </c>
      <c r="M518" s="586"/>
      <c r="N518" s="587"/>
      <c r="O518" s="319"/>
      <c r="P518" s="510" t="s">
        <v>497</v>
      </c>
      <c r="Q518" s="331"/>
      <c r="R518" s="510" t="s">
        <v>497</v>
      </c>
      <c r="S518" s="319"/>
    </row>
    <row r="519" spans="1:19" ht="15.75">
      <c r="D519" s="233" t="s">
        <v>498</v>
      </c>
      <c r="L519" s="326" t="s">
        <v>494</v>
      </c>
      <c r="M519" s="326" t="s">
        <v>499</v>
      </c>
      <c r="N519" s="326" t="s">
        <v>500</v>
      </c>
      <c r="O519" s="319"/>
      <c r="P519" s="326" t="str">
        <f>_xlfn.TEXTJOIN(",",TRUE,L519,M519,N519)</f>
        <v>A,B,C</v>
      </c>
      <c r="Q519" s="319"/>
      <c r="R519" s="326" t="str">
        <f>_xlfn.TEXTJOIN("-",TRUE,P508,Q508)</f>
        <v>Tushar-Taak</v>
      </c>
      <c r="S519" s="319"/>
    </row>
    <row r="520" spans="1:19" ht="15.75">
      <c r="L520" s="326" t="s">
        <v>501</v>
      </c>
      <c r="M520" s="326" t="s">
        <v>502</v>
      </c>
      <c r="N520" s="326" t="s">
        <v>503</v>
      </c>
      <c r="O520" s="319"/>
      <c r="P520" s="326" t="str">
        <f>_xlfn.TEXTJOIN(",",TRUE,L520,M520,N520)</f>
        <v>D,E,F</v>
      </c>
      <c r="Q520" s="319"/>
      <c r="R520" s="326" t="str">
        <f>_xlfn.TEXTJOIN("-",TRUE,P509,Q509)</f>
        <v>Rahul-Sharma</v>
      </c>
      <c r="S520" s="319"/>
    </row>
    <row r="521" spans="1:19" ht="15.75">
      <c r="D521" t="s">
        <v>504</v>
      </c>
      <c r="E521" s="227" t="str">
        <f>_xlfn.TEXTJOIN(" ",TRUE,D515:D519)</f>
        <v xml:space="preserve">Mary had A Little Lamb </v>
      </c>
      <c r="F521" s="230" t="s">
        <v>505</v>
      </c>
      <c r="L521" s="326" t="s">
        <v>506</v>
      </c>
      <c r="M521" s="326" t="s">
        <v>95</v>
      </c>
      <c r="N521" s="326" t="s">
        <v>507</v>
      </c>
      <c r="O521" s="319"/>
      <c r="P521" s="326" t="str">
        <f>_xlfn.TEXTJOIN(",",TRUE,L521,M521,N521)</f>
        <v>G,H,I</v>
      </c>
      <c r="Q521" s="319"/>
      <c r="R521" s="326" t="str">
        <f>_xlfn.TEXTJOIN("-",TRUE,P510,Q510)</f>
        <v>Preeti-Saini</v>
      </c>
      <c r="S521" s="319"/>
    </row>
    <row r="522" spans="1:19" ht="15.75">
      <c r="L522" s="326" t="s">
        <v>508</v>
      </c>
      <c r="M522" s="326" t="s">
        <v>509</v>
      </c>
      <c r="N522" s="326" t="s">
        <v>93</v>
      </c>
      <c r="O522" s="319"/>
      <c r="P522" s="326" t="str">
        <f>_xlfn.TEXTJOIN(",",TRUE,L522,M522,N522)</f>
        <v>J,K,L</v>
      </c>
      <c r="Q522" s="319"/>
      <c r="R522" s="326" t="str">
        <f>_xlfn.TEXTJOIN("-",TRUE,P511,Q511)</f>
        <v>Shalini-Dhiman</v>
      </c>
      <c r="S522" s="319"/>
    </row>
    <row r="523" spans="1:19" ht="15.75">
      <c r="A523" s="521"/>
      <c r="B523" s="521"/>
      <c r="L523" s="326" t="s">
        <v>510</v>
      </c>
      <c r="M523" s="326" t="s">
        <v>511</v>
      </c>
      <c r="N523" s="326" t="s">
        <v>512</v>
      </c>
      <c r="O523" s="319"/>
      <c r="P523" s="326" t="str">
        <f>_xlfn.TEXTJOIN(",",TRUE,L523,M523,N523)</f>
        <v>M,N,O</v>
      </c>
      <c r="Q523" s="319"/>
      <c r="R523" s="326" t="str">
        <f>_xlfn.TEXTJOIN("-",TRUE,P512,Q512)</f>
        <v>Aayush-Sharma</v>
      </c>
      <c r="S523" s="319"/>
    </row>
    <row r="524" spans="1:19" ht="15.75">
      <c r="L524" s="326" t="s">
        <v>513</v>
      </c>
      <c r="M524" s="326" t="s">
        <v>514</v>
      </c>
      <c r="N524" s="326" t="s">
        <v>515</v>
      </c>
      <c r="O524" s="319"/>
      <c r="P524" s="326" t="str">
        <f>_xlfn.TEXTJOIN(",",TRUE,L524,M524,N524)</f>
        <v>P,Q,R</v>
      </c>
      <c r="Q524" s="319"/>
      <c r="R524" s="326" t="str">
        <f>_xlfn.TEXTJOIN("-",TRUE,P513,Q513)</f>
        <v>Preeti-Saini</v>
      </c>
      <c r="S524" s="319"/>
    </row>
    <row r="525" spans="1:19" ht="15.75">
      <c r="D525" s="213" t="s">
        <v>516</v>
      </c>
      <c r="L525" s="326" t="s">
        <v>517</v>
      </c>
      <c r="M525" s="326" t="s">
        <v>518</v>
      </c>
      <c r="N525" s="326" t="s">
        <v>519</v>
      </c>
      <c r="O525" s="319"/>
      <c r="P525" s="326" t="str">
        <f>_xlfn.TEXTJOIN(",",TRUE,L525,M525,N525)</f>
        <v>S,T,U</v>
      </c>
      <c r="Q525" s="319"/>
      <c r="R525" s="326" t="str">
        <f>_xlfn.TEXTJOIN("-",TRUE,P514,Q514)</f>
        <v>Bhumii-Malhotra</v>
      </c>
      <c r="S525" s="319"/>
    </row>
    <row r="526" spans="1:19" ht="15.75">
      <c r="L526" s="319"/>
      <c r="M526" s="319"/>
      <c r="N526" s="319"/>
      <c r="O526" s="319"/>
      <c r="P526" s="319"/>
      <c r="Q526" s="319"/>
      <c r="R526" s="319"/>
      <c r="S526" s="319"/>
    </row>
    <row r="527" spans="1:19" ht="15.75">
      <c r="D527" s="231" t="s">
        <v>489</v>
      </c>
      <c r="L527" s="319"/>
      <c r="M527" s="319"/>
      <c r="N527" s="319"/>
      <c r="O527" s="319"/>
      <c r="P527" s="319"/>
      <c r="Q527" s="319"/>
      <c r="R527" s="319"/>
      <c r="S527" s="319"/>
    </row>
    <row r="528" spans="1:19" ht="15.75">
      <c r="D528" s="233" t="s">
        <v>520</v>
      </c>
      <c r="L528" s="591" t="s">
        <v>521</v>
      </c>
      <c r="M528" s="592"/>
      <c r="N528" s="319"/>
      <c r="O528" s="593" t="s">
        <v>521</v>
      </c>
      <c r="P528" s="594"/>
      <c r="Q528" s="594"/>
      <c r="R528" s="594"/>
      <c r="S528" s="595"/>
    </row>
    <row r="529" spans="1:20" ht="15.75">
      <c r="D529" s="233" t="s">
        <v>522</v>
      </c>
      <c r="L529" s="319"/>
      <c r="M529" s="319"/>
      <c r="N529" s="319"/>
      <c r="O529" s="319"/>
      <c r="P529" s="319"/>
      <c r="Q529" s="319"/>
      <c r="R529" s="319"/>
      <c r="S529" s="319"/>
    </row>
    <row r="530" spans="1:20" ht="15.75">
      <c r="D530" s="233" t="s">
        <v>523</v>
      </c>
      <c r="L530" s="547" t="s">
        <v>524</v>
      </c>
      <c r="M530" s="548"/>
      <c r="N530" s="319"/>
      <c r="O530" s="327" t="s">
        <v>525</v>
      </c>
      <c r="P530" s="327" t="s">
        <v>526</v>
      </c>
      <c r="Q530" s="327" t="s">
        <v>527</v>
      </c>
      <c r="R530" s="327" t="s">
        <v>528</v>
      </c>
      <c r="S530" s="327" t="s">
        <v>529</v>
      </c>
    </row>
    <row r="531" spans="1:20" ht="15.75">
      <c r="D531" s="233" t="s">
        <v>522</v>
      </c>
      <c r="L531" s="541" t="s">
        <v>530</v>
      </c>
      <c r="M531" s="542"/>
      <c r="N531" s="319"/>
      <c r="O531" s="326" t="str" cm="1">
        <f t="array" ref="O531:R531">_xlfn.TEXTSPLIT(L531,",")</f>
        <v>MS Paint</v>
      </c>
      <c r="P531" s="326" t="str">
        <v>MS Word</v>
      </c>
      <c r="Q531" s="326" t="str">
        <v>MS Excel</v>
      </c>
      <c r="R531" s="326" t="str">
        <v>MS Power Point</v>
      </c>
      <c r="S531" s="326"/>
    </row>
    <row r="532" spans="1:20" ht="15.75">
      <c r="D532" s="233" t="s">
        <v>531</v>
      </c>
      <c r="L532" s="541" t="s">
        <v>532</v>
      </c>
      <c r="M532" s="542"/>
      <c r="N532" s="319"/>
      <c r="O532" s="326" t="str" cm="1">
        <f t="array" ref="O532:T532">_xlfn.TEXTSPLIT(L532,",")</f>
        <v>HTML</v>
      </c>
      <c r="P532" s="326" t="str">
        <v>CSS</v>
      </c>
      <c r="Q532" s="326" t="str">
        <v>JAVA</v>
      </c>
      <c r="R532" s="326" t="str">
        <v>JAVA SCRIPT</v>
      </c>
      <c r="S532" s="326" t="str">
        <v>PYTHON</v>
      </c>
      <c r="T532" t="str">
        <v/>
      </c>
    </row>
    <row r="533" spans="1:20" ht="15.75">
      <c r="D533" s="233" t="s">
        <v>533</v>
      </c>
      <c r="L533" s="541" t="s">
        <v>534</v>
      </c>
      <c r="M533" s="542"/>
      <c r="N533" s="319"/>
      <c r="O533" s="326" t="str" cm="1">
        <f t="array" ref="O533:S533">_xlfn.TEXTSPLIT(L533,",")</f>
        <v>Google</v>
      </c>
      <c r="P533" s="326" t="str">
        <v>Microsoft</v>
      </c>
      <c r="Q533" s="326" t="str">
        <v>Linkedln</v>
      </c>
      <c r="R533" s="326" t="str">
        <v>Tesla</v>
      </c>
      <c r="S533" s="326" t="str">
        <v>Apple</v>
      </c>
    </row>
    <row r="534" spans="1:20" ht="15.75">
      <c r="L534" s="319"/>
      <c r="M534" s="319"/>
      <c r="N534" s="319"/>
      <c r="O534" s="319"/>
      <c r="P534" s="319"/>
      <c r="Q534" s="319"/>
      <c r="R534" s="319"/>
      <c r="S534" s="319"/>
    </row>
    <row r="535" spans="1:20" ht="15.75">
      <c r="D535" s="227" t="str">
        <f>_xlfn.CONCAT(D528:D533)</f>
        <v>Are You Sleeping  Brother John?</v>
      </c>
      <c r="L535" s="547" t="s">
        <v>524</v>
      </c>
      <c r="M535" s="548"/>
      <c r="N535" s="319"/>
      <c r="O535" s="327" t="s">
        <v>525</v>
      </c>
      <c r="P535" s="327" t="s">
        <v>526</v>
      </c>
      <c r="Q535" s="327" t="s">
        <v>527</v>
      </c>
      <c r="R535" s="327" t="s">
        <v>528</v>
      </c>
      <c r="S535" s="327" t="s">
        <v>529</v>
      </c>
    </row>
    <row r="536" spans="1:20" ht="15.75">
      <c r="L536" s="541" t="s">
        <v>535</v>
      </c>
      <c r="M536" s="542"/>
      <c r="N536" s="319"/>
      <c r="O536" s="326" t="str" cm="1">
        <f t="array" ref="O536:R536">_xlfn.TEXTSPLIT(L536,{",",";",":","-"})</f>
        <v>MS Paint</v>
      </c>
      <c r="P536" s="326" t="str">
        <v>MS Word</v>
      </c>
      <c r="Q536" s="326" t="str">
        <v>MS Excel</v>
      </c>
      <c r="R536" s="326" t="str">
        <v>MS Power Point</v>
      </c>
      <c r="S536" s="326"/>
    </row>
    <row r="537" spans="1:20" ht="15.75">
      <c r="A537" s="521"/>
      <c r="B537" s="521"/>
      <c r="L537" s="541" t="s">
        <v>536</v>
      </c>
      <c r="M537" s="542"/>
      <c r="N537" s="319"/>
      <c r="O537" s="326" t="str" cm="1">
        <f t="array" ref="O537:S537">_xlfn.TEXTSPLIT(L537,{",",";",":","-"})</f>
        <v>HTML</v>
      </c>
      <c r="P537" s="326" t="str">
        <v>CSS</v>
      </c>
      <c r="Q537" s="326" t="str">
        <v>JAVA</v>
      </c>
      <c r="R537" s="326" t="str">
        <v>JAVA SCRIPT</v>
      </c>
      <c r="S537" s="326" t="str">
        <v>PYTHON</v>
      </c>
    </row>
    <row r="538" spans="1:20" ht="15.75">
      <c r="D538" s="340"/>
      <c r="E538" s="341"/>
      <c r="F538" s="342"/>
      <c r="L538" s="541" t="s">
        <v>537</v>
      </c>
      <c r="M538" s="542"/>
      <c r="N538" s="319"/>
      <c r="O538" s="326" t="str" cm="1">
        <f t="array" ref="O538:S538">_xlfn.TEXTSPLIT(L538,{",",";",":","-"})</f>
        <v>Google</v>
      </c>
      <c r="P538" s="326" t="str">
        <v>Microsoft</v>
      </c>
      <c r="Q538" s="326" t="str">
        <v>Linkedln</v>
      </c>
      <c r="R538" s="326" t="str">
        <v>Tesla</v>
      </c>
      <c r="S538" s="326" t="str">
        <v>Apple</v>
      </c>
    </row>
    <row r="539" spans="1:20" ht="15.75">
      <c r="D539" s="343" t="s">
        <v>538</v>
      </c>
      <c r="E539" s="511"/>
      <c r="F539" s="344"/>
      <c r="G539" s="511"/>
      <c r="H539" s="511"/>
      <c r="L539" s="319"/>
      <c r="M539" s="319"/>
      <c r="N539" s="319"/>
      <c r="O539" s="319"/>
      <c r="P539" s="319"/>
      <c r="Q539" s="319"/>
      <c r="R539" s="319"/>
      <c r="S539" s="319"/>
    </row>
    <row r="540" spans="1:20" ht="15.75">
      <c r="D540" s="343"/>
      <c r="E540" s="338"/>
      <c r="F540" s="345"/>
      <c r="G540" s="511"/>
      <c r="H540" s="511"/>
      <c r="L540" s="319"/>
      <c r="M540" s="319"/>
      <c r="N540" s="319"/>
      <c r="O540" s="319"/>
      <c r="P540" s="319"/>
      <c r="Q540" s="319"/>
      <c r="R540" s="319"/>
      <c r="S540" s="319"/>
    </row>
    <row r="541" spans="1:20" ht="15.75">
      <c r="D541" s="346" t="s">
        <v>539</v>
      </c>
      <c r="E541" s="337">
        <f>LEN(D541)</f>
        <v>5</v>
      </c>
      <c r="F541" s="345" t="s">
        <v>244</v>
      </c>
      <c r="G541" s="511"/>
      <c r="H541" s="511"/>
      <c r="L541" s="320"/>
      <c r="M541" s="320"/>
      <c r="N541" s="319"/>
      <c r="O541" s="543" t="s">
        <v>540</v>
      </c>
      <c r="P541" s="544"/>
      <c r="Q541" s="319"/>
      <c r="R541" s="319"/>
      <c r="S541" s="319"/>
    </row>
    <row r="542" spans="1:20" ht="15.75">
      <c r="D542" s="346"/>
      <c r="E542" s="511"/>
      <c r="F542" s="344"/>
      <c r="G542" s="511"/>
      <c r="H542" s="511"/>
      <c r="L542" s="545" t="s">
        <v>541</v>
      </c>
      <c r="M542" s="546"/>
      <c r="N542" s="321"/>
      <c r="O542" s="332" t="str" cm="1">
        <f t="array" ref="O542:P545">_xlfn.TEXTSPLIT(L542,"=",",")</f>
        <v>Rahul</v>
      </c>
      <c r="P542" s="333" t="str">
        <v>5200</v>
      </c>
      <c r="Q542" s="321"/>
      <c r="R542" s="319"/>
      <c r="S542" s="319"/>
    </row>
    <row r="543" spans="1:20" ht="15.75">
      <c r="D543" s="346" t="s">
        <v>542</v>
      </c>
      <c r="E543" s="337">
        <f>LEN(D543)</f>
        <v>13</v>
      </c>
      <c r="F543" s="345" t="s">
        <v>244</v>
      </c>
      <c r="G543" s="511"/>
      <c r="H543" s="511"/>
      <c r="L543" s="322"/>
      <c r="M543" s="322"/>
      <c r="N543" s="319"/>
      <c r="O543" s="326" t="str">
        <v>Mahi</v>
      </c>
      <c r="P543" s="326" t="str">
        <v>4500</v>
      </c>
      <c r="Q543" s="319"/>
      <c r="R543" s="319"/>
      <c r="S543" s="319"/>
    </row>
    <row r="544" spans="1:20" ht="15.75">
      <c r="D544" s="347"/>
      <c r="E544" s="348"/>
      <c r="F544" s="349"/>
      <c r="G544" s="511"/>
      <c r="H544" s="511"/>
      <c r="L544" s="319"/>
      <c r="M544" s="319"/>
      <c r="N544" s="319"/>
      <c r="O544" s="326" t="str">
        <v>Kartik</v>
      </c>
      <c r="P544" s="326" t="str">
        <v>5600</v>
      </c>
      <c r="Q544" s="319"/>
      <c r="R544" s="319"/>
      <c r="S544" s="319"/>
    </row>
    <row r="545" spans="1:19" ht="15.75">
      <c r="A545" s="521"/>
      <c r="B545" s="521"/>
      <c r="L545" s="319"/>
      <c r="M545" s="319"/>
      <c r="N545" s="319"/>
      <c r="O545" s="326" t="str">
        <v>Arman</v>
      </c>
      <c r="P545" s="326" t="str">
        <v>2500</v>
      </c>
      <c r="Q545" s="319"/>
      <c r="R545" s="319"/>
      <c r="S545" s="319"/>
    </row>
    <row r="547" spans="1:19">
      <c r="D547" s="340"/>
      <c r="E547" s="341"/>
      <c r="F547" s="341"/>
      <c r="G547" s="342"/>
      <c r="H547" s="511"/>
    </row>
    <row r="548" spans="1:19">
      <c r="D548" s="343" t="s">
        <v>543</v>
      </c>
      <c r="E548" s="511"/>
      <c r="F548" s="511"/>
      <c r="G548" s="344"/>
      <c r="H548" s="511"/>
    </row>
    <row r="549" spans="1:19">
      <c r="D549" s="343"/>
      <c r="E549" s="338"/>
      <c r="F549" s="338"/>
      <c r="G549" s="344"/>
      <c r="H549" s="511"/>
    </row>
    <row r="550" spans="1:19">
      <c r="D550" s="346" t="s">
        <v>544</v>
      </c>
      <c r="E550" s="511" t="s">
        <v>545</v>
      </c>
      <c r="F550" s="511"/>
      <c r="G550" s="344"/>
      <c r="H550" s="511"/>
    </row>
    <row r="551" spans="1:19">
      <c r="D551" s="343" t="s">
        <v>546</v>
      </c>
      <c r="E551" s="338" t="s">
        <v>547</v>
      </c>
      <c r="F551" s="337">
        <f>FIND(D551,E551)</f>
        <v>19</v>
      </c>
      <c r="G551" s="345" t="s">
        <v>244</v>
      </c>
      <c r="H551" s="511"/>
    </row>
    <row r="552" spans="1:19">
      <c r="D552" s="343" t="s">
        <v>548</v>
      </c>
      <c r="E552" s="338" t="s">
        <v>549</v>
      </c>
      <c r="F552" s="337">
        <f>FIND(D552,E552)</f>
        <v>6</v>
      </c>
      <c r="G552" s="345" t="s">
        <v>244</v>
      </c>
      <c r="H552" s="511"/>
    </row>
    <row r="553" spans="1:19">
      <c r="D553" s="347"/>
      <c r="E553" s="348"/>
      <c r="F553" s="348"/>
      <c r="G553" s="349"/>
      <c r="H553" s="511"/>
    </row>
    <row r="554" spans="1:19">
      <c r="D554" s="511"/>
      <c r="E554" s="511"/>
      <c r="F554" s="511"/>
      <c r="G554" s="511"/>
      <c r="H554" s="511"/>
    </row>
    <row r="555" spans="1:19">
      <c r="D555" s="511"/>
      <c r="E555" s="511"/>
      <c r="F555" s="511"/>
      <c r="G555" s="511"/>
      <c r="H555" s="511"/>
    </row>
    <row r="556" spans="1:19">
      <c r="A556" s="521"/>
      <c r="B556" s="521"/>
      <c r="D556" s="340"/>
      <c r="E556" s="341"/>
      <c r="F556" s="341"/>
      <c r="G556" s="342"/>
    </row>
    <row r="557" spans="1:19">
      <c r="D557" s="343" t="s">
        <v>543</v>
      </c>
      <c r="E557" s="511"/>
      <c r="F557" s="511"/>
      <c r="G557" s="344"/>
    </row>
    <row r="558" spans="1:19">
      <c r="D558" s="343"/>
      <c r="E558" s="338"/>
      <c r="F558" s="338"/>
      <c r="G558" s="344"/>
    </row>
    <row r="559" spans="1:19">
      <c r="D559" s="346" t="s">
        <v>544</v>
      </c>
      <c r="E559" s="511" t="s">
        <v>545</v>
      </c>
      <c r="F559" s="511"/>
      <c r="G559" s="344"/>
    </row>
    <row r="560" spans="1:19">
      <c r="D560" s="343" t="s">
        <v>550</v>
      </c>
      <c r="E560" s="338" t="s">
        <v>547</v>
      </c>
      <c r="F560" s="337">
        <f>SEARCH(D560,E560)</f>
        <v>19</v>
      </c>
      <c r="G560" s="345" t="s">
        <v>244</v>
      </c>
    </row>
    <row r="561" spans="1:7">
      <c r="D561" s="343" t="s">
        <v>551</v>
      </c>
      <c r="E561" s="338" t="s">
        <v>549</v>
      </c>
      <c r="F561" s="337">
        <f>SEARCH(D561,E561)</f>
        <v>6</v>
      </c>
      <c r="G561" s="345" t="s">
        <v>244</v>
      </c>
    </row>
    <row r="562" spans="1:7">
      <c r="D562" s="347"/>
      <c r="E562" s="348"/>
      <c r="F562" s="348"/>
      <c r="G562" s="349"/>
    </row>
    <row r="565" spans="1:7">
      <c r="A565" s="521"/>
      <c r="B565" s="521"/>
    </row>
    <row r="566" spans="1:7">
      <c r="D566" s="340"/>
      <c r="E566" s="341"/>
      <c r="F566" s="342"/>
    </row>
    <row r="567" spans="1:7">
      <c r="D567" s="343" t="s">
        <v>552</v>
      </c>
      <c r="E567" s="511"/>
      <c r="F567" s="344"/>
    </row>
    <row r="568" spans="1:7">
      <c r="D568" s="343"/>
      <c r="E568" s="338"/>
      <c r="F568" s="345"/>
    </row>
    <row r="569" spans="1:7">
      <c r="D569" s="346" t="s">
        <v>553</v>
      </c>
      <c r="E569" s="339" t="str">
        <f>TRIM(D569)</f>
        <v>Welcome</v>
      </c>
      <c r="F569" s="345" t="s">
        <v>244</v>
      </c>
    </row>
    <row r="570" spans="1:7">
      <c r="D570" s="346"/>
      <c r="E570" s="511"/>
      <c r="F570" s="344"/>
    </row>
    <row r="571" spans="1:7">
      <c r="D571" s="346" t="s">
        <v>554</v>
      </c>
      <c r="E571" s="339" t="str">
        <f>TRIM(D571)</f>
        <v>Good Morning</v>
      </c>
      <c r="F571" s="345" t="s">
        <v>244</v>
      </c>
    </row>
    <row r="572" spans="1:7">
      <c r="D572" s="347"/>
      <c r="E572" s="348"/>
      <c r="F572" s="349"/>
    </row>
    <row r="574" spans="1:7">
      <c r="A574" s="521"/>
      <c r="B574" s="521"/>
    </row>
    <row r="575" spans="1:7">
      <c r="D575" s="340"/>
      <c r="E575" s="341"/>
      <c r="F575" s="342"/>
    </row>
    <row r="576" spans="1:7">
      <c r="D576" s="343" t="s">
        <v>555</v>
      </c>
      <c r="E576" s="511"/>
      <c r="F576" s="344"/>
      <c r="G576" s="511"/>
    </row>
    <row r="577" spans="1:7">
      <c r="D577" s="343"/>
      <c r="E577" s="338"/>
      <c r="F577" s="345"/>
      <c r="G577" s="511"/>
    </row>
    <row r="578" spans="1:7">
      <c r="D578" s="343"/>
      <c r="E578" s="338" t="s">
        <v>556</v>
      </c>
      <c r="F578" s="345"/>
      <c r="G578" s="511"/>
    </row>
    <row r="579" spans="1:7">
      <c r="D579" s="343"/>
      <c r="E579" s="338"/>
      <c r="F579" s="345"/>
      <c r="G579" s="511"/>
    </row>
    <row r="580" spans="1:7">
      <c r="D580" s="343" t="s">
        <v>557</v>
      </c>
      <c r="E580" s="339" t="str">
        <f>LOWER(E578)</f>
        <v>i love watching cartoons</v>
      </c>
      <c r="F580" s="345" t="s">
        <v>558</v>
      </c>
      <c r="G580" s="511"/>
    </row>
    <row r="581" spans="1:7">
      <c r="D581" s="343"/>
      <c r="E581" s="511"/>
      <c r="F581" s="344"/>
      <c r="G581" s="511"/>
    </row>
    <row r="582" spans="1:7">
      <c r="D582" s="343" t="s">
        <v>559</v>
      </c>
      <c r="E582" s="339" t="str">
        <f>UPPER(E578)</f>
        <v>I LOVE WATCHING CARTOONS</v>
      </c>
      <c r="F582" s="345" t="s">
        <v>558</v>
      </c>
      <c r="G582" s="511"/>
    </row>
    <row r="583" spans="1:7">
      <c r="D583" s="343"/>
      <c r="E583" s="511"/>
      <c r="F583" s="344"/>
      <c r="G583" s="511"/>
    </row>
    <row r="584" spans="1:7">
      <c r="D584" s="343" t="s">
        <v>560</v>
      </c>
      <c r="E584" s="339" t="str">
        <f>PROPER(E578)</f>
        <v>I Love Watching Cartoons</v>
      </c>
      <c r="F584" s="345" t="s">
        <v>558</v>
      </c>
      <c r="G584" s="511"/>
    </row>
    <row r="585" spans="1:7">
      <c r="D585" s="347"/>
      <c r="E585" s="348"/>
      <c r="F585" s="349"/>
      <c r="G585" s="511"/>
    </row>
    <row r="586" spans="1:7">
      <c r="D586" s="511"/>
      <c r="E586" s="511"/>
      <c r="F586" s="511"/>
      <c r="G586" s="511"/>
    </row>
    <row r="587" spans="1:7">
      <c r="A587" s="521"/>
      <c r="B587" s="521"/>
    </row>
    <row r="588" spans="1:7">
      <c r="D588" s="351" t="s">
        <v>561</v>
      </c>
      <c r="E588" s="352"/>
      <c r="F588" s="353"/>
    </row>
    <row r="589" spans="1:7">
      <c r="D589" s="343"/>
      <c r="E589" s="338"/>
      <c r="F589" s="345"/>
    </row>
    <row r="590" spans="1:7">
      <c r="D590" s="343" t="s">
        <v>562</v>
      </c>
      <c r="E590" s="350">
        <v>43573</v>
      </c>
      <c r="F590" s="345"/>
    </row>
    <row r="591" spans="1:7">
      <c r="D591" s="343"/>
      <c r="E591" s="338"/>
      <c r="F591" s="345"/>
    </row>
    <row r="592" spans="1:7">
      <c r="D592" s="343" t="s">
        <v>466</v>
      </c>
      <c r="E592" s="339">
        <f>DAY(E590)</f>
        <v>18</v>
      </c>
      <c r="F592" s="345" t="s">
        <v>244</v>
      </c>
    </row>
    <row r="593" spans="1:10">
      <c r="D593" s="343"/>
      <c r="E593" s="511"/>
      <c r="F593" s="344"/>
    </row>
    <row r="594" spans="1:10">
      <c r="D594" s="343" t="s">
        <v>465</v>
      </c>
      <c r="E594" s="339">
        <f>MONTH(E590)</f>
        <v>4</v>
      </c>
      <c r="F594" s="345" t="s">
        <v>244</v>
      </c>
    </row>
    <row r="595" spans="1:10">
      <c r="D595" s="343"/>
      <c r="E595" s="511"/>
      <c r="F595" s="344"/>
    </row>
    <row r="596" spans="1:10">
      <c r="D596" s="354" t="s">
        <v>153</v>
      </c>
      <c r="E596" s="355">
        <f>YEAR(E590)</f>
        <v>2019</v>
      </c>
      <c r="F596" s="356" t="s">
        <v>244</v>
      </c>
    </row>
    <row r="599" spans="1:10">
      <c r="A599" s="521"/>
      <c r="B599" s="521"/>
    </row>
    <row r="600" spans="1:10">
      <c r="D600" s="340"/>
      <c r="E600" s="341"/>
      <c r="F600" s="341"/>
      <c r="G600" s="341"/>
      <c r="H600" s="342"/>
    </row>
    <row r="601" spans="1:10">
      <c r="D601" s="343" t="s">
        <v>563</v>
      </c>
      <c r="E601" s="511"/>
      <c r="F601" s="511"/>
      <c r="G601" s="511"/>
      <c r="H601" s="344"/>
      <c r="I601" s="511"/>
      <c r="J601" s="511"/>
    </row>
    <row r="602" spans="1:10">
      <c r="D602" s="343"/>
      <c r="E602" s="338"/>
      <c r="F602" s="338"/>
      <c r="G602" s="511"/>
      <c r="H602" s="344"/>
      <c r="I602" s="511"/>
      <c r="J602" s="511"/>
    </row>
    <row r="603" spans="1:10">
      <c r="D603" s="358" t="s">
        <v>466</v>
      </c>
      <c r="E603" s="359" t="s">
        <v>465</v>
      </c>
      <c r="F603" s="359" t="s">
        <v>153</v>
      </c>
      <c r="G603" s="511"/>
      <c r="H603" s="344"/>
      <c r="I603" s="511"/>
      <c r="J603" s="511"/>
    </row>
    <row r="604" spans="1:10">
      <c r="D604" s="360">
        <v>11</v>
      </c>
      <c r="E604" s="512">
        <v>12</v>
      </c>
      <c r="F604" s="512">
        <v>2020</v>
      </c>
      <c r="G604" s="357">
        <f>DATE(F604,E604,D604)</f>
        <v>44176</v>
      </c>
      <c r="H604" s="345" t="s">
        <v>244</v>
      </c>
      <c r="I604" s="511"/>
      <c r="J604" s="511"/>
    </row>
    <row r="605" spans="1:10">
      <c r="D605" s="360">
        <v>25</v>
      </c>
      <c r="E605" s="512">
        <v>1</v>
      </c>
      <c r="F605" s="512">
        <v>2019</v>
      </c>
      <c r="G605" s="357">
        <f>DATE(F605,E605,D605)</f>
        <v>43490</v>
      </c>
      <c r="H605" s="345" t="s">
        <v>244</v>
      </c>
      <c r="I605" s="511"/>
      <c r="J605" s="511"/>
    </row>
    <row r="606" spans="1:10">
      <c r="D606" s="347"/>
      <c r="E606" s="348"/>
      <c r="F606" s="348"/>
      <c r="G606" s="348"/>
      <c r="H606" s="349"/>
      <c r="I606" s="511"/>
      <c r="J606" s="511"/>
    </row>
    <row r="607" spans="1:10">
      <c r="D607" s="511"/>
      <c r="E607" s="511"/>
      <c r="F607" s="511"/>
      <c r="G607" s="511"/>
      <c r="H607" s="511"/>
      <c r="I607" s="511"/>
      <c r="J607" s="511"/>
    </row>
    <row r="609" spans="1:6">
      <c r="A609" s="521"/>
      <c r="B609" s="521"/>
      <c r="E609" s="112"/>
    </row>
    <row r="610" spans="1:6">
      <c r="D610" s="351" t="s">
        <v>564</v>
      </c>
      <c r="E610" s="352"/>
      <c r="F610" s="353"/>
    </row>
    <row r="611" spans="1:6">
      <c r="D611" s="343" t="s">
        <v>565</v>
      </c>
      <c r="E611" s="511"/>
      <c r="F611" s="344"/>
    </row>
    <row r="612" spans="1:6">
      <c r="D612" s="343"/>
      <c r="E612" s="350">
        <v>45679</v>
      </c>
      <c r="F612" s="345"/>
    </row>
    <row r="613" spans="1:6">
      <c r="D613" s="346" t="s">
        <v>566</v>
      </c>
      <c r="E613" s="361">
        <f>EOMONTH(E612,5)</f>
        <v>45838</v>
      </c>
      <c r="F613" s="345" t="s">
        <v>244</v>
      </c>
    </row>
    <row r="614" spans="1:6">
      <c r="D614" s="346"/>
      <c r="E614" s="511"/>
      <c r="F614" s="344"/>
    </row>
    <row r="615" spans="1:6">
      <c r="D615" s="346" t="s">
        <v>567</v>
      </c>
      <c r="E615" s="361">
        <f>EOMONTH(E612,3)</f>
        <v>45777</v>
      </c>
      <c r="F615" s="345" t="s">
        <v>244</v>
      </c>
    </row>
    <row r="616" spans="1:6">
      <c r="D616" s="347"/>
      <c r="E616" s="348"/>
      <c r="F616" s="349"/>
    </row>
    <row r="617" spans="1:6">
      <c r="D617" s="511"/>
      <c r="E617" s="511"/>
      <c r="F617" s="511"/>
    </row>
    <row r="619" spans="1:6">
      <c r="A619" s="521"/>
      <c r="B619" s="521"/>
    </row>
    <row r="620" spans="1:6">
      <c r="D620" s="340"/>
      <c r="E620" s="341"/>
      <c r="F620" s="342"/>
    </row>
    <row r="621" spans="1:6">
      <c r="D621" s="363" t="s">
        <v>568</v>
      </c>
      <c r="E621" s="522" t="s">
        <v>569</v>
      </c>
      <c r="F621" s="523"/>
    </row>
    <row r="622" spans="1:6">
      <c r="D622" s="364" t="e">
        <v>#DIV/0!</v>
      </c>
      <c r="E622" s="362" t="str">
        <f>IFERROR(D622,"Error")</f>
        <v>Error</v>
      </c>
      <c r="F622" s="344" t="s">
        <v>570</v>
      </c>
    </row>
    <row r="623" spans="1:6">
      <c r="D623" s="364">
        <v>11</v>
      </c>
      <c r="E623" s="362">
        <f>IFERROR(D623,"Error")</f>
        <v>11</v>
      </c>
      <c r="F623" s="344" t="s">
        <v>571</v>
      </c>
    </row>
    <row r="624" spans="1:6">
      <c r="D624" s="364">
        <v>124</v>
      </c>
      <c r="E624" s="362">
        <f>IFERROR(D624,"Error")</f>
        <v>124</v>
      </c>
      <c r="F624" s="344" t="s">
        <v>572</v>
      </c>
    </row>
    <row r="625" spans="1:7">
      <c r="D625" s="364" t="e">
        <v>#NAME?</v>
      </c>
      <c r="E625" s="362" t="str">
        <f>IFERROR(D625,"Error")</f>
        <v>Error</v>
      </c>
      <c r="F625" s="344" t="s">
        <v>573</v>
      </c>
    </row>
    <row r="626" spans="1:7">
      <c r="D626" s="364">
        <v>1245</v>
      </c>
      <c r="E626" s="362">
        <f>IFERROR(D626,"Error")</f>
        <v>1245</v>
      </c>
      <c r="F626" s="344" t="s">
        <v>574</v>
      </c>
    </row>
    <row r="627" spans="1:7">
      <c r="D627" s="364" t="e">
        <v>#REF!</v>
      </c>
      <c r="E627" s="362" t="str">
        <f>IFERROR(D627,"Error")</f>
        <v>Error</v>
      </c>
      <c r="F627" s="344" t="s">
        <v>575</v>
      </c>
    </row>
    <row r="628" spans="1:7">
      <c r="D628" s="347"/>
      <c r="E628" s="348"/>
      <c r="F628" s="349"/>
    </row>
    <row r="630" spans="1:7">
      <c r="A630" s="521"/>
      <c r="B630" s="521"/>
    </row>
    <row r="632" spans="1:7">
      <c r="D632" s="533" t="s">
        <v>576</v>
      </c>
      <c r="E632" s="533"/>
      <c r="F632" s="533"/>
      <c r="G632" s="533"/>
    </row>
    <row r="633" spans="1:7">
      <c r="D633" s="368" t="s">
        <v>577</v>
      </c>
      <c r="E633" s="369" t="s">
        <v>578</v>
      </c>
      <c r="F633" s="511"/>
      <c r="G633" s="511"/>
    </row>
    <row r="634" spans="1:7">
      <c r="D634" s="366" t="s">
        <v>579</v>
      </c>
      <c r="E634" s="366">
        <v>1.29</v>
      </c>
      <c r="F634" s="511"/>
      <c r="G634" s="511"/>
    </row>
    <row r="635" spans="1:7">
      <c r="D635" s="366">
        <v>9423.1</v>
      </c>
      <c r="E635" s="366">
        <v>1.1100000000000001</v>
      </c>
      <c r="F635" s="511"/>
      <c r="G635" s="511"/>
    </row>
    <row r="636" spans="1:7">
      <c r="D636" s="366" t="s">
        <v>580</v>
      </c>
      <c r="E636" s="366">
        <v>0.28999999999999998</v>
      </c>
      <c r="F636" s="511"/>
      <c r="G636" s="511"/>
    </row>
    <row r="637" spans="1:7">
      <c r="D637" s="366" t="s">
        <v>581</v>
      </c>
      <c r="E637" s="366">
        <v>0.28999999999999998</v>
      </c>
      <c r="F637" s="511"/>
      <c r="G637" s="511"/>
    </row>
    <row r="638" spans="1:7">
      <c r="D638" s="366" t="s">
        <v>582</v>
      </c>
      <c r="E638" s="366">
        <v>1.29</v>
      </c>
      <c r="F638" s="511"/>
      <c r="G638" s="511"/>
    </row>
    <row r="639" spans="1:7">
      <c r="D639" s="367">
        <v>506</v>
      </c>
      <c r="E639" s="366">
        <v>1</v>
      </c>
      <c r="F639" s="511"/>
      <c r="G639" s="511"/>
    </row>
    <row r="640" spans="1:7">
      <c r="D640" s="511"/>
      <c r="E640" s="511"/>
      <c r="F640" s="511"/>
      <c r="G640" s="511"/>
    </row>
    <row r="641" spans="1:7">
      <c r="D641" s="511"/>
      <c r="E641" s="511" t="s">
        <v>203</v>
      </c>
      <c r="F641" s="365">
        <f>SUMPRODUCT(D634:D639,E634:E639)</f>
        <v>10965.641000000001</v>
      </c>
      <c r="G641" s="338" t="s">
        <v>558</v>
      </c>
    </row>
    <row r="644" spans="1:7" ht="20.25">
      <c r="A644" s="521"/>
      <c r="B644" s="521"/>
      <c r="D644" s="370" t="s">
        <v>583</v>
      </c>
    </row>
    <row r="646" spans="1:7" ht="51.75" customHeight="1">
      <c r="D646" s="524" t="s">
        <v>584</v>
      </c>
      <c r="E646" s="525"/>
      <c r="F646" s="526"/>
    </row>
    <row r="647" spans="1:7" ht="21.75">
      <c r="D647" s="527" t="s">
        <v>585</v>
      </c>
      <c r="E647" s="528"/>
      <c r="F647" s="529"/>
    </row>
    <row r="648" spans="1:7" ht="21.75">
      <c r="D648" s="530" t="s">
        <v>586</v>
      </c>
      <c r="E648" s="531"/>
      <c r="F648" s="532"/>
    </row>
    <row r="652" spans="1:7">
      <c r="D652" s="338" t="s">
        <v>587</v>
      </c>
      <c r="E652" s="511"/>
      <c r="F652" s="511"/>
      <c r="G652" s="511"/>
    </row>
    <row r="653" spans="1:7">
      <c r="D653" s="338"/>
      <c r="E653" s="338"/>
      <c r="F653" s="338"/>
      <c r="G653" s="511"/>
    </row>
    <row r="654" spans="1:7">
      <c r="D654" s="338" t="s">
        <v>161</v>
      </c>
      <c r="E654" s="338" t="s">
        <v>588</v>
      </c>
      <c r="F654" s="511"/>
      <c r="G654" s="511"/>
    </row>
    <row r="655" spans="1:7">
      <c r="D655" s="511" t="s">
        <v>589</v>
      </c>
      <c r="E655" s="511">
        <v>22</v>
      </c>
      <c r="F655" s="511"/>
      <c r="G655" s="511"/>
    </row>
    <row r="656" spans="1:7">
      <c r="D656" s="511" t="s">
        <v>393</v>
      </c>
      <c r="E656" s="511">
        <v>24</v>
      </c>
      <c r="F656" s="511"/>
      <c r="G656" s="511"/>
    </row>
    <row r="657" spans="4:7">
      <c r="D657" s="511" t="s">
        <v>590</v>
      </c>
      <c r="E657" s="511">
        <v>26</v>
      </c>
      <c r="F657" s="511"/>
      <c r="G657" s="511"/>
    </row>
    <row r="658" spans="4:7">
      <c r="D658" s="511" t="s">
        <v>591</v>
      </c>
      <c r="E658" s="511">
        <v>34</v>
      </c>
      <c r="F658" s="511"/>
      <c r="G658" s="511"/>
    </row>
    <row r="659" spans="4:7">
      <c r="D659" s="511" t="s">
        <v>592</v>
      </c>
      <c r="E659" s="511">
        <v>32</v>
      </c>
      <c r="F659" s="511"/>
      <c r="G659" s="511"/>
    </row>
    <row r="660" spans="4:7">
      <c r="D660" s="511" t="s">
        <v>593</v>
      </c>
      <c r="E660" s="511">
        <v>35</v>
      </c>
      <c r="F660" s="511"/>
      <c r="G660" s="511"/>
    </row>
    <row r="661" spans="4:7">
      <c r="D661" s="511" t="s">
        <v>594</v>
      </c>
      <c r="E661" s="511">
        <v>34</v>
      </c>
      <c r="F661" s="511"/>
      <c r="G661" s="511"/>
    </row>
    <row r="662" spans="4:7">
      <c r="D662" s="511"/>
      <c r="E662" s="511"/>
      <c r="F662" s="511"/>
      <c r="G662" s="511"/>
    </row>
    <row r="663" spans="4:7">
      <c r="D663" s="339">
        <f>COUNTIF(D655:D661,"?oel")</f>
        <v>3</v>
      </c>
      <c r="E663" s="338" t="s">
        <v>244</v>
      </c>
      <c r="F663">
        <f>SUMIF(E655:E661,"??4")</f>
        <v>0</v>
      </c>
      <c r="G663" s="511"/>
    </row>
    <row r="667" spans="4:7">
      <c r="D667" s="338" t="s">
        <v>595</v>
      </c>
      <c r="E667" s="511"/>
    </row>
    <row r="668" spans="4:7">
      <c r="D668" s="338"/>
      <c r="E668" s="338"/>
    </row>
    <row r="669" spans="4:7">
      <c r="D669" s="338" t="s">
        <v>161</v>
      </c>
      <c r="E669" s="511"/>
    </row>
    <row r="670" spans="4:7">
      <c r="D670" s="511" t="s">
        <v>596</v>
      </c>
      <c r="E670" s="511"/>
    </row>
    <row r="671" spans="4:7">
      <c r="D671" s="511" t="s">
        <v>393</v>
      </c>
      <c r="E671" s="511"/>
    </row>
    <row r="672" spans="4:7">
      <c r="D672" s="511" t="s">
        <v>597</v>
      </c>
      <c r="E672" s="511"/>
    </row>
    <row r="673" spans="1:7">
      <c r="D673" s="511" t="s">
        <v>598</v>
      </c>
      <c r="E673" s="511"/>
    </row>
    <row r="674" spans="1:7">
      <c r="D674" s="511" t="s">
        <v>592</v>
      </c>
      <c r="E674" s="511"/>
    </row>
    <row r="675" spans="1:7">
      <c r="D675" s="511" t="s">
        <v>599</v>
      </c>
      <c r="E675" s="511"/>
    </row>
    <row r="676" spans="1:7">
      <c r="D676" s="511" t="s">
        <v>600</v>
      </c>
      <c r="E676" s="511"/>
    </row>
    <row r="677" spans="1:7">
      <c r="D677" s="511"/>
      <c r="E677" s="511"/>
    </row>
    <row r="678" spans="1:7">
      <c r="D678" s="339">
        <f>COUNTIF(D670:D676,"*ie")</f>
        <v>3</v>
      </c>
      <c r="E678" s="338" t="s">
        <v>244</v>
      </c>
    </row>
    <row r="679" spans="1:7">
      <c r="D679" s="511"/>
      <c r="E679" s="511"/>
    </row>
    <row r="682" spans="1:7">
      <c r="A682" s="521"/>
      <c r="B682" s="521"/>
    </row>
    <row r="683" spans="1:7">
      <c r="D683" s="533" t="s">
        <v>601</v>
      </c>
      <c r="E683" s="533"/>
      <c r="F683" s="533"/>
      <c r="G683" s="533"/>
    </row>
    <row r="684" spans="1:7">
      <c r="D684" s="511"/>
      <c r="E684" s="372" t="s">
        <v>602</v>
      </c>
      <c r="F684" s="511"/>
      <c r="G684" s="511"/>
    </row>
    <row r="685" spans="1:7">
      <c r="D685" s="511"/>
      <c r="E685" s="373">
        <v>999</v>
      </c>
      <c r="F685" s="511"/>
      <c r="G685" s="511"/>
    </row>
    <row r="686" spans="1:7">
      <c r="D686" s="511"/>
      <c r="E686" s="374">
        <v>1111</v>
      </c>
      <c r="F686" s="511"/>
      <c r="G686" s="511"/>
    </row>
    <row r="687" spans="1:7">
      <c r="D687" s="511"/>
      <c r="E687" s="375">
        <v>2</v>
      </c>
      <c r="F687" s="511"/>
      <c r="G687" s="511"/>
    </row>
    <row r="688" spans="1:7">
      <c r="D688" s="511"/>
      <c r="E688" s="375">
        <v>2</v>
      </c>
      <c r="F688" s="511"/>
      <c r="G688" s="511"/>
    </row>
    <row r="689" spans="1:7">
      <c r="D689" s="511"/>
      <c r="E689" s="373">
        <v>999</v>
      </c>
      <c r="F689" s="511"/>
      <c r="G689" s="511"/>
    </row>
    <row r="690" spans="1:7">
      <c r="D690" s="511"/>
      <c r="E690" s="374">
        <v>1111</v>
      </c>
      <c r="F690" s="511"/>
      <c r="G690" s="511"/>
    </row>
    <row r="691" spans="1:7">
      <c r="D691" s="511"/>
      <c r="E691" s="373">
        <v>999</v>
      </c>
      <c r="F691" s="511"/>
      <c r="G691" s="511"/>
    </row>
    <row r="692" spans="1:7">
      <c r="D692" s="511"/>
      <c r="E692" s="376">
        <v>4</v>
      </c>
      <c r="F692" s="511"/>
      <c r="G692" s="511"/>
    </row>
    <row r="693" spans="1:7">
      <c r="D693" s="511"/>
      <c r="E693" s="376">
        <v>4</v>
      </c>
      <c r="F693" s="511"/>
      <c r="G693" s="511"/>
    </row>
    <row r="694" spans="1:7">
      <c r="D694" s="511"/>
      <c r="E694" s="511"/>
      <c r="F694" s="511"/>
      <c r="G694" s="511"/>
    </row>
    <row r="695" spans="1:7">
      <c r="D695" s="377"/>
      <c r="E695" s="378" cm="1">
        <f t="array" ref="E695:E698">_xlfn.UNIQUE(E685:E693)</f>
        <v>999</v>
      </c>
      <c r="F695" s="338"/>
      <c r="G695" s="511"/>
    </row>
    <row r="696" spans="1:7">
      <c r="E696" s="379">
        <v>1111</v>
      </c>
    </row>
    <row r="697" spans="1:7">
      <c r="E697" s="379">
        <v>2</v>
      </c>
    </row>
    <row r="698" spans="1:7">
      <c r="E698" s="380">
        <v>4</v>
      </c>
    </row>
    <row r="700" spans="1:7">
      <c r="A700" s="521"/>
      <c r="B700" s="521"/>
    </row>
    <row r="702" spans="1:7">
      <c r="D702" s="533" t="s">
        <v>603</v>
      </c>
      <c r="E702" s="533"/>
      <c r="F702" s="533"/>
      <c r="G702" s="533"/>
    </row>
    <row r="703" spans="1:7">
      <c r="D703" s="511"/>
      <c r="E703" s="381" t="s">
        <v>161</v>
      </c>
      <c r="F703" s="382" t="s">
        <v>604</v>
      </c>
      <c r="G703" s="511"/>
    </row>
    <row r="704" spans="1:7">
      <c r="D704" s="511"/>
      <c r="E704" s="383" t="s">
        <v>605</v>
      </c>
      <c r="F704" s="383">
        <v>3</v>
      </c>
      <c r="G704" s="511"/>
    </row>
    <row r="705" spans="1:7">
      <c r="D705" s="511"/>
      <c r="E705" s="383" t="s">
        <v>606</v>
      </c>
      <c r="F705" s="383">
        <v>5</v>
      </c>
      <c r="G705" s="511"/>
    </row>
    <row r="706" spans="1:7">
      <c r="D706" s="511"/>
      <c r="E706" s="383" t="s">
        <v>607</v>
      </c>
      <c r="F706" s="383">
        <v>2</v>
      </c>
      <c r="G706" s="511"/>
    </row>
    <row r="707" spans="1:7">
      <c r="D707" s="511"/>
      <c r="E707" s="383" t="s">
        <v>453</v>
      </c>
      <c r="F707" s="383">
        <v>4</v>
      </c>
      <c r="G707" s="511"/>
    </row>
    <row r="708" spans="1:7">
      <c r="D708" s="511"/>
      <c r="E708" s="383" t="s">
        <v>608</v>
      </c>
      <c r="F708" s="383">
        <v>1</v>
      </c>
      <c r="G708" s="511"/>
    </row>
    <row r="711" spans="1:7">
      <c r="D711" s="511"/>
      <c r="E711" s="384" t="s">
        <v>161</v>
      </c>
      <c r="F711" s="384" t="s">
        <v>604</v>
      </c>
    </row>
    <row r="712" spans="1:7" ht="15" customHeight="1">
      <c r="C712" s="534" t="s">
        <v>609</v>
      </c>
      <c r="D712" s="535"/>
      <c r="E712" s="385" t="str" cm="1">
        <f t="array" ref="E712:F716">_xlfn._xlws.SORT(E704:F708,2,1)</f>
        <v>Nemo</v>
      </c>
      <c r="F712" s="386">
        <v>1</v>
      </c>
    </row>
    <row r="713" spans="1:7">
      <c r="D713" s="377"/>
      <c r="E713" s="386" t="str">
        <v>Anya</v>
      </c>
      <c r="F713" s="386">
        <v>2</v>
      </c>
    </row>
    <row r="714" spans="1:7">
      <c r="D714" s="377"/>
      <c r="E714" s="386" t="str">
        <v>Leroy</v>
      </c>
      <c r="F714" s="386">
        <v>3</v>
      </c>
    </row>
    <row r="715" spans="1:7">
      <c r="D715" s="377"/>
      <c r="E715" s="386" t="str">
        <v>David</v>
      </c>
      <c r="F715" s="386">
        <v>4</v>
      </c>
    </row>
    <row r="716" spans="1:7">
      <c r="D716" s="377"/>
      <c r="E716" s="386" t="str">
        <v>Adi</v>
      </c>
      <c r="F716" s="386">
        <v>5</v>
      </c>
    </row>
    <row r="719" spans="1:7">
      <c r="A719" s="521"/>
      <c r="B719" s="521"/>
    </row>
    <row r="721" spans="2:12">
      <c r="B721" s="261" t="s">
        <v>267</v>
      </c>
      <c r="C721" s="536" t="s">
        <v>610</v>
      </c>
      <c r="D721" s="536"/>
      <c r="E721" s="536"/>
      <c r="F721" s="536"/>
      <c r="G721" s="536"/>
      <c r="H721" s="511"/>
      <c r="I721" s="511"/>
      <c r="J721" s="538"/>
      <c r="K721" s="538"/>
      <c r="L721" s="511"/>
    </row>
    <row r="722" spans="2:12">
      <c r="C722" s="511"/>
      <c r="D722" s="381" t="s">
        <v>161</v>
      </c>
      <c r="E722" s="382" t="s">
        <v>611</v>
      </c>
      <c r="F722" s="387" t="s">
        <v>612</v>
      </c>
      <c r="G722" s="388" t="s">
        <v>613</v>
      </c>
      <c r="H722" s="511"/>
      <c r="I722" s="511"/>
      <c r="J722" s="538"/>
      <c r="K722" s="538"/>
      <c r="L722" s="511"/>
    </row>
    <row r="723" spans="2:12">
      <c r="C723" s="511"/>
      <c r="D723" s="383" t="s">
        <v>614</v>
      </c>
      <c r="E723" s="383">
        <v>4.99</v>
      </c>
      <c r="F723" s="389">
        <v>4.0199999999999996</v>
      </c>
      <c r="G723" s="390">
        <v>9.01</v>
      </c>
      <c r="H723" s="511"/>
      <c r="I723" s="511"/>
      <c r="J723" s="538"/>
      <c r="K723" s="538"/>
      <c r="L723" s="511"/>
    </row>
    <row r="724" spans="2:12">
      <c r="C724" s="511"/>
      <c r="D724" s="383" t="s">
        <v>615</v>
      </c>
      <c r="E724" s="383">
        <v>5.01</v>
      </c>
      <c r="F724" s="389">
        <v>5.92</v>
      </c>
      <c r="G724" s="390">
        <v>10.93</v>
      </c>
      <c r="H724" s="511"/>
      <c r="I724" s="511"/>
      <c r="J724" s="538"/>
      <c r="K724" s="538"/>
      <c r="L724" s="511"/>
    </row>
    <row r="725" spans="2:12">
      <c r="C725" s="511"/>
      <c r="D725" s="383" t="s">
        <v>616</v>
      </c>
      <c r="E725" s="383">
        <v>3.99</v>
      </c>
      <c r="F725" s="389">
        <v>6.2</v>
      </c>
      <c r="G725" s="390">
        <v>10.19</v>
      </c>
      <c r="H725" s="511"/>
      <c r="I725" s="511"/>
      <c r="J725" s="538"/>
      <c r="K725" s="538"/>
      <c r="L725" s="511"/>
    </row>
    <row r="726" spans="2:12">
      <c r="C726" s="511"/>
      <c r="D726" s="383" t="s">
        <v>617</v>
      </c>
      <c r="E726" s="383">
        <v>1.23</v>
      </c>
      <c r="F726" s="389">
        <v>2.11</v>
      </c>
      <c r="G726" s="390">
        <v>3.34</v>
      </c>
      <c r="H726" s="511"/>
      <c r="I726" s="511"/>
      <c r="J726" s="538"/>
      <c r="K726" s="538"/>
      <c r="L726" s="511"/>
    </row>
    <row r="727" spans="2:12">
      <c r="C727" s="511"/>
      <c r="D727" s="538"/>
      <c r="E727" s="538"/>
      <c r="F727" s="511"/>
      <c r="G727" s="511"/>
      <c r="H727" s="511"/>
      <c r="I727" s="511"/>
      <c r="J727" s="538"/>
      <c r="K727" s="538"/>
      <c r="L727" s="511"/>
    </row>
    <row r="728" spans="2:12">
      <c r="C728" s="511"/>
      <c r="D728" s="539" t="s">
        <v>618</v>
      </c>
      <c r="E728" s="540"/>
      <c r="F728" s="511"/>
      <c r="I728" s="511"/>
      <c r="L728" s="511"/>
    </row>
    <row r="729" spans="2:12">
      <c r="C729" s="511"/>
      <c r="D729" s="391" t="s">
        <v>604</v>
      </c>
      <c r="E729" s="392" t="s">
        <v>161</v>
      </c>
      <c r="F729" s="511"/>
      <c r="I729" s="511"/>
      <c r="L729" s="511"/>
    </row>
    <row r="730" spans="2:12">
      <c r="C730" s="536" t="s">
        <v>619</v>
      </c>
      <c r="D730" s="391">
        <v>1</v>
      </c>
      <c r="E730" s="393" t="str" cm="1">
        <f t="array" ref="E730:E733">_xlfn.SORTBY(D723:D726,E723:E726,-1)</f>
        <v>Jonny</v>
      </c>
      <c r="F730" s="394"/>
      <c r="I730" s="394"/>
      <c r="L730" s="394"/>
    </row>
    <row r="731" spans="2:12">
      <c r="C731" s="536"/>
      <c r="D731" s="391">
        <v>2</v>
      </c>
      <c r="E731" s="396" t="str">
        <v>Hayley</v>
      </c>
      <c r="F731" s="511"/>
      <c r="I731" s="511"/>
      <c r="L731" s="511"/>
    </row>
    <row r="732" spans="2:12">
      <c r="C732" s="536"/>
      <c r="D732" s="391">
        <v>3</v>
      </c>
      <c r="E732" s="396" t="str">
        <v>Jackey</v>
      </c>
      <c r="F732" s="511"/>
      <c r="I732" s="511"/>
      <c r="L732" s="511"/>
    </row>
    <row r="733" spans="2:12">
      <c r="C733" s="536"/>
      <c r="D733" s="398">
        <v>4</v>
      </c>
      <c r="E733" s="399" t="str">
        <v>Carey</v>
      </c>
      <c r="F733" s="511"/>
      <c r="I733" s="511"/>
      <c r="L733" s="511"/>
    </row>
    <row r="735" spans="2:12">
      <c r="D735" s="401" t="s">
        <v>620</v>
      </c>
      <c r="E735" s="402"/>
    </row>
    <row r="736" spans="2:12">
      <c r="D736" s="391" t="s">
        <v>604</v>
      </c>
      <c r="E736" s="392" t="s">
        <v>161</v>
      </c>
    </row>
    <row r="737" spans="2:7">
      <c r="D737" s="391">
        <v>1</v>
      </c>
      <c r="E737" s="395" t="str" cm="1">
        <f t="array" ref="E737:E740">_xlfn.SORTBY(D723:D726,F723:F726,-1)</f>
        <v>Jackey</v>
      </c>
    </row>
    <row r="738" spans="2:7">
      <c r="D738" s="391">
        <v>2</v>
      </c>
      <c r="E738" s="397" t="str">
        <v>Jonny</v>
      </c>
    </row>
    <row r="739" spans="2:7">
      <c r="D739" s="391">
        <v>3</v>
      </c>
      <c r="E739" s="397" t="str">
        <v>Hayley</v>
      </c>
    </row>
    <row r="740" spans="2:7">
      <c r="D740" s="398">
        <v>4</v>
      </c>
      <c r="E740" s="400" t="str">
        <v>Carey</v>
      </c>
    </row>
    <row r="743" spans="2:7">
      <c r="D743" s="596" t="s">
        <v>613</v>
      </c>
      <c r="E743" s="597"/>
    </row>
    <row r="744" spans="2:7">
      <c r="D744" s="391" t="s">
        <v>604</v>
      </c>
      <c r="E744" s="392" t="s">
        <v>161</v>
      </c>
    </row>
    <row r="745" spans="2:7">
      <c r="D745" s="391">
        <v>1</v>
      </c>
      <c r="E745" s="395" t="str" cm="1">
        <f t="array" ref="E745:E748">_xlfn.SORTBY(D723:D726,G723:G726,-1)</f>
        <v>Jonny</v>
      </c>
    </row>
    <row r="746" spans="2:7">
      <c r="D746" s="391">
        <v>2</v>
      </c>
      <c r="E746" s="397" t="str">
        <v>Jackey</v>
      </c>
    </row>
    <row r="747" spans="2:7">
      <c r="D747" s="391">
        <v>3</v>
      </c>
      <c r="E747" s="397" t="str">
        <v>Hayley</v>
      </c>
    </row>
    <row r="748" spans="2:7">
      <c r="D748" s="398">
        <v>4</v>
      </c>
      <c r="E748" s="400" t="str">
        <v>Carey</v>
      </c>
    </row>
    <row r="752" spans="2:7" ht="30.75">
      <c r="B752" s="261" t="s">
        <v>279</v>
      </c>
      <c r="C752" s="403" t="s">
        <v>621</v>
      </c>
      <c r="D752" s="511"/>
      <c r="E752" s="511"/>
      <c r="F752" s="511"/>
      <c r="G752" s="511"/>
    </row>
    <row r="753" spans="3:12">
      <c r="C753" s="377" t="s">
        <v>622</v>
      </c>
      <c r="D753" s="511"/>
      <c r="E753" s="511"/>
      <c r="F753" s="511"/>
      <c r="G753" s="511"/>
    </row>
    <row r="754" spans="3:12">
      <c r="C754" s="377" t="s">
        <v>623</v>
      </c>
      <c r="D754" s="511"/>
      <c r="E754" s="511"/>
      <c r="F754" s="511"/>
      <c r="G754" s="511"/>
    </row>
    <row r="755" spans="3:12">
      <c r="C755" s="377"/>
      <c r="D755" s="511"/>
      <c r="E755" s="511"/>
      <c r="F755" s="511"/>
      <c r="G755" s="511"/>
    </row>
    <row r="756" spans="3:12">
      <c r="C756" s="377"/>
      <c r="D756" s="338" t="s">
        <v>624</v>
      </c>
      <c r="E756" s="338" t="s">
        <v>293</v>
      </c>
      <c r="F756" s="338" t="s">
        <v>161</v>
      </c>
      <c r="G756" s="338" t="s">
        <v>625</v>
      </c>
      <c r="I756" t="s">
        <v>626</v>
      </c>
    </row>
    <row r="757" spans="3:12">
      <c r="C757" s="377"/>
      <c r="D757" s="511" t="s">
        <v>494</v>
      </c>
      <c r="E757" s="511" t="s">
        <v>302</v>
      </c>
      <c r="F757" s="511" t="s">
        <v>230</v>
      </c>
      <c r="G757" s="511">
        <v>100</v>
      </c>
      <c r="I757" t="str" cm="1">
        <f t="array" ref="I757:L759">_xlfn._xlws.FILTER(D757:G765,D757:D765="A")</f>
        <v>A</v>
      </c>
      <c r="J757" t="str">
        <v>USA</v>
      </c>
      <c r="K757" t="str">
        <v>John</v>
      </c>
      <c r="L757">
        <v>100</v>
      </c>
    </row>
    <row r="758" spans="3:12">
      <c r="C758" s="377"/>
      <c r="D758" s="511" t="s">
        <v>501</v>
      </c>
      <c r="E758" s="511" t="s">
        <v>301</v>
      </c>
      <c r="F758" s="511" t="s">
        <v>627</v>
      </c>
      <c r="G758" s="511">
        <v>98</v>
      </c>
      <c r="I758" t="str">
        <v>A</v>
      </c>
      <c r="J758" t="str">
        <v>Canada</v>
      </c>
      <c r="K758" t="str">
        <v>Alex</v>
      </c>
      <c r="L758">
        <v>91</v>
      </c>
    </row>
    <row r="759" spans="3:12">
      <c r="C759" s="377"/>
      <c r="D759" s="511" t="s">
        <v>499</v>
      </c>
      <c r="E759" s="511" t="s">
        <v>628</v>
      </c>
      <c r="F759" s="511" t="s">
        <v>381</v>
      </c>
      <c r="G759" s="511">
        <v>100</v>
      </c>
      <c r="I759" t="str">
        <v>A</v>
      </c>
      <c r="J759" t="str">
        <v>Brazil</v>
      </c>
      <c r="K759" t="str">
        <v>Daniel</v>
      </c>
      <c r="L759">
        <v>100</v>
      </c>
    </row>
    <row r="760" spans="3:12">
      <c r="C760" s="377"/>
      <c r="D760" s="511" t="s">
        <v>500</v>
      </c>
      <c r="E760" s="511" t="s">
        <v>629</v>
      </c>
      <c r="F760" s="511" t="s">
        <v>232</v>
      </c>
      <c r="G760" s="511">
        <v>92</v>
      </c>
    </row>
    <row r="761" spans="3:12">
      <c r="C761" s="377"/>
      <c r="D761" s="511" t="s">
        <v>494</v>
      </c>
      <c r="E761" s="511" t="s">
        <v>301</v>
      </c>
      <c r="F761" s="511" t="s">
        <v>258</v>
      </c>
      <c r="G761" s="511">
        <v>91</v>
      </c>
    </row>
    <row r="762" spans="3:12">
      <c r="C762" s="377"/>
      <c r="D762" s="511" t="s">
        <v>500</v>
      </c>
      <c r="E762" s="511" t="s">
        <v>628</v>
      </c>
      <c r="F762" s="511" t="s">
        <v>630</v>
      </c>
      <c r="G762" s="511">
        <v>93</v>
      </c>
    </row>
    <row r="763" spans="3:12">
      <c r="C763" s="377"/>
      <c r="D763" s="511" t="s">
        <v>501</v>
      </c>
      <c r="E763" s="511" t="s">
        <v>302</v>
      </c>
      <c r="F763" s="511" t="s">
        <v>631</v>
      </c>
      <c r="G763" s="511">
        <v>94</v>
      </c>
    </row>
    <row r="764" spans="3:12">
      <c r="C764" s="377"/>
      <c r="D764" s="511" t="s">
        <v>494</v>
      </c>
      <c r="E764" s="511" t="s">
        <v>632</v>
      </c>
      <c r="F764" s="511" t="s">
        <v>598</v>
      </c>
      <c r="G764" s="511">
        <v>100</v>
      </c>
    </row>
    <row r="765" spans="3:12">
      <c r="C765" s="377"/>
      <c r="D765" s="511" t="s">
        <v>500</v>
      </c>
      <c r="E765" s="511" t="s">
        <v>633</v>
      </c>
      <c r="F765" s="511" t="s">
        <v>634</v>
      </c>
      <c r="G765" s="511">
        <v>98</v>
      </c>
    </row>
    <row r="766" spans="3:12">
      <c r="C766" s="377"/>
      <c r="D766" s="511"/>
      <c r="E766" s="511"/>
      <c r="F766" s="511"/>
      <c r="G766" s="511"/>
    </row>
    <row r="767" spans="3:12">
      <c r="C767" s="377"/>
      <c r="D767" s="338" t="s">
        <v>624</v>
      </c>
      <c r="E767" s="338" t="s">
        <v>293</v>
      </c>
      <c r="F767" s="338" t="s">
        <v>161</v>
      </c>
      <c r="G767" s="338" t="s">
        <v>625</v>
      </c>
    </row>
    <row r="768" spans="3:12">
      <c r="C768" s="403"/>
      <c r="D768" s="404" t="str" cm="1">
        <f t="array" ref="D768:G776">_xlfn.SORTBY(D757:G765,D757:D765,1,E757:E765,1)</f>
        <v>A</v>
      </c>
      <c r="E768" s="511" t="str">
        <v>Brazil</v>
      </c>
      <c r="F768" s="511" t="str">
        <v>Daniel</v>
      </c>
      <c r="G768" s="511">
        <v>100</v>
      </c>
    </row>
    <row r="769" spans="1:7">
      <c r="C769" s="377"/>
      <c r="D769" s="511" t="str">
        <v>A</v>
      </c>
      <c r="E769" s="511" t="str">
        <v>Canada</v>
      </c>
      <c r="F769" s="511" t="str">
        <v>Alex</v>
      </c>
      <c r="G769" s="511">
        <v>91</v>
      </c>
    </row>
    <row r="770" spans="1:7">
      <c r="D770" t="str">
        <v>A</v>
      </c>
      <c r="E770" t="str">
        <v>USA</v>
      </c>
      <c r="F770" t="str">
        <v>John</v>
      </c>
      <c r="G770">
        <v>100</v>
      </c>
    </row>
    <row r="771" spans="1:7">
      <c r="D771" t="str">
        <v>B</v>
      </c>
      <c r="E771" t="str">
        <v>Israel</v>
      </c>
      <c r="F771" t="str">
        <v>Dan</v>
      </c>
      <c r="G771">
        <v>100</v>
      </c>
    </row>
    <row r="772" spans="1:7">
      <c r="D772" t="str">
        <v>C</v>
      </c>
      <c r="E772" t="str">
        <v>Israel</v>
      </c>
      <c r="F772" t="str">
        <v>Dean</v>
      </c>
      <c r="G772">
        <v>93</v>
      </c>
    </row>
    <row r="773" spans="1:7">
      <c r="D773" t="str">
        <v>C</v>
      </c>
      <c r="E773" t="str">
        <v>Nigeria</v>
      </c>
      <c r="F773" t="str">
        <v>James</v>
      </c>
      <c r="G773">
        <v>98</v>
      </c>
    </row>
    <row r="774" spans="1:7">
      <c r="D774" t="str">
        <v>C</v>
      </c>
      <c r="E774" t="str">
        <v>UK</v>
      </c>
      <c r="F774" t="str">
        <v>Jake</v>
      </c>
      <c r="G774">
        <v>92</v>
      </c>
    </row>
    <row r="775" spans="1:7">
      <c r="D775" t="str">
        <v>D</v>
      </c>
      <c r="E775" t="str">
        <v>Canada</v>
      </c>
      <c r="F775" t="str">
        <v>Robert</v>
      </c>
      <c r="G775">
        <v>98</v>
      </c>
    </row>
    <row r="776" spans="1:7">
      <c r="D776" t="str">
        <v>D</v>
      </c>
      <c r="E776" t="str">
        <v>USA</v>
      </c>
      <c r="F776" t="str">
        <v>Jay Jay</v>
      </c>
      <c r="G776">
        <v>94</v>
      </c>
    </row>
    <row r="778" spans="1:7">
      <c r="A778" s="521"/>
      <c r="B778" s="521"/>
    </row>
    <row r="781" spans="1:7">
      <c r="C781" s="536" t="s">
        <v>635</v>
      </c>
      <c r="D781" s="536"/>
      <c r="E781" s="536"/>
      <c r="F781" s="536"/>
      <c r="G781" s="511"/>
    </row>
    <row r="782" spans="1:7" ht="30.75">
      <c r="C782" s="511"/>
      <c r="D782" s="381" t="s">
        <v>344</v>
      </c>
      <c r="E782" s="382" t="s">
        <v>636</v>
      </c>
      <c r="F782" s="382" t="s">
        <v>637</v>
      </c>
      <c r="G782" s="511"/>
    </row>
    <row r="783" spans="1:7">
      <c r="C783" s="511"/>
      <c r="D783" s="383" t="s">
        <v>348</v>
      </c>
      <c r="E783" s="383" t="s">
        <v>638</v>
      </c>
      <c r="F783" s="383">
        <v>931.78</v>
      </c>
      <c r="G783" s="511"/>
    </row>
    <row r="784" spans="1:7">
      <c r="C784" s="511"/>
      <c r="D784" s="383" t="s">
        <v>639</v>
      </c>
      <c r="E784" s="383" t="s">
        <v>288</v>
      </c>
      <c r="F784" s="383">
        <v>341.28</v>
      </c>
      <c r="G784" s="511"/>
    </row>
    <row r="785" spans="1:7">
      <c r="C785" s="511"/>
      <c r="D785" s="383" t="s">
        <v>640</v>
      </c>
      <c r="E785" s="383" t="s">
        <v>638</v>
      </c>
      <c r="F785" s="383">
        <v>36.020000000000003</v>
      </c>
      <c r="G785" s="511"/>
    </row>
    <row r="786" spans="1:7">
      <c r="C786" s="511"/>
      <c r="D786" s="383" t="s">
        <v>354</v>
      </c>
      <c r="E786" s="383" t="s">
        <v>288</v>
      </c>
      <c r="F786" s="383">
        <v>130.25</v>
      </c>
      <c r="G786" s="511"/>
    </row>
    <row r="787" spans="1:7">
      <c r="C787" s="511"/>
      <c r="D787" s="383" t="s">
        <v>20</v>
      </c>
      <c r="E787" s="383" t="s">
        <v>288</v>
      </c>
      <c r="F787" s="383">
        <v>5.01</v>
      </c>
      <c r="G787" s="511"/>
    </row>
    <row r="788" spans="1:7">
      <c r="C788" s="511"/>
      <c r="D788" s="383" t="s">
        <v>349</v>
      </c>
      <c r="E788" s="383" t="s">
        <v>638</v>
      </c>
      <c r="F788" s="405">
        <v>1200</v>
      </c>
      <c r="G788" s="511"/>
    </row>
    <row r="789" spans="1:7">
      <c r="C789" s="511"/>
      <c r="D789" s="511"/>
      <c r="E789" s="511"/>
      <c r="F789" s="511"/>
      <c r="G789" s="511"/>
    </row>
    <row r="790" spans="1:7">
      <c r="C790" s="511"/>
      <c r="D790" s="381" t="s">
        <v>344</v>
      </c>
      <c r="E790" s="382" t="s">
        <v>636</v>
      </c>
      <c r="F790" s="382" t="s">
        <v>641</v>
      </c>
      <c r="G790" s="511"/>
    </row>
    <row r="791" spans="1:7">
      <c r="C791" s="537" t="s">
        <v>609</v>
      </c>
      <c r="D791" s="385" t="str" cm="1">
        <f t="array" ref="D791:F793">_xlfn._xlws.FILTER(D783:F788,E783:E788="Tech")</f>
        <v>Google</v>
      </c>
      <c r="E791" s="386" t="str">
        <v>Tech</v>
      </c>
      <c r="F791" s="386">
        <v>931.78</v>
      </c>
      <c r="G791" s="406" t="s">
        <v>642</v>
      </c>
    </row>
    <row r="792" spans="1:7">
      <c r="C792" s="537"/>
      <c r="D792" s="386" t="str">
        <v>Dell</v>
      </c>
      <c r="E792" s="386" t="str">
        <v>Tech</v>
      </c>
      <c r="F792" s="386">
        <v>36.020000000000003</v>
      </c>
      <c r="G792" s="511"/>
    </row>
    <row r="793" spans="1:7">
      <c r="C793" s="537"/>
      <c r="D793" s="386" t="str">
        <v>Microsoft</v>
      </c>
      <c r="E793" s="386" t="str">
        <v>Tech</v>
      </c>
      <c r="F793" s="386">
        <v>1200</v>
      </c>
      <c r="G793" s="511"/>
    </row>
    <row r="796" spans="1:7">
      <c r="A796" s="521"/>
      <c r="B796" s="521"/>
    </row>
    <row r="798" spans="1:7">
      <c r="D798" s="409" t="s">
        <v>643</v>
      </c>
      <c r="E798" s="411" t="s">
        <v>644</v>
      </c>
      <c r="F798" s="410" t="s">
        <v>645</v>
      </c>
      <c r="G798" s="412" t="s">
        <v>646</v>
      </c>
    </row>
    <row r="799" spans="1:7">
      <c r="D799" s="407">
        <v>2</v>
      </c>
      <c r="E799" s="407">
        <v>3</v>
      </c>
      <c r="F799" s="407">
        <v>5</v>
      </c>
      <c r="G799" s="407">
        <v>2</v>
      </c>
    </row>
    <row r="802" spans="1:6">
      <c r="C802" s="408" t="s">
        <v>647</v>
      </c>
      <c r="D802" cm="1">
        <f t="array" ref="D802:F803">_xlfn.SEQUENCE(D799,E799,F799,G799)</f>
        <v>5</v>
      </c>
      <c r="E802">
        <v>7</v>
      </c>
      <c r="F802">
        <v>9</v>
      </c>
    </row>
    <row r="803" spans="1:6">
      <c r="D803">
        <v>11</v>
      </c>
      <c r="E803">
        <v>13</v>
      </c>
      <c r="F803">
        <v>15</v>
      </c>
    </row>
    <row r="808" spans="1:6">
      <c r="A808" s="521"/>
      <c r="B808" s="521"/>
    </row>
    <row r="810" spans="1:6">
      <c r="C810" cm="1">
        <f t="array" ref="C810">_xlfn.LET(_xlpm.a,4,_xlpm.b,4,_xlpm.a*_xlpm.b)</f>
        <v>16</v>
      </c>
    </row>
    <row r="812" spans="1:6">
      <c r="C812" s="213" t="s">
        <v>648</v>
      </c>
      <c r="D812" s="413"/>
      <c r="E812" s="413"/>
      <c r="F812" s="413"/>
    </row>
    <row r="813" spans="1:6">
      <c r="C813" t="s">
        <v>649</v>
      </c>
      <c r="D813" s="414"/>
      <c r="E813" s="414"/>
      <c r="F813" s="414"/>
    </row>
    <row r="814" spans="1:6">
      <c r="C814" t="s">
        <v>650</v>
      </c>
    </row>
    <row r="816" spans="1:6">
      <c r="C816" t="s">
        <v>103</v>
      </c>
    </row>
    <row r="817" spans="1:7">
      <c r="C817" s="418" cm="1">
        <f t="array" ref="C817">_xlfn.LET(_xlpm.Cat,5,_xlpm.Dog,3,_xlpm.Mouse,10,_xlpm.Cat+_xlpm.Dog+_xlpm.Mouse)</f>
        <v>18</v>
      </c>
      <c r="D817" s="415" t="s">
        <v>642</v>
      </c>
    </row>
    <row r="819" spans="1:7">
      <c r="A819" s="521"/>
      <c r="B819" s="521"/>
    </row>
    <row r="821" spans="1:7" ht="18.75">
      <c r="C821" s="419" t="s">
        <v>135</v>
      </c>
      <c r="D821" s="36"/>
      <c r="E821" s="36"/>
      <c r="F821" s="36"/>
    </row>
    <row r="822" spans="1:7" ht="18.75">
      <c r="C822" s="36"/>
      <c r="D822" s="36"/>
      <c r="E822" s="36"/>
      <c r="F822" s="36"/>
    </row>
    <row r="823" spans="1:7" ht="18.75">
      <c r="C823" s="36"/>
      <c r="D823" s="149" t="s">
        <v>134</v>
      </c>
      <c r="E823" s="149" t="s">
        <v>134</v>
      </c>
      <c r="F823" s="149" t="s">
        <v>134</v>
      </c>
    </row>
    <row r="824" spans="1:7">
      <c r="C824" s="420" t="s">
        <v>133</v>
      </c>
      <c r="D824" s="421">
        <v>10000</v>
      </c>
      <c r="E824" s="421">
        <v>10000</v>
      </c>
      <c r="F824" s="422">
        <v>100000</v>
      </c>
    </row>
    <row r="825" spans="1:7">
      <c r="C825" s="423" t="s">
        <v>149</v>
      </c>
      <c r="D825" s="424">
        <v>7.0000000000000007E-2</v>
      </c>
      <c r="E825" s="424">
        <v>7.0000000000000007E-2</v>
      </c>
      <c r="F825" s="425">
        <v>0.15</v>
      </c>
    </row>
    <row r="826" spans="1:7">
      <c r="C826" s="423" t="s">
        <v>141</v>
      </c>
      <c r="D826" s="426">
        <v>5</v>
      </c>
      <c r="E826" s="426">
        <v>5</v>
      </c>
      <c r="F826" s="427">
        <v>36</v>
      </c>
    </row>
    <row r="827" spans="1:7">
      <c r="C827" s="428" t="s">
        <v>144</v>
      </c>
      <c r="D827" s="429" t="s">
        <v>145</v>
      </c>
      <c r="E827" s="429" t="s">
        <v>146</v>
      </c>
      <c r="F827" s="430" t="s">
        <v>146</v>
      </c>
    </row>
    <row r="828" spans="1:7">
      <c r="C828" s="431"/>
      <c r="D828" s="432"/>
      <c r="E828" s="432"/>
      <c r="F828" s="433"/>
    </row>
    <row r="829" spans="1:7">
      <c r="C829" s="434" t="s">
        <v>135</v>
      </c>
      <c r="D829" s="435">
        <f>FV(D825,D826,0,-D824)</f>
        <v>14025.517307000002</v>
      </c>
      <c r="E829" s="435">
        <f>FV(E825/12,E826*12,0,-E824)</f>
        <v>14176.252596139897</v>
      </c>
      <c r="F829" s="436">
        <f>FV(F825/12,F826*12,0,-F824)</f>
        <v>21411829.429507803</v>
      </c>
    </row>
    <row r="830" spans="1:7">
      <c r="C830" s="437"/>
      <c r="D830" s="437"/>
      <c r="E830" s="437"/>
      <c r="F830" s="437"/>
    </row>
    <row r="831" spans="1:7">
      <c r="C831" s="437"/>
      <c r="D831" s="437"/>
      <c r="E831" s="437"/>
      <c r="F831" s="437"/>
    </row>
    <row r="832" spans="1:7">
      <c r="C832" s="420" t="s">
        <v>133</v>
      </c>
      <c r="D832" s="438">
        <v>0</v>
      </c>
      <c r="E832" s="439">
        <v>0</v>
      </c>
      <c r="F832" s="437"/>
      <c r="G832" s="421">
        <f>FV(D825,D826,,-D824)</f>
        <v>14025.517307000002</v>
      </c>
    </row>
    <row r="833" spans="3:7">
      <c r="C833" s="423" t="s">
        <v>150</v>
      </c>
      <c r="D833" s="440">
        <v>10000</v>
      </c>
      <c r="E833" s="441">
        <v>10000</v>
      </c>
      <c r="F833" s="442" t="s">
        <v>143</v>
      </c>
      <c r="G833" s="421">
        <f>FV(E825/12,E826*12,,-E824)</f>
        <v>14176.252596139897</v>
      </c>
    </row>
    <row r="834" spans="3:7">
      <c r="C834" s="423" t="s">
        <v>149</v>
      </c>
      <c r="D834" s="443">
        <v>7.0000000000000007E-2</v>
      </c>
      <c r="E834" s="444">
        <v>0.15</v>
      </c>
      <c r="F834" s="437"/>
    </row>
    <row r="835" spans="3:7">
      <c r="C835" s="428" t="s">
        <v>141</v>
      </c>
      <c r="D835" s="426">
        <v>3</v>
      </c>
      <c r="E835" s="427">
        <v>5</v>
      </c>
      <c r="F835" s="437"/>
    </row>
    <row r="836" spans="3:7">
      <c r="C836" s="428" t="s">
        <v>144</v>
      </c>
      <c r="D836" s="429" t="s">
        <v>145</v>
      </c>
      <c r="E836" s="430" t="s">
        <v>146</v>
      </c>
      <c r="F836" s="437"/>
    </row>
    <row r="837" spans="3:7">
      <c r="C837" s="431"/>
      <c r="D837" s="432"/>
      <c r="E837" s="433"/>
      <c r="F837" s="437"/>
      <c r="G837" s="435">
        <f>-FV(D834,D835,D833,0)</f>
        <v>32149.000000000011</v>
      </c>
    </row>
    <row r="838" spans="3:7">
      <c r="C838" s="434" t="s">
        <v>151</v>
      </c>
      <c r="D838" s="435">
        <f>FV(D834,D835,-D833,D832)</f>
        <v>32149.000000000011</v>
      </c>
      <c r="E838" s="436">
        <f>FV(E834/12,E835*12,-E833,E832)</f>
        <v>885745.0775609914</v>
      </c>
      <c r="F838" s="437"/>
      <c r="G838" s="435">
        <f>-FV(E834/12,E835*12,E833,0)</f>
        <v>885745.0775609914</v>
      </c>
    </row>
    <row r="839" spans="3:7">
      <c r="C839" s="437"/>
      <c r="D839" s="437"/>
      <c r="E839" s="437"/>
      <c r="F839" s="416">
        <v>4</v>
      </c>
    </row>
    <row r="840" spans="3:7">
      <c r="F840" s="416">
        <v>5</v>
      </c>
    </row>
    <row r="841" spans="3:7">
      <c r="F841" s="417"/>
    </row>
    <row r="852" spans="1:4">
      <c r="C852" t="s">
        <v>651</v>
      </c>
    </row>
    <row r="854" spans="1:4">
      <c r="A854" s="521"/>
      <c r="B854" s="521"/>
    </row>
    <row r="857" spans="1:4">
      <c r="C857" t="s">
        <v>652</v>
      </c>
      <c r="D857" t="s">
        <v>499</v>
      </c>
    </row>
    <row r="859" spans="1:4">
      <c r="C859" t="s">
        <v>500</v>
      </c>
      <c r="D859" t="s">
        <v>501</v>
      </c>
    </row>
    <row r="860" spans="1:4">
      <c r="C860" t="s">
        <v>653</v>
      </c>
    </row>
    <row r="861" spans="1:4">
      <c r="C861" t="str" cm="1">
        <f t="array" ref="C861:D862">_xlfn.VSTACK(C857:D857,C859:D859)</f>
        <v xml:space="preserve">A </v>
      </c>
      <c r="D861" t="str">
        <v>B</v>
      </c>
    </row>
    <row r="862" spans="1:4">
      <c r="C862" t="str">
        <v>C</v>
      </c>
      <c r="D862" t="str">
        <v>D</v>
      </c>
    </row>
    <row r="864" spans="1:4">
      <c r="C864" t="s">
        <v>652</v>
      </c>
      <c r="D864" t="s">
        <v>499</v>
      </c>
    </row>
    <row r="865" spans="3:5">
      <c r="C865" t="s">
        <v>500</v>
      </c>
    </row>
    <row r="866" spans="3:5">
      <c r="D866" t="s">
        <v>501</v>
      </c>
    </row>
    <row r="867" spans="3:5">
      <c r="C867" t="s">
        <v>653</v>
      </c>
    </row>
    <row r="868" spans="3:5">
      <c r="C868" t="str" cm="1">
        <f t="array" ref="C868:D870">_xlfn.VSTACK(C864:D864,C865:D865,C866:D866)</f>
        <v xml:space="preserve">A </v>
      </c>
      <c r="D868" t="str">
        <v>B</v>
      </c>
    </row>
    <row r="869" spans="3:5">
      <c r="C869" t="str">
        <v>C</v>
      </c>
      <c r="D869">
        <v>0</v>
      </c>
    </row>
    <row r="870" spans="3:5">
      <c r="C870">
        <v>0</v>
      </c>
      <c r="D870" t="str">
        <v>D</v>
      </c>
    </row>
    <row r="871" spans="3:5">
      <c r="C871" t="s">
        <v>654</v>
      </c>
    </row>
    <row r="872" spans="3:5">
      <c r="C872" t="s">
        <v>494</v>
      </c>
      <c r="D872" t="s">
        <v>499</v>
      </c>
    </row>
    <row r="873" spans="3:5">
      <c r="C873" t="s">
        <v>500</v>
      </c>
      <c r="D873" t="s">
        <v>501</v>
      </c>
      <c r="E873" t="s">
        <v>502</v>
      </c>
    </row>
    <row r="875" spans="3:5">
      <c r="C875" t="str" cm="1">
        <f t="array" ref="C875:E876">_xlfn.VSTACK(C872:D872,C873:E873)</f>
        <v>A</v>
      </c>
      <c r="D875" t="str">
        <v>B</v>
      </c>
      <c r="E875" t="e">
        <v>#N/A</v>
      </c>
    </row>
    <row r="876" spans="3:5">
      <c r="C876" t="str">
        <v>C</v>
      </c>
      <c r="D876" t="str">
        <v>D</v>
      </c>
      <c r="E876" t="str">
        <v>E</v>
      </c>
    </row>
    <row r="878" spans="3:5">
      <c r="C878" t="str" cm="1">
        <f t="array" ref="C878:E879">IFERROR(_xlfn.VSTACK(C872:D872,C873:E873),"Not_Found")</f>
        <v>A</v>
      </c>
      <c r="D878" t="str">
        <v>B</v>
      </c>
      <c r="E878" t="str">
        <v>Not_Found</v>
      </c>
    </row>
    <row r="879" spans="3:5">
      <c r="C879" t="str">
        <v>C</v>
      </c>
      <c r="D879" t="str">
        <v>D</v>
      </c>
      <c r="E879" t="str">
        <v>E</v>
      </c>
    </row>
    <row r="881" spans="1:9" ht="45.75">
      <c r="C881" s="403" t="s">
        <v>655</v>
      </c>
      <c r="D881" s="511"/>
      <c r="E881" s="511"/>
      <c r="F881" s="511"/>
      <c r="G881" s="511"/>
      <c r="H881" s="511"/>
    </row>
    <row r="882" spans="1:9">
      <c r="C882" s="403"/>
      <c r="D882" s="511"/>
      <c r="E882" s="511"/>
      <c r="F882" s="511"/>
      <c r="G882" s="511"/>
      <c r="H882" s="511"/>
    </row>
    <row r="883" spans="1:9">
      <c r="C883" s="403" t="s">
        <v>656</v>
      </c>
      <c r="D883" s="446" t="s">
        <v>381</v>
      </c>
      <c r="E883" s="511" t="s">
        <v>399</v>
      </c>
      <c r="F883" s="511" t="s">
        <v>657</v>
      </c>
      <c r="G883" s="511"/>
      <c r="H883" s="511"/>
    </row>
    <row r="884" spans="1:9">
      <c r="C884" s="403" t="s">
        <v>658</v>
      </c>
      <c r="D884" s="511" t="s">
        <v>350</v>
      </c>
      <c r="E884" s="511" t="s">
        <v>659</v>
      </c>
      <c r="F884" s="511" t="s">
        <v>232</v>
      </c>
      <c r="G884" s="511" t="s">
        <v>660</v>
      </c>
      <c r="H884" s="511"/>
    </row>
    <row r="885" spans="1:9">
      <c r="C885" s="403" t="s">
        <v>661</v>
      </c>
      <c r="D885" s="511" t="s">
        <v>397</v>
      </c>
      <c r="E885" s="511" t="s">
        <v>342</v>
      </c>
      <c r="F885" s="511" t="s">
        <v>347</v>
      </c>
      <c r="G885" s="511"/>
      <c r="H885" s="511"/>
    </row>
    <row r="886" spans="1:9">
      <c r="C886" s="377"/>
      <c r="D886" s="511"/>
      <c r="E886" s="511"/>
      <c r="F886" s="511"/>
      <c r="G886" s="511"/>
      <c r="H886" s="511"/>
    </row>
    <row r="887" spans="1:9">
      <c r="C887" s="403" t="s">
        <v>662</v>
      </c>
      <c r="D887" s="511"/>
      <c r="E887" s="511"/>
      <c r="F887" s="511"/>
      <c r="G887" s="511"/>
      <c r="H887" s="511"/>
    </row>
    <row r="888" spans="1:9">
      <c r="C888" s="404" t="str" cm="1">
        <f t="array" ref="C888:F890">IFERROR(_xlfn.VSTACK(D883:F883,D884:G884,D885:F885),"Missing")</f>
        <v>Dan</v>
      </c>
      <c r="D888" s="511" t="str">
        <v>Ralph</v>
      </c>
      <c r="E888" s="511" t="str">
        <v>Jina</v>
      </c>
      <c r="F888" s="511" t="str">
        <v>Missing</v>
      </c>
      <c r="G888" s="511"/>
      <c r="H888" s="511"/>
    </row>
    <row r="889" spans="1:9">
      <c r="C889" t="str">
        <v>Joe</v>
      </c>
      <c r="D889" t="str">
        <v>Liza</v>
      </c>
      <c r="E889" t="str">
        <v>Jake</v>
      </c>
      <c r="F889" t="str">
        <v>Thomas</v>
      </c>
    </row>
    <row r="890" spans="1:9">
      <c r="C890" t="str">
        <v>Sam</v>
      </c>
      <c r="D890" t="str">
        <v>Tina</v>
      </c>
      <c r="E890" t="str">
        <v>Sarah</v>
      </c>
      <c r="F890" t="str">
        <v>Missing</v>
      </c>
    </row>
    <row r="893" spans="1:9">
      <c r="A893" s="521"/>
      <c r="B893" s="521"/>
    </row>
    <row r="895" spans="1:9" ht="30.75">
      <c r="C895" s="403" t="s">
        <v>663</v>
      </c>
      <c r="D895" s="511"/>
      <c r="E895" s="511"/>
      <c r="F895" s="511"/>
      <c r="G895" s="511"/>
      <c r="H895" s="511"/>
      <c r="I895" s="511"/>
    </row>
    <row r="896" spans="1:9">
      <c r="C896" s="403"/>
      <c r="D896" s="511"/>
      <c r="E896" s="511"/>
      <c r="F896" s="511"/>
      <c r="G896" s="511"/>
      <c r="H896" s="511"/>
      <c r="I896" s="511"/>
    </row>
    <row r="897" spans="3:9">
      <c r="C897" s="448" t="s">
        <v>161</v>
      </c>
      <c r="D897" s="449" t="s">
        <v>204</v>
      </c>
      <c r="E897" s="449" t="s">
        <v>293</v>
      </c>
      <c r="F897" s="511"/>
      <c r="G897" s="511"/>
      <c r="H897" s="511"/>
    </row>
    <row r="898" spans="3:9">
      <c r="C898" s="450" t="s">
        <v>230</v>
      </c>
      <c r="D898" s="449">
        <v>24</v>
      </c>
      <c r="E898" s="449" t="s">
        <v>302</v>
      </c>
      <c r="F898" s="511"/>
      <c r="G898" s="511"/>
      <c r="H898" s="511"/>
    </row>
    <row r="899" spans="3:9">
      <c r="C899" s="450" t="s">
        <v>397</v>
      </c>
      <c r="D899" s="449">
        <v>35</v>
      </c>
      <c r="E899" s="449" t="s">
        <v>628</v>
      </c>
      <c r="F899" s="511"/>
      <c r="G899" s="511"/>
      <c r="H899" s="511"/>
    </row>
    <row r="900" spans="3:9">
      <c r="C900" s="450" t="s">
        <v>342</v>
      </c>
      <c r="D900" s="449">
        <v>46</v>
      </c>
      <c r="E900" s="449" t="s">
        <v>664</v>
      </c>
      <c r="F900" s="511"/>
      <c r="G900" s="511"/>
      <c r="H900" s="511"/>
    </row>
    <row r="901" spans="3:9">
      <c r="C901" s="377"/>
      <c r="D901" s="511"/>
      <c r="E901" s="511"/>
      <c r="F901" s="511"/>
      <c r="G901" s="511"/>
      <c r="H901" s="511"/>
      <c r="I901" s="511"/>
    </row>
    <row r="902" spans="3:9">
      <c r="C902" s="511" t="str" cm="1">
        <f t="array" ref="C902:E905">_xlfn.HSTACK(C897:C900,D897:D900,E897:E900)</f>
        <v>Name</v>
      </c>
      <c r="D902" t="str">
        <v>Age</v>
      </c>
      <c r="E902" t="str">
        <v>Country</v>
      </c>
    </row>
    <row r="903" spans="3:9">
      <c r="C903" s="511" t="str">
        <v>John</v>
      </c>
      <c r="D903">
        <v>24</v>
      </c>
      <c r="E903" t="str">
        <v>USA</v>
      </c>
    </row>
    <row r="904" spans="3:9">
      <c r="C904" t="str">
        <v>Sam</v>
      </c>
      <c r="D904">
        <v>35</v>
      </c>
      <c r="E904" t="str">
        <v>Israel</v>
      </c>
    </row>
    <row r="905" spans="3:9">
      <c r="C905" t="str">
        <v>Tina</v>
      </c>
      <c r="D905">
        <v>46</v>
      </c>
      <c r="E905" t="str">
        <v>India</v>
      </c>
    </row>
    <row r="907" spans="3:9" ht="45.75">
      <c r="C907" s="403" t="s">
        <v>665</v>
      </c>
      <c r="D907" s="511"/>
      <c r="E907" s="511"/>
      <c r="F907" s="511"/>
      <c r="G907" s="511"/>
      <c r="H907" s="511"/>
    </row>
    <row r="908" spans="3:9">
      <c r="C908" s="403"/>
      <c r="D908" s="511"/>
      <c r="E908" s="511"/>
      <c r="F908" s="511"/>
      <c r="G908" s="511"/>
      <c r="H908" s="511"/>
    </row>
    <row r="909" spans="3:9">
      <c r="C909" s="377" t="s">
        <v>161</v>
      </c>
      <c r="D909" s="511" t="s">
        <v>204</v>
      </c>
      <c r="E909" s="511" t="s">
        <v>269</v>
      </c>
      <c r="F909" s="511"/>
      <c r="H909" s="511"/>
    </row>
    <row r="910" spans="3:9">
      <c r="C910" s="377" t="s">
        <v>666</v>
      </c>
      <c r="D910" s="511">
        <v>22</v>
      </c>
      <c r="E910" s="511" t="s">
        <v>233</v>
      </c>
      <c r="F910" s="511"/>
      <c r="H910" s="511"/>
    </row>
    <row r="911" spans="3:9">
      <c r="C911" s="447" t="s">
        <v>667</v>
      </c>
      <c r="D911" s="511">
        <v>34</v>
      </c>
      <c r="E911" s="511" t="s">
        <v>391</v>
      </c>
      <c r="F911" s="511"/>
      <c r="H911" s="511"/>
    </row>
    <row r="912" spans="3:9">
      <c r="C912" s="377" t="s">
        <v>345</v>
      </c>
      <c r="D912" s="511">
        <v>32</v>
      </c>
      <c r="E912" s="511" t="s">
        <v>394</v>
      </c>
      <c r="F912" s="511"/>
      <c r="H912" s="511"/>
    </row>
    <row r="913" spans="3:8">
      <c r="C913" s="377" t="s">
        <v>630</v>
      </c>
      <c r="D913" s="511"/>
      <c r="E913" s="511"/>
      <c r="F913" s="511"/>
      <c r="G913" s="511"/>
      <c r="H913" s="511"/>
    </row>
    <row r="914" spans="3:8">
      <c r="C914" s="377" t="s">
        <v>668</v>
      </c>
      <c r="D914" s="511"/>
      <c r="E914" s="511"/>
      <c r="F914" s="511"/>
      <c r="G914" s="511"/>
      <c r="H914" s="511"/>
    </row>
    <row r="915" spans="3:8">
      <c r="C915" s="403" t="s">
        <v>662</v>
      </c>
      <c r="D915" s="511"/>
      <c r="E915" s="511"/>
      <c r="F915" s="511"/>
      <c r="G915" s="511"/>
      <c r="H915" s="511"/>
    </row>
    <row r="916" spans="3:8">
      <c r="C916" s="404" t="str" cm="1">
        <f t="array" ref="C916:E920">IFERROR(_xlfn.HSTACK(C909:C913,D909:D912,E909:E912),"No Value")</f>
        <v>Name</v>
      </c>
      <c r="D916" s="511" t="str">
        <v>Age</v>
      </c>
      <c r="E916" s="511" t="str">
        <v>City</v>
      </c>
      <c r="F916" s="511"/>
      <c r="G916" s="511"/>
      <c r="H916" s="511"/>
    </row>
    <row r="917" spans="3:8">
      <c r="C917" t="str">
        <v>Shani</v>
      </c>
      <c r="D917">
        <v>22</v>
      </c>
      <c r="E917" t="str">
        <v>New York</v>
      </c>
    </row>
    <row r="918" spans="3:8">
      <c r="C918" t="str">
        <v>Tamer</v>
      </c>
      <c r="D918">
        <v>34</v>
      </c>
      <c r="E918" t="str">
        <v>London</v>
      </c>
    </row>
    <row r="919" spans="3:8">
      <c r="C919" t="str">
        <v>Sean</v>
      </c>
      <c r="D919">
        <v>32</v>
      </c>
      <c r="E919" t="str">
        <v>Tel Aviv</v>
      </c>
    </row>
    <row r="920" spans="3:8">
      <c r="C920" t="str">
        <v>Dean</v>
      </c>
      <c r="D920" t="str">
        <v>No Value</v>
      </c>
      <c r="E920" t="str">
        <v>No Value</v>
      </c>
    </row>
    <row r="923" spans="3:8">
      <c r="C923" t="str" cm="1">
        <f t="array" ref="C923:C937">_xlfn.VSTACK(C916:C920,D916:D920,E916:E920)</f>
        <v>Name</v>
      </c>
      <c r="D923" t="str" cm="1">
        <f t="array" ref="D923:F927">_xlfn.HSTACK(C916:C920,D916:D920,E916:E920)</f>
        <v>Name</v>
      </c>
      <c r="E923" t="str">
        <v>Age</v>
      </c>
      <c r="F923" t="str">
        <v>City</v>
      </c>
    </row>
    <row r="924" spans="3:8">
      <c r="C924" t="str">
        <v>Shani</v>
      </c>
      <c r="D924" t="str">
        <v>Shani</v>
      </c>
      <c r="E924">
        <v>22</v>
      </c>
      <c r="F924" t="str">
        <v>New York</v>
      </c>
    </row>
    <row r="925" spans="3:8">
      <c r="C925" t="str">
        <v>Tamer</v>
      </c>
      <c r="D925" t="str">
        <v>Tamer</v>
      </c>
      <c r="E925">
        <v>34</v>
      </c>
      <c r="F925" t="str">
        <v>London</v>
      </c>
    </row>
    <row r="926" spans="3:8">
      <c r="C926" t="str">
        <v>Sean</v>
      </c>
      <c r="D926" t="str">
        <v>Sean</v>
      </c>
      <c r="E926">
        <v>32</v>
      </c>
      <c r="F926" t="str">
        <v>Tel Aviv</v>
      </c>
    </row>
    <row r="927" spans="3:8">
      <c r="C927" t="str">
        <v>Dean</v>
      </c>
      <c r="D927" t="str">
        <v>Dean</v>
      </c>
      <c r="E927" t="str">
        <v>No Value</v>
      </c>
      <c r="F927" t="str">
        <v>No Value</v>
      </c>
    </row>
    <row r="928" spans="3:8">
      <c r="C928" t="str">
        <v>Age</v>
      </c>
    </row>
    <row r="929" spans="1:5">
      <c r="C929">
        <v>22</v>
      </c>
    </row>
    <row r="930" spans="1:5">
      <c r="C930">
        <v>34</v>
      </c>
    </row>
    <row r="931" spans="1:5">
      <c r="C931">
        <v>32</v>
      </c>
    </row>
    <row r="932" spans="1:5">
      <c r="C932" t="str">
        <v>No Value</v>
      </c>
    </row>
    <row r="933" spans="1:5">
      <c r="C933" t="str">
        <v>City</v>
      </c>
    </row>
    <row r="934" spans="1:5">
      <c r="C934" t="str">
        <v>New York</v>
      </c>
    </row>
    <row r="935" spans="1:5">
      <c r="C935" t="str">
        <v>London</v>
      </c>
    </row>
    <row r="936" spans="1:5">
      <c r="C936" t="str">
        <v>Tel Aviv</v>
      </c>
    </row>
    <row r="937" spans="1:5">
      <c r="C937" t="str">
        <v>No Value</v>
      </c>
    </row>
    <row r="940" spans="1:5">
      <c r="A940" s="521"/>
      <c r="B940" s="521"/>
    </row>
    <row r="942" spans="1:5" ht="30.75">
      <c r="C942" s="403" t="s">
        <v>669</v>
      </c>
      <c r="D942" s="511"/>
      <c r="E942" s="511"/>
    </row>
    <row r="943" spans="1:5">
      <c r="C943" s="403"/>
      <c r="D943" s="511"/>
      <c r="E943" s="511"/>
    </row>
    <row r="944" spans="1:5">
      <c r="C944" s="451" t="s">
        <v>416</v>
      </c>
      <c r="D944" s="338" t="s">
        <v>153</v>
      </c>
      <c r="E944" s="338" t="s">
        <v>418</v>
      </c>
    </row>
    <row r="945" spans="1:6">
      <c r="C945" s="377" t="s">
        <v>670</v>
      </c>
      <c r="D945" s="511">
        <v>2020</v>
      </c>
      <c r="E945" s="511" t="s">
        <v>390</v>
      </c>
    </row>
    <row r="946" spans="1:6">
      <c r="C946" s="377" t="s">
        <v>420</v>
      </c>
      <c r="D946" s="511">
        <v>2018</v>
      </c>
      <c r="E946" s="511" t="s">
        <v>395</v>
      </c>
    </row>
    <row r="947" spans="1:6">
      <c r="C947" s="377" t="s">
        <v>671</v>
      </c>
      <c r="D947" s="511">
        <v>2017</v>
      </c>
      <c r="E947" s="511" t="s">
        <v>216</v>
      </c>
    </row>
    <row r="948" spans="1:6">
      <c r="C948" s="377" t="s">
        <v>672</v>
      </c>
      <c r="D948" s="511">
        <v>2021</v>
      </c>
      <c r="E948" s="511" t="s">
        <v>390</v>
      </c>
    </row>
    <row r="949" spans="1:6">
      <c r="C949" s="377" t="s">
        <v>426</v>
      </c>
      <c r="D949" s="511">
        <v>2019</v>
      </c>
      <c r="E949" s="511" t="s">
        <v>392</v>
      </c>
    </row>
    <row r="950" spans="1:6">
      <c r="C950" s="377" t="s">
        <v>673</v>
      </c>
      <c r="D950" s="511">
        <v>2016</v>
      </c>
      <c r="E950" s="511" t="s">
        <v>214</v>
      </c>
    </row>
    <row r="951" spans="1:6">
      <c r="C951" s="377"/>
      <c r="D951" s="511"/>
      <c r="E951" s="511"/>
    </row>
    <row r="952" spans="1:6">
      <c r="C952" s="403" t="s">
        <v>662</v>
      </c>
      <c r="D952" s="511"/>
      <c r="E952" s="511"/>
    </row>
    <row r="953" spans="1:6">
      <c r="C953" s="404" t="str" cm="1">
        <f t="array" ref="C953:E955">_xlfn.CHOOSEROWS(C944:E950,2,4,6)</f>
        <v>Hyundai</v>
      </c>
      <c r="D953" s="511">
        <v>2020</v>
      </c>
      <c r="E953" s="511" t="str">
        <v>Blue</v>
      </c>
    </row>
    <row r="954" spans="1:6">
      <c r="C954" t="str">
        <v>Mitsubishi</v>
      </c>
      <c r="D954">
        <v>2017</v>
      </c>
      <c r="E954" t="str">
        <v>Yellow</v>
      </c>
    </row>
    <row r="955" spans="1:6">
      <c r="C955" t="str">
        <v>Mercedes</v>
      </c>
      <c r="D955">
        <v>2019</v>
      </c>
      <c r="E955" t="str">
        <v>Green</v>
      </c>
    </row>
    <row r="957" spans="1:6">
      <c r="A957" s="521"/>
      <c r="B957" s="521"/>
    </row>
    <row r="958" spans="1:6">
      <c r="C958" s="338" t="s">
        <v>674</v>
      </c>
      <c r="D958" s="511"/>
      <c r="E958" s="511"/>
      <c r="F958" s="511"/>
    </row>
    <row r="959" spans="1:6">
      <c r="C959" s="338"/>
      <c r="D959" s="511"/>
      <c r="E959" s="511"/>
      <c r="F959" s="511"/>
    </row>
    <row r="960" spans="1:6">
      <c r="C960" s="456" t="s">
        <v>416</v>
      </c>
      <c r="D960" s="457" t="s">
        <v>153</v>
      </c>
      <c r="E960" s="457" t="s">
        <v>418</v>
      </c>
      <c r="F960" s="458" t="s">
        <v>14</v>
      </c>
    </row>
    <row r="961" spans="3:6">
      <c r="C961" s="346" t="s">
        <v>670</v>
      </c>
      <c r="D961" s="511">
        <v>2020</v>
      </c>
      <c r="E961" s="511" t="s">
        <v>390</v>
      </c>
      <c r="F961" s="454">
        <v>25696</v>
      </c>
    </row>
    <row r="962" spans="3:6">
      <c r="C962" s="346" t="s">
        <v>420</v>
      </c>
      <c r="D962" s="511">
        <v>2018</v>
      </c>
      <c r="E962" s="511" t="s">
        <v>395</v>
      </c>
      <c r="F962" s="454">
        <v>27534</v>
      </c>
    </row>
    <row r="963" spans="3:6">
      <c r="C963" s="346" t="s">
        <v>671</v>
      </c>
      <c r="D963" s="511">
        <v>2017</v>
      </c>
      <c r="E963" s="511" t="s">
        <v>216</v>
      </c>
      <c r="F963" s="454">
        <v>28510</v>
      </c>
    </row>
    <row r="964" spans="3:6">
      <c r="C964" s="346" t="s">
        <v>672</v>
      </c>
      <c r="D964" s="511">
        <v>2021</v>
      </c>
      <c r="E964" s="511" t="s">
        <v>390</v>
      </c>
      <c r="F964" s="454">
        <v>27700</v>
      </c>
    </row>
    <row r="965" spans="3:6">
      <c r="C965" s="346" t="s">
        <v>426</v>
      </c>
      <c r="D965" s="511">
        <v>2019</v>
      </c>
      <c r="E965" s="511" t="s">
        <v>392</v>
      </c>
      <c r="F965" s="454">
        <v>22919</v>
      </c>
    </row>
    <row r="966" spans="3:6">
      <c r="C966" s="347" t="s">
        <v>673</v>
      </c>
      <c r="D966" s="348">
        <v>2016</v>
      </c>
      <c r="E966" s="348" t="s">
        <v>214</v>
      </c>
      <c r="F966" s="455">
        <v>20696</v>
      </c>
    </row>
    <row r="967" spans="3:6">
      <c r="C967" s="511"/>
      <c r="D967" s="511"/>
      <c r="E967" s="511"/>
      <c r="F967" s="511"/>
    </row>
    <row r="968" spans="3:6">
      <c r="C968" s="351" t="s">
        <v>662</v>
      </c>
      <c r="D968" s="353"/>
      <c r="E968" s="511"/>
      <c r="F968" s="511"/>
    </row>
    <row r="969" spans="3:6">
      <c r="C969" s="452" t="str" cm="1">
        <f t="array" ref="C969:D975">_xlfn.CHOOSECOLS(C960:F966,1,3)</f>
        <v>Car</v>
      </c>
      <c r="D969" s="344" t="str">
        <v>Color</v>
      </c>
      <c r="E969" s="511"/>
      <c r="F969" s="511"/>
    </row>
    <row r="970" spans="3:6">
      <c r="C970" s="168" t="str">
        <v>Hyundai</v>
      </c>
      <c r="D970" s="166" t="str">
        <v>Blue</v>
      </c>
    </row>
    <row r="971" spans="3:6">
      <c r="C971" s="168" t="str">
        <v>Toyota</v>
      </c>
      <c r="D971" s="166" t="str">
        <v>Red</v>
      </c>
    </row>
    <row r="972" spans="3:6">
      <c r="C972" s="168" t="str">
        <v>Mitsubishi</v>
      </c>
      <c r="D972" s="166" t="str">
        <v>Yellow</v>
      </c>
    </row>
    <row r="973" spans="3:6">
      <c r="C973" s="168" t="str">
        <v>BMW</v>
      </c>
      <c r="D973" s="166" t="str">
        <v>Blue</v>
      </c>
    </row>
    <row r="974" spans="3:6">
      <c r="C974" s="168" t="str">
        <v>Mercedes</v>
      </c>
      <c r="D974" s="166" t="str">
        <v>Green</v>
      </c>
    </row>
    <row r="975" spans="3:6">
      <c r="C975" s="453" t="str">
        <v>Audi</v>
      </c>
      <c r="D975" s="318" t="str">
        <v>Black</v>
      </c>
    </row>
    <row r="977" spans="1:4">
      <c r="C977" s="340" t="str" cm="1">
        <f t="array" ref="C977:D983">_xlfn.CHOOSECOLS(C960:F966,3,4)</f>
        <v>Color</v>
      </c>
      <c r="D977" s="342" t="str">
        <v>Price</v>
      </c>
    </row>
    <row r="978" spans="1:4">
      <c r="C978" s="168" t="str">
        <v>Blue</v>
      </c>
      <c r="D978" s="166">
        <v>25696</v>
      </c>
    </row>
    <row r="979" spans="1:4">
      <c r="C979" s="168" t="str">
        <v>Red</v>
      </c>
      <c r="D979" s="166">
        <v>27534</v>
      </c>
    </row>
    <row r="980" spans="1:4">
      <c r="C980" s="168" t="str">
        <v>Yellow</v>
      </c>
      <c r="D980" s="166">
        <v>28510</v>
      </c>
    </row>
    <row r="981" spans="1:4">
      <c r="C981" s="168" t="str">
        <v>Blue</v>
      </c>
      <c r="D981" s="166">
        <v>27700</v>
      </c>
    </row>
    <row r="982" spans="1:4">
      <c r="C982" s="168" t="str">
        <v>Green</v>
      </c>
      <c r="D982" s="166">
        <v>22919</v>
      </c>
    </row>
    <row r="983" spans="1:4">
      <c r="C983" s="453" t="str">
        <v>Black</v>
      </c>
      <c r="D983" s="318">
        <v>20696</v>
      </c>
    </row>
    <row r="985" spans="1:4">
      <c r="A985" s="521"/>
      <c r="B985" s="521"/>
    </row>
    <row r="987" spans="1:4" ht="18.75">
      <c r="B987" s="459" t="s">
        <v>135</v>
      </c>
    </row>
    <row r="989" spans="1:4">
      <c r="C989" t="s">
        <v>675</v>
      </c>
    </row>
    <row r="991" spans="1:4">
      <c r="C991" s="423" t="s">
        <v>676</v>
      </c>
      <c r="D991" s="440">
        <v>329630.29184572061</v>
      </c>
    </row>
    <row r="992" spans="1:4">
      <c r="C992" s="423" t="s">
        <v>677</v>
      </c>
      <c r="D992" s="440">
        <v>20000</v>
      </c>
    </row>
    <row r="993" spans="3:5">
      <c r="C993" s="423" t="s">
        <v>678</v>
      </c>
      <c r="D993" s="426">
        <v>20</v>
      </c>
    </row>
    <row r="994" spans="3:5">
      <c r="C994" s="423" t="s">
        <v>679</v>
      </c>
      <c r="D994" s="445">
        <v>3.5000000000000003E-2</v>
      </c>
    </row>
    <row r="995" spans="3:5">
      <c r="D995" s="440">
        <f>-FV(D994,D993,D992,D991)</f>
        <v>1221488.3200418062</v>
      </c>
      <c r="E995" s="440">
        <f>-FV(D994,D993,D992,D991)</f>
        <v>1221488.3200418062</v>
      </c>
    </row>
    <row r="996" spans="3:5">
      <c r="C996" t="s">
        <v>680</v>
      </c>
    </row>
    <row r="997" spans="3:5" ht="18.75">
      <c r="C997" s="500"/>
    </row>
    <row r="999" spans="3:5">
      <c r="C999" s="501" t="s">
        <v>681</v>
      </c>
      <c r="D999" s="501" t="s">
        <v>682</v>
      </c>
      <c r="E999" s="501" t="s">
        <v>683</v>
      </c>
    </row>
    <row r="1000" spans="3:5">
      <c r="C1000" s="501">
        <v>5000</v>
      </c>
      <c r="D1000" s="502">
        <v>0.1</v>
      </c>
      <c r="E1000" s="501">
        <f>C1000*D1000</f>
        <v>500</v>
      </c>
    </row>
    <row r="1001" spans="3:5">
      <c r="C1001" s="501">
        <v>8000</v>
      </c>
      <c r="D1001" s="502">
        <v>0.88</v>
      </c>
      <c r="E1001" s="501">
        <f t="shared" ref="E1001:E1005" si="0">C1001*D1001</f>
        <v>7040</v>
      </c>
    </row>
    <row r="1002" spans="3:5">
      <c r="C1002" s="501">
        <v>25000</v>
      </c>
      <c r="D1002" s="502">
        <v>0.2</v>
      </c>
      <c r="E1002" s="501">
        <f t="shared" si="0"/>
        <v>5000</v>
      </c>
    </row>
    <row r="1003" spans="3:5">
      <c r="C1003" s="501">
        <v>40000</v>
      </c>
      <c r="D1003" s="502">
        <v>0.9</v>
      </c>
      <c r="E1003" s="501">
        <f t="shared" si="0"/>
        <v>36000</v>
      </c>
    </row>
    <row r="1004" spans="3:5">
      <c r="C1004" s="501">
        <v>2500</v>
      </c>
      <c r="D1004" s="502">
        <v>0.15</v>
      </c>
      <c r="E1004" s="501">
        <f t="shared" si="0"/>
        <v>375</v>
      </c>
    </row>
    <row r="1005" spans="3:5">
      <c r="C1005" s="501">
        <v>700</v>
      </c>
      <c r="D1005" s="502">
        <v>0.70520000000000005</v>
      </c>
      <c r="E1005" s="501">
        <f t="shared" si="0"/>
        <v>493.64000000000004</v>
      </c>
    </row>
    <row r="1008" spans="3:5">
      <c r="C1008" s="501" t="s">
        <v>681</v>
      </c>
      <c r="D1008" s="504" t="s">
        <v>682</v>
      </c>
      <c r="E1008" s="504" t="s">
        <v>684</v>
      </c>
    </row>
    <row r="1009" spans="3:5">
      <c r="C1009" s="503">
        <v>5000</v>
      </c>
      <c r="D1009" s="503">
        <v>12</v>
      </c>
      <c r="E1009" s="501">
        <f>C1009/100*D1009</f>
        <v>600</v>
      </c>
    </row>
    <row r="1010" spans="3:5">
      <c r="C1010" s="503">
        <v>8000</v>
      </c>
      <c r="D1010" s="503">
        <v>55</v>
      </c>
      <c r="E1010" s="501">
        <f t="shared" ref="E1010:E1014" si="1">C1010/100*D1010</f>
        <v>4400</v>
      </c>
    </row>
    <row r="1011" spans="3:5">
      <c r="C1011" s="503">
        <v>25000</v>
      </c>
      <c r="D1011" s="503">
        <v>20</v>
      </c>
      <c r="E1011" s="501">
        <f t="shared" si="1"/>
        <v>5000</v>
      </c>
    </row>
    <row r="1012" spans="3:5">
      <c r="C1012" s="503">
        <v>40000</v>
      </c>
      <c r="D1012" s="503">
        <v>69</v>
      </c>
      <c r="E1012" s="501">
        <f t="shared" si="1"/>
        <v>27600</v>
      </c>
    </row>
    <row r="1013" spans="3:5">
      <c r="C1013" s="503">
        <v>2500</v>
      </c>
      <c r="D1013" s="503">
        <v>35</v>
      </c>
      <c r="E1013" s="501">
        <f t="shared" si="1"/>
        <v>875</v>
      </c>
    </row>
    <row r="1014" spans="3:5">
      <c r="C1014" s="503">
        <v>700</v>
      </c>
      <c r="D1014" s="503">
        <v>20</v>
      </c>
      <c r="E1014" s="501">
        <f t="shared" si="1"/>
        <v>140</v>
      </c>
    </row>
  </sheetData>
  <mergeCells count="90">
    <mergeCell ref="A957:B957"/>
    <mergeCell ref="D416:F416"/>
    <mergeCell ref="A432:B432"/>
    <mergeCell ref="A523:B523"/>
    <mergeCell ref="A537:B537"/>
    <mergeCell ref="A619:B619"/>
    <mergeCell ref="A630:B630"/>
    <mergeCell ref="D743:E743"/>
    <mergeCell ref="C730:C733"/>
    <mergeCell ref="A644:B644"/>
    <mergeCell ref="A796:B796"/>
    <mergeCell ref="A808:B808"/>
    <mergeCell ref="A854:B854"/>
    <mergeCell ref="A609:B609"/>
    <mergeCell ref="A402:B402"/>
    <mergeCell ref="J381:L381"/>
    <mergeCell ref="J363:L363"/>
    <mergeCell ref="J392:K392"/>
    <mergeCell ref="C781:F781"/>
    <mergeCell ref="L469:Q469"/>
    <mergeCell ref="L516:R516"/>
    <mergeCell ref="L518:N518"/>
    <mergeCell ref="A439:B439"/>
    <mergeCell ref="A453:B453"/>
    <mergeCell ref="A467:B467"/>
    <mergeCell ref="E469:G469"/>
    <mergeCell ref="A498:B498"/>
    <mergeCell ref="L538:M538"/>
    <mergeCell ref="L528:M528"/>
    <mergeCell ref="O528:S528"/>
    <mergeCell ref="C287:D287"/>
    <mergeCell ref="C288:D288"/>
    <mergeCell ref="C289:D289"/>
    <mergeCell ref="J373:K373"/>
    <mergeCell ref="J382:L382"/>
    <mergeCell ref="A358:H358"/>
    <mergeCell ref="C286:D286"/>
    <mergeCell ref="B166:D166"/>
    <mergeCell ref="B169:D169"/>
    <mergeCell ref="A182:B182"/>
    <mergeCell ref="A197:B197"/>
    <mergeCell ref="B9:F12"/>
    <mergeCell ref="D16:F18"/>
    <mergeCell ref="D20:G22"/>
    <mergeCell ref="A283:B283"/>
    <mergeCell ref="C285:D285"/>
    <mergeCell ref="G239:I239"/>
    <mergeCell ref="C278:N278"/>
    <mergeCell ref="L530:M530"/>
    <mergeCell ref="L531:M531"/>
    <mergeCell ref="L532:M532"/>
    <mergeCell ref="L533:M533"/>
    <mergeCell ref="L535:M535"/>
    <mergeCell ref="L536:M536"/>
    <mergeCell ref="L537:M537"/>
    <mergeCell ref="O541:P541"/>
    <mergeCell ref="L542:M542"/>
    <mergeCell ref="A599:B599"/>
    <mergeCell ref="A545:B545"/>
    <mergeCell ref="A556:B556"/>
    <mergeCell ref="A565:B565"/>
    <mergeCell ref="A574:B574"/>
    <mergeCell ref="A587:B587"/>
    <mergeCell ref="J726:K726"/>
    <mergeCell ref="D727:E727"/>
    <mergeCell ref="J727:K727"/>
    <mergeCell ref="D728:E728"/>
    <mergeCell ref="D632:G632"/>
    <mergeCell ref="D683:G683"/>
    <mergeCell ref="J721:K721"/>
    <mergeCell ref="J722:K722"/>
    <mergeCell ref="J723:K723"/>
    <mergeCell ref="J724:K724"/>
    <mergeCell ref="J725:K725"/>
    <mergeCell ref="A985:B985"/>
    <mergeCell ref="A893:B893"/>
    <mergeCell ref="E621:F621"/>
    <mergeCell ref="A819:B819"/>
    <mergeCell ref="A700:B700"/>
    <mergeCell ref="D646:F646"/>
    <mergeCell ref="D647:F647"/>
    <mergeCell ref="D648:F648"/>
    <mergeCell ref="A682:B682"/>
    <mergeCell ref="D702:G702"/>
    <mergeCell ref="C712:D712"/>
    <mergeCell ref="A719:B719"/>
    <mergeCell ref="C721:G721"/>
    <mergeCell ref="A778:B778"/>
    <mergeCell ref="C791:C793"/>
    <mergeCell ref="A940:B940"/>
  </mergeCells>
  <hyperlinks>
    <hyperlink ref="B159" r:id="rId1" xr:uid="{ADEAB4E1-BEED-4485-A51A-8F4B504200FC}"/>
    <hyperlink ref="C278:M278" r:id="rId2" display="As an alternative, we can apply the TRIM function, to remove unnecessary whitespaces. You can read more about it here." xr:uid="{FB5631EB-2A8A-4645-A8AB-5F996AB69FEC}"/>
    <hyperlink ref="G239:I239" location="VLOOKUP3!A1" display="Go back to the question" xr:uid="{A8EEE674-57CE-40EE-9789-AFB5C9B71B43}"/>
    <hyperlink ref="D451" r:id="rId3" xr:uid="{8ECE6DFA-D00C-4644-ABC9-D7CE716E6B9D}"/>
    <hyperlink ref="D450" r:id="rId4" xr:uid="{FC7C7494-1BF8-4E66-9087-5C3232A476C0}"/>
    <hyperlink ref="D449" r:id="rId5" xr:uid="{65D049D1-5CC2-44FF-A9D8-FF85B20D6F65}"/>
    <hyperlink ref="D448" r:id="rId6" xr:uid="{2406C2A5-5956-46E0-9058-E282C4D52591}"/>
    <hyperlink ref="D447" r:id="rId7" xr:uid="{1FEBA536-1BDD-4F24-AD05-C32CD59D82FC}"/>
    <hyperlink ref="D446" r:id="rId8" xr:uid="{6C2F4758-4A46-4A2A-8D11-D4901EEBD7B9}"/>
    <hyperlink ref="D445" r:id="rId9" xr:uid="{97445B71-6E66-4EEA-B098-F425F03C5270}"/>
    <hyperlink ref="D444" r:id="rId10" xr:uid="{7DA97AFD-9312-4B22-84A3-AC50313E0708}"/>
    <hyperlink ref="D443" r:id="rId11" xr:uid="{AF143516-E15B-4100-99CC-7BE0B37CF199}"/>
    <hyperlink ref="D442" r:id="rId12" xr:uid="{0B4B98DA-222A-4DC0-827E-6618E5F02295}"/>
    <hyperlink ref="D465" r:id="rId13" xr:uid="{15C26FB4-41F9-41EE-BDB3-A2CD4F922A73}"/>
    <hyperlink ref="D464" r:id="rId14" xr:uid="{DDF72F43-983C-42D5-BC09-78559112F8B4}"/>
    <hyperlink ref="D463" r:id="rId15" xr:uid="{2C6846BA-CF65-4EE3-99F0-5A1FE0D7DBFC}"/>
    <hyperlink ref="D462" r:id="rId16" xr:uid="{2B459692-DED7-4CF9-823D-AFC1C6B60478}"/>
    <hyperlink ref="D461" r:id="rId17" xr:uid="{9A0C4BBA-0E18-4240-94E1-B7EDB42475A6}"/>
    <hyperlink ref="D460" r:id="rId18" xr:uid="{49B5FC6E-098A-4AD5-B960-3DC3590691B8}"/>
    <hyperlink ref="D459" r:id="rId19" xr:uid="{3CD5573D-C350-4556-813F-3B0720806E6C}"/>
    <hyperlink ref="D458" r:id="rId20" xr:uid="{208B47C5-F342-42E9-B2F2-A030DBCD59E8}"/>
    <hyperlink ref="D457" r:id="rId21" xr:uid="{1508A484-2A2D-4CB8-B785-5A692AB796B1}"/>
    <hyperlink ref="D456" r:id="rId22" xr:uid="{6975877F-FEBF-4C18-AFC4-6D657F998419}"/>
    <hyperlink ref="D479" r:id="rId23" xr:uid="{FE9ADAAD-7329-4DFF-B097-343DFC955C1A}"/>
    <hyperlink ref="D478" r:id="rId24" xr:uid="{7BEC9FB0-EAEC-4384-8560-74EBBFB137AA}"/>
    <hyperlink ref="D477" r:id="rId25" xr:uid="{AADF5DAD-8251-4CB6-97BA-352C6A782C2A}"/>
    <hyperlink ref="D476" r:id="rId26" xr:uid="{2DD13195-D30E-42F6-AF3F-F9CCEBA763CD}"/>
    <hyperlink ref="D475" r:id="rId27" xr:uid="{3399E362-0394-4555-A16D-46AD79ECBAE5}"/>
    <hyperlink ref="D474" r:id="rId28" xr:uid="{0FE5EB0B-E341-48B6-8335-C63764E872F4}"/>
    <hyperlink ref="D473" r:id="rId29" xr:uid="{DDBFC748-22E3-4D02-A839-3E6BCC412356}"/>
    <hyperlink ref="D472" r:id="rId30" xr:uid="{E1BC83D3-C572-478F-897E-68E2DC04EE78}"/>
    <hyperlink ref="D471" r:id="rId31" xr:uid="{77408E3D-C936-4EC2-89AA-B0287EC0408A}"/>
    <hyperlink ref="D470" r:id="rId32" xr:uid="{8FEF3ED4-96FF-4517-9E83-243860357CE5}"/>
    <hyperlink ref="D493" r:id="rId33" xr:uid="{667C61C7-81C6-4750-8DB6-011CECB03B87}"/>
    <hyperlink ref="D492" r:id="rId34" xr:uid="{A51877B2-6815-4051-AE14-B27AFC7D8457}"/>
    <hyperlink ref="D491" r:id="rId35" xr:uid="{7C6FE13D-A6FF-4A7C-AD11-5AA63D8E621D}"/>
    <hyperlink ref="D490" r:id="rId36" xr:uid="{8C828B80-982C-4779-ABDE-96C8DC566920}"/>
    <hyperlink ref="D489" r:id="rId37" xr:uid="{825C09B5-029F-4FB0-BFEC-53B2C92827CB}"/>
    <hyperlink ref="D488" r:id="rId38" xr:uid="{C881D38E-8EF6-4EBF-AB2D-9270B5DA0900}"/>
    <hyperlink ref="D487" r:id="rId39" xr:uid="{38586AFF-28E6-466D-A6D3-44ECF1850FA1}"/>
    <hyperlink ref="D486" r:id="rId40" xr:uid="{A048F1F9-621B-4A67-9807-897C312DC59B}"/>
    <hyperlink ref="D485" r:id="rId41" xr:uid="{1D80DA46-0232-4771-9434-C64AE61F8063}"/>
    <hyperlink ref="D484" r:id="rId42" xr:uid="{D129535B-D45B-43EE-9C16-2F6385582860}"/>
  </hyperlinks>
  <pageMargins left="0.7" right="0.7" top="0.75" bottom="0.75" header="0.3" footer="0.3"/>
  <drawing r:id="rId4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27205-0F64-4946-B59D-17D4BF2B8393}">
  <sheetPr>
    <tabColor rgb="FF05F2DE"/>
  </sheetPr>
  <dimension ref="A2:N195"/>
  <sheetViews>
    <sheetView topLeftCell="B140" workbookViewId="0">
      <selection activeCell="B140" sqref="B140"/>
    </sheetView>
  </sheetViews>
  <sheetFormatPr defaultRowHeight="15"/>
  <cols>
    <col min="1" max="1" width="9.85546875" style="199" customWidth="1"/>
    <col min="2" max="2" width="34.7109375" bestFit="1" customWidth="1"/>
    <col min="3" max="3" width="27.5703125" bestFit="1" customWidth="1"/>
    <col min="4" max="4" width="21" bestFit="1" customWidth="1"/>
    <col min="5" max="5" width="22.140625" bestFit="1" customWidth="1"/>
    <col min="6" max="6" width="14.140625" bestFit="1" customWidth="1"/>
    <col min="7" max="7" width="14.28515625" bestFit="1" customWidth="1"/>
    <col min="8" max="8" width="33.28515625" bestFit="1" customWidth="1"/>
    <col min="9" max="9" width="30.7109375" bestFit="1" customWidth="1"/>
    <col min="10" max="10" width="14" bestFit="1" customWidth="1"/>
    <col min="11" max="11" width="22.28515625" bestFit="1" customWidth="1"/>
    <col min="12" max="12" width="21.28515625" bestFit="1" customWidth="1"/>
    <col min="13" max="13" width="16.28515625" bestFit="1" customWidth="1"/>
  </cols>
  <sheetData>
    <row r="2" spans="2:14" ht="26.25">
      <c r="B2" s="155" t="s">
        <v>685</v>
      </c>
      <c r="C2" s="155"/>
      <c r="D2" s="155"/>
      <c r="E2" s="155"/>
      <c r="F2" s="155"/>
      <c r="G2" s="155"/>
      <c r="H2" s="155"/>
    </row>
    <row r="4" spans="2:14" ht="24">
      <c r="B4" s="76" t="s">
        <v>686</v>
      </c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3"/>
    </row>
    <row r="5" spans="2:14">
      <c r="B5" s="84"/>
      <c r="C5" s="80"/>
      <c r="D5" s="80"/>
      <c r="E5" s="80"/>
      <c r="F5" s="80"/>
      <c r="G5" s="80"/>
      <c r="H5" s="80"/>
      <c r="I5" s="80"/>
      <c r="J5" s="80"/>
      <c r="K5" s="80"/>
      <c r="L5" s="80"/>
      <c r="M5" s="80"/>
      <c r="N5" s="85"/>
    </row>
    <row r="6" spans="2:14">
      <c r="B6" s="84"/>
      <c r="D6" s="80"/>
      <c r="E6" s="80"/>
      <c r="F6" s="80"/>
      <c r="G6" s="80"/>
      <c r="H6" s="80"/>
      <c r="I6" s="80"/>
      <c r="J6" s="80"/>
      <c r="K6" s="80"/>
      <c r="L6" s="80"/>
      <c r="M6" s="80"/>
      <c r="N6" s="85"/>
    </row>
    <row r="7" spans="2:14" ht="21">
      <c r="B7" s="84"/>
      <c r="C7" s="469" t="s">
        <v>687</v>
      </c>
      <c r="D7" s="470"/>
      <c r="E7" s="471"/>
      <c r="F7" s="80"/>
      <c r="G7" s="489" t="s">
        <v>688</v>
      </c>
      <c r="H7" s="489" t="s">
        <v>689</v>
      </c>
      <c r="I7" s="489" t="s">
        <v>690</v>
      </c>
      <c r="J7" s="490" t="s">
        <v>691</v>
      </c>
      <c r="K7" s="489" t="s">
        <v>692</v>
      </c>
      <c r="L7" s="489" t="s">
        <v>693</v>
      </c>
      <c r="M7" s="489" t="s">
        <v>694</v>
      </c>
      <c r="N7" s="85"/>
    </row>
    <row r="8" spans="2:14" ht="21">
      <c r="B8" s="84"/>
      <c r="C8" s="472" t="s">
        <v>695</v>
      </c>
      <c r="D8" s="473">
        <v>0.1</v>
      </c>
      <c r="E8" s="474" t="s">
        <v>696</v>
      </c>
      <c r="F8" s="80"/>
      <c r="G8" s="491">
        <v>1</v>
      </c>
      <c r="H8" s="492">
        <f>PPMT($D$8/12,G8,$D$10,-$D$9)</f>
        <v>2947.8076836213072</v>
      </c>
      <c r="I8" s="493">
        <f>IPMT($D$8/12,G8,$D$10,-$D$9)</f>
        <v>833.33333333333337</v>
      </c>
      <c r="J8" s="494">
        <f>SUM(H8:I8)</f>
        <v>3781.1410169546407</v>
      </c>
      <c r="K8" s="494">
        <f>H8/30</f>
        <v>98.260256120710238</v>
      </c>
      <c r="L8" s="494">
        <f>I8/30</f>
        <v>27.777777777777779</v>
      </c>
      <c r="M8" s="494">
        <f>J8/30</f>
        <v>126.03803389848802</v>
      </c>
      <c r="N8" s="85"/>
    </row>
    <row r="9" spans="2:14" ht="21">
      <c r="B9" s="84"/>
      <c r="C9" s="472" t="s">
        <v>676</v>
      </c>
      <c r="D9" s="475">
        <v>100000</v>
      </c>
      <c r="E9" s="476"/>
      <c r="F9" s="80"/>
      <c r="G9" s="491">
        <v>2</v>
      </c>
      <c r="H9" s="495">
        <f>PPMT($D$8/12,G9,$D$10,-$D$9)</f>
        <v>2972.3727476514846</v>
      </c>
      <c r="I9" s="496">
        <f>IPMT($D$8/12,G9,$D$10,-$D$9)</f>
        <v>808.76826930315588</v>
      </c>
      <c r="J9" s="497">
        <f>SUM(H9:I9)</f>
        <v>3781.1410169546407</v>
      </c>
      <c r="K9" s="497">
        <f>H9/30</f>
        <v>99.079091588382823</v>
      </c>
      <c r="L9" s="497">
        <f>I9/30</f>
        <v>26.958942310105197</v>
      </c>
      <c r="M9" s="497">
        <f>J9/30</f>
        <v>126.03803389848802</v>
      </c>
      <c r="N9" s="85"/>
    </row>
    <row r="10" spans="2:14" ht="21">
      <c r="B10" s="84"/>
      <c r="C10" s="472" t="s">
        <v>697</v>
      </c>
      <c r="D10" s="477">
        <v>30</v>
      </c>
      <c r="E10" s="478">
        <v>2.5</v>
      </c>
      <c r="F10" s="80"/>
      <c r="G10" s="498">
        <v>3</v>
      </c>
      <c r="H10" s="495">
        <f>PPMT($D$8/12,G10,$D$10,-$D$9)</f>
        <v>2997.1425205485803</v>
      </c>
      <c r="I10" s="496">
        <f>IPMT($D$8/12,G10,$D$10,-$D$9)</f>
        <v>783.9984964060601</v>
      </c>
      <c r="J10" s="497">
        <f>SUM(H10:I10)</f>
        <v>3781.1410169546402</v>
      </c>
      <c r="K10" s="497">
        <f>H10/30</f>
        <v>99.904750684952674</v>
      </c>
      <c r="L10" s="497">
        <f>I10/30</f>
        <v>26.133283213535336</v>
      </c>
      <c r="M10" s="497">
        <f>J10/30</f>
        <v>126.03803389848801</v>
      </c>
      <c r="N10" s="85"/>
    </row>
    <row r="11" spans="2:14" ht="21">
      <c r="B11" s="84"/>
      <c r="C11" s="111"/>
      <c r="D11" s="81"/>
      <c r="E11" s="476"/>
      <c r="F11" s="80"/>
      <c r="G11" s="498">
        <v>4</v>
      </c>
      <c r="H11" s="495">
        <f>PPMT($D$8/12,G11,$D$10,-$D$9)</f>
        <v>3022.1187082198185</v>
      </c>
      <c r="I11" s="496">
        <f>IPMT($D$8/12,G11,$D$10,-$D$9)</f>
        <v>759.02230873482199</v>
      </c>
      <c r="J11" s="497">
        <f>SUM(H11:I11)</f>
        <v>3781.1410169546407</v>
      </c>
      <c r="K11" s="497">
        <f>H11/30</f>
        <v>100.73729027399395</v>
      </c>
      <c r="L11" s="497">
        <f>I11/30</f>
        <v>25.300743624494068</v>
      </c>
      <c r="M11" s="497">
        <f>J11/30</f>
        <v>126.03803389848802</v>
      </c>
      <c r="N11" s="85"/>
    </row>
    <row r="12" spans="2:14" ht="21">
      <c r="B12" s="84"/>
      <c r="C12" s="479" t="s">
        <v>698</v>
      </c>
      <c r="D12" s="480">
        <f>PMT(D8/12,D10,-D9)</f>
        <v>3781.1410169546402</v>
      </c>
      <c r="E12" s="476"/>
      <c r="F12" s="80"/>
      <c r="G12" s="498">
        <v>5</v>
      </c>
      <c r="H12" s="495">
        <f>PPMT($D$8/12,G12,$D$10,-$D$9)</f>
        <v>3047.3030307883168</v>
      </c>
      <c r="I12" s="496">
        <f>IPMT($D$8/12,G12,$D$10,-$D$9)</f>
        <v>733.8379861663235</v>
      </c>
      <c r="J12" s="497">
        <f>SUM(H12:I12)</f>
        <v>3781.1410169546402</v>
      </c>
      <c r="K12" s="497">
        <f>H12/30</f>
        <v>101.57676769294389</v>
      </c>
      <c r="L12" s="497">
        <f>I12/30</f>
        <v>24.461266205544117</v>
      </c>
      <c r="M12" s="497">
        <f>J12/30</f>
        <v>126.03803389848801</v>
      </c>
      <c r="N12" s="85"/>
    </row>
    <row r="13" spans="2:14" ht="21">
      <c r="B13" s="84"/>
      <c r="C13" s="481"/>
      <c r="D13" s="432"/>
      <c r="E13" s="476"/>
      <c r="F13" s="80"/>
      <c r="G13" s="498">
        <v>6</v>
      </c>
      <c r="H13" s="495">
        <f>PPMT($D$8/12,G13,$D$10,-$D$9)</f>
        <v>3072.697222711553</v>
      </c>
      <c r="I13" s="496">
        <f>IPMT($D$8/12,G13,$D$10,-$D$9)</f>
        <v>708.4437942430875</v>
      </c>
      <c r="J13" s="497">
        <f>SUM(H13:I13)</f>
        <v>3781.1410169546407</v>
      </c>
      <c r="K13" s="497">
        <f>H13/30</f>
        <v>102.42324075705177</v>
      </c>
      <c r="L13" s="497">
        <f>I13/30</f>
        <v>23.614793141436248</v>
      </c>
      <c r="M13" s="497">
        <f>J13/30</f>
        <v>126.03803389848802</v>
      </c>
      <c r="N13" s="85"/>
    </row>
    <row r="14" spans="2:14" ht="21">
      <c r="B14" s="84"/>
      <c r="C14" s="479" t="s">
        <v>699</v>
      </c>
      <c r="D14" s="480">
        <f>PMT(D8/12,12*E10,-D9)</f>
        <v>3781.1410169546402</v>
      </c>
      <c r="E14" s="476"/>
      <c r="F14" s="80"/>
      <c r="G14" s="498">
        <v>7</v>
      </c>
      <c r="H14" s="495">
        <f>PPMT($D$8/12,G14,$D$10,-$D$9)</f>
        <v>3098.3030329008161</v>
      </c>
      <c r="I14" s="496">
        <f>IPMT($D$8/12,G14,$D$10,-$D$9)</f>
        <v>682.83798405382447</v>
      </c>
      <c r="J14" s="497">
        <f>SUM(H14:I14)</f>
        <v>3781.1410169546407</v>
      </c>
      <c r="K14" s="497">
        <f>H14/30</f>
        <v>103.27676776336054</v>
      </c>
      <c r="L14" s="497">
        <f>I14/30</f>
        <v>22.761266135127482</v>
      </c>
      <c r="M14" s="497">
        <f>J14/30</f>
        <v>126.03803389848802</v>
      </c>
      <c r="N14" s="85"/>
    </row>
    <row r="15" spans="2:14" ht="21">
      <c r="B15" s="84"/>
      <c r="C15" s="481"/>
      <c r="D15" s="432"/>
      <c r="E15" s="476"/>
      <c r="F15" s="80"/>
      <c r="G15" s="498">
        <v>8</v>
      </c>
      <c r="H15" s="495">
        <f>PPMT($D$8/12,G15,$D$10,-$D$9)</f>
        <v>3124.1222248416557</v>
      </c>
      <c r="I15" s="496">
        <f>IPMT($D$8/12,G15,$D$10,-$D$9)</f>
        <v>657.01879211298433</v>
      </c>
      <c r="J15" s="497">
        <f>SUM(H15:I15)</f>
        <v>3781.1410169546398</v>
      </c>
      <c r="K15" s="497">
        <f>H15/30</f>
        <v>104.13740749472186</v>
      </c>
      <c r="L15" s="497">
        <f>I15/30</f>
        <v>21.900626403766143</v>
      </c>
      <c r="M15" s="497">
        <f>J15/30</f>
        <v>126.038033898488</v>
      </c>
      <c r="N15" s="85"/>
    </row>
    <row r="16" spans="2:14" ht="21">
      <c r="B16" s="84"/>
      <c r="C16" s="482" t="s">
        <v>700</v>
      </c>
      <c r="D16" s="483">
        <f>D12*D10</f>
        <v>113434.2305086392</v>
      </c>
      <c r="E16" s="476"/>
      <c r="F16" s="80"/>
      <c r="G16" s="498">
        <v>9</v>
      </c>
      <c r="H16" s="495">
        <f>PPMT($D$8/12,G16,$D$10,-$D$9)</f>
        <v>3150.1565767153365</v>
      </c>
      <c r="I16" s="496">
        <f>IPMT($D$8/12,G16,$D$10,-$D$9)</f>
        <v>630.98444023930392</v>
      </c>
      <c r="J16" s="497">
        <f>SUM(H16:I16)</f>
        <v>3781.1410169546407</v>
      </c>
      <c r="K16" s="497">
        <f>H16/30</f>
        <v>105.00521922384455</v>
      </c>
      <c r="L16" s="497">
        <f>I16/30</f>
        <v>21.032814674643465</v>
      </c>
      <c r="M16" s="497">
        <f>J16/30</f>
        <v>126.03803389848802</v>
      </c>
      <c r="N16" s="85"/>
    </row>
    <row r="17" spans="2:14" ht="21">
      <c r="B17" s="84"/>
      <c r="C17" s="484" t="s">
        <v>701</v>
      </c>
      <c r="D17" s="485">
        <f>D16-D9</f>
        <v>13434.230508639201</v>
      </c>
      <c r="E17" s="486"/>
      <c r="F17" s="80"/>
      <c r="G17" s="498">
        <v>10</v>
      </c>
      <c r="H17" s="495">
        <f>PPMT($D$8/12,G17,$D$10,-$D$9)</f>
        <v>3176.4078815212979</v>
      </c>
      <c r="I17" s="496">
        <f>IPMT($D$8/12,G17,$D$10,-$D$9)</f>
        <v>604.7331354333428</v>
      </c>
      <c r="J17" s="497">
        <f>SUM(H17:I17)</f>
        <v>3781.1410169546407</v>
      </c>
      <c r="K17" s="497">
        <f>H17/30</f>
        <v>105.8802627173766</v>
      </c>
      <c r="L17" s="497">
        <f>I17/30</f>
        <v>20.157771181111425</v>
      </c>
      <c r="M17" s="497">
        <f>J17/30</f>
        <v>126.03803389848802</v>
      </c>
      <c r="N17" s="85"/>
    </row>
    <row r="18" spans="2:14" ht="21">
      <c r="B18" s="84"/>
      <c r="D18" s="80"/>
      <c r="E18" s="80"/>
      <c r="F18" s="80"/>
      <c r="G18" s="498">
        <v>11</v>
      </c>
      <c r="H18" s="495">
        <f>PPMT($D$8/12,G18,$D$10,-$D$9)</f>
        <v>3202.8779472006422</v>
      </c>
      <c r="I18" s="496">
        <f>IPMT($D$8/12,G18,$D$10,-$D$9)</f>
        <v>578.26306975399871</v>
      </c>
      <c r="J18" s="497">
        <f>SUM(H18:I18)</f>
        <v>3781.1410169546407</v>
      </c>
      <c r="K18" s="497">
        <f>H18/30</f>
        <v>106.7625982400214</v>
      </c>
      <c r="L18" s="497">
        <f>I18/30</f>
        <v>19.275435658466623</v>
      </c>
      <c r="M18" s="497">
        <f>J18/30</f>
        <v>126.03803389848802</v>
      </c>
      <c r="N18" s="85"/>
    </row>
    <row r="19" spans="2:14" ht="21">
      <c r="B19" s="84"/>
      <c r="C19" s="487" t="s">
        <v>702</v>
      </c>
      <c r="D19" s="487">
        <v>3000</v>
      </c>
      <c r="G19" s="498">
        <v>12</v>
      </c>
      <c r="H19" s="495">
        <f>PPMT($D$8/12,G19,$D$10,-$D$9)</f>
        <v>3229.5685967606469</v>
      </c>
      <c r="I19" s="496">
        <f>IPMT($D$8/12,G19,$D$10,-$D$9)</f>
        <v>551.57242019399325</v>
      </c>
      <c r="J19" s="497">
        <f>SUM(H19:I19)</f>
        <v>3781.1410169546402</v>
      </c>
      <c r="K19" s="497">
        <f>H19/30</f>
        <v>107.65228655868823</v>
      </c>
      <c r="L19" s="497">
        <f>I19/30</f>
        <v>18.385747339799774</v>
      </c>
      <c r="M19" s="497">
        <f>J19/30</f>
        <v>126.03803389848801</v>
      </c>
      <c r="N19" s="85"/>
    </row>
    <row r="20" spans="2:14" ht="21">
      <c r="B20" s="84"/>
      <c r="C20" s="488"/>
      <c r="D20" s="488"/>
      <c r="G20" s="498">
        <v>13</v>
      </c>
      <c r="H20" s="495">
        <f>PPMT($D$8/12,G20,$D$10,-$D$9)</f>
        <v>3256.481668400319</v>
      </c>
      <c r="I20" s="496">
        <f>IPMT($D$8/12,G20,$D$10,-$D$9)</f>
        <v>524.65934855432124</v>
      </c>
      <c r="J20" s="497">
        <f>SUM(H20:I20)</f>
        <v>3781.1410169546402</v>
      </c>
      <c r="K20" s="497">
        <f>H20/30</f>
        <v>108.5493889466773</v>
      </c>
      <c r="L20" s="497">
        <f>I20/30</f>
        <v>17.488644951810709</v>
      </c>
      <c r="M20" s="497">
        <f>J20/30</f>
        <v>126.03803389848801</v>
      </c>
      <c r="N20" s="85"/>
    </row>
    <row r="21" spans="2:14" ht="21">
      <c r="B21" s="84"/>
      <c r="C21" s="487" t="s">
        <v>703</v>
      </c>
      <c r="D21" s="487">
        <v>67000</v>
      </c>
      <c r="G21" s="498">
        <v>14</v>
      </c>
      <c r="H21" s="495">
        <f>PPMT($D$8/12,G21,$D$10,-$D$9)</f>
        <v>3283.6190156369885</v>
      </c>
      <c r="I21" s="496">
        <f>IPMT($D$8/12,G21,$D$10,-$D$9)</f>
        <v>497.52200131765193</v>
      </c>
      <c r="J21" s="497">
        <f>SUM(H21:I21)</f>
        <v>3781.1410169546402</v>
      </c>
      <c r="K21" s="497">
        <f>H21/30</f>
        <v>109.45396718789962</v>
      </c>
      <c r="L21" s="497">
        <f>I21/30</f>
        <v>16.584066710588399</v>
      </c>
      <c r="M21" s="497">
        <f>J21/30</f>
        <v>126.03803389848801</v>
      </c>
      <c r="N21" s="85"/>
    </row>
    <row r="22" spans="2:14" ht="21">
      <c r="B22" s="84"/>
      <c r="C22" s="488"/>
      <c r="D22" s="487">
        <v>90300</v>
      </c>
      <c r="G22" s="498">
        <v>15</v>
      </c>
      <c r="H22" s="495">
        <f>PPMT($D$8/12,G22,$D$10,-$D$9)</f>
        <v>3310.9825074339633</v>
      </c>
      <c r="I22" s="496">
        <f>IPMT($D$8/12,G22,$D$10,-$D$9)</f>
        <v>470.158509520677</v>
      </c>
      <c r="J22" s="497">
        <f>SUM(H22:I22)</f>
        <v>3781.1410169546402</v>
      </c>
      <c r="K22" s="497">
        <f>H22/30</f>
        <v>110.36608358113212</v>
      </c>
      <c r="L22" s="497">
        <f>I22/30</f>
        <v>15.6719503173559</v>
      </c>
      <c r="M22" s="497">
        <f>J22/30</f>
        <v>126.03803389848801</v>
      </c>
      <c r="N22" s="85"/>
    </row>
    <row r="23" spans="2:14" ht="21">
      <c r="B23" s="84"/>
      <c r="C23" s="487" t="s">
        <v>508</v>
      </c>
      <c r="D23" s="487">
        <v>89500</v>
      </c>
      <c r="G23" s="498">
        <v>16</v>
      </c>
      <c r="H23" s="495">
        <f>PPMT($D$8/12,G23,$D$10,-$D$9)</f>
        <v>3338.5740283292466</v>
      </c>
      <c r="I23" s="496">
        <f>IPMT($D$8/12,G23,$D$10,-$D$9)</f>
        <v>442.566988625394</v>
      </c>
      <c r="J23" s="497">
        <f>SUM(H23:I23)</f>
        <v>3781.1410169546407</v>
      </c>
      <c r="K23" s="497">
        <f>H23/30</f>
        <v>111.28580094430822</v>
      </c>
      <c r="L23" s="497">
        <f>I23/30</f>
        <v>14.752232954179799</v>
      </c>
      <c r="M23" s="497">
        <f>J23/30</f>
        <v>126.03803389848802</v>
      </c>
      <c r="N23" s="85"/>
    </row>
    <row r="24" spans="2:14" ht="21">
      <c r="B24" s="84"/>
      <c r="D24" s="80"/>
      <c r="E24" s="80"/>
      <c r="F24" s="80"/>
      <c r="G24" s="498">
        <v>17</v>
      </c>
      <c r="H24" s="495">
        <f>PPMT($D$8/12,G24,$D$10,-$D$9)</f>
        <v>3366.3954785653236</v>
      </c>
      <c r="I24" s="496">
        <f>IPMT($D$8/12,G24,$D$10,-$D$9)</f>
        <v>414.74553838931689</v>
      </c>
      <c r="J24" s="497">
        <f>SUM(H24:I24)</f>
        <v>3781.1410169546407</v>
      </c>
      <c r="K24" s="497">
        <f>H24/30</f>
        <v>112.21318261884412</v>
      </c>
      <c r="L24" s="497">
        <f>I24/30</f>
        <v>13.824851279643896</v>
      </c>
      <c r="M24" s="497">
        <f>J24/30</f>
        <v>126.03803389848802</v>
      </c>
      <c r="N24" s="85"/>
    </row>
    <row r="25" spans="2:14" ht="21">
      <c r="B25" s="84"/>
      <c r="C25" s="80"/>
      <c r="E25" s="80"/>
      <c r="F25" s="80"/>
      <c r="G25" s="498">
        <v>18</v>
      </c>
      <c r="H25" s="495">
        <f>PPMT($D$8/12,G25,$D$10,-$D$9)</f>
        <v>3394.4487742200345</v>
      </c>
      <c r="I25" s="496">
        <f>IPMT($D$8/12,G25,$D$10,-$D$9)</f>
        <v>386.69224273460594</v>
      </c>
      <c r="J25" s="497">
        <f>SUM(H25:I25)</f>
        <v>3781.1410169546402</v>
      </c>
      <c r="K25" s="497">
        <f>H25/30</f>
        <v>113.14829247400115</v>
      </c>
      <c r="L25" s="497">
        <f>I25/30</f>
        <v>12.889741424486864</v>
      </c>
      <c r="M25" s="497">
        <f>J25/30</f>
        <v>126.03803389848801</v>
      </c>
      <c r="N25" s="85"/>
    </row>
    <row r="26" spans="2:14" ht="21">
      <c r="B26" s="84"/>
      <c r="C26" s="80"/>
      <c r="D26" s="80"/>
      <c r="E26" s="80"/>
      <c r="F26" s="80"/>
      <c r="G26" s="498">
        <v>19</v>
      </c>
      <c r="H26" s="495">
        <f>PPMT($D$8/12,G26,$D$10,-$D$9)</f>
        <v>3422.7358473385348</v>
      </c>
      <c r="I26" s="496">
        <f>IPMT($D$8/12,G26,$D$10,-$D$9)</f>
        <v>358.40516961610564</v>
      </c>
      <c r="J26" s="497">
        <f>SUM(H26:I26)</f>
        <v>3781.1410169546402</v>
      </c>
      <c r="K26" s="497">
        <f>H26/30</f>
        <v>114.09119491128449</v>
      </c>
      <c r="L26" s="497">
        <f>I26/30</f>
        <v>11.946838987203522</v>
      </c>
      <c r="M26" s="497">
        <f>J26/30</f>
        <v>126.03803389848801</v>
      </c>
      <c r="N26" s="85"/>
    </row>
    <row r="27" spans="2:14" ht="21">
      <c r="B27" s="84"/>
      <c r="C27" s="80"/>
      <c r="D27" s="80"/>
      <c r="E27" s="80"/>
      <c r="F27" s="80"/>
      <c r="G27" s="498">
        <v>20</v>
      </c>
      <c r="H27" s="495">
        <f>PPMT($D$8/12,G27,$D$10,-$D$9)</f>
        <v>3451.2586460663556</v>
      </c>
      <c r="I27" s="496">
        <f>IPMT($D$8/12,G27,$D$10,-$D$9)</f>
        <v>329.88237088828453</v>
      </c>
      <c r="J27" s="497">
        <f>SUM(H27:I27)</f>
        <v>3781.1410169546402</v>
      </c>
      <c r="K27" s="497">
        <f>H27/30</f>
        <v>115.04195486887852</v>
      </c>
      <c r="L27" s="497">
        <f>I27/30</f>
        <v>10.996079029609485</v>
      </c>
      <c r="M27" s="497">
        <f>J27/30</f>
        <v>126.03803389848801</v>
      </c>
      <c r="N27" s="85"/>
    </row>
    <row r="28" spans="2:14" ht="21">
      <c r="B28" s="84"/>
      <c r="C28" s="80"/>
      <c r="D28" s="80"/>
      <c r="E28" s="80"/>
      <c r="F28" s="80"/>
      <c r="G28" s="498">
        <v>21</v>
      </c>
      <c r="H28" s="495">
        <f>PPMT($D$8/12,G28,$D$10,-$D$9)</f>
        <v>3480.0191347835753</v>
      </c>
      <c r="I28" s="496">
        <f>IPMT($D$8/12,G28,$D$10,-$D$9)</f>
        <v>301.1218821710649</v>
      </c>
      <c r="J28" s="497">
        <f>SUM(H28:I28)</f>
        <v>3781.1410169546402</v>
      </c>
      <c r="K28" s="497">
        <f>H28/30</f>
        <v>116.00063782611917</v>
      </c>
      <c r="L28" s="497">
        <f>I28/30</f>
        <v>10.03739607236883</v>
      </c>
      <c r="M28" s="497">
        <f>J28/30</f>
        <v>126.03803389848801</v>
      </c>
      <c r="N28" s="85"/>
    </row>
    <row r="29" spans="2:14" ht="21">
      <c r="B29" s="84"/>
      <c r="C29" s="80"/>
      <c r="D29" s="80"/>
      <c r="E29" s="80"/>
      <c r="F29" s="80"/>
      <c r="G29" s="498">
        <v>22</v>
      </c>
      <c r="H29" s="495">
        <f>PPMT($D$8/12,G29,$D$10,-$D$9)</f>
        <v>3509.0192942401054</v>
      </c>
      <c r="I29" s="496">
        <f>IPMT($D$8/12,G29,$D$10,-$D$9)</f>
        <v>272.12172271453511</v>
      </c>
      <c r="J29" s="497">
        <f>SUM(H29:I29)</f>
        <v>3781.1410169546407</v>
      </c>
      <c r="K29" s="497">
        <f>H29/30</f>
        <v>116.96730980800352</v>
      </c>
      <c r="L29" s="497">
        <f>I29/30</f>
        <v>9.0707240904845037</v>
      </c>
      <c r="M29" s="497">
        <f>J29/30</f>
        <v>126.03803389848802</v>
      </c>
      <c r="N29" s="85"/>
    </row>
    <row r="30" spans="2:14" ht="21">
      <c r="B30" s="84"/>
      <c r="C30" s="80"/>
      <c r="D30" s="80"/>
      <c r="E30" s="80"/>
      <c r="F30" s="80"/>
      <c r="G30" s="498">
        <v>23</v>
      </c>
      <c r="H30" s="495">
        <f>PPMT($D$8/12,G30,$D$10,-$D$9)</f>
        <v>3538.2611216921064</v>
      </c>
      <c r="I30" s="496">
        <f>IPMT($D$8/12,G30,$D$10,-$D$9)</f>
        <v>242.87989526253421</v>
      </c>
      <c r="J30" s="497">
        <f>SUM(H30:I30)</f>
        <v>3781.1410169546407</v>
      </c>
      <c r="K30" s="497">
        <f>H30/30</f>
        <v>117.94203738973688</v>
      </c>
      <c r="L30" s="497">
        <f>I30/30</f>
        <v>8.0959965087511403</v>
      </c>
      <c r="M30" s="497">
        <f>J30/30</f>
        <v>126.03803389848802</v>
      </c>
      <c r="N30" s="85"/>
    </row>
    <row r="31" spans="2:14" ht="21">
      <c r="B31" s="84"/>
      <c r="C31" s="80"/>
      <c r="D31" s="80"/>
      <c r="E31" s="80"/>
      <c r="F31" s="80"/>
      <c r="G31" s="498">
        <v>24</v>
      </c>
      <c r="H31" s="495">
        <f>PPMT($D$8/12,G31,$D$10,-$D$9)</f>
        <v>3567.7466310395403</v>
      </c>
      <c r="I31" s="496">
        <f>IPMT($D$8/12,G31,$D$10,-$D$9)</f>
        <v>213.39438591509997</v>
      </c>
      <c r="J31" s="497">
        <f>SUM(H31:I31)</f>
        <v>3781.1410169546402</v>
      </c>
      <c r="K31" s="497">
        <f>H31/30</f>
        <v>118.92488770131801</v>
      </c>
      <c r="L31" s="497">
        <f>I31/30</f>
        <v>7.113146197169999</v>
      </c>
      <c r="M31" s="497">
        <f>J31/30</f>
        <v>126.03803389848801</v>
      </c>
      <c r="N31" s="85"/>
    </row>
    <row r="32" spans="2:14" ht="21">
      <c r="B32" s="84"/>
      <c r="C32" s="80"/>
      <c r="D32" s="80"/>
      <c r="E32" s="80"/>
      <c r="F32" s="80"/>
      <c r="G32" s="498">
        <v>25</v>
      </c>
      <c r="H32" s="495">
        <f>PPMT($D$8/12,G32,$D$10,-$D$9)</f>
        <v>3597.4778529648697</v>
      </c>
      <c r="I32" s="496">
        <f>IPMT($D$8/12,G32,$D$10,-$D$9)</f>
        <v>183.66316398977048</v>
      </c>
      <c r="J32" s="497">
        <f>SUM(H32:I32)</f>
        <v>3781.1410169546402</v>
      </c>
      <c r="K32" s="497">
        <f>H32/30</f>
        <v>119.91592843216232</v>
      </c>
      <c r="L32" s="497">
        <f>I32/30</f>
        <v>6.1221054663256824</v>
      </c>
      <c r="M32" s="497">
        <f>J32/30</f>
        <v>126.03803389848801</v>
      </c>
      <c r="N32" s="85"/>
    </row>
    <row r="33" spans="2:14" ht="21">
      <c r="B33" s="84"/>
      <c r="C33" s="80"/>
      <c r="D33" s="80"/>
      <c r="E33" s="80"/>
      <c r="F33" s="80"/>
      <c r="G33" s="498">
        <v>26</v>
      </c>
      <c r="H33" s="495">
        <f>PPMT($D$8/12,G33,$D$10,-$D$9)</f>
        <v>3627.4568350729105</v>
      </c>
      <c r="I33" s="496">
        <f>IPMT($D$8/12,G33,$D$10,-$D$9)</f>
        <v>153.6841818817299</v>
      </c>
      <c r="J33" s="497">
        <f>SUM(H33:I33)</f>
        <v>3781.1410169546402</v>
      </c>
      <c r="K33" s="497">
        <f>H33/30</f>
        <v>120.91522783576369</v>
      </c>
      <c r="L33" s="497">
        <f>I33/30</f>
        <v>5.1228060627243304</v>
      </c>
      <c r="M33" s="497">
        <f>J33/30</f>
        <v>126.03803389848801</v>
      </c>
      <c r="N33" s="85"/>
    </row>
    <row r="34" spans="2:14" ht="21">
      <c r="B34" s="84"/>
      <c r="C34" s="80"/>
      <c r="D34" s="80"/>
      <c r="E34" s="80"/>
      <c r="F34" s="80"/>
      <c r="G34" s="498">
        <v>27</v>
      </c>
      <c r="H34" s="495">
        <f>PPMT($D$8/12,G34,$D$10,-$D$9)</f>
        <v>3657.6856420318513</v>
      </c>
      <c r="I34" s="496">
        <f>IPMT($D$8/12,G34,$D$10,-$D$9)</f>
        <v>123.45537492278898</v>
      </c>
      <c r="J34" s="497">
        <f>SUM(H34:I34)</f>
        <v>3781.1410169546402</v>
      </c>
      <c r="K34" s="497">
        <f>H34/30</f>
        <v>121.92285473439505</v>
      </c>
      <c r="L34" s="497">
        <f>I34/30</f>
        <v>4.1151791640929662</v>
      </c>
      <c r="M34" s="497">
        <f>J34/30</f>
        <v>126.03803389848801</v>
      </c>
      <c r="N34" s="85"/>
    </row>
    <row r="35" spans="2:14" ht="21">
      <c r="B35" s="84"/>
      <c r="C35" s="80"/>
      <c r="D35" s="80"/>
      <c r="E35" s="80"/>
      <c r="F35" s="80"/>
      <c r="G35" s="491">
        <v>28</v>
      </c>
      <c r="H35" s="495">
        <f>PPMT($D$8/12,G35,$D$10,-$D$9)</f>
        <v>3688.1663557154502</v>
      </c>
      <c r="I35" s="496">
        <f>IPMT($D$8/12,G35,$D$10,-$D$9)</f>
        <v>92.974661239190226</v>
      </c>
      <c r="J35" s="497">
        <f>SUM(H35:I35)</f>
        <v>3781.1410169546402</v>
      </c>
      <c r="K35" s="497">
        <f>H35/30</f>
        <v>122.93887852384835</v>
      </c>
      <c r="L35" s="497">
        <f>I35/30</f>
        <v>3.0991553746396741</v>
      </c>
      <c r="M35" s="497">
        <f>J35/30</f>
        <v>126.03803389848801</v>
      </c>
      <c r="N35" s="85"/>
    </row>
    <row r="36" spans="2:14" ht="21">
      <c r="B36" s="84"/>
      <c r="C36" s="80"/>
      <c r="D36" s="80"/>
      <c r="E36" s="80"/>
      <c r="F36" s="80"/>
      <c r="G36" s="491">
        <v>29</v>
      </c>
      <c r="H36" s="495">
        <f>PPMT($D$8/12,G36,$D$10,-$D$9)</f>
        <v>3718.9010753464122</v>
      </c>
      <c r="I36" s="496">
        <f>IPMT($D$8/12,G36,$D$10,-$D$9)</f>
        <v>62.239941608228143</v>
      </c>
      <c r="J36" s="497">
        <f>SUM(H36:I36)</f>
        <v>3781.1410169546402</v>
      </c>
      <c r="K36" s="497">
        <f>H36/30</f>
        <v>123.96336917821374</v>
      </c>
      <c r="L36" s="497">
        <f>I36/30</f>
        <v>2.0746647202742716</v>
      </c>
      <c r="M36" s="497">
        <f>J36/30</f>
        <v>126.03803389848801</v>
      </c>
      <c r="N36" s="85"/>
    </row>
    <row r="37" spans="2:14" ht="21">
      <c r="B37" s="84"/>
      <c r="C37" s="80"/>
      <c r="D37" s="80"/>
      <c r="E37" s="80"/>
      <c r="F37" s="80"/>
      <c r="G37" s="498">
        <v>30</v>
      </c>
      <c r="H37" s="495">
        <f>PPMT($D$8/12,G37,$D$10,-$D$9)</f>
        <v>3749.8919176409659</v>
      </c>
      <c r="I37" s="496">
        <f>IPMT($D$8/12,G37,$D$10,-$D$9)</f>
        <v>31.249099313674716</v>
      </c>
      <c r="J37" s="497">
        <f>SUM(H37:I37)</f>
        <v>3781.1410169546407</v>
      </c>
      <c r="K37" s="497">
        <f>H37/30</f>
        <v>124.99639725469886</v>
      </c>
      <c r="L37" s="497">
        <f>I37/30</f>
        <v>1.0416366437891571</v>
      </c>
      <c r="M37" s="497">
        <f>J37/30</f>
        <v>126.03803389848802</v>
      </c>
      <c r="N37" s="85"/>
    </row>
    <row r="38" spans="2:14">
      <c r="B38" s="84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5"/>
    </row>
    <row r="39" spans="2:14" ht="21">
      <c r="B39" s="84"/>
      <c r="C39" s="80"/>
      <c r="D39" s="80"/>
      <c r="E39" s="80"/>
      <c r="F39" s="80"/>
      <c r="G39" s="80"/>
      <c r="H39" s="80"/>
      <c r="I39" s="79" t="s">
        <v>700</v>
      </c>
      <c r="J39" s="86">
        <f>SUM(J8:J31)</f>
        <v>90747.384406911413</v>
      </c>
      <c r="K39" s="80"/>
      <c r="L39" s="80"/>
      <c r="M39" s="80"/>
      <c r="N39" s="85"/>
    </row>
    <row r="40" spans="2:14">
      <c r="B40" s="84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5"/>
    </row>
    <row r="41" spans="2:14">
      <c r="B41" s="87"/>
      <c r="C41" s="88"/>
      <c r="D41" s="88"/>
      <c r="E41" s="88"/>
      <c r="F41" s="88"/>
      <c r="G41" s="88"/>
      <c r="H41" s="88"/>
      <c r="I41" s="88"/>
      <c r="J41" s="88"/>
      <c r="K41" s="88"/>
      <c r="L41" s="88"/>
      <c r="M41" s="88"/>
      <c r="N41" s="89"/>
    </row>
    <row r="45" spans="2:14" ht="24">
      <c r="B45" s="150" t="s">
        <v>133</v>
      </c>
    </row>
    <row r="47" spans="2:14" ht="18.75">
      <c r="C47" s="149" t="s">
        <v>134</v>
      </c>
      <c r="D47" s="149" t="s">
        <v>134</v>
      </c>
    </row>
    <row r="48" spans="2:14" ht="21">
      <c r="B48" s="174" t="s">
        <v>135</v>
      </c>
      <c r="C48" s="170">
        <v>11000</v>
      </c>
      <c r="D48" s="164">
        <v>100000</v>
      </c>
    </row>
    <row r="49" spans="2:5" ht="21">
      <c r="B49" s="175" t="s">
        <v>704</v>
      </c>
      <c r="C49" s="137">
        <v>7.0000000000000007E-2</v>
      </c>
      <c r="D49" s="183">
        <v>7.0000000000000007E-2</v>
      </c>
    </row>
    <row r="50" spans="2:5" ht="21">
      <c r="B50" s="175" t="s">
        <v>141</v>
      </c>
      <c r="C50" s="138">
        <v>1</v>
      </c>
      <c r="D50" s="195">
        <v>5</v>
      </c>
    </row>
    <row r="51" spans="2:5">
      <c r="B51" s="168"/>
      <c r="C51" s="80"/>
      <c r="D51" s="166"/>
    </row>
    <row r="52" spans="2:5" ht="21">
      <c r="B52" s="179" t="s">
        <v>133</v>
      </c>
      <c r="C52" s="172">
        <f>PV(C49,C50,0,-C48)</f>
        <v>10280.3738317757</v>
      </c>
      <c r="D52" s="173">
        <f>PV(D49,D50,0,-D48)</f>
        <v>71298.617948366838</v>
      </c>
    </row>
    <row r="54" spans="2:5" ht="21">
      <c r="B54" s="174" t="s">
        <v>135</v>
      </c>
      <c r="C54" s="193">
        <v>0</v>
      </c>
      <c r="D54" s="194">
        <v>0</v>
      </c>
    </row>
    <row r="55" spans="2:5" ht="21">
      <c r="B55" s="175" t="s">
        <v>142</v>
      </c>
      <c r="C55" s="139">
        <v>10000</v>
      </c>
      <c r="D55" s="167">
        <v>10000</v>
      </c>
      <c r="E55" t="s">
        <v>143</v>
      </c>
    </row>
    <row r="56" spans="2:5" ht="21">
      <c r="B56" s="175" t="s">
        <v>704</v>
      </c>
      <c r="C56" s="137">
        <v>7.0000000000000007E-2</v>
      </c>
      <c r="D56" s="183">
        <v>7.0000000000000007E-2</v>
      </c>
    </row>
    <row r="57" spans="2:5" ht="21">
      <c r="B57" s="175" t="s">
        <v>141</v>
      </c>
      <c r="C57" s="144">
        <v>2</v>
      </c>
      <c r="D57" s="176">
        <v>3</v>
      </c>
    </row>
    <row r="58" spans="2:5" ht="21">
      <c r="B58" s="175" t="s">
        <v>144</v>
      </c>
      <c r="C58" s="142" t="s">
        <v>145</v>
      </c>
      <c r="D58" s="178" t="s">
        <v>146</v>
      </c>
    </row>
    <row r="59" spans="2:5" ht="18.75">
      <c r="B59" s="168"/>
      <c r="C59" s="80"/>
      <c r="D59" s="166"/>
      <c r="E59" s="149" t="s">
        <v>147</v>
      </c>
    </row>
    <row r="60" spans="2:5" ht="21">
      <c r="B60" s="179" t="s">
        <v>148</v>
      </c>
      <c r="C60" s="172">
        <f>PV(C56,C57,-C55,C54)</f>
        <v>18080.181675255484</v>
      </c>
      <c r="D60" s="173">
        <f>PV(D56/12,D57*12,-D55,D54)</f>
        <v>323864.64451633178</v>
      </c>
      <c r="E60" s="154">
        <f>D55*36</f>
        <v>360000</v>
      </c>
    </row>
    <row r="63" spans="2:5" ht="24">
      <c r="B63" s="150" t="s">
        <v>135</v>
      </c>
    </row>
    <row r="65" spans="2:5" ht="18.75">
      <c r="C65" s="149" t="s">
        <v>134</v>
      </c>
      <c r="D65" s="149" t="s">
        <v>134</v>
      </c>
      <c r="E65" s="149" t="s">
        <v>134</v>
      </c>
    </row>
    <row r="66" spans="2:5" ht="21">
      <c r="B66" s="174" t="s">
        <v>133</v>
      </c>
      <c r="C66" s="170">
        <v>10000</v>
      </c>
      <c r="D66" s="170">
        <v>10000</v>
      </c>
      <c r="E66" s="164">
        <v>100000</v>
      </c>
    </row>
    <row r="67" spans="2:5" ht="21">
      <c r="B67" s="175" t="s">
        <v>149</v>
      </c>
      <c r="C67" s="137">
        <v>7.0000000000000007E-2</v>
      </c>
      <c r="D67" s="137">
        <v>7.0000000000000007E-2</v>
      </c>
      <c r="E67" s="183">
        <v>0.15</v>
      </c>
    </row>
    <row r="68" spans="2:5" ht="21">
      <c r="B68" s="175" t="s">
        <v>141</v>
      </c>
      <c r="C68" s="144">
        <v>5</v>
      </c>
      <c r="D68" s="144">
        <v>5</v>
      </c>
      <c r="E68" s="176">
        <v>36</v>
      </c>
    </row>
    <row r="69" spans="2:5" ht="21">
      <c r="B69" s="177" t="s">
        <v>144</v>
      </c>
      <c r="C69" s="142" t="s">
        <v>145</v>
      </c>
      <c r="D69" s="142" t="s">
        <v>146</v>
      </c>
      <c r="E69" s="178" t="s">
        <v>146</v>
      </c>
    </row>
    <row r="70" spans="2:5">
      <c r="B70" s="168"/>
      <c r="C70" s="80"/>
      <c r="D70" s="80"/>
      <c r="E70" s="166"/>
    </row>
    <row r="71" spans="2:5" ht="21">
      <c r="B71" s="179" t="s">
        <v>135</v>
      </c>
      <c r="C71" s="172">
        <f>FV(C67,C68,0,-C66)</f>
        <v>14025.517307000002</v>
      </c>
      <c r="D71" s="172">
        <f>FV(D67/12,D68*12,0,-D66)</f>
        <v>14176.252596139897</v>
      </c>
      <c r="E71" s="173">
        <f>FV(E67/12,E68*12,0,-E66)</f>
        <v>21411829.429507803</v>
      </c>
    </row>
    <row r="74" spans="2:5" ht="21">
      <c r="B74" s="174" t="s">
        <v>133</v>
      </c>
      <c r="C74" s="191">
        <v>0</v>
      </c>
      <c r="D74" s="181">
        <v>0</v>
      </c>
    </row>
    <row r="75" spans="2:5" ht="21">
      <c r="B75" s="175" t="s">
        <v>150</v>
      </c>
      <c r="C75" s="139">
        <v>10000</v>
      </c>
      <c r="D75" s="167">
        <v>10000</v>
      </c>
      <c r="E75" s="147" t="s">
        <v>143</v>
      </c>
    </row>
    <row r="76" spans="2:5" ht="21">
      <c r="B76" s="175" t="s">
        <v>149</v>
      </c>
      <c r="C76" s="148">
        <v>7.0000000000000007E-2</v>
      </c>
      <c r="D76" s="192">
        <v>0.15</v>
      </c>
    </row>
    <row r="77" spans="2:5" ht="21">
      <c r="B77" s="177" t="s">
        <v>141</v>
      </c>
      <c r="C77" s="144">
        <v>3</v>
      </c>
      <c r="D77" s="176">
        <v>5</v>
      </c>
    </row>
    <row r="78" spans="2:5" ht="21">
      <c r="B78" s="177" t="s">
        <v>144</v>
      </c>
      <c r="C78" s="142" t="s">
        <v>145</v>
      </c>
      <c r="D78" s="178" t="s">
        <v>146</v>
      </c>
    </row>
    <row r="79" spans="2:5">
      <c r="B79" s="168"/>
      <c r="C79" s="80"/>
      <c r="D79" s="166"/>
    </row>
    <row r="80" spans="2:5" ht="21">
      <c r="B80" s="179" t="s">
        <v>151</v>
      </c>
      <c r="C80" s="172">
        <f>FV(C76,C77,-C75,C74)</f>
        <v>32149.000000000011</v>
      </c>
      <c r="D80" s="173">
        <f>FV(D76/12,D77*12,-D75,D74)</f>
        <v>885745.0775609914</v>
      </c>
    </row>
    <row r="83" spans="2:9" ht="24">
      <c r="B83" s="515" t="s">
        <v>152</v>
      </c>
      <c r="C83" s="515"/>
    </row>
    <row r="85" spans="2:9" ht="18.75">
      <c r="B85" s="180" t="s">
        <v>153</v>
      </c>
      <c r="C85" s="181">
        <v>1</v>
      </c>
      <c r="D85" s="187">
        <v>2</v>
      </c>
      <c r="E85" s="144">
        <v>3</v>
      </c>
      <c r="F85" s="144">
        <v>4</v>
      </c>
      <c r="G85" s="144">
        <v>5</v>
      </c>
      <c r="H85" s="144">
        <v>6</v>
      </c>
      <c r="I85" s="149" t="s">
        <v>154</v>
      </c>
    </row>
    <row r="86" spans="2:9" ht="18.75">
      <c r="B86" s="182" t="s">
        <v>155</v>
      </c>
      <c r="C86" s="167">
        <v>1000000</v>
      </c>
      <c r="D86" s="188">
        <v>1500000</v>
      </c>
      <c r="E86" s="139">
        <v>1800000</v>
      </c>
      <c r="F86" s="139">
        <v>1600000</v>
      </c>
      <c r="G86" s="139">
        <v>2000000</v>
      </c>
      <c r="H86" s="139">
        <v>2200000</v>
      </c>
      <c r="I86" s="156">
        <v>10100000</v>
      </c>
    </row>
    <row r="87" spans="2:9" ht="18.75">
      <c r="B87" s="158" t="s">
        <v>156</v>
      </c>
      <c r="C87" s="190"/>
      <c r="D87" s="189">
        <v>0.5</v>
      </c>
      <c r="E87" s="137">
        <v>0.2</v>
      </c>
      <c r="F87" s="137">
        <v>-0.11</v>
      </c>
      <c r="G87" s="137">
        <v>0.25</v>
      </c>
      <c r="H87" s="137">
        <v>0.1</v>
      </c>
    </row>
    <row r="88" spans="2:9">
      <c r="B88" s="168"/>
      <c r="C88" s="166"/>
    </row>
    <row r="89" spans="2:9">
      <c r="B89" s="168"/>
      <c r="C89" s="166"/>
    </row>
    <row r="90" spans="2:9" ht="21">
      <c r="B90" s="184" t="s">
        <v>157</v>
      </c>
      <c r="C90" s="185">
        <f>((H86/C86)^(1/5))-1</f>
        <v>0.17080491296489231</v>
      </c>
    </row>
    <row r="91" spans="2:9">
      <c r="B91" s="168"/>
      <c r="C91" s="166"/>
    </row>
    <row r="92" spans="2:9" ht="21">
      <c r="B92" s="179" t="s">
        <v>158</v>
      </c>
      <c r="C92" s="186">
        <f>RATE(5,0,C86,-H86)</f>
        <v>0.17080491296489242</v>
      </c>
    </row>
    <row r="95" spans="2:9" ht="24">
      <c r="B95" s="150" t="s">
        <v>135</v>
      </c>
    </row>
    <row r="97" spans="2:4" ht="18.75">
      <c r="C97" s="149" t="s">
        <v>134</v>
      </c>
      <c r="D97" s="149" t="s">
        <v>705</v>
      </c>
    </row>
    <row r="98" spans="2:4" ht="21">
      <c r="B98" s="174" t="s">
        <v>133</v>
      </c>
      <c r="C98" s="460">
        <v>1000000</v>
      </c>
      <c r="D98" s="600" t="s">
        <v>151</v>
      </c>
    </row>
    <row r="99" spans="2:4" ht="21">
      <c r="B99" s="175" t="s">
        <v>149</v>
      </c>
      <c r="C99" s="461">
        <v>0.17080000000000001</v>
      </c>
      <c r="D99" s="601"/>
    </row>
    <row r="100" spans="2:4" ht="21">
      <c r="B100" s="175" t="s">
        <v>141</v>
      </c>
      <c r="C100" s="462">
        <v>6</v>
      </c>
      <c r="D100" s="601"/>
    </row>
    <row r="101" spans="2:4" ht="21">
      <c r="B101" s="177" t="s">
        <v>144</v>
      </c>
      <c r="C101" s="463" t="s">
        <v>145</v>
      </c>
      <c r="D101" s="602"/>
    </row>
    <row r="102" spans="2:4">
      <c r="B102" s="168"/>
      <c r="C102" s="166"/>
    </row>
    <row r="103" spans="2:4" ht="21">
      <c r="B103" s="179" t="s">
        <v>135</v>
      </c>
      <c r="C103" s="173">
        <f>FV(C99,C100,0,-C98)</f>
        <v>2575705.9580665072</v>
      </c>
      <c r="D103" s="173">
        <f>-FV(C99/12,C100*12,C98,0)</f>
        <v>124108579.50007859</v>
      </c>
    </row>
    <row r="106" spans="2:4" ht="24">
      <c r="B106" s="150" t="s">
        <v>706</v>
      </c>
    </row>
    <row r="108" spans="2:4" ht="21">
      <c r="B108" s="121" t="s">
        <v>153</v>
      </c>
      <c r="C108" s="161" t="s">
        <v>577</v>
      </c>
      <c r="D108" s="162" t="s">
        <v>707</v>
      </c>
    </row>
    <row r="109" spans="2:4" ht="18.75">
      <c r="B109" s="158">
        <v>1</v>
      </c>
      <c r="C109" s="159">
        <v>100</v>
      </c>
      <c r="D109" s="160">
        <v>0</v>
      </c>
    </row>
    <row r="110" spans="2:4" ht="18.75">
      <c r="B110" s="158">
        <v>2</v>
      </c>
      <c r="C110" s="159">
        <v>120</v>
      </c>
      <c r="D110" s="160">
        <f>C110/C109-1</f>
        <v>0.19999999999999996</v>
      </c>
    </row>
    <row r="111" spans="2:4" ht="18.75">
      <c r="B111" s="158">
        <v>3</v>
      </c>
      <c r="C111" s="159">
        <v>200</v>
      </c>
      <c r="D111" s="160">
        <f>C111/C110-1</f>
        <v>0.66666666666666674</v>
      </c>
    </row>
    <row r="112" spans="2:4" ht="18.75">
      <c r="B112" s="158">
        <v>4</v>
      </c>
      <c r="C112" s="159">
        <v>260</v>
      </c>
      <c r="D112" s="160">
        <f>C112/C111-1</f>
        <v>0.30000000000000004</v>
      </c>
    </row>
    <row r="113" spans="2:5" ht="18.75">
      <c r="B113" s="158">
        <v>5</v>
      </c>
      <c r="C113" s="159">
        <v>100</v>
      </c>
      <c r="D113" s="160">
        <f>C113/C112-1</f>
        <v>-0.61538461538461542</v>
      </c>
    </row>
    <row r="114" spans="2:5" ht="18.75">
      <c r="B114" s="158">
        <v>6</v>
      </c>
      <c r="C114" s="159">
        <v>45</v>
      </c>
      <c r="D114" s="160">
        <f>C114/C113-1</f>
        <v>-0.55000000000000004</v>
      </c>
    </row>
    <row r="115" spans="2:5" ht="18.75">
      <c r="B115" s="158">
        <v>7</v>
      </c>
      <c r="C115" s="159">
        <v>100</v>
      </c>
      <c r="D115" s="160">
        <f>C115/C114-1</f>
        <v>1.2222222222222223</v>
      </c>
    </row>
    <row r="116" spans="2:5" ht="18.75">
      <c r="B116" s="158">
        <v>8</v>
      </c>
      <c r="C116" s="159">
        <v>150</v>
      </c>
      <c r="D116" s="160">
        <f>C116/C115-1</f>
        <v>0.5</v>
      </c>
    </row>
    <row r="117" spans="2:5" ht="18.75">
      <c r="B117" s="158">
        <v>9</v>
      </c>
      <c r="C117" s="159">
        <v>120</v>
      </c>
      <c r="D117" s="160">
        <f>C117/C116-1</f>
        <v>-0.19999999999999996</v>
      </c>
    </row>
    <row r="118" spans="2:5" ht="18.75">
      <c r="B118" s="158">
        <v>10</v>
      </c>
      <c r="C118" s="159">
        <v>150</v>
      </c>
      <c r="D118" s="160">
        <f>C118/C117-1</f>
        <v>0.25</v>
      </c>
    </row>
    <row r="119" spans="2:5" ht="18.75">
      <c r="B119" s="158">
        <v>11</v>
      </c>
      <c r="C119" s="159">
        <v>250</v>
      </c>
      <c r="D119" s="160">
        <f>C119/C118-1</f>
        <v>0.66666666666666674</v>
      </c>
    </row>
    <row r="120" spans="2:5" ht="18.75">
      <c r="B120" s="158">
        <v>12</v>
      </c>
      <c r="C120" s="159">
        <v>250</v>
      </c>
      <c r="D120" s="160">
        <f>C120/C119-1</f>
        <v>0</v>
      </c>
    </row>
    <row r="123" spans="2:5" ht="24">
      <c r="B123" s="598" t="s">
        <v>708</v>
      </c>
      <c r="C123" s="598"/>
    </row>
    <row r="125" spans="2:5" ht="18.75">
      <c r="B125" s="163" t="s">
        <v>577</v>
      </c>
      <c r="C125" s="170">
        <v>100000</v>
      </c>
      <c r="D125" s="170">
        <v>500000</v>
      </c>
      <c r="E125" s="164">
        <v>4500000</v>
      </c>
    </row>
    <row r="126" spans="2:5" ht="18.75">
      <c r="B126" s="163" t="s">
        <v>709</v>
      </c>
      <c r="C126" s="137">
        <v>0.2</v>
      </c>
      <c r="D126" s="137">
        <v>0.2</v>
      </c>
      <c r="E126" s="171">
        <v>0.36499999999999999</v>
      </c>
    </row>
    <row r="127" spans="2:5">
      <c r="B127" s="168"/>
      <c r="C127" s="80"/>
      <c r="D127" s="80"/>
      <c r="E127" s="166"/>
    </row>
    <row r="128" spans="2:5" ht="18.75">
      <c r="B128" s="157" t="s">
        <v>710</v>
      </c>
      <c r="C128" s="172">
        <f>C125*(1+C126)</f>
        <v>120000</v>
      </c>
      <c r="D128" s="172">
        <f>D125*(1+D126)</f>
        <v>600000</v>
      </c>
      <c r="E128" s="173">
        <f>E125*(1+E126)</f>
        <v>6142500</v>
      </c>
    </row>
    <row r="131" spans="2:5" ht="18.75">
      <c r="B131" s="163" t="s">
        <v>711</v>
      </c>
      <c r="C131" s="164">
        <v>420000</v>
      </c>
    </row>
    <row r="132" spans="2:5">
      <c r="B132" s="165"/>
      <c r="C132" s="166"/>
    </row>
    <row r="133" spans="2:5" ht="18.75">
      <c r="B133" s="163" t="s">
        <v>712</v>
      </c>
      <c r="C133" s="167">
        <v>560000</v>
      </c>
    </row>
    <row r="134" spans="2:5">
      <c r="B134" s="168"/>
      <c r="C134" s="166"/>
    </row>
    <row r="135" spans="2:5" ht="18.75">
      <c r="B135" s="157" t="s">
        <v>713</v>
      </c>
      <c r="C135" s="169">
        <f>C133/C131-1</f>
        <v>0.33333333333333326</v>
      </c>
    </row>
    <row r="138" spans="2:5" ht="24">
      <c r="B138" s="598" t="s">
        <v>714</v>
      </c>
      <c r="C138" s="598"/>
    </row>
    <row r="140" spans="2:5" ht="21">
      <c r="B140" s="121" t="s">
        <v>153</v>
      </c>
      <c r="C140" s="161" t="s">
        <v>577</v>
      </c>
      <c r="D140" s="162" t="s">
        <v>707</v>
      </c>
    </row>
    <row r="141" spans="2:5" ht="18.75">
      <c r="B141" s="158">
        <v>1</v>
      </c>
      <c r="C141" s="159">
        <v>100</v>
      </c>
      <c r="D141" s="160">
        <v>0</v>
      </c>
    </row>
    <row r="142" spans="2:5" ht="18.75">
      <c r="B142" s="158">
        <v>2</v>
      </c>
      <c r="C142" s="159">
        <v>120</v>
      </c>
      <c r="D142" s="160">
        <f>C142/C141-1</f>
        <v>0.19999999999999996</v>
      </c>
      <c r="E142" s="159">
        <f>C141*(1+C154)</f>
        <v>108.68669042424838</v>
      </c>
    </row>
    <row r="143" spans="2:5" ht="18.75">
      <c r="B143" s="158">
        <v>3</v>
      </c>
      <c r="C143" s="159">
        <v>200</v>
      </c>
      <c r="D143" s="160">
        <f>C143/C142-1</f>
        <v>0.66666666666666674</v>
      </c>
      <c r="E143" s="159">
        <f t="shared" ref="E143:E144" si="0">C142*(1+C155)</f>
        <v>120</v>
      </c>
    </row>
    <row r="144" spans="2:5" ht="18.75">
      <c r="B144" s="158">
        <v>4</v>
      </c>
      <c r="C144" s="159">
        <v>260</v>
      </c>
      <c r="D144" s="160">
        <f>C144/C143-1</f>
        <v>0.30000000000000004</v>
      </c>
      <c r="E144" s="159">
        <f t="shared" si="0"/>
        <v>200</v>
      </c>
    </row>
    <row r="145" spans="2:5" ht="18.75">
      <c r="B145" s="158">
        <v>5</v>
      </c>
      <c r="C145" s="159">
        <v>100</v>
      </c>
      <c r="D145" s="160">
        <f>C145/C144-1</f>
        <v>-0.61538461538461542</v>
      </c>
      <c r="E145" s="159" t="e">
        <f>C144*(1+#REF!)</f>
        <v>#REF!</v>
      </c>
    </row>
    <row r="146" spans="2:5" ht="18.75">
      <c r="B146" s="158">
        <v>6</v>
      </c>
      <c r="C146" s="159">
        <v>45</v>
      </c>
      <c r="D146" s="160">
        <f>C146/C145-1</f>
        <v>-0.55000000000000004</v>
      </c>
      <c r="E146" s="159">
        <f>C145*(1+C157)</f>
        <v>100</v>
      </c>
    </row>
    <row r="147" spans="2:5" ht="18.75">
      <c r="B147" s="158">
        <v>7</v>
      </c>
      <c r="C147" s="159">
        <v>100</v>
      </c>
      <c r="D147" s="160">
        <f>C147/C146-1</f>
        <v>1.2222222222222223</v>
      </c>
      <c r="E147" s="159">
        <f>C146*(1+C158)</f>
        <v>45</v>
      </c>
    </row>
    <row r="148" spans="2:5" ht="18.75">
      <c r="B148" s="158">
        <v>8</v>
      </c>
      <c r="C148" s="159">
        <v>150</v>
      </c>
      <c r="D148" s="160">
        <f>C148/C147-1</f>
        <v>0.5</v>
      </c>
      <c r="E148" s="159" t="e">
        <f>C147*(1+B159)</f>
        <v>#VALUE!</v>
      </c>
    </row>
    <row r="149" spans="2:5" ht="18.75">
      <c r="B149" s="158">
        <v>9</v>
      </c>
      <c r="C149" s="159">
        <v>120</v>
      </c>
      <c r="D149" s="160">
        <f>C149/C148-1</f>
        <v>-0.19999999999999996</v>
      </c>
      <c r="E149" s="159">
        <f>C148*(1+B160)</f>
        <v>300</v>
      </c>
    </row>
    <row r="150" spans="2:5" ht="18.75">
      <c r="B150" s="158">
        <v>10</v>
      </c>
      <c r="C150" s="159">
        <v>150</v>
      </c>
      <c r="D150" s="160">
        <f>C150/C149-1</f>
        <v>0.25</v>
      </c>
      <c r="E150" s="159">
        <f>C149*(1+B161)</f>
        <v>360</v>
      </c>
    </row>
    <row r="151" spans="2:5" ht="18.75">
      <c r="B151" s="158">
        <v>11</v>
      </c>
      <c r="C151" s="159">
        <v>250</v>
      </c>
      <c r="D151" s="160">
        <f>C151/C150-1</f>
        <v>0.66666666666666674</v>
      </c>
      <c r="E151" s="159">
        <f>C150*(1+B162)</f>
        <v>600</v>
      </c>
    </row>
    <row r="152" spans="2:5" ht="18.75">
      <c r="B152" s="158">
        <v>12</v>
      </c>
      <c r="C152" s="159">
        <v>250</v>
      </c>
      <c r="D152" s="160">
        <f>C152/C151-1</f>
        <v>0</v>
      </c>
      <c r="E152" s="159">
        <f>C151*(1+B163)</f>
        <v>1250</v>
      </c>
    </row>
    <row r="154" spans="2:5" ht="21">
      <c r="B154" s="121" t="s">
        <v>715</v>
      </c>
      <c r="C154" s="169">
        <f>(C152/C141)^(1/(B152-B141))-1</f>
        <v>8.6866904242483889E-2</v>
      </c>
    </row>
    <row r="157" spans="2:5" ht="24">
      <c r="B157" s="599" t="s">
        <v>716</v>
      </c>
      <c r="C157" s="599"/>
    </row>
    <row r="159" spans="2:5" ht="21">
      <c r="B159" s="161" t="s">
        <v>717</v>
      </c>
      <c r="C159" s="161" t="s">
        <v>577</v>
      </c>
      <c r="D159" s="161" t="s">
        <v>718</v>
      </c>
      <c r="E159" s="159" t="s">
        <v>719</v>
      </c>
    </row>
    <row r="160" spans="2:5" ht="18.75">
      <c r="B160" s="158">
        <v>1</v>
      </c>
      <c r="C160" s="159">
        <v>2000</v>
      </c>
      <c r="D160" s="169">
        <v>0.1</v>
      </c>
      <c r="E160" s="159">
        <f>C160*D160</f>
        <v>200</v>
      </c>
    </row>
    <row r="161" spans="2:7" ht="18.75">
      <c r="B161" s="158">
        <v>2</v>
      </c>
      <c r="C161" s="159">
        <v>1800</v>
      </c>
      <c r="D161" s="169">
        <v>-0.05</v>
      </c>
      <c r="E161" s="159">
        <f t="shared" ref="E161:E164" si="1">C161*D161</f>
        <v>-90</v>
      </c>
    </row>
    <row r="162" spans="2:7" ht="18.75">
      <c r="B162" s="158">
        <v>3</v>
      </c>
      <c r="C162" s="159">
        <v>3000</v>
      </c>
      <c r="D162" s="169">
        <v>0.2</v>
      </c>
      <c r="E162" s="159">
        <f t="shared" si="1"/>
        <v>600</v>
      </c>
    </row>
    <row r="163" spans="2:7" ht="18.75">
      <c r="B163" s="158">
        <v>4</v>
      </c>
      <c r="C163" s="159">
        <v>410</v>
      </c>
      <c r="D163" s="169">
        <v>0.15</v>
      </c>
      <c r="E163" s="159">
        <f t="shared" si="1"/>
        <v>61.5</v>
      </c>
    </row>
    <row r="164" spans="2:7" ht="18.75">
      <c r="B164" s="158">
        <v>5</v>
      </c>
      <c r="C164" s="159">
        <v>970</v>
      </c>
      <c r="D164" s="169">
        <v>-0.02</v>
      </c>
      <c r="E164" s="159">
        <f t="shared" si="1"/>
        <v>-19.400000000000002</v>
      </c>
    </row>
    <row r="166" spans="2:7" ht="18.75">
      <c r="B166" s="158" t="s">
        <v>720</v>
      </c>
      <c r="C166" s="159">
        <f>SUM(C160:C164)</f>
        <v>8180</v>
      </c>
      <c r="D166" s="197">
        <f>AVERAGE(D160:D164)</f>
        <v>7.5999999999999998E-2</v>
      </c>
      <c r="E166" s="159">
        <f>SUM(E160:E164)</f>
        <v>752.1</v>
      </c>
      <c r="F166" t="s">
        <v>721</v>
      </c>
      <c r="G166" s="197">
        <f>E166/C166</f>
        <v>9.1943765281173595E-2</v>
      </c>
    </row>
    <row r="169" spans="2:7" ht="24">
      <c r="B169" s="513" t="s">
        <v>722</v>
      </c>
      <c r="C169" s="513"/>
    </row>
    <row r="171" spans="2:7" ht="21">
      <c r="B171" s="177" t="s">
        <v>723</v>
      </c>
      <c r="C171" s="159">
        <v>1000</v>
      </c>
    </row>
    <row r="172" spans="2:7" ht="21">
      <c r="B172" s="177" t="s">
        <v>724</v>
      </c>
      <c r="C172" s="159">
        <v>10000</v>
      </c>
    </row>
    <row r="173" spans="2:7" ht="21">
      <c r="B173" s="177" t="s">
        <v>725</v>
      </c>
      <c r="C173" s="169">
        <v>0.15</v>
      </c>
    </row>
    <row r="174" spans="2:7" ht="21">
      <c r="B174" s="177" t="s">
        <v>726</v>
      </c>
      <c r="C174" s="158">
        <v>10</v>
      </c>
    </row>
    <row r="176" spans="2:7" ht="21">
      <c r="B176" s="177" t="s">
        <v>727</v>
      </c>
      <c r="C176" s="159">
        <f>-FV(C173/12,C174*12,C172,C171)</f>
        <v>2756610.7963803299</v>
      </c>
    </row>
    <row r="178" spans="2:7">
      <c r="B178" s="521"/>
      <c r="C178" s="521"/>
      <c r="D178" s="521"/>
      <c r="E178" s="521"/>
      <c r="F178" s="521"/>
      <c r="G178" s="521"/>
    </row>
    <row r="180" spans="2:7" ht="21">
      <c r="B180" s="199"/>
      <c r="C180" s="466" t="s">
        <v>728</v>
      </c>
      <c r="D180" s="467">
        <v>1000000</v>
      </c>
    </row>
    <row r="181" spans="2:7" ht="21">
      <c r="B181" s="199"/>
      <c r="C181" s="466" t="s">
        <v>729</v>
      </c>
      <c r="D181" s="467">
        <v>10000</v>
      </c>
    </row>
    <row r="182" spans="2:7" ht="21">
      <c r="B182" s="199"/>
      <c r="C182" s="466" t="s">
        <v>676</v>
      </c>
      <c r="D182" s="467">
        <f>IF(D180-D181&lt;0,"Can't be negative!",IF(ISBLANK(D180),"",D180-D181))</f>
        <v>990000</v>
      </c>
    </row>
    <row r="183" spans="2:7" ht="21">
      <c r="B183" s="199"/>
      <c r="C183" s="466" t="s">
        <v>730</v>
      </c>
      <c r="D183" s="468">
        <f>IFERROR(D182/D180,"")</f>
        <v>0.99</v>
      </c>
    </row>
    <row r="184" spans="2:7" ht="21">
      <c r="B184" s="199"/>
      <c r="C184" s="466" t="s">
        <v>731</v>
      </c>
      <c r="D184" s="468">
        <v>0.05</v>
      </c>
    </row>
    <row r="185" spans="2:7" ht="21">
      <c r="B185" s="199"/>
      <c r="C185" s="466" t="s">
        <v>732</v>
      </c>
      <c r="D185" s="119">
        <v>10</v>
      </c>
    </row>
    <row r="186" spans="2:7">
      <c r="B186" s="199"/>
      <c r="C186" s="437"/>
      <c r="D186" s="437"/>
    </row>
    <row r="187" spans="2:7" ht="21">
      <c r="B187" s="199"/>
      <c r="C187" s="466" t="s">
        <v>733</v>
      </c>
      <c r="D187" s="119">
        <f>IF(D185*12=0,"",D185*12)</f>
        <v>120</v>
      </c>
    </row>
    <row r="188" spans="2:7" ht="21">
      <c r="B188" s="199"/>
      <c r="C188" s="466" t="s">
        <v>734</v>
      </c>
      <c r="D188" s="467">
        <f>IFERROR(PMT(D184/12,D185*12,-D182),"")</f>
        <v>10500.486008668448</v>
      </c>
    </row>
    <row r="189" spans="2:7" ht="21">
      <c r="B189" s="199"/>
      <c r="C189" s="466" t="s">
        <v>735</v>
      </c>
      <c r="D189" s="467">
        <f>IFERROR(-CUMIPMT(D184/12,D185*12,D182,1,D185*12,0),"")</f>
        <v>270058.32104021381</v>
      </c>
    </row>
    <row r="190" spans="2:7">
      <c r="B190" s="199"/>
      <c r="C190" s="437"/>
      <c r="D190" s="437"/>
    </row>
    <row r="191" spans="2:7" ht="21">
      <c r="B191" s="199"/>
      <c r="C191" s="466" t="s">
        <v>736</v>
      </c>
      <c r="D191" s="467">
        <f>IFERROR(D188*12,"")</f>
        <v>126005.83210402136</v>
      </c>
    </row>
    <row r="192" spans="2:7" ht="21">
      <c r="B192" s="199"/>
      <c r="C192" s="466" t="s">
        <v>737</v>
      </c>
      <c r="D192" s="467">
        <f>IFERROR(D191*D185,"")</f>
        <v>1260058.3210402136</v>
      </c>
    </row>
    <row r="193" spans="3:9">
      <c r="E193" s="464"/>
      <c r="F193" s="464"/>
      <c r="G193" s="464"/>
      <c r="H193" s="464"/>
      <c r="I193" s="464"/>
    </row>
    <row r="194" spans="3:9">
      <c r="C194" s="499"/>
      <c r="D194" s="213"/>
      <c r="E194" s="465"/>
      <c r="F194" s="465"/>
      <c r="G194" s="465"/>
      <c r="H194" s="465"/>
      <c r="I194" s="465"/>
    </row>
    <row r="195" spans="3:9">
      <c r="C195" s="499"/>
      <c r="E195" s="465"/>
    </row>
  </sheetData>
  <protectedRanges>
    <protectedRange sqref="D180:D181" name="Range1"/>
    <protectedRange sqref="D184:D185" name="Range2"/>
  </protectedRanges>
  <mergeCells count="6">
    <mergeCell ref="B178:G178"/>
    <mergeCell ref="B83:C83"/>
    <mergeCell ref="B123:C123"/>
    <mergeCell ref="B138:C138"/>
    <mergeCell ref="B157:C157"/>
    <mergeCell ref="D98:D101"/>
  </mergeCells>
  <conditionalFormatting sqref="D109:D120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{DC03D25B-255C-44BB-9C8A-6724A9088DA6}</x14:id>
        </ext>
      </extLst>
    </cfRule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{FEC61FFF-AA5A-42C6-8BEC-C89A56B94D62}</x14:id>
        </ext>
      </extLst>
    </cfRule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{FFF007D5-0B91-4CDF-AD0B-B52C9325F6BA}</x14:id>
        </ext>
      </extLst>
    </cfRule>
  </conditionalFormatting>
  <conditionalFormatting sqref="D141:D152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{EBB903F5-F1EB-43D1-BEEA-A0C086645F09}</x14:id>
        </ext>
      </extLst>
    </cfRule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{16B8187C-248D-474E-AA54-9DC6937E9D30}</x14:id>
        </ext>
      </extLst>
    </cfRule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{B34EDA47-118A-4D1A-AADC-B38EDE26768D}</x14:id>
        </ext>
      </extLst>
    </cfRule>
  </conditionalFormatting>
  <dataValidations count="3">
    <dataValidation type="decimal" operator="greaterThan" allowBlank="1" showInputMessage="1" showErrorMessage="1" sqref="D180" xr:uid="{419D4BEC-C5C4-4ECB-8870-B0197F1E1AD2}">
      <formula1>0</formula1>
    </dataValidation>
    <dataValidation type="decimal" operator="greaterThanOrEqual" allowBlank="1" showInputMessage="1" showErrorMessage="1" sqref="D181 D184" xr:uid="{D00E4926-5168-4557-AF01-B5CD7C5D202F}">
      <formula1>0</formula1>
    </dataValidation>
    <dataValidation type="whole" allowBlank="1" showInputMessage="1" showErrorMessage="1" sqref="D185" xr:uid="{DFAEA236-7264-4B68-8550-7B7C33CB327E}">
      <formula1>1</formula1>
      <formula2>100</formula2>
    </dataValidation>
  </dataValidation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C03D25B-255C-44BB-9C8A-6724A9088DA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14:cfRule type="dataBar" id="{FEC61FFF-AA5A-42C6-8BEC-C89A56B94D6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FFF007D5-0B91-4CDF-AD0B-B52C9325F6B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D109:D120</xm:sqref>
        </x14:conditionalFormatting>
        <x14:conditionalFormatting xmlns:xm="http://schemas.microsoft.com/office/excel/2006/main">
          <x14:cfRule type="dataBar" id="{EBB903F5-F1EB-43D1-BEEA-A0C086645F0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14:cfRule type="dataBar" id="{16B8187C-248D-474E-AA54-9DC6937E9D3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B34EDA47-118A-4D1A-AADC-B38EDE26768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D141:D152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EF025-BE30-44B8-9CF2-CC2D9D385CBA}">
  <sheetPr>
    <tabColor rgb="FFFF0000"/>
  </sheetPr>
  <dimension ref="B2:H19"/>
  <sheetViews>
    <sheetView workbookViewId="0">
      <selection activeCell="B2" sqref="B2:D2"/>
    </sheetView>
  </sheetViews>
  <sheetFormatPr defaultRowHeight="15"/>
  <cols>
    <col min="3" max="3" width="7.42578125" bestFit="1" customWidth="1"/>
    <col min="4" max="4" width="16.5703125" bestFit="1" customWidth="1"/>
    <col min="5" max="5" width="10.5703125" bestFit="1" customWidth="1"/>
    <col min="7" max="7" width="7.42578125" bestFit="1" customWidth="1"/>
    <col min="8" max="8" width="16.5703125" bestFit="1" customWidth="1"/>
  </cols>
  <sheetData>
    <row r="2" spans="2:8" ht="18.75">
      <c r="B2" s="603" t="s">
        <v>738</v>
      </c>
      <c r="C2" s="603"/>
      <c r="D2" s="603"/>
    </row>
    <row r="4" spans="2:8">
      <c r="B4" s="501" t="s">
        <v>681</v>
      </c>
      <c r="C4" s="501" t="s">
        <v>682</v>
      </c>
      <c r="D4" s="501" t="s">
        <v>683</v>
      </c>
      <c r="F4" s="501" t="s">
        <v>681</v>
      </c>
      <c r="G4" s="504" t="s">
        <v>682</v>
      </c>
      <c r="H4" s="504" t="s">
        <v>684</v>
      </c>
    </row>
    <row r="5" spans="2:8">
      <c r="B5" s="501">
        <v>5000</v>
      </c>
      <c r="C5" s="502">
        <v>0.1</v>
      </c>
      <c r="D5" s="501">
        <f>B5*C5</f>
        <v>500</v>
      </c>
      <c r="F5" s="503">
        <v>5000</v>
      </c>
      <c r="G5" s="503">
        <v>12</v>
      </c>
      <c r="H5" s="501">
        <f>F5/100*G5</f>
        <v>600</v>
      </c>
    </row>
    <row r="6" spans="2:8">
      <c r="B6" s="501">
        <v>8000</v>
      </c>
      <c r="C6" s="502">
        <v>0.88</v>
      </c>
      <c r="D6" s="501">
        <f t="shared" ref="D6:D10" si="0">B6*C6</f>
        <v>7040</v>
      </c>
      <c r="F6" s="503">
        <v>8000</v>
      </c>
      <c r="G6" s="503">
        <v>55</v>
      </c>
      <c r="H6" s="501">
        <f t="shared" ref="H6:H10" si="1">F6/100*G6</f>
        <v>4400</v>
      </c>
    </row>
    <row r="7" spans="2:8">
      <c r="B7" s="501">
        <v>25000</v>
      </c>
      <c r="C7" s="502">
        <v>0.2</v>
      </c>
      <c r="D7" s="501">
        <f t="shared" si="0"/>
        <v>5000</v>
      </c>
      <c r="F7" s="503">
        <v>25000</v>
      </c>
      <c r="G7" s="503">
        <v>20</v>
      </c>
      <c r="H7" s="501">
        <f t="shared" si="1"/>
        <v>5000</v>
      </c>
    </row>
    <row r="8" spans="2:8">
      <c r="B8" s="501">
        <v>40000</v>
      </c>
      <c r="C8" s="502">
        <v>0.9</v>
      </c>
      <c r="D8" s="501">
        <f t="shared" si="0"/>
        <v>36000</v>
      </c>
      <c r="F8" s="503">
        <v>40000</v>
      </c>
      <c r="G8" s="503">
        <v>69</v>
      </c>
      <c r="H8" s="501">
        <f t="shared" si="1"/>
        <v>27600</v>
      </c>
    </row>
    <row r="9" spans="2:8">
      <c r="B9" s="501">
        <v>2500</v>
      </c>
      <c r="C9" s="502">
        <v>0.15</v>
      </c>
      <c r="D9" s="501">
        <f t="shared" si="0"/>
        <v>375</v>
      </c>
      <c r="F9" s="503">
        <v>2500</v>
      </c>
      <c r="G9" s="503">
        <v>35</v>
      </c>
      <c r="H9" s="501">
        <f t="shared" si="1"/>
        <v>875</v>
      </c>
    </row>
    <row r="10" spans="2:8">
      <c r="B10" s="501">
        <v>700</v>
      </c>
      <c r="C10" s="502">
        <v>0.70520000000000005</v>
      </c>
      <c r="D10" s="501">
        <f t="shared" si="0"/>
        <v>493.64000000000004</v>
      </c>
      <c r="F10" s="503">
        <v>700</v>
      </c>
      <c r="G10" s="503">
        <v>20</v>
      </c>
      <c r="H10" s="501">
        <f t="shared" si="1"/>
        <v>140</v>
      </c>
    </row>
    <row r="13" spans="2:8">
      <c r="B13" s="501" t="s">
        <v>739</v>
      </c>
      <c r="D13" s="504" t="s">
        <v>740</v>
      </c>
    </row>
    <row r="14" spans="2:8">
      <c r="B14" s="501">
        <v>12</v>
      </c>
      <c r="D14" s="505">
        <f>FACT(B14)</f>
        <v>479001600</v>
      </c>
    </row>
    <row r="15" spans="2:8">
      <c r="B15" s="501">
        <v>5</v>
      </c>
      <c r="D15" s="507">
        <f t="shared" ref="D15:D19" si="2">FACT(B15)</f>
        <v>120</v>
      </c>
      <c r="E15" s="506" t="s">
        <v>741</v>
      </c>
    </row>
    <row r="16" spans="2:8">
      <c r="B16" s="501">
        <v>10</v>
      </c>
      <c r="D16" s="505">
        <f t="shared" si="2"/>
        <v>3628800</v>
      </c>
    </row>
    <row r="17" spans="2:4">
      <c r="B17" s="501">
        <v>2</v>
      </c>
      <c r="D17" s="505">
        <f t="shared" si="2"/>
        <v>2</v>
      </c>
    </row>
    <row r="18" spans="2:4">
      <c r="B18" s="501">
        <v>3</v>
      </c>
      <c r="D18" s="505">
        <f t="shared" si="2"/>
        <v>6</v>
      </c>
    </row>
    <row r="19" spans="2:4">
      <c r="B19" s="501">
        <v>12</v>
      </c>
      <c r="D19" s="505">
        <f t="shared" si="2"/>
        <v>479001600</v>
      </c>
    </row>
  </sheetData>
  <mergeCells count="1">
    <mergeCell ref="B2:D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57F80-F0CE-4469-AC4F-05323DCAECC3}">
  <dimension ref="B1:AN344"/>
  <sheetViews>
    <sheetView topLeftCell="A284" workbookViewId="0">
      <selection activeCell="C288" sqref="C288"/>
    </sheetView>
  </sheetViews>
  <sheetFormatPr defaultColWidth="9.140625" defaultRowHeight="15" outlineLevelRow="2" outlineLevelCol="1"/>
  <cols>
    <col min="2" max="2" width="42.5703125" bestFit="1" customWidth="1"/>
    <col min="3" max="3" width="23.28515625" bestFit="1" customWidth="1"/>
    <col min="4" max="4" width="29.85546875" bestFit="1" customWidth="1"/>
    <col min="5" max="5" width="26.85546875" bestFit="1" customWidth="1"/>
    <col min="6" max="7" width="28.28515625" bestFit="1" customWidth="1"/>
    <col min="8" max="8" width="30.85546875" bestFit="1" customWidth="1"/>
    <col min="9" max="9" width="28.7109375" bestFit="1" customWidth="1"/>
    <col min="10" max="10" width="18.140625" bestFit="1" customWidth="1"/>
    <col min="11" max="11" width="17.85546875" bestFit="1" customWidth="1"/>
    <col min="12" max="12" width="14.42578125" bestFit="1" customWidth="1"/>
    <col min="13" max="13" width="16.140625" bestFit="1" customWidth="1" outlineLevel="1"/>
    <col min="14" max="14" width="19.5703125" bestFit="1" customWidth="1" outlineLevel="1"/>
    <col min="15" max="15" width="26.42578125" bestFit="1" customWidth="1" outlineLevel="1"/>
    <col min="16" max="21" width="9.140625" customWidth="1" outlineLevel="1"/>
    <col min="24" max="24" width="46.5703125" bestFit="1" customWidth="1"/>
    <col min="25" max="25" width="18" customWidth="1" outlineLevel="1"/>
    <col min="26" max="26" width="19.42578125" customWidth="1" outlineLevel="1"/>
    <col min="27" max="27" width="28.140625" customWidth="1" outlineLevel="1"/>
    <col min="28" max="28" width="11" customWidth="1" outlineLevel="1"/>
    <col min="29" max="29" width="30.85546875" customWidth="1" outlineLevel="1"/>
    <col min="30" max="30" width="25.5703125" customWidth="1" outlineLevel="1"/>
    <col min="31" max="31" width="15.7109375" customWidth="1" outlineLevel="1"/>
    <col min="39" max="39" width="10.85546875" bestFit="1" customWidth="1"/>
    <col min="40" max="40" width="36" customWidth="1"/>
    <col min="43" max="43" width="0.140625" customWidth="1"/>
    <col min="44" max="44" width="14.28515625" customWidth="1"/>
  </cols>
  <sheetData>
    <row r="1" spans="2:40" ht="32.25" customHeight="1"/>
    <row r="2" spans="2:40" ht="21">
      <c r="G2" s="608" t="s">
        <v>742</v>
      </c>
      <c r="H2" s="609"/>
      <c r="I2" s="610"/>
      <c r="J2" s="92"/>
    </row>
    <row r="3" spans="2:40" ht="24.75">
      <c r="B3" s="3" t="s">
        <v>12</v>
      </c>
      <c r="C3" s="3"/>
      <c r="D3" s="3" t="s">
        <v>12</v>
      </c>
    </row>
    <row r="4" spans="2:40" ht="21">
      <c r="B4" s="11">
        <v>125478</v>
      </c>
      <c r="C4" s="11"/>
      <c r="D4" s="11">
        <v>125478</v>
      </c>
    </row>
    <row r="5" spans="2:40" ht="21" outlineLevel="1">
      <c r="B5" s="11">
        <v>556688</v>
      </c>
      <c r="C5" s="11"/>
      <c r="D5" s="11">
        <v>556688</v>
      </c>
      <c r="F5" s="18" t="b">
        <f>B4=D4</f>
        <v>1</v>
      </c>
      <c r="G5" s="18" t="str">
        <f>IF(B4=D4,"Found","Not Found")</f>
        <v>Found</v>
      </c>
    </row>
    <row r="6" spans="2:40" ht="21" outlineLevel="1">
      <c r="B6" s="11">
        <v>126589</v>
      </c>
      <c r="C6" s="11"/>
      <c r="D6" s="11" t="s">
        <v>743</v>
      </c>
      <c r="F6" s="18" t="b">
        <f t="shared" ref="F6:F14" si="0">B5=D5</f>
        <v>1</v>
      </c>
      <c r="G6" s="18" t="str">
        <f t="shared" ref="G6:G14" si="1">IF(B5=D5,"Found","Not Found")</f>
        <v>Found</v>
      </c>
    </row>
    <row r="7" spans="2:40" ht="21" outlineLevel="1">
      <c r="B7" s="11">
        <v>852369</v>
      </c>
      <c r="C7" s="11"/>
      <c r="D7" s="11">
        <v>852369</v>
      </c>
      <c r="F7" s="18" t="b">
        <f t="shared" si="0"/>
        <v>0</v>
      </c>
      <c r="G7" s="18" t="str">
        <f t="shared" si="1"/>
        <v>Not Found</v>
      </c>
    </row>
    <row r="8" spans="2:40" ht="21" outlineLevel="1">
      <c r="B8" s="11">
        <v>112285</v>
      </c>
      <c r="C8" s="11"/>
      <c r="D8" s="11" t="s">
        <v>744</v>
      </c>
      <c r="F8" s="18" t="b">
        <f t="shared" si="0"/>
        <v>1</v>
      </c>
      <c r="G8" s="18" t="str">
        <f t="shared" si="1"/>
        <v>Found</v>
      </c>
    </row>
    <row r="9" spans="2:40" ht="21" outlineLevel="1">
      <c r="B9" s="11">
        <v>695425</v>
      </c>
      <c r="C9" s="11"/>
      <c r="D9" s="11" t="s">
        <v>745</v>
      </c>
      <c r="F9" s="18" t="b">
        <f t="shared" si="0"/>
        <v>0</v>
      </c>
      <c r="G9" s="18" t="str">
        <f t="shared" si="1"/>
        <v>Not Found</v>
      </c>
    </row>
    <row r="10" spans="2:40" ht="21" outlineLevel="1">
      <c r="B10" s="11">
        <v>125478</v>
      </c>
      <c r="C10" s="11"/>
      <c r="D10" s="11" t="s">
        <v>746</v>
      </c>
      <c r="F10" s="18" t="b">
        <f t="shared" si="0"/>
        <v>0</v>
      </c>
      <c r="G10" s="18" t="str">
        <f t="shared" si="1"/>
        <v>Not Found</v>
      </c>
    </row>
    <row r="11" spans="2:40" ht="21" outlineLevel="1">
      <c r="B11" s="11">
        <v>556688</v>
      </c>
      <c r="C11" s="11"/>
      <c r="D11" s="11">
        <v>556688</v>
      </c>
      <c r="F11" s="18" t="b">
        <f t="shared" si="0"/>
        <v>0</v>
      </c>
      <c r="G11" s="18" t="str">
        <f t="shared" si="1"/>
        <v>Not Found</v>
      </c>
    </row>
    <row r="12" spans="2:40" ht="21" outlineLevel="1">
      <c r="B12" s="11">
        <v>126589</v>
      </c>
      <c r="C12" s="11"/>
      <c r="D12" s="11">
        <v>126589</v>
      </c>
      <c r="F12" s="18" t="b">
        <f t="shared" si="0"/>
        <v>1</v>
      </c>
      <c r="G12" s="18" t="str">
        <f t="shared" si="1"/>
        <v>Found</v>
      </c>
    </row>
    <row r="13" spans="2:40" ht="21" outlineLevel="1">
      <c r="B13" s="11">
        <v>852369</v>
      </c>
      <c r="C13" s="11"/>
      <c r="D13" s="11" t="s">
        <v>747</v>
      </c>
      <c r="F13" s="18" t="b">
        <f t="shared" si="0"/>
        <v>1</v>
      </c>
      <c r="G13" s="18" t="str">
        <f t="shared" si="1"/>
        <v>Found</v>
      </c>
    </row>
    <row r="14" spans="2:40" ht="18.75" outlineLevel="1">
      <c r="F14" s="18" t="b">
        <f t="shared" si="0"/>
        <v>0</v>
      </c>
      <c r="G14" s="18" t="str">
        <f t="shared" si="1"/>
        <v>Not Found</v>
      </c>
    </row>
    <row r="15" spans="2:40" ht="93.75" customHeight="1">
      <c r="L15" s="38" t="s">
        <v>98</v>
      </c>
      <c r="M15" s="93">
        <v>89</v>
      </c>
      <c r="N15" s="90">
        <v>27</v>
      </c>
      <c r="O15" s="90">
        <v>33</v>
      </c>
      <c r="P15" s="90">
        <v>44</v>
      </c>
      <c r="Q15" s="90">
        <v>95</v>
      </c>
      <c r="R15" s="90">
        <v>27</v>
      </c>
      <c r="S15" s="90">
        <v>34</v>
      </c>
      <c r="T15" s="90">
        <v>83</v>
      </c>
      <c r="U15" s="90">
        <v>22</v>
      </c>
      <c r="X15" s="1" t="s">
        <v>10</v>
      </c>
      <c r="Y15" s="1" t="s">
        <v>11</v>
      </c>
      <c r="Z15" s="2" t="s">
        <v>4</v>
      </c>
      <c r="AA15" s="2" t="s">
        <v>2</v>
      </c>
      <c r="AB15" s="3" t="s">
        <v>12</v>
      </c>
      <c r="AC15" s="4" t="s">
        <v>0</v>
      </c>
      <c r="AD15" s="5" t="s">
        <v>13</v>
      </c>
      <c r="AE15" s="1" t="s">
        <v>14</v>
      </c>
      <c r="AM15">
        <v>154554562</v>
      </c>
      <c r="AN15" t="e" vm="1">
        <f>_xlfn.IMAGE(_xlfn.CONCAT("https://api.activebarcode.net/v1/png?typeno=14&amp;showtext=1&amp;backcolor=ffffff&amp;forecolor=000000&amp;rotate=0&amp;alignment=1&amp;width=189&amp;height=94&amp;access=YOUR-KEY-HERE&amp;text=", Advance_Excel!AM15))</f>
        <v>#VALUE!</v>
      </c>
    </row>
    <row r="16" spans="2:40" ht="24.75">
      <c r="B16" s="33" t="s">
        <v>332</v>
      </c>
      <c r="C16" s="33"/>
      <c r="D16" s="34" t="s">
        <v>161</v>
      </c>
      <c r="E16" s="34" t="s">
        <v>433</v>
      </c>
      <c r="F16" s="34" t="s">
        <v>434</v>
      </c>
      <c r="L16" s="38" t="s">
        <v>99</v>
      </c>
      <c r="M16" s="93">
        <v>79</v>
      </c>
      <c r="N16" s="90">
        <v>47</v>
      </c>
      <c r="O16" s="90">
        <v>66</v>
      </c>
      <c r="P16" s="90">
        <v>40</v>
      </c>
      <c r="Q16" s="90">
        <v>63</v>
      </c>
      <c r="R16" s="90">
        <v>96</v>
      </c>
      <c r="S16" s="90">
        <v>40</v>
      </c>
      <c r="T16" s="90">
        <v>73</v>
      </c>
      <c r="U16" s="90">
        <v>66</v>
      </c>
      <c r="X16" s="9" t="s">
        <v>19</v>
      </c>
      <c r="Y16" s="10">
        <v>45292</v>
      </c>
      <c r="Z16" s="9" t="s">
        <v>9</v>
      </c>
      <c r="AA16" s="9" t="s">
        <v>7</v>
      </c>
      <c r="AB16" s="11">
        <v>125478</v>
      </c>
      <c r="AC16" s="11" t="s">
        <v>6</v>
      </c>
      <c r="AD16" s="9" t="s">
        <v>20</v>
      </c>
      <c r="AE16" s="12">
        <v>377222</v>
      </c>
    </row>
    <row r="17" spans="2:40" ht="24.75">
      <c r="B17" s="94" t="s">
        <v>19</v>
      </c>
      <c r="C17" s="94"/>
      <c r="D17" s="94" t="s">
        <v>121</v>
      </c>
      <c r="E17" s="94" t="s">
        <v>748</v>
      </c>
      <c r="F17" s="35">
        <v>455200</v>
      </c>
      <c r="L17" s="38" t="s">
        <v>100</v>
      </c>
      <c r="M17" s="93">
        <v>62</v>
      </c>
      <c r="N17" s="90">
        <v>84</v>
      </c>
      <c r="O17" s="90">
        <v>99</v>
      </c>
      <c r="P17" s="90">
        <v>40</v>
      </c>
      <c r="Q17" s="90">
        <v>99</v>
      </c>
      <c r="R17" s="90">
        <v>68</v>
      </c>
      <c r="S17" s="90">
        <v>36</v>
      </c>
      <c r="T17" s="90">
        <v>66</v>
      </c>
      <c r="U17" s="90">
        <v>86</v>
      </c>
      <c r="X17" s="9" t="s">
        <v>22</v>
      </c>
      <c r="Y17" s="10">
        <v>45293</v>
      </c>
      <c r="Z17" s="9" t="s">
        <v>23</v>
      </c>
      <c r="AA17" s="9" t="s">
        <v>24</v>
      </c>
      <c r="AB17" s="11">
        <v>556688</v>
      </c>
      <c r="AC17" s="11" t="s">
        <v>8</v>
      </c>
      <c r="AD17" s="9" t="s">
        <v>25</v>
      </c>
      <c r="AE17" s="12">
        <v>758548</v>
      </c>
    </row>
    <row r="18" spans="2:40" ht="24.75" outlineLevel="1">
      <c r="B18" s="95" t="s">
        <v>22</v>
      </c>
      <c r="C18" s="95"/>
      <c r="D18" s="95" t="s">
        <v>122</v>
      </c>
      <c r="E18" s="95" t="s">
        <v>749</v>
      </c>
      <c r="F18" s="35">
        <v>8450052</v>
      </c>
      <c r="H18" s="33" t="s">
        <v>332</v>
      </c>
      <c r="I18" s="34" t="s">
        <v>161</v>
      </c>
      <c r="J18" s="51"/>
      <c r="K18" s="38" t="s">
        <v>101</v>
      </c>
      <c r="L18" s="93">
        <v>69</v>
      </c>
      <c r="M18" s="90">
        <v>90</v>
      </c>
      <c r="N18" s="90">
        <v>52</v>
      </c>
      <c r="O18" s="90">
        <v>56</v>
      </c>
      <c r="P18" s="90">
        <v>85</v>
      </c>
      <c r="Q18" s="90">
        <v>22</v>
      </c>
      <c r="R18" s="90">
        <v>85</v>
      </c>
      <c r="S18" s="90">
        <v>77</v>
      </c>
      <c r="T18" s="90">
        <v>52</v>
      </c>
      <c r="X18" s="9" t="s">
        <v>26</v>
      </c>
      <c r="Y18" s="10">
        <v>45294</v>
      </c>
      <c r="Z18" s="9" t="s">
        <v>27</v>
      </c>
      <c r="AA18" s="13" t="s">
        <v>28</v>
      </c>
      <c r="AB18" s="11">
        <v>126589</v>
      </c>
      <c r="AC18" s="11" t="s">
        <v>29</v>
      </c>
      <c r="AD18" s="9" t="s">
        <v>30</v>
      </c>
      <c r="AE18" s="12">
        <v>952608</v>
      </c>
    </row>
    <row r="19" spans="2:40" ht="21" outlineLevel="1">
      <c r="B19" s="95" t="s">
        <v>26</v>
      </c>
      <c r="C19" s="95"/>
      <c r="D19" s="95" t="s">
        <v>123</v>
      </c>
      <c r="E19" s="95" t="s">
        <v>750</v>
      </c>
      <c r="F19" s="35">
        <v>4025100</v>
      </c>
      <c r="H19" s="95" t="s">
        <v>43</v>
      </c>
      <c r="I19" s="95">
        <f>VLOOKUP(H19,B17:F27,2,FALSE)</f>
        <v>0</v>
      </c>
      <c r="J19" s="96"/>
      <c r="X19" s="9" t="s">
        <v>31</v>
      </c>
      <c r="Y19" s="10">
        <v>45295</v>
      </c>
      <c r="Z19" s="9" t="s">
        <v>32</v>
      </c>
      <c r="AA19" s="9" t="s">
        <v>33</v>
      </c>
      <c r="AB19" s="11">
        <v>852369</v>
      </c>
      <c r="AC19" s="11" t="s">
        <v>6</v>
      </c>
      <c r="AD19" s="9" t="s">
        <v>34</v>
      </c>
      <c r="AE19" s="12">
        <v>277606</v>
      </c>
    </row>
    <row r="20" spans="2:40" ht="21" outlineLevel="1">
      <c r="B20" s="95" t="s">
        <v>31</v>
      </c>
      <c r="C20" s="95"/>
      <c r="D20" s="95" t="s">
        <v>124</v>
      </c>
      <c r="E20" s="95" t="s">
        <v>751</v>
      </c>
      <c r="F20" s="35">
        <v>5542000</v>
      </c>
      <c r="X20" s="9" t="s">
        <v>35</v>
      </c>
      <c r="Y20" s="10">
        <v>45296</v>
      </c>
      <c r="Z20" s="9" t="s">
        <v>9</v>
      </c>
      <c r="AA20" s="9" t="s">
        <v>36</v>
      </c>
      <c r="AB20" s="11">
        <v>112285</v>
      </c>
      <c r="AC20" s="11" t="s">
        <v>6</v>
      </c>
      <c r="AD20" s="9" t="s">
        <v>37</v>
      </c>
      <c r="AE20" s="12">
        <v>240519</v>
      </c>
    </row>
    <row r="21" spans="2:40" ht="24.75" outlineLevel="1">
      <c r="B21" s="95" t="s">
        <v>35</v>
      </c>
      <c r="C21" s="95"/>
      <c r="D21" s="95" t="s">
        <v>125</v>
      </c>
      <c r="E21" s="95" t="s">
        <v>752</v>
      </c>
      <c r="F21" s="35">
        <v>100050</v>
      </c>
      <c r="H21" s="33" t="s">
        <v>332</v>
      </c>
      <c r="I21" s="34" t="s">
        <v>161</v>
      </c>
      <c r="J21" s="51"/>
      <c r="X21" s="9" t="s">
        <v>39</v>
      </c>
      <c r="Y21" s="10">
        <v>45297</v>
      </c>
      <c r="Z21" s="9" t="s">
        <v>23</v>
      </c>
      <c r="AA21" s="9" t="s">
        <v>7</v>
      </c>
      <c r="AB21" s="11">
        <v>695425</v>
      </c>
      <c r="AC21" s="11" t="s">
        <v>8</v>
      </c>
      <c r="AD21" s="9" t="s">
        <v>40</v>
      </c>
      <c r="AE21" s="12">
        <v>790560</v>
      </c>
    </row>
    <row r="22" spans="2:40" ht="21" outlineLevel="1">
      <c r="B22" s="95" t="s">
        <v>39</v>
      </c>
      <c r="C22" s="95"/>
      <c r="D22" s="95" t="s">
        <v>126</v>
      </c>
      <c r="E22" s="95" t="s">
        <v>753</v>
      </c>
      <c r="F22" s="35">
        <v>520000</v>
      </c>
      <c r="H22" s="95" t="s">
        <v>754</v>
      </c>
      <c r="I22" s="95" t="str">
        <f>IFERROR(VLOOKUP(H22,B17:F27,2,FALSE),"Not Found")</f>
        <v>Not Found</v>
      </c>
      <c r="J22" s="96"/>
      <c r="X22" s="9" t="s">
        <v>41</v>
      </c>
      <c r="Y22" s="10">
        <v>45298</v>
      </c>
      <c r="Z22" s="9" t="s">
        <v>27</v>
      </c>
      <c r="AA22" s="9" t="s">
        <v>24</v>
      </c>
      <c r="AB22" s="11">
        <v>125478</v>
      </c>
      <c r="AC22" s="11" t="s">
        <v>6</v>
      </c>
      <c r="AD22" s="9" t="s">
        <v>42</v>
      </c>
      <c r="AE22" s="12">
        <v>395943</v>
      </c>
    </row>
    <row r="23" spans="2:40" ht="21" outlineLevel="1">
      <c r="B23" s="95" t="s">
        <v>41</v>
      </c>
      <c r="C23" s="95"/>
      <c r="D23" s="95" t="s">
        <v>127</v>
      </c>
      <c r="E23" s="95" t="s">
        <v>755</v>
      </c>
      <c r="F23" s="35">
        <v>450050</v>
      </c>
      <c r="X23" s="9" t="s">
        <v>43</v>
      </c>
      <c r="Y23" s="10">
        <v>45299</v>
      </c>
      <c r="Z23" s="9" t="s">
        <v>32</v>
      </c>
      <c r="AA23" s="13" t="s">
        <v>28</v>
      </c>
      <c r="AB23" s="11">
        <v>556688</v>
      </c>
      <c r="AC23" s="11" t="s">
        <v>44</v>
      </c>
      <c r="AD23" s="9" t="s">
        <v>45</v>
      </c>
      <c r="AE23" s="12">
        <v>898464</v>
      </c>
    </row>
    <row r="24" spans="2:40" ht="21" outlineLevel="1">
      <c r="B24" s="95" t="s">
        <v>43</v>
      </c>
      <c r="C24" s="95"/>
      <c r="D24" s="95" t="s">
        <v>128</v>
      </c>
      <c r="E24" s="95" t="s">
        <v>756</v>
      </c>
      <c r="F24" s="35">
        <v>5400000</v>
      </c>
      <c r="X24" s="9" t="s">
        <v>46</v>
      </c>
      <c r="Y24" s="10">
        <v>45300</v>
      </c>
      <c r="Z24" s="9" t="s">
        <v>23</v>
      </c>
      <c r="AA24" s="9" t="s">
        <v>33</v>
      </c>
      <c r="AB24" s="11">
        <v>126589</v>
      </c>
      <c r="AC24" s="11" t="s">
        <v>8</v>
      </c>
      <c r="AD24" s="9" t="s">
        <v>47</v>
      </c>
      <c r="AE24" s="12">
        <v>468281</v>
      </c>
    </row>
    <row r="25" spans="2:40" ht="21" outlineLevel="1">
      <c r="B25" s="95" t="s">
        <v>46</v>
      </c>
      <c r="C25" s="95"/>
      <c r="D25" s="95" t="s">
        <v>129</v>
      </c>
      <c r="E25" s="95" t="s">
        <v>439</v>
      </c>
      <c r="F25" s="35">
        <v>3452000</v>
      </c>
      <c r="X25" s="9" t="s">
        <v>48</v>
      </c>
      <c r="Y25" s="10">
        <v>45301</v>
      </c>
      <c r="Z25" s="9" t="s">
        <v>27</v>
      </c>
      <c r="AA25" s="9" t="s">
        <v>36</v>
      </c>
      <c r="AB25" s="11">
        <v>852369</v>
      </c>
      <c r="AC25" s="11" t="s">
        <v>6</v>
      </c>
      <c r="AD25" s="9" t="s">
        <v>49</v>
      </c>
      <c r="AE25" s="12">
        <v>316522</v>
      </c>
    </row>
    <row r="26" spans="2:40" ht="21" outlineLevel="1">
      <c r="B26" s="95" t="s">
        <v>48</v>
      </c>
      <c r="C26" s="95"/>
      <c r="D26" s="95" t="s">
        <v>130</v>
      </c>
      <c r="E26" s="95" t="s">
        <v>757</v>
      </c>
      <c r="F26" s="35">
        <v>80008</v>
      </c>
      <c r="X26" s="9" t="s">
        <v>50</v>
      </c>
      <c r="Y26" s="10">
        <v>45302</v>
      </c>
      <c r="Z26" s="9" t="s">
        <v>32</v>
      </c>
      <c r="AA26" s="9" t="s">
        <v>7</v>
      </c>
      <c r="AB26" s="11">
        <v>112285</v>
      </c>
      <c r="AC26" s="11" t="s">
        <v>44</v>
      </c>
      <c r="AD26" s="9" t="s">
        <v>51</v>
      </c>
      <c r="AE26" s="12">
        <v>295421</v>
      </c>
    </row>
    <row r="27" spans="2:40" ht="21" outlineLevel="1">
      <c r="X27" s="9" t="s">
        <v>52</v>
      </c>
      <c r="Y27" s="10">
        <v>45303</v>
      </c>
      <c r="Z27" s="9" t="s">
        <v>9</v>
      </c>
      <c r="AA27" s="9" t="s">
        <v>24</v>
      </c>
      <c r="AB27" s="11">
        <v>695425</v>
      </c>
      <c r="AC27" s="11" t="s">
        <v>6</v>
      </c>
      <c r="AD27" s="9" t="s">
        <v>53</v>
      </c>
      <c r="AE27" s="12">
        <v>736073</v>
      </c>
    </row>
    <row r="28" spans="2:40" ht="93.75" customHeight="1">
      <c r="X28" s="9" t="s">
        <v>54</v>
      </c>
      <c r="Y28" s="10">
        <v>45304</v>
      </c>
      <c r="Z28" s="9" t="s">
        <v>23</v>
      </c>
      <c r="AA28" s="13" t="s">
        <v>28</v>
      </c>
      <c r="AB28" s="11">
        <v>556688</v>
      </c>
      <c r="AC28" s="11" t="s">
        <v>8</v>
      </c>
      <c r="AD28" s="9" t="s">
        <v>55</v>
      </c>
      <c r="AE28" s="12">
        <v>692982</v>
      </c>
      <c r="AM28">
        <v>12005465</v>
      </c>
      <c r="AN28" t="e" vm="2">
        <f>_xlfn.IMAGE(_xlfn.CONCAT("https://api.activebarcode.net/v1/png?typeno=14&amp;showtext=1&amp;backcolor=ffffff&amp;forecolor=000000&amp;rotate=0&amp;alignment=1&amp;width=189&amp;height=94&amp;access=YOUR-KEY-HERE&amp;text=", Advance_Excel!AM28))</f>
        <v>#VALUE!</v>
      </c>
    </row>
    <row r="29" spans="2:40" ht="24.75">
      <c r="B29" s="34" t="s">
        <v>758</v>
      </c>
      <c r="C29" s="51"/>
      <c r="E29" s="34" t="s">
        <v>759</v>
      </c>
      <c r="F29" s="34" t="s">
        <v>759</v>
      </c>
      <c r="H29" s="36"/>
      <c r="X29" s="9" t="s">
        <v>56</v>
      </c>
      <c r="Y29" s="10">
        <v>45305</v>
      </c>
      <c r="Z29" s="9" t="s">
        <v>27</v>
      </c>
      <c r="AA29" s="9" t="s">
        <v>33</v>
      </c>
      <c r="AB29" s="11">
        <v>126589</v>
      </c>
      <c r="AC29" s="11" t="s">
        <v>6</v>
      </c>
      <c r="AD29" s="9" t="s">
        <v>57</v>
      </c>
      <c r="AE29" s="12">
        <v>165551</v>
      </c>
    </row>
    <row r="30" spans="2:40" ht="21">
      <c r="B30" s="95" t="s">
        <v>760</v>
      </c>
      <c r="C30" s="96"/>
      <c r="E30" s="95" t="s">
        <v>761</v>
      </c>
      <c r="F30" s="36" t="str">
        <f>VLOOKUP(E30&amp;"*",B30:B36,1,0)</f>
        <v xml:space="preserve">Ford India </v>
      </c>
      <c r="G30" s="36" t="str">
        <f>VLOOKUP(E30&amp;"*",$B$30:$B$36,1,0)</f>
        <v xml:space="preserve">Ford India </v>
      </c>
      <c r="H30" s="36" t="e">
        <f>VLOOKUP(E30,B30:B36,1,0)</f>
        <v>#N/A</v>
      </c>
      <c r="I30" s="36" t="str">
        <f>IFERROR(VLOOKUP(E30,B30:B36,1,FALSE),"Not Found")</f>
        <v>Not Found</v>
      </c>
      <c r="J30" s="36"/>
      <c r="K30" s="36" t="str">
        <f>_xlfn.IFNA(VLOOKUP(E30,B30:B36,1,FALSE),"No")</f>
        <v>No</v>
      </c>
      <c r="X30" s="9" t="s">
        <v>58</v>
      </c>
      <c r="Y30" s="10">
        <v>45306</v>
      </c>
      <c r="Z30" s="9" t="s">
        <v>23</v>
      </c>
      <c r="AA30" s="9" t="s">
        <v>36</v>
      </c>
      <c r="AB30" s="11">
        <v>852369</v>
      </c>
      <c r="AC30" s="11" t="s">
        <v>8</v>
      </c>
      <c r="AD30" s="9" t="s">
        <v>59</v>
      </c>
      <c r="AE30" s="12">
        <v>124352</v>
      </c>
    </row>
    <row r="31" spans="2:40" ht="21" outlineLevel="1">
      <c r="B31" s="95" t="s">
        <v>354</v>
      </c>
      <c r="C31" s="96"/>
      <c r="E31" s="95" t="s">
        <v>354</v>
      </c>
      <c r="F31" s="36" t="str">
        <f>VLOOKUP(E31&amp;"*",B31:B37,1,0)</f>
        <v>Tesla</v>
      </c>
      <c r="G31" s="36" t="str">
        <f>VLOOKUP(E31&amp;"*",$B$30:$B$36,1,0)</f>
        <v>Tesla</v>
      </c>
      <c r="H31" s="36" t="str">
        <f>VLOOKUP(E31,B31:B37,1,0)</f>
        <v>Tesla</v>
      </c>
      <c r="I31" s="36" t="str">
        <f>IFERROR(VLOOKUP(E31,B31:B37,1,FALSE),"Not Found")</f>
        <v>Tesla</v>
      </c>
      <c r="J31" s="36"/>
      <c r="K31" s="36" t="str">
        <f>_xlfn.IFNA(VLOOKUP(E31,B31:B37,1,FALSE),"No")</f>
        <v>Tesla</v>
      </c>
      <c r="X31" s="9" t="s">
        <v>60</v>
      </c>
      <c r="Y31" s="10">
        <v>45307</v>
      </c>
      <c r="Z31" s="9" t="s">
        <v>27</v>
      </c>
      <c r="AA31" s="9" t="s">
        <v>24</v>
      </c>
      <c r="AB31" s="11">
        <v>112285</v>
      </c>
      <c r="AC31" s="11" t="s">
        <v>6</v>
      </c>
      <c r="AD31" s="9" t="s">
        <v>61</v>
      </c>
      <c r="AE31" s="12">
        <v>984528</v>
      </c>
    </row>
    <row r="32" spans="2:40" ht="21" outlineLevel="1">
      <c r="B32" s="95" t="s">
        <v>762</v>
      </c>
      <c r="C32" s="96"/>
      <c r="E32" s="95" t="s">
        <v>762</v>
      </c>
      <c r="F32" s="36" t="str">
        <f>VLOOKUP(E32&amp;"*",B32:B38,1,0)</f>
        <v>Tata</v>
      </c>
      <c r="G32" s="36" t="str">
        <f>VLOOKUP(E32&amp;"*",$B$30:$B$36,1,0)</f>
        <v>Tata</v>
      </c>
      <c r="H32" s="36" t="str">
        <f>VLOOKUP(E32,B32:B38,1,0)</f>
        <v>Tata</v>
      </c>
      <c r="I32" s="36" t="str">
        <f>IFERROR(VLOOKUP(E32,B32:B38,1,FALSE),"Not Found")</f>
        <v>Tata</v>
      </c>
      <c r="J32" s="36"/>
      <c r="K32" s="36" t="str">
        <f>_xlfn.IFNA(VLOOKUP(E32,B32:B38,1,FALSE),"No")</f>
        <v>Tata</v>
      </c>
      <c r="X32" s="9" t="s">
        <v>62</v>
      </c>
      <c r="Y32" s="10">
        <v>45308</v>
      </c>
      <c r="Z32" s="9" t="s">
        <v>32</v>
      </c>
      <c r="AA32" s="13" t="s">
        <v>28</v>
      </c>
      <c r="AB32" s="11">
        <v>695425</v>
      </c>
      <c r="AC32" s="11" t="s">
        <v>44</v>
      </c>
      <c r="AD32" s="9" t="s">
        <v>63</v>
      </c>
      <c r="AE32" s="12">
        <v>920785</v>
      </c>
    </row>
    <row r="33" spans="2:37" ht="21" outlineLevel="1">
      <c r="B33" s="95" t="s">
        <v>763</v>
      </c>
      <c r="C33" s="96"/>
      <c r="E33" s="95" t="s">
        <v>764</v>
      </c>
      <c r="F33" s="36" t="str">
        <f>VLOOKUP(E33&amp;"*",B33:B39,1,0)</f>
        <v xml:space="preserve">Mahindra  and Mahindra </v>
      </c>
      <c r="G33" s="36" t="str">
        <f>VLOOKUP(E33&amp;"*",$B$30:$B$36,1,0)</f>
        <v xml:space="preserve">Mahindra  and Mahindra </v>
      </c>
      <c r="H33" s="36" t="e">
        <f>VLOOKUP(E33,B33:B39,1,0)</f>
        <v>#N/A</v>
      </c>
      <c r="I33" s="36" t="str">
        <f>IFERROR(VLOOKUP(E33,B33:B39,1,FALSE),"Not Found")</f>
        <v>Not Found</v>
      </c>
      <c r="J33" s="36"/>
      <c r="K33" s="36" t="str">
        <f>_xlfn.IFNA(VLOOKUP(E33,B33:B39,1,FALSE),"No")</f>
        <v>No</v>
      </c>
      <c r="X33" s="9" t="s">
        <v>64</v>
      </c>
      <c r="Y33" s="10">
        <v>45309</v>
      </c>
      <c r="Z33" s="9" t="s">
        <v>9</v>
      </c>
      <c r="AA33" s="9" t="s">
        <v>33</v>
      </c>
      <c r="AB33" s="11">
        <v>125478</v>
      </c>
      <c r="AC33" s="11" t="s">
        <v>6</v>
      </c>
      <c r="AD33" s="9" t="s">
        <v>65</v>
      </c>
      <c r="AE33" s="12">
        <v>632679</v>
      </c>
    </row>
    <row r="34" spans="2:37" ht="21" outlineLevel="1">
      <c r="B34" s="95" t="s">
        <v>765</v>
      </c>
      <c r="C34" s="96"/>
      <c r="E34" s="95" t="s">
        <v>766</v>
      </c>
      <c r="F34" s="36" t="str">
        <f>VLOOKUP(E34&amp;"*",B34:B40,1,0)</f>
        <v>Maruti Suzuki</v>
      </c>
      <c r="G34" s="36" t="str">
        <f>VLOOKUP(E34&amp;"*",$B$30:$B$36,1,0)</f>
        <v>Maruti Suzuki</v>
      </c>
      <c r="H34" s="36" t="e">
        <f>VLOOKUP(E34,B34:B40,1,0)</f>
        <v>#N/A</v>
      </c>
      <c r="I34" s="36" t="str">
        <f>IFERROR(VLOOKUP(E34,B34:B40,1,FALSE),"Not Found")</f>
        <v>Not Found</v>
      </c>
      <c r="J34" s="36"/>
      <c r="K34" s="36" t="str">
        <f>_xlfn.IFNA(VLOOKUP(E34,B34:B40,1,FALSE),"No")</f>
        <v>No</v>
      </c>
      <c r="X34" s="9" t="s">
        <v>66</v>
      </c>
      <c r="Y34" s="10">
        <v>45310</v>
      </c>
      <c r="Z34" s="9" t="s">
        <v>23</v>
      </c>
      <c r="AA34" s="9" t="s">
        <v>36</v>
      </c>
      <c r="AB34" s="11">
        <v>556688</v>
      </c>
      <c r="AC34" s="11" t="s">
        <v>8</v>
      </c>
      <c r="AD34" s="9" t="s">
        <v>67</v>
      </c>
      <c r="AE34" s="12">
        <v>233117</v>
      </c>
    </row>
    <row r="35" spans="2:37" ht="21" outlineLevel="1">
      <c r="B35" s="95" t="s">
        <v>767</v>
      </c>
      <c r="C35" s="96"/>
      <c r="E35" s="95" t="s">
        <v>670</v>
      </c>
      <c r="F35" s="36" t="str">
        <f>VLOOKUP(E35&amp;"*",B35:B40,1,0)</f>
        <v xml:space="preserve">Hyundai India </v>
      </c>
      <c r="G35" s="36" t="str">
        <f>VLOOKUP(E35&amp;"*",$B$30:$B$36,1,0)</f>
        <v xml:space="preserve">Hyundai India </v>
      </c>
      <c r="H35" s="36" t="e">
        <f>VLOOKUP(E35,B35:B40,1,0)</f>
        <v>#N/A</v>
      </c>
      <c r="I35" s="36" t="str">
        <f>IFERROR(VLOOKUP(E35,B35:B40,1,FALSE),"Not Found")</f>
        <v>Not Found</v>
      </c>
      <c r="J35" s="36"/>
      <c r="K35" s="36" t="str">
        <f>_xlfn.IFNA(VLOOKUP(E35,B35:B40,1,FALSE),"No")</f>
        <v>No</v>
      </c>
      <c r="X35" s="9" t="s">
        <v>68</v>
      </c>
      <c r="Y35" s="10">
        <v>45311</v>
      </c>
      <c r="Z35" s="9" t="s">
        <v>27</v>
      </c>
      <c r="AA35" s="9" t="s">
        <v>7</v>
      </c>
      <c r="AB35" s="11">
        <v>126589</v>
      </c>
      <c r="AC35" s="11" t="s">
        <v>6</v>
      </c>
      <c r="AD35" s="9" t="s">
        <v>69</v>
      </c>
      <c r="AE35" s="12">
        <v>984960</v>
      </c>
    </row>
    <row r="36" spans="2:37" ht="18.75" outlineLevel="1">
      <c r="B36" s="95" t="s">
        <v>768</v>
      </c>
      <c r="C36" s="96"/>
      <c r="E36" s="95" t="s">
        <v>428</v>
      </c>
      <c r="F36" s="36" t="str">
        <f>VLOOKUP(E36&amp;"*",B36:B42,1,0)</f>
        <v xml:space="preserve">Honda India </v>
      </c>
      <c r="G36" s="36" t="str">
        <f>VLOOKUP(E36&amp;"*",$B$30:$B$36,1,0)</f>
        <v xml:space="preserve">Honda India </v>
      </c>
      <c r="H36" s="36" t="e">
        <f>VLOOKUP(E36,B36:B42,1,0)</f>
        <v>#N/A</v>
      </c>
      <c r="I36" s="36" t="str">
        <f>IFERROR(VLOOKUP(E36,B36:B42,1,FALSE),"Not Found")</f>
        <v>Not Found</v>
      </c>
      <c r="J36" s="36"/>
      <c r="K36" s="36" t="str">
        <f>_xlfn.IFNA(VLOOKUP(E36,B36:B42,1,FALSE),"No")</f>
        <v>No</v>
      </c>
    </row>
    <row r="37" spans="2:37" outlineLevel="1"/>
    <row r="40" spans="2:37">
      <c r="AK40">
        <v>54845</v>
      </c>
    </row>
    <row r="41" spans="2:37" ht="24.75">
      <c r="B41" s="38" t="s">
        <v>98</v>
      </c>
      <c r="C41" s="38" t="s">
        <v>99</v>
      </c>
      <c r="D41" s="38" t="s">
        <v>100</v>
      </c>
      <c r="E41" s="38" t="s">
        <v>101</v>
      </c>
    </row>
    <row r="42" spans="2:37" ht="18.75" outlineLevel="1">
      <c r="B42" s="93">
        <v>89</v>
      </c>
      <c r="C42" s="93">
        <v>79</v>
      </c>
      <c r="D42" s="93">
        <v>62</v>
      </c>
      <c r="E42" s="93">
        <v>69</v>
      </c>
    </row>
    <row r="43" spans="2:37" ht="18.75" outlineLevel="1">
      <c r="B43" s="90">
        <v>27</v>
      </c>
      <c r="C43" s="90">
        <v>47</v>
      </c>
      <c r="D43" s="90">
        <v>84</v>
      </c>
      <c r="E43" s="90">
        <v>90</v>
      </c>
    </row>
    <row r="44" spans="2:37" ht="18.75" outlineLevel="1">
      <c r="B44" s="90">
        <v>33</v>
      </c>
      <c r="C44" s="90">
        <v>66</v>
      </c>
      <c r="D44" s="90">
        <v>99</v>
      </c>
      <c r="E44" s="90">
        <v>52</v>
      </c>
    </row>
    <row r="45" spans="2:37" ht="18.75" outlineLevel="1">
      <c r="B45" s="90">
        <v>44</v>
      </c>
      <c r="C45" s="90">
        <v>40</v>
      </c>
      <c r="D45" s="90">
        <v>40</v>
      </c>
      <c r="E45" s="90">
        <v>56</v>
      </c>
    </row>
    <row r="46" spans="2:37" ht="18.75" outlineLevel="1">
      <c r="B46" s="90">
        <v>95</v>
      </c>
      <c r="C46" s="90">
        <v>63</v>
      </c>
      <c r="D46" s="90">
        <v>99</v>
      </c>
      <c r="E46" s="90">
        <v>85</v>
      </c>
    </row>
    <row r="47" spans="2:37" ht="18.75" outlineLevel="1">
      <c r="B47" s="90">
        <v>27</v>
      </c>
      <c r="C47" s="90">
        <v>96</v>
      </c>
      <c r="D47" s="90">
        <v>68</v>
      </c>
      <c r="E47" s="90">
        <v>22</v>
      </c>
    </row>
    <row r="48" spans="2:37" ht="18.75" outlineLevel="1">
      <c r="B48" s="90">
        <v>34</v>
      </c>
      <c r="C48" s="90">
        <v>40</v>
      </c>
      <c r="D48" s="90">
        <v>36</v>
      </c>
      <c r="E48" s="90">
        <v>85</v>
      </c>
    </row>
    <row r="49" spans="2:11" ht="18.75" outlineLevel="1">
      <c r="B49" s="90">
        <v>83</v>
      </c>
      <c r="C49" s="90">
        <v>73</v>
      </c>
      <c r="D49" s="90">
        <v>66</v>
      </c>
      <c r="E49" s="90">
        <v>77</v>
      </c>
    </row>
    <row r="50" spans="2:11" ht="18.75" outlineLevel="1">
      <c r="B50" s="90">
        <v>22</v>
      </c>
      <c r="C50" s="90">
        <v>66</v>
      </c>
      <c r="D50" s="90">
        <v>86</v>
      </c>
      <c r="E50" s="90">
        <v>52</v>
      </c>
    </row>
    <row r="59" spans="2:11" ht="23.25">
      <c r="B59" s="39" t="s">
        <v>21</v>
      </c>
      <c r="C59" s="39" t="s">
        <v>769</v>
      </c>
      <c r="D59" s="39" t="s">
        <v>770</v>
      </c>
      <c r="E59" s="39" t="s">
        <v>771</v>
      </c>
      <c r="F59" s="39" t="s">
        <v>772</v>
      </c>
      <c r="G59" s="39" t="s">
        <v>773</v>
      </c>
      <c r="H59" s="39" t="s">
        <v>774</v>
      </c>
      <c r="I59" s="40" t="s">
        <v>775</v>
      </c>
      <c r="J59" s="40" t="s">
        <v>776</v>
      </c>
      <c r="K59" t="s">
        <v>777</v>
      </c>
    </row>
    <row r="60" spans="2:11" ht="18.75" outlineLevel="1">
      <c r="B60" s="41" t="s">
        <v>19</v>
      </c>
      <c r="C60" s="42"/>
      <c r="D60" s="43">
        <v>45295</v>
      </c>
      <c r="E60" s="42" t="s">
        <v>778</v>
      </c>
      <c r="F60" s="42" t="s">
        <v>779</v>
      </c>
      <c r="G60" s="42">
        <v>852369</v>
      </c>
      <c r="H60" s="42" t="s">
        <v>44</v>
      </c>
      <c r="I60" s="44" t="s">
        <v>34</v>
      </c>
      <c r="J60" s="52"/>
      <c r="K60" s="90">
        <f>COUNTA(B60:I60)</f>
        <v>7</v>
      </c>
    </row>
    <row r="61" spans="2:11" ht="18.75" outlineLevel="1">
      <c r="K61" s="90">
        <f t="shared" ref="K61:K92" si="2">COUNTA(B61:I61)</f>
        <v>0</v>
      </c>
    </row>
    <row r="62" spans="2:11" ht="18.75" outlineLevel="1">
      <c r="B62" s="41" t="s">
        <v>19</v>
      </c>
      <c r="C62" s="42"/>
      <c r="D62" s="43">
        <v>45294</v>
      </c>
      <c r="E62" s="42" t="s">
        <v>780</v>
      </c>
      <c r="F62" s="42" t="s">
        <v>781</v>
      </c>
      <c r="G62" s="42">
        <v>126589</v>
      </c>
      <c r="H62" s="42" t="s">
        <v>782</v>
      </c>
      <c r="I62" s="42" t="s">
        <v>30</v>
      </c>
      <c r="J62" s="52"/>
      <c r="K62" s="90">
        <f t="shared" si="2"/>
        <v>7</v>
      </c>
    </row>
    <row r="63" spans="2:11" ht="18.75" outlineLevel="1">
      <c r="B63" s="41" t="s">
        <v>43</v>
      </c>
      <c r="C63" s="42"/>
      <c r="D63" s="43">
        <v>45299</v>
      </c>
      <c r="E63" s="42" t="s">
        <v>778</v>
      </c>
      <c r="F63" s="42" t="s">
        <v>781</v>
      </c>
      <c r="G63" s="42">
        <v>556688</v>
      </c>
      <c r="H63" s="42" t="s">
        <v>44</v>
      </c>
      <c r="I63" s="42" t="s">
        <v>45</v>
      </c>
      <c r="J63" s="52"/>
      <c r="K63" s="90">
        <f t="shared" si="2"/>
        <v>7</v>
      </c>
    </row>
    <row r="64" spans="2:11" ht="18.75" outlineLevel="1">
      <c r="E64" s="42" t="s">
        <v>780</v>
      </c>
      <c r="K64" s="90">
        <f t="shared" si="2"/>
        <v>1</v>
      </c>
    </row>
    <row r="65" spans="2:11" ht="18.75" outlineLevel="1">
      <c r="K65" s="90">
        <f t="shared" si="2"/>
        <v>0</v>
      </c>
    </row>
    <row r="66" spans="2:11" ht="18.75" outlineLevel="1">
      <c r="B66" s="41" t="s">
        <v>39</v>
      </c>
      <c r="C66" s="42"/>
      <c r="D66" s="43">
        <v>45297</v>
      </c>
      <c r="E66" s="42" t="s">
        <v>783</v>
      </c>
      <c r="F66" s="42" t="s">
        <v>784</v>
      </c>
      <c r="G66" s="42">
        <v>695425</v>
      </c>
      <c r="H66" s="42" t="s">
        <v>785</v>
      </c>
      <c r="I66" s="42" t="s">
        <v>40</v>
      </c>
      <c r="J66" s="52"/>
      <c r="K66" s="90">
        <f t="shared" si="2"/>
        <v>7</v>
      </c>
    </row>
    <row r="67" spans="2:11" ht="18.75" outlineLevel="1">
      <c r="B67" s="41" t="s">
        <v>48</v>
      </c>
      <c r="C67" s="42"/>
      <c r="D67" s="43">
        <v>45301</v>
      </c>
      <c r="E67" s="42" t="s">
        <v>780</v>
      </c>
      <c r="F67" s="42" t="s">
        <v>786</v>
      </c>
      <c r="G67" s="42">
        <v>852369</v>
      </c>
      <c r="H67" s="42" t="s">
        <v>782</v>
      </c>
      <c r="I67" s="42" t="s">
        <v>206</v>
      </c>
      <c r="J67" s="52"/>
      <c r="K67" s="90">
        <f t="shared" si="2"/>
        <v>7</v>
      </c>
    </row>
    <row r="68" spans="2:11" ht="18.75" outlineLevel="1">
      <c r="B68" s="41" t="s">
        <v>39</v>
      </c>
      <c r="C68" s="52"/>
      <c r="K68" s="90">
        <f t="shared" si="2"/>
        <v>1</v>
      </c>
    </row>
    <row r="69" spans="2:11" ht="18.75" outlineLevel="1">
      <c r="B69" s="41" t="s">
        <v>41</v>
      </c>
      <c r="C69" s="42"/>
      <c r="D69" s="43">
        <v>45298</v>
      </c>
      <c r="E69" s="42" t="s">
        <v>780</v>
      </c>
      <c r="F69" s="42" t="s">
        <v>787</v>
      </c>
      <c r="G69" s="42">
        <v>125478</v>
      </c>
      <c r="H69" s="42" t="s">
        <v>782</v>
      </c>
      <c r="I69" s="42" t="s">
        <v>42</v>
      </c>
      <c r="J69" s="52"/>
      <c r="K69" s="90">
        <f t="shared" si="2"/>
        <v>7</v>
      </c>
    </row>
    <row r="70" spans="2:11" ht="18.75" outlineLevel="1">
      <c r="K70" s="90">
        <f t="shared" si="2"/>
        <v>0</v>
      </c>
    </row>
    <row r="71" spans="2:11" ht="18.75" outlineLevel="1">
      <c r="B71" s="41" t="s">
        <v>19</v>
      </c>
      <c r="C71" s="42"/>
      <c r="D71" s="43">
        <v>45293</v>
      </c>
      <c r="E71" s="42" t="s">
        <v>783</v>
      </c>
      <c r="F71" s="42" t="s">
        <v>787</v>
      </c>
      <c r="G71" s="42">
        <v>556688</v>
      </c>
      <c r="H71" s="42" t="s">
        <v>785</v>
      </c>
      <c r="I71" s="42" t="s">
        <v>25</v>
      </c>
      <c r="J71" s="52"/>
      <c r="K71" s="90">
        <f t="shared" si="2"/>
        <v>7</v>
      </c>
    </row>
    <row r="72" spans="2:11" ht="18.75" outlineLevel="1">
      <c r="K72" s="90">
        <f t="shared" si="2"/>
        <v>0</v>
      </c>
    </row>
    <row r="73" spans="2:11" ht="18.75" outlineLevel="1">
      <c r="B73" s="41" t="s">
        <v>39</v>
      </c>
      <c r="C73" s="42"/>
      <c r="D73" s="43">
        <v>45297</v>
      </c>
      <c r="E73" s="42" t="s">
        <v>783</v>
      </c>
      <c r="F73" s="42" t="s">
        <v>784</v>
      </c>
      <c r="G73" s="42">
        <v>695425</v>
      </c>
      <c r="H73" s="42" t="s">
        <v>785</v>
      </c>
      <c r="I73" s="42" t="s">
        <v>40</v>
      </c>
      <c r="J73" s="52"/>
      <c r="K73" s="90">
        <f t="shared" si="2"/>
        <v>7</v>
      </c>
    </row>
    <row r="74" spans="2:11" ht="18.75" outlineLevel="1">
      <c r="B74" s="41" t="s">
        <v>48</v>
      </c>
      <c r="C74" s="42"/>
      <c r="D74" s="43">
        <v>45301</v>
      </c>
      <c r="E74" s="42" t="s">
        <v>780</v>
      </c>
      <c r="F74" s="42" t="s">
        <v>786</v>
      </c>
      <c r="G74" s="42">
        <v>852369</v>
      </c>
      <c r="H74" s="42" t="s">
        <v>782</v>
      </c>
      <c r="I74" s="42" t="s">
        <v>206</v>
      </c>
      <c r="J74" s="52"/>
      <c r="K74" s="90">
        <f t="shared" si="2"/>
        <v>7</v>
      </c>
    </row>
    <row r="75" spans="2:11" ht="18.75" outlineLevel="1">
      <c r="K75" s="90">
        <f t="shared" si="2"/>
        <v>0</v>
      </c>
    </row>
    <row r="76" spans="2:11" ht="18.75" outlineLevel="1">
      <c r="B76" s="41" t="s">
        <v>41</v>
      </c>
      <c r="C76" s="42"/>
      <c r="D76" s="43">
        <v>45298</v>
      </c>
      <c r="E76" s="42" t="s">
        <v>780</v>
      </c>
      <c r="F76" s="42" t="s">
        <v>787</v>
      </c>
      <c r="G76" s="42">
        <v>125478</v>
      </c>
      <c r="H76" s="42" t="s">
        <v>782</v>
      </c>
      <c r="I76" s="42" t="s">
        <v>42</v>
      </c>
      <c r="J76" s="52"/>
      <c r="K76" s="90">
        <f t="shared" si="2"/>
        <v>7</v>
      </c>
    </row>
    <row r="77" spans="2:11" ht="18.75" outlineLevel="1">
      <c r="D77" s="43">
        <v>45297</v>
      </c>
      <c r="G77" s="42">
        <v>852369</v>
      </c>
      <c r="K77" s="90">
        <f t="shared" si="2"/>
        <v>2</v>
      </c>
    </row>
    <row r="78" spans="2:11" ht="18.75" outlineLevel="1">
      <c r="B78" s="41" t="s">
        <v>19</v>
      </c>
      <c r="C78" s="42"/>
      <c r="D78" s="43">
        <v>45293</v>
      </c>
      <c r="E78" s="42" t="s">
        <v>783</v>
      </c>
      <c r="F78" s="42" t="s">
        <v>787</v>
      </c>
      <c r="G78" s="42">
        <v>556688</v>
      </c>
      <c r="H78" s="42" t="s">
        <v>785</v>
      </c>
      <c r="I78" s="42" t="s">
        <v>25</v>
      </c>
      <c r="J78" s="52"/>
      <c r="K78" s="90">
        <f t="shared" si="2"/>
        <v>7</v>
      </c>
    </row>
    <row r="79" spans="2:11" ht="18.75" outlineLevel="1">
      <c r="K79" s="90">
        <f t="shared" si="2"/>
        <v>0</v>
      </c>
    </row>
    <row r="80" spans="2:11" ht="18.75" outlineLevel="1">
      <c r="B80" s="41" t="s">
        <v>39</v>
      </c>
      <c r="C80" s="42"/>
      <c r="D80" s="43">
        <v>45297</v>
      </c>
      <c r="E80" s="42" t="s">
        <v>783</v>
      </c>
      <c r="F80" s="42" t="s">
        <v>784</v>
      </c>
      <c r="G80" s="42">
        <v>695425</v>
      </c>
      <c r="H80" s="42" t="s">
        <v>785</v>
      </c>
      <c r="I80" s="42" t="s">
        <v>40</v>
      </c>
      <c r="J80" s="52"/>
      <c r="K80" s="90">
        <f t="shared" si="2"/>
        <v>7</v>
      </c>
    </row>
    <row r="81" spans="2:11" ht="18.75" outlineLevel="1">
      <c r="B81" s="41" t="s">
        <v>48</v>
      </c>
      <c r="C81" s="42"/>
      <c r="D81" s="43">
        <v>45301</v>
      </c>
      <c r="E81" s="42" t="s">
        <v>780</v>
      </c>
      <c r="F81" s="42" t="s">
        <v>786</v>
      </c>
      <c r="G81" s="42">
        <v>852369</v>
      </c>
      <c r="H81" s="42" t="s">
        <v>782</v>
      </c>
      <c r="I81" s="42" t="s">
        <v>206</v>
      </c>
      <c r="J81" s="52"/>
      <c r="K81" s="90">
        <f t="shared" si="2"/>
        <v>7</v>
      </c>
    </row>
    <row r="82" spans="2:11" ht="18.75" outlineLevel="1">
      <c r="D82" s="43">
        <v>45297</v>
      </c>
      <c r="G82" s="42">
        <v>556688</v>
      </c>
      <c r="I82" s="42" t="s">
        <v>206</v>
      </c>
      <c r="J82" s="52"/>
      <c r="K82" s="90">
        <f t="shared" si="2"/>
        <v>3</v>
      </c>
    </row>
    <row r="83" spans="2:11" ht="18.75" outlineLevel="1">
      <c r="B83" s="41" t="s">
        <v>41</v>
      </c>
      <c r="C83" s="42"/>
      <c r="D83" s="43">
        <v>45298</v>
      </c>
      <c r="E83" s="42" t="s">
        <v>780</v>
      </c>
      <c r="F83" s="42" t="s">
        <v>787</v>
      </c>
      <c r="G83" s="42">
        <v>125478</v>
      </c>
      <c r="H83" s="42" t="s">
        <v>782</v>
      </c>
      <c r="I83" s="42" t="s">
        <v>42</v>
      </c>
      <c r="J83" s="52"/>
      <c r="K83" s="90">
        <f t="shared" si="2"/>
        <v>7</v>
      </c>
    </row>
    <row r="84" spans="2:11" ht="18.75" outlineLevel="1">
      <c r="K84" s="90">
        <f t="shared" si="2"/>
        <v>0</v>
      </c>
    </row>
    <row r="85" spans="2:11" ht="18.75" outlineLevel="1">
      <c r="B85" s="41" t="s">
        <v>19</v>
      </c>
      <c r="C85" s="42"/>
      <c r="D85" s="43">
        <v>45293</v>
      </c>
      <c r="E85" s="42" t="s">
        <v>783</v>
      </c>
      <c r="F85" s="42" t="s">
        <v>787</v>
      </c>
      <c r="G85" s="42">
        <v>556688</v>
      </c>
      <c r="H85" s="42" t="s">
        <v>785</v>
      </c>
      <c r="I85" s="42" t="s">
        <v>25</v>
      </c>
      <c r="J85" s="52"/>
      <c r="K85" s="90">
        <f t="shared" si="2"/>
        <v>7</v>
      </c>
    </row>
    <row r="86" spans="2:11" ht="18.75" outlineLevel="1">
      <c r="K86" s="90">
        <f t="shared" si="2"/>
        <v>0</v>
      </c>
    </row>
    <row r="87" spans="2:11" ht="18.75" outlineLevel="1">
      <c r="B87" s="41" t="s">
        <v>39</v>
      </c>
      <c r="C87" s="42"/>
      <c r="D87" s="43">
        <v>45297</v>
      </c>
      <c r="E87" s="42" t="s">
        <v>783</v>
      </c>
      <c r="F87" s="42" t="s">
        <v>784</v>
      </c>
      <c r="G87" s="42">
        <v>695425</v>
      </c>
      <c r="H87" s="42" t="s">
        <v>785</v>
      </c>
      <c r="I87" s="42" t="s">
        <v>40</v>
      </c>
      <c r="J87" s="52"/>
      <c r="K87" s="90">
        <f t="shared" si="2"/>
        <v>7</v>
      </c>
    </row>
    <row r="88" spans="2:11" ht="18.75" outlineLevel="1">
      <c r="B88" s="41" t="s">
        <v>48</v>
      </c>
      <c r="C88" s="42"/>
      <c r="D88" s="43">
        <v>45301</v>
      </c>
      <c r="E88" s="42" t="s">
        <v>780</v>
      </c>
      <c r="F88" s="42" t="s">
        <v>786</v>
      </c>
      <c r="G88" s="42">
        <v>852369</v>
      </c>
      <c r="H88" s="42" t="s">
        <v>782</v>
      </c>
      <c r="I88" s="42" t="s">
        <v>206</v>
      </c>
      <c r="J88" s="52"/>
      <c r="K88" s="90">
        <f t="shared" si="2"/>
        <v>7</v>
      </c>
    </row>
    <row r="89" spans="2:11" ht="18.75" outlineLevel="1">
      <c r="K89" s="90">
        <f t="shared" si="2"/>
        <v>0</v>
      </c>
    </row>
    <row r="90" spans="2:11" ht="18.75" outlineLevel="1">
      <c r="B90" s="41" t="s">
        <v>41</v>
      </c>
      <c r="C90" s="42"/>
      <c r="D90" s="43">
        <v>45298</v>
      </c>
      <c r="E90" s="42" t="s">
        <v>780</v>
      </c>
      <c r="F90" s="42" t="s">
        <v>787</v>
      </c>
      <c r="G90" s="42">
        <v>125478</v>
      </c>
      <c r="H90" s="42" t="s">
        <v>782</v>
      </c>
      <c r="I90" s="42" t="s">
        <v>42</v>
      </c>
      <c r="J90" s="52"/>
      <c r="K90" s="90">
        <f t="shared" si="2"/>
        <v>7</v>
      </c>
    </row>
    <row r="91" spans="2:11" ht="18.75" outlineLevel="1">
      <c r="K91" s="90">
        <f t="shared" si="2"/>
        <v>0</v>
      </c>
    </row>
    <row r="92" spans="2:11" ht="18.75" outlineLevel="1">
      <c r="B92" s="41" t="s">
        <v>19</v>
      </c>
      <c r="C92" s="42"/>
      <c r="D92" s="43">
        <v>45293</v>
      </c>
      <c r="E92" s="42" t="s">
        <v>783</v>
      </c>
      <c r="F92" s="42" t="s">
        <v>787</v>
      </c>
      <c r="G92" s="42">
        <v>556688</v>
      </c>
      <c r="H92" s="42" t="s">
        <v>785</v>
      </c>
      <c r="I92" s="42" t="s">
        <v>25</v>
      </c>
      <c r="J92" s="52"/>
      <c r="K92" s="90">
        <f t="shared" si="2"/>
        <v>7</v>
      </c>
    </row>
    <row r="95" spans="2:11" ht="24.75">
      <c r="B95" s="6" t="s">
        <v>788</v>
      </c>
    </row>
    <row r="96" spans="2:11" ht="21">
      <c r="B96" s="12">
        <v>120</v>
      </c>
    </row>
    <row r="97" spans="2:24" ht="21">
      <c r="B97" s="12">
        <v>1500</v>
      </c>
    </row>
    <row r="98" spans="2:24" ht="21">
      <c r="B98" s="12">
        <v>4000</v>
      </c>
      <c r="C98" s="53"/>
    </row>
    <row r="99" spans="2:24" ht="21">
      <c r="B99" s="12">
        <v>1200</v>
      </c>
      <c r="C99" s="53"/>
    </row>
    <row r="100" spans="2:24" ht="21">
      <c r="B100" s="12">
        <v>65</v>
      </c>
      <c r="C100" s="53"/>
    </row>
    <row r="101" spans="2:24" ht="21">
      <c r="B101" s="12">
        <v>999</v>
      </c>
      <c r="C101" s="53"/>
    </row>
    <row r="102" spans="2:24" ht="21">
      <c r="B102" s="12">
        <v>4500</v>
      </c>
      <c r="C102" s="53"/>
    </row>
    <row r="103" spans="2:24" ht="21">
      <c r="B103" s="12">
        <v>100000</v>
      </c>
      <c r="C103" s="53"/>
    </row>
    <row r="104" spans="2:24" ht="21">
      <c r="B104" s="12">
        <v>12000</v>
      </c>
      <c r="C104" s="53"/>
    </row>
    <row r="105" spans="2:24" ht="21">
      <c r="B105" s="12">
        <v>11719227.050000001</v>
      </c>
      <c r="C105" s="53"/>
    </row>
    <row r="106" spans="2:24" ht="21">
      <c r="B106" s="12">
        <v>50000</v>
      </c>
      <c r="C106" s="53"/>
    </row>
    <row r="109" spans="2:24" ht="24.75">
      <c r="B109" s="47" t="s">
        <v>10</v>
      </c>
      <c r="C109" s="47"/>
      <c r="D109" s="1" t="s">
        <v>11</v>
      </c>
      <c r="E109" s="2" t="s">
        <v>4</v>
      </c>
      <c r="F109" s="2" t="s">
        <v>2</v>
      </c>
      <c r="G109" s="3" t="s">
        <v>12</v>
      </c>
      <c r="H109" s="4" t="s">
        <v>0</v>
      </c>
      <c r="I109" s="5" t="s">
        <v>13</v>
      </c>
      <c r="J109" s="5"/>
      <c r="K109" s="1" t="s">
        <v>14</v>
      </c>
      <c r="L109" s="6" t="s">
        <v>1</v>
      </c>
      <c r="M109" s="7" t="s">
        <v>15</v>
      </c>
      <c r="N109" s="6" t="s">
        <v>5</v>
      </c>
      <c r="O109" s="8" t="s">
        <v>3</v>
      </c>
      <c r="X109" s="45" t="s">
        <v>789</v>
      </c>
    </row>
    <row r="110" spans="2:24" ht="21" hidden="1" outlineLevel="2">
      <c r="B110" s="9" t="s">
        <v>19</v>
      </c>
      <c r="C110" s="9"/>
      <c r="D110" s="10">
        <v>45292</v>
      </c>
      <c r="E110" s="9" t="s">
        <v>9</v>
      </c>
      <c r="F110" s="9" t="s">
        <v>7</v>
      </c>
      <c r="G110" s="11">
        <v>125478</v>
      </c>
      <c r="H110" s="11" t="s">
        <v>6</v>
      </c>
      <c r="I110" s="9" t="s">
        <v>20</v>
      </c>
      <c r="J110" s="9"/>
      <c r="K110" s="12">
        <v>377222</v>
      </c>
      <c r="L110" s="11">
        <v>38</v>
      </c>
      <c r="M110" s="12">
        <v>9430.5500000000011</v>
      </c>
      <c r="N110" s="12">
        <v>14343866.550000001</v>
      </c>
      <c r="O110" s="12">
        <v>14334436</v>
      </c>
      <c r="X110" s="46" t="str">
        <f>F110&amp;":"&amp;H110&amp;"-"&amp;I110</f>
        <v>Mobile &amp; Electronics :North-Apple</v>
      </c>
    </row>
    <row r="111" spans="2:24" ht="21" hidden="1" outlineLevel="2">
      <c r="B111" s="9" t="s">
        <v>22</v>
      </c>
      <c r="C111" s="9"/>
      <c r="D111" s="10">
        <v>45293</v>
      </c>
      <c r="E111" s="9" t="s">
        <v>23</v>
      </c>
      <c r="F111" s="9" t="s">
        <v>24</v>
      </c>
      <c r="G111" s="11">
        <v>556688</v>
      </c>
      <c r="H111" s="11" t="s">
        <v>8</v>
      </c>
      <c r="I111" s="9" t="s">
        <v>25</v>
      </c>
      <c r="J111" s="9"/>
      <c r="K111" s="12">
        <v>758548</v>
      </c>
      <c r="L111" s="11">
        <v>30</v>
      </c>
      <c r="M111" s="12">
        <v>18963.7</v>
      </c>
      <c r="N111" s="12">
        <v>22775403.699999999</v>
      </c>
      <c r="O111" s="12">
        <v>22756440</v>
      </c>
      <c r="X111" s="46" t="str">
        <f>F111&amp;":"&amp;H111&amp;"-"&amp;I111</f>
        <v>Fashion &amp; Clothing:South -Samsung</v>
      </c>
    </row>
    <row r="112" spans="2:24" ht="21" hidden="1" outlineLevel="2">
      <c r="B112" s="9" t="s">
        <v>26</v>
      </c>
      <c r="C112" s="9"/>
      <c r="D112" s="10">
        <v>45294</v>
      </c>
      <c r="E112" s="9" t="s">
        <v>27</v>
      </c>
      <c r="F112" s="13" t="s">
        <v>28</v>
      </c>
      <c r="G112" s="11">
        <v>126589</v>
      </c>
      <c r="H112" s="11" t="s">
        <v>29</v>
      </c>
      <c r="I112" s="9" t="s">
        <v>30</v>
      </c>
      <c r="J112" s="9"/>
      <c r="K112" s="12">
        <v>952608</v>
      </c>
      <c r="L112" s="11">
        <v>50</v>
      </c>
      <c r="M112" s="12">
        <v>23815.200000000001</v>
      </c>
      <c r="N112" s="12">
        <v>47654215.200000003</v>
      </c>
      <c r="O112" s="12">
        <v>47630400</v>
      </c>
      <c r="X112" s="46" t="str">
        <f>F112&amp;":"&amp;H112&amp;"-"&amp;I112</f>
        <v>Sports &amp; Fitness:EAST -Vivo</v>
      </c>
    </row>
    <row r="113" spans="2:24" ht="21" hidden="1" outlineLevel="2">
      <c r="B113" s="9" t="s">
        <v>31</v>
      </c>
      <c r="C113" s="9"/>
      <c r="D113" s="10">
        <v>45295</v>
      </c>
      <c r="E113" s="9" t="s">
        <v>32</v>
      </c>
      <c r="F113" s="9" t="s">
        <v>33</v>
      </c>
      <c r="G113" s="11">
        <v>852369</v>
      </c>
      <c r="H113" s="11" t="s">
        <v>6</v>
      </c>
      <c r="I113" s="9" t="s">
        <v>34</v>
      </c>
      <c r="J113" s="9"/>
      <c r="K113" s="12">
        <v>277606</v>
      </c>
      <c r="L113" s="11">
        <v>14</v>
      </c>
      <c r="M113" s="12">
        <v>6940.1500000000005</v>
      </c>
      <c r="N113" s="12">
        <v>3893424.15</v>
      </c>
      <c r="O113" s="12">
        <v>3886484</v>
      </c>
      <c r="X113" s="46" t="str">
        <f>F113&amp;":"&amp;H113&amp;"-"&amp;I113</f>
        <v>Home &amp; Furniture:North-Realme</v>
      </c>
    </row>
    <row r="114" spans="2:24" ht="21" hidden="1" outlineLevel="2">
      <c r="B114" s="9" t="s">
        <v>35</v>
      </c>
      <c r="C114" s="9"/>
      <c r="D114" s="10">
        <v>45296</v>
      </c>
      <c r="E114" s="9" t="s">
        <v>9</v>
      </c>
      <c r="F114" s="9" t="s">
        <v>36</v>
      </c>
      <c r="G114" s="11">
        <v>112285</v>
      </c>
      <c r="H114" s="11" t="s">
        <v>6</v>
      </c>
      <c r="I114" s="9" t="s">
        <v>37</v>
      </c>
      <c r="J114" s="9"/>
      <c r="K114" s="12">
        <v>240519</v>
      </c>
      <c r="L114" s="11" t="s">
        <v>38</v>
      </c>
      <c r="M114" s="12">
        <v>6012.9750000000004</v>
      </c>
      <c r="N114" s="12">
        <v>2651721.9750000001</v>
      </c>
      <c r="O114" s="12">
        <v>2645709</v>
      </c>
      <c r="X114" s="46" t="str">
        <f>F114&amp;":"&amp;H114&amp;"-"&amp;I114</f>
        <v>Book &amp; Education:North-Oppo</v>
      </c>
    </row>
    <row r="115" spans="2:24" ht="21" hidden="1" outlineLevel="2">
      <c r="B115" s="9" t="s">
        <v>39</v>
      </c>
      <c r="C115" s="9"/>
      <c r="D115" s="10">
        <v>45297</v>
      </c>
      <c r="E115" s="9" t="s">
        <v>23</v>
      </c>
      <c r="F115" s="9" t="s">
        <v>7</v>
      </c>
      <c r="G115" s="11">
        <v>695425</v>
      </c>
      <c r="H115" s="11" t="s">
        <v>8</v>
      </c>
      <c r="I115" s="9" t="s">
        <v>40</v>
      </c>
      <c r="J115" s="9"/>
      <c r="K115" s="12">
        <v>790560</v>
      </c>
      <c r="L115" s="11">
        <v>41</v>
      </c>
      <c r="M115" s="12">
        <v>19764</v>
      </c>
      <c r="N115" s="12">
        <v>32432724</v>
      </c>
      <c r="O115" s="12">
        <v>32412960</v>
      </c>
      <c r="X115" s="46" t="str">
        <f>F115&amp;":"&amp;H115&amp;"-"&amp;I115</f>
        <v>Mobile &amp; Electronics :South -ZARA</v>
      </c>
    </row>
    <row r="116" spans="2:24" ht="21" hidden="1" outlineLevel="2">
      <c r="B116" s="9" t="s">
        <v>41</v>
      </c>
      <c r="C116" s="9"/>
      <c r="D116" s="10">
        <v>45298</v>
      </c>
      <c r="E116" s="9" t="s">
        <v>27</v>
      </c>
      <c r="F116" s="9" t="s">
        <v>24</v>
      </c>
      <c r="G116" s="11">
        <v>125478</v>
      </c>
      <c r="H116" s="11" t="s">
        <v>6</v>
      </c>
      <c r="I116" s="9" t="s">
        <v>42</v>
      </c>
      <c r="J116" s="9"/>
      <c r="K116" s="12">
        <v>395943</v>
      </c>
      <c r="L116" s="11">
        <v>44</v>
      </c>
      <c r="M116" s="12">
        <v>9898.5750000000007</v>
      </c>
      <c r="N116" s="12">
        <v>17431390.574999999</v>
      </c>
      <c r="O116" s="12">
        <v>17421492</v>
      </c>
      <c r="X116" s="46" t="str">
        <f>F116&amp;":"&amp;H116&amp;"-"&amp;I116</f>
        <v>Fashion &amp; Clothing:North-Adidas</v>
      </c>
    </row>
    <row r="117" spans="2:24" ht="21" hidden="1" outlineLevel="2">
      <c r="B117" s="9" t="s">
        <v>43</v>
      </c>
      <c r="C117" s="9"/>
      <c r="D117" s="10">
        <v>45299</v>
      </c>
      <c r="E117" s="9" t="s">
        <v>32</v>
      </c>
      <c r="F117" s="13" t="s">
        <v>28</v>
      </c>
      <c r="G117" s="11">
        <v>556688</v>
      </c>
      <c r="H117" s="11" t="s">
        <v>44</v>
      </c>
      <c r="I117" s="9" t="s">
        <v>45</v>
      </c>
      <c r="J117" s="9"/>
      <c r="K117" s="12">
        <v>898464</v>
      </c>
      <c r="L117" s="11">
        <v>13</v>
      </c>
      <c r="M117" s="12">
        <v>22461.600000000002</v>
      </c>
      <c r="N117" s="12">
        <v>11702493.6</v>
      </c>
      <c r="O117" s="12">
        <v>11680032</v>
      </c>
      <c r="X117" s="46" t="str">
        <f>F117&amp;":"&amp;H117&amp;"-"&amp;I117</f>
        <v>Sports &amp; Fitness:WEST-Puma</v>
      </c>
    </row>
    <row r="118" spans="2:24" ht="21" hidden="1" outlineLevel="2">
      <c r="B118" s="9" t="s">
        <v>46</v>
      </c>
      <c r="C118" s="9"/>
      <c r="D118" s="10">
        <v>45300</v>
      </c>
      <c r="E118" s="9" t="s">
        <v>23</v>
      </c>
      <c r="F118" s="9" t="s">
        <v>33</v>
      </c>
      <c r="G118" s="11">
        <v>126589</v>
      </c>
      <c r="H118" s="11" t="s">
        <v>8</v>
      </c>
      <c r="I118" s="9" t="s">
        <v>47</v>
      </c>
      <c r="J118" s="9"/>
      <c r="K118" s="12">
        <v>468281</v>
      </c>
      <c r="L118" s="11">
        <v>21</v>
      </c>
      <c r="M118" s="12">
        <v>11707.025000000001</v>
      </c>
      <c r="N118" s="12">
        <v>9845608.0250000004</v>
      </c>
      <c r="O118" s="12">
        <v>9833901</v>
      </c>
      <c r="X118" s="46" t="str">
        <f>F118&amp;":"&amp;H118&amp;"-"&amp;I118</f>
        <v>Home &amp; Furniture:South -Levi's</v>
      </c>
    </row>
    <row r="119" spans="2:24" ht="21" hidden="1" outlineLevel="2">
      <c r="B119" s="9" t="s">
        <v>48</v>
      </c>
      <c r="C119" s="9"/>
      <c r="D119" s="10">
        <v>45301</v>
      </c>
      <c r="E119" s="9" t="s">
        <v>27</v>
      </c>
      <c r="F119" s="9" t="s">
        <v>36</v>
      </c>
      <c r="G119" s="11">
        <v>852369</v>
      </c>
      <c r="H119" s="11" t="s">
        <v>6</v>
      </c>
      <c r="I119" s="9" t="s">
        <v>49</v>
      </c>
      <c r="J119" s="9"/>
      <c r="K119" s="12">
        <v>316522</v>
      </c>
      <c r="L119" s="11">
        <v>37</v>
      </c>
      <c r="M119" s="12">
        <v>7913.05</v>
      </c>
      <c r="N119" s="12">
        <v>11719227.050000001</v>
      </c>
      <c r="O119" s="12">
        <v>11711314</v>
      </c>
      <c r="X119" s="46" t="str">
        <f>F119&amp;":"&amp;H119&amp;"-"&amp;I119</f>
        <v>Book &amp; Education:North-Tommy Hilfigure</v>
      </c>
    </row>
    <row r="120" spans="2:24" ht="21" hidden="1" outlineLevel="2">
      <c r="B120" s="9" t="s">
        <v>50</v>
      </c>
      <c r="C120" s="9"/>
      <c r="D120" s="10">
        <v>45302</v>
      </c>
      <c r="E120" s="9" t="s">
        <v>32</v>
      </c>
      <c r="F120" s="9" t="s">
        <v>7</v>
      </c>
      <c r="G120" s="11">
        <v>112285</v>
      </c>
      <c r="H120" s="11" t="s">
        <v>44</v>
      </c>
      <c r="I120" s="9" t="s">
        <v>51</v>
      </c>
      <c r="J120" s="9"/>
      <c r="K120" s="12">
        <v>295421</v>
      </c>
      <c r="L120" s="11">
        <v>49</v>
      </c>
      <c r="M120" s="12">
        <v>7385.5250000000005</v>
      </c>
      <c r="N120" s="12">
        <v>14483014.525</v>
      </c>
      <c r="O120" s="12">
        <v>14475629</v>
      </c>
      <c r="X120" s="46" t="str">
        <f>F120&amp;":"&amp;H120&amp;"-"&amp;I120</f>
        <v>Mobile &amp; Electronics :WEST-Nike</v>
      </c>
    </row>
    <row r="121" spans="2:24" ht="21" hidden="1" outlineLevel="2">
      <c r="B121" s="9" t="s">
        <v>52</v>
      </c>
      <c r="C121" s="9"/>
      <c r="D121" s="10">
        <v>45303</v>
      </c>
      <c r="E121" s="9" t="s">
        <v>9</v>
      </c>
      <c r="F121" s="9" t="s">
        <v>24</v>
      </c>
      <c r="G121" s="11">
        <v>695425</v>
      </c>
      <c r="H121" s="11" t="s">
        <v>6</v>
      </c>
      <c r="I121" s="9" t="s">
        <v>53</v>
      </c>
      <c r="J121" s="9"/>
      <c r="K121" s="12">
        <v>736073</v>
      </c>
      <c r="L121" s="11">
        <v>32</v>
      </c>
      <c r="M121" s="12">
        <v>18401.825000000001</v>
      </c>
      <c r="N121" s="12">
        <v>23572737.824999999</v>
      </c>
      <c r="O121" s="12">
        <v>23554336</v>
      </c>
      <c r="X121" s="46" t="str">
        <f>F121&amp;":"&amp;H121&amp;"-"&amp;I121</f>
        <v>Fashion &amp; Clothing:North-Peloton</v>
      </c>
    </row>
    <row r="122" spans="2:24" ht="21" hidden="1" outlineLevel="2">
      <c r="B122" s="9" t="s">
        <v>54</v>
      </c>
      <c r="C122" s="9"/>
      <c r="D122" s="10">
        <v>45304</v>
      </c>
      <c r="E122" s="9" t="s">
        <v>23</v>
      </c>
      <c r="F122" s="13" t="s">
        <v>28</v>
      </c>
      <c r="G122" s="11">
        <v>556688</v>
      </c>
      <c r="H122" s="11" t="s">
        <v>8</v>
      </c>
      <c r="I122" s="9" t="s">
        <v>55</v>
      </c>
      <c r="J122" s="9"/>
      <c r="K122" s="12">
        <v>692982</v>
      </c>
      <c r="L122" s="11">
        <v>28</v>
      </c>
      <c r="M122" s="12">
        <v>17324.55</v>
      </c>
      <c r="N122" s="12">
        <v>19420820.550000001</v>
      </c>
      <c r="O122" s="12">
        <v>19403496</v>
      </c>
      <c r="X122" s="46" t="str">
        <f>F122&amp;":"&amp;H122&amp;"-"&amp;I122</f>
        <v>Sports &amp; Fitness:South -ZenFit</v>
      </c>
    </row>
    <row r="123" spans="2:24" ht="21" hidden="1" outlineLevel="2">
      <c r="B123" s="9" t="s">
        <v>56</v>
      </c>
      <c r="C123" s="9"/>
      <c r="D123" s="10">
        <v>45305</v>
      </c>
      <c r="E123" s="9" t="s">
        <v>27</v>
      </c>
      <c r="F123" s="9" t="s">
        <v>33</v>
      </c>
      <c r="G123" s="11">
        <v>126589</v>
      </c>
      <c r="H123" s="11" t="s">
        <v>6</v>
      </c>
      <c r="I123" s="9" t="s">
        <v>57</v>
      </c>
      <c r="J123" s="9"/>
      <c r="K123" s="12">
        <v>165551</v>
      </c>
      <c r="L123" s="11">
        <v>38</v>
      </c>
      <c r="M123" s="12">
        <v>4138.7750000000005</v>
      </c>
      <c r="N123" s="12">
        <v>6295076.7750000004</v>
      </c>
      <c r="O123" s="12">
        <v>6290938</v>
      </c>
      <c r="X123" s="46" t="str">
        <f>F123&amp;":"&amp;H123&amp;"-"&amp;I123</f>
        <v>Home &amp; Furniture:North-EliteEdge</v>
      </c>
    </row>
    <row r="124" spans="2:24" ht="21" hidden="1" outlineLevel="2">
      <c r="B124" s="9" t="s">
        <v>58</v>
      </c>
      <c r="C124" s="9"/>
      <c r="D124" s="10">
        <v>45306</v>
      </c>
      <c r="E124" s="9" t="s">
        <v>23</v>
      </c>
      <c r="F124" s="9" t="s">
        <v>36</v>
      </c>
      <c r="G124" s="11">
        <v>852369</v>
      </c>
      <c r="H124" s="11" t="s">
        <v>8</v>
      </c>
      <c r="I124" s="9" t="s">
        <v>59</v>
      </c>
      <c r="J124" s="9"/>
      <c r="K124" s="12">
        <v>124352</v>
      </c>
      <c r="L124" s="11">
        <v>50</v>
      </c>
      <c r="M124" s="12">
        <v>3108.8</v>
      </c>
      <c r="N124" s="12">
        <v>6220708.7999999998</v>
      </c>
      <c r="O124" s="12">
        <v>6217600</v>
      </c>
      <c r="X124" s="46" t="str">
        <f>F124&amp;":"&amp;H124&amp;"-"&amp;I124</f>
        <v>Book &amp; Education:South -Ollivia</v>
      </c>
    </row>
    <row r="125" spans="2:24" ht="21" hidden="1" outlineLevel="2">
      <c r="B125" s="9" t="s">
        <v>60</v>
      </c>
      <c r="C125" s="9"/>
      <c r="D125" s="10">
        <v>45307</v>
      </c>
      <c r="E125" s="9" t="s">
        <v>27</v>
      </c>
      <c r="F125" s="9" t="s">
        <v>24</v>
      </c>
      <c r="G125" s="11">
        <v>112285</v>
      </c>
      <c r="H125" s="11" t="s">
        <v>6</v>
      </c>
      <c r="I125" s="9" t="s">
        <v>61</v>
      </c>
      <c r="J125" s="9"/>
      <c r="K125" s="12">
        <v>984528</v>
      </c>
      <c r="L125" s="11">
        <v>46</v>
      </c>
      <c r="M125" s="12">
        <v>24613.200000000001</v>
      </c>
      <c r="N125" s="12">
        <v>45312901.200000003</v>
      </c>
      <c r="O125" s="12">
        <v>45288288</v>
      </c>
      <c r="X125" s="46" t="str">
        <f>F125&amp;":"&amp;H125&amp;"-"&amp;I125</f>
        <v>Fashion &amp; Clothing:North-Godrej</v>
      </c>
    </row>
    <row r="126" spans="2:24" ht="21" hidden="1" outlineLevel="2">
      <c r="B126" s="9" t="s">
        <v>62</v>
      </c>
      <c r="C126" s="9"/>
      <c r="D126" s="10">
        <v>45308</v>
      </c>
      <c r="E126" s="9" t="s">
        <v>32</v>
      </c>
      <c r="F126" s="13" t="s">
        <v>28</v>
      </c>
      <c r="G126" s="11">
        <v>695425</v>
      </c>
      <c r="H126" s="11" t="s">
        <v>44</v>
      </c>
      <c r="I126" s="9" t="s">
        <v>63</v>
      </c>
      <c r="J126" s="9"/>
      <c r="K126" s="12">
        <v>920785</v>
      </c>
      <c r="L126" s="11">
        <v>45</v>
      </c>
      <c r="M126" s="12">
        <v>23019.625</v>
      </c>
      <c r="N126" s="12">
        <v>41458344.625</v>
      </c>
      <c r="O126" s="12">
        <v>41435325</v>
      </c>
      <c r="X126" s="46" t="str">
        <f>F126&amp;":"&amp;H126&amp;"-"&amp;I126</f>
        <v>Sports &amp; Fitness:WEST-Indigo Interiors</v>
      </c>
    </row>
    <row r="127" spans="2:24" ht="21" hidden="1" outlineLevel="2">
      <c r="B127" s="9" t="s">
        <v>64</v>
      </c>
      <c r="C127" s="9"/>
      <c r="D127" s="10">
        <v>45309</v>
      </c>
      <c r="E127" s="9" t="s">
        <v>9</v>
      </c>
      <c r="F127" s="9" t="s">
        <v>33</v>
      </c>
      <c r="G127" s="11">
        <v>125478</v>
      </c>
      <c r="H127" s="11" t="s">
        <v>6</v>
      </c>
      <c r="I127" s="9" t="s">
        <v>65</v>
      </c>
      <c r="J127" s="9"/>
      <c r="K127" s="12">
        <v>632679</v>
      </c>
      <c r="L127" s="11">
        <v>26</v>
      </c>
      <c r="M127" s="12">
        <v>15816.975</v>
      </c>
      <c r="N127" s="12">
        <v>16465470.975</v>
      </c>
      <c r="O127" s="12">
        <v>16449654</v>
      </c>
      <c r="X127" s="46" t="str">
        <f>F127&amp;":"&amp;H127&amp;"-"&amp;I127</f>
        <v>Home &amp; Furniture:North-Hometown</v>
      </c>
    </row>
    <row r="128" spans="2:24" ht="21" hidden="1" outlineLevel="2">
      <c r="B128" s="9" t="s">
        <v>66</v>
      </c>
      <c r="C128" s="9"/>
      <c r="D128" s="10">
        <v>45310</v>
      </c>
      <c r="E128" s="9" t="s">
        <v>23</v>
      </c>
      <c r="F128" s="9" t="s">
        <v>36</v>
      </c>
      <c r="G128" s="11">
        <v>556688</v>
      </c>
      <c r="H128" s="11" t="s">
        <v>8</v>
      </c>
      <c r="I128" s="9" t="s">
        <v>67</v>
      </c>
      <c r="J128" s="9"/>
      <c r="K128" s="12">
        <v>233117</v>
      </c>
      <c r="L128" s="11">
        <v>14</v>
      </c>
      <c r="M128" s="12">
        <v>5827.9250000000002</v>
      </c>
      <c r="N128" s="12">
        <v>3269465.9249999998</v>
      </c>
      <c r="O128" s="12">
        <v>3263638</v>
      </c>
      <c r="X128" s="46" t="str">
        <f>F128&amp;":"&amp;H128&amp;"-"&amp;I128</f>
        <v>Book &amp; Education:South -Savya Home</v>
      </c>
    </row>
    <row r="129" spans="2:24" ht="21" hidden="1" outlineLevel="2">
      <c r="B129" s="9" t="s">
        <v>68</v>
      </c>
      <c r="C129" s="9"/>
      <c r="D129" s="10">
        <v>45311</v>
      </c>
      <c r="E129" s="9" t="s">
        <v>27</v>
      </c>
      <c r="F129" s="9" t="s">
        <v>7</v>
      </c>
      <c r="G129" s="11">
        <v>126589</v>
      </c>
      <c r="H129" s="11" t="s">
        <v>6</v>
      </c>
      <c r="I129" s="9" t="s">
        <v>69</v>
      </c>
      <c r="J129" s="9"/>
      <c r="K129" s="12">
        <v>984960</v>
      </c>
      <c r="L129" s="11">
        <v>38</v>
      </c>
      <c r="M129" s="12">
        <v>24624</v>
      </c>
      <c r="N129" s="12">
        <v>37453104</v>
      </c>
      <c r="O129" s="12">
        <v>37428480</v>
      </c>
      <c r="X129" s="46" t="str">
        <f>F129&amp;":"&amp;H129&amp;"-"&amp;I129</f>
        <v>Mobile &amp; Electronics :North-Indigo Architecture</v>
      </c>
    </row>
    <row r="130" spans="2:24" ht="21" hidden="1" outlineLevel="2">
      <c r="B130" s="9" t="s">
        <v>70</v>
      </c>
      <c r="C130" s="9"/>
      <c r="D130" s="10">
        <v>45312</v>
      </c>
      <c r="E130" s="9" t="s">
        <v>32</v>
      </c>
      <c r="F130" s="9" t="s">
        <v>24</v>
      </c>
      <c r="G130" s="11">
        <v>852369</v>
      </c>
      <c r="H130" s="11" t="s">
        <v>44</v>
      </c>
      <c r="I130" s="9" t="s">
        <v>71</v>
      </c>
      <c r="J130" s="9"/>
      <c r="K130" s="12">
        <v>646271</v>
      </c>
      <c r="L130" s="11">
        <v>44</v>
      </c>
      <c r="M130" s="12">
        <v>16156.775000000001</v>
      </c>
      <c r="N130" s="12">
        <v>28452080.774999999</v>
      </c>
      <c r="O130" s="12">
        <v>28435924</v>
      </c>
      <c r="X130" s="46" t="str">
        <f>F130&amp;":"&amp;H130&amp;"-"&amp;I130</f>
        <v>Fashion &amp; Clothing:WEST-WoodenStreet</v>
      </c>
    </row>
    <row r="131" spans="2:24" ht="21" hidden="1" outlineLevel="2">
      <c r="B131" s="9" t="s">
        <v>72</v>
      </c>
      <c r="C131" s="9"/>
      <c r="D131" s="10">
        <v>45313</v>
      </c>
      <c r="E131" s="9" t="s">
        <v>23</v>
      </c>
      <c r="F131" s="13" t="s">
        <v>28</v>
      </c>
      <c r="G131" s="11">
        <v>112285</v>
      </c>
      <c r="H131" s="11" t="s">
        <v>8</v>
      </c>
      <c r="I131" s="9" t="s">
        <v>73</v>
      </c>
      <c r="J131" s="9"/>
      <c r="K131" s="12">
        <v>214209</v>
      </c>
      <c r="L131" s="11">
        <v>25</v>
      </c>
      <c r="M131" s="12">
        <v>5355.2250000000004</v>
      </c>
      <c r="N131" s="12">
        <v>5360580.2249999996</v>
      </c>
      <c r="O131" s="12">
        <v>5355225</v>
      </c>
      <c r="X131" s="46" t="str">
        <f>F131&amp;":"&amp;H131&amp;"-"&amp;I131</f>
        <v>Sports &amp; Fitness:South -Power</v>
      </c>
    </row>
    <row r="132" spans="2:24" ht="21" hidden="1" outlineLevel="2">
      <c r="B132" s="9" t="s">
        <v>74</v>
      </c>
      <c r="C132" s="9"/>
      <c r="D132" s="10">
        <v>45314</v>
      </c>
      <c r="E132" s="9" t="s">
        <v>27</v>
      </c>
      <c r="F132" s="9" t="s">
        <v>33</v>
      </c>
      <c r="G132" s="11">
        <v>852369</v>
      </c>
      <c r="H132" s="11" t="s">
        <v>6</v>
      </c>
      <c r="I132" s="9" t="s">
        <v>75</v>
      </c>
      <c r="J132" s="9"/>
      <c r="K132" s="12">
        <v>727783</v>
      </c>
      <c r="L132" s="11">
        <v>44</v>
      </c>
      <c r="M132" s="12">
        <v>18194.575000000001</v>
      </c>
      <c r="N132" s="12">
        <v>32040646.574999999</v>
      </c>
      <c r="O132" s="12">
        <v>32022452</v>
      </c>
      <c r="X132" s="46" t="str">
        <f>F132&amp;":"&amp;H132&amp;"-"&amp;I132</f>
        <v xml:space="preserve">Home &amp; Furniture:North-Atomic Habit </v>
      </c>
    </row>
    <row r="133" spans="2:24" ht="21" hidden="1" outlineLevel="2">
      <c r="B133" s="9" t="s">
        <v>76</v>
      </c>
      <c r="C133" s="9"/>
      <c r="D133" s="10">
        <v>45315</v>
      </c>
      <c r="E133" s="9" t="s">
        <v>32</v>
      </c>
      <c r="F133" s="9" t="s">
        <v>36</v>
      </c>
      <c r="G133" s="11">
        <v>112285</v>
      </c>
      <c r="H133" s="11" t="s">
        <v>44</v>
      </c>
      <c r="I133" s="9" t="s">
        <v>77</v>
      </c>
      <c r="J133" s="9"/>
      <c r="K133" s="12">
        <v>827213</v>
      </c>
      <c r="L133" s="11">
        <v>13</v>
      </c>
      <c r="M133" s="12">
        <v>20680.325000000001</v>
      </c>
      <c r="N133" s="12">
        <v>10774449.324999999</v>
      </c>
      <c r="O133" s="12">
        <v>10753769</v>
      </c>
      <c r="X133" s="46" t="str">
        <f>F133&amp;":"&amp;H133&amp;"-"&amp;I133</f>
        <v>Book &amp; Education:WEST-Psychology Of Money</v>
      </c>
    </row>
    <row r="134" spans="2:24" ht="21" hidden="1" outlineLevel="2">
      <c r="B134" s="9" t="s">
        <v>78</v>
      </c>
      <c r="C134" s="9"/>
      <c r="D134" s="10">
        <v>45316</v>
      </c>
      <c r="E134" s="9" t="s">
        <v>9</v>
      </c>
      <c r="F134" s="9" t="s">
        <v>36</v>
      </c>
      <c r="G134" s="11">
        <v>695425</v>
      </c>
      <c r="H134" s="11" t="s">
        <v>6</v>
      </c>
      <c r="I134" s="9" t="s">
        <v>79</v>
      </c>
      <c r="J134" s="9"/>
      <c r="K134" s="12">
        <v>379962</v>
      </c>
      <c r="L134" s="11">
        <v>40</v>
      </c>
      <c r="M134" s="12">
        <v>9499.0500000000011</v>
      </c>
      <c r="N134" s="12">
        <v>15207979.050000001</v>
      </c>
      <c r="O134" s="12">
        <v>15198480</v>
      </c>
      <c r="X134" s="46" t="str">
        <f>F134&amp;":"&amp;H134&amp;"-"&amp;I134</f>
        <v>Book &amp; Education:North-Zero To One</v>
      </c>
    </row>
    <row r="135" spans="2:24" ht="21" hidden="1" outlineLevel="2">
      <c r="B135" s="9" t="s">
        <v>80</v>
      </c>
      <c r="C135" s="9"/>
      <c r="D135" s="10">
        <v>45317</v>
      </c>
      <c r="E135" s="9" t="s">
        <v>23</v>
      </c>
      <c r="F135" s="9" t="s">
        <v>24</v>
      </c>
      <c r="G135" s="11">
        <v>125478</v>
      </c>
      <c r="H135" s="11" t="s">
        <v>8</v>
      </c>
      <c r="I135" s="9" t="s">
        <v>81</v>
      </c>
      <c r="J135" s="9"/>
      <c r="K135" s="12">
        <v>899360</v>
      </c>
      <c r="L135" s="11">
        <v>15</v>
      </c>
      <c r="M135" s="12">
        <v>22484</v>
      </c>
      <c r="N135" s="12">
        <v>13512884</v>
      </c>
      <c r="O135" s="12">
        <v>13490400</v>
      </c>
      <c r="X135" s="46" t="str">
        <f>F135&amp;":"&amp;H135&amp;"-"&amp;I135</f>
        <v>Fashion &amp; Clothing:South -Deep Work</v>
      </c>
    </row>
    <row r="136" spans="2:24" ht="21" hidden="1" outlineLevel="2">
      <c r="B136" s="9" t="s">
        <v>82</v>
      </c>
      <c r="C136" s="9"/>
      <c r="D136" s="10">
        <v>45318</v>
      </c>
      <c r="E136" s="9" t="s">
        <v>27</v>
      </c>
      <c r="F136" s="13" t="s">
        <v>28</v>
      </c>
      <c r="G136" s="11">
        <v>556688</v>
      </c>
      <c r="H136" s="11" t="s">
        <v>8</v>
      </c>
      <c r="I136" s="9" t="s">
        <v>67</v>
      </c>
      <c r="J136" s="9"/>
      <c r="K136" s="12">
        <v>358368</v>
      </c>
      <c r="L136" s="11">
        <v>47</v>
      </c>
      <c r="M136" s="12">
        <v>8959.2000000000007</v>
      </c>
      <c r="N136" s="12">
        <v>16852255.199999999</v>
      </c>
      <c r="O136" s="12">
        <v>16843296</v>
      </c>
      <c r="X136" s="46" t="str">
        <f>F136&amp;":"&amp;H136&amp;"-"&amp;I136</f>
        <v>Sports &amp; Fitness:South -Savya Home</v>
      </c>
    </row>
    <row r="137" spans="2:24" ht="21" hidden="1" outlineLevel="2">
      <c r="B137" s="9" t="s">
        <v>83</v>
      </c>
      <c r="C137" s="9"/>
      <c r="D137" s="10">
        <v>45319</v>
      </c>
      <c r="E137" s="9" t="s">
        <v>32</v>
      </c>
      <c r="F137" s="9" t="s">
        <v>33</v>
      </c>
      <c r="G137" s="11">
        <v>126589</v>
      </c>
      <c r="H137" s="11" t="s">
        <v>29</v>
      </c>
      <c r="I137" s="9" t="s">
        <v>69</v>
      </c>
      <c r="J137" s="9"/>
      <c r="K137" s="12">
        <v>181043</v>
      </c>
      <c r="L137" s="11">
        <v>37</v>
      </c>
      <c r="M137" s="12">
        <v>4526.0749999999998</v>
      </c>
      <c r="N137" s="12">
        <v>6703117.0750000002</v>
      </c>
      <c r="O137" s="12">
        <v>6698591</v>
      </c>
      <c r="X137" s="46" t="str">
        <f>F137&amp;":"&amp;H137&amp;"-"&amp;I137</f>
        <v>Home &amp; Furniture:EAST -Indigo Architecture</v>
      </c>
    </row>
    <row r="138" spans="2:24" ht="21" hidden="1" outlineLevel="2">
      <c r="B138" s="9" t="s">
        <v>84</v>
      </c>
      <c r="C138" s="9"/>
      <c r="D138" s="10">
        <v>45320</v>
      </c>
      <c r="E138" s="9" t="s">
        <v>23</v>
      </c>
      <c r="F138" s="9" t="s">
        <v>36</v>
      </c>
      <c r="G138" s="11">
        <v>112285</v>
      </c>
      <c r="H138" s="11" t="s">
        <v>44</v>
      </c>
      <c r="I138" s="9" t="s">
        <v>71</v>
      </c>
      <c r="J138" s="9"/>
      <c r="K138" s="12">
        <v>120175</v>
      </c>
      <c r="L138" s="11">
        <v>25</v>
      </c>
      <c r="M138" s="12">
        <v>3004.375</v>
      </c>
      <c r="N138" s="12">
        <v>3007379.375</v>
      </c>
      <c r="O138" s="12">
        <v>3004375</v>
      </c>
      <c r="X138" s="46" t="str">
        <f>F138&amp;":"&amp;H138&amp;"-"&amp;I138</f>
        <v>Book &amp; Education:WEST-WoodenStreet</v>
      </c>
    </row>
    <row r="139" spans="2:24" ht="21" hidden="1" outlineLevel="2">
      <c r="B139" s="9" t="s">
        <v>85</v>
      </c>
      <c r="C139" s="9"/>
      <c r="D139" s="10">
        <v>45321</v>
      </c>
      <c r="E139" s="9" t="s">
        <v>27</v>
      </c>
      <c r="F139" s="9" t="s">
        <v>7</v>
      </c>
      <c r="G139" s="11">
        <v>852369</v>
      </c>
      <c r="H139" s="11" t="s">
        <v>6</v>
      </c>
      <c r="I139" s="9" t="s">
        <v>73</v>
      </c>
      <c r="J139" s="9"/>
      <c r="K139" s="12">
        <v>312789</v>
      </c>
      <c r="L139" s="11">
        <v>47</v>
      </c>
      <c r="M139" s="12">
        <v>7819.7250000000004</v>
      </c>
      <c r="N139" s="12">
        <v>14708902.725</v>
      </c>
      <c r="O139" s="12">
        <v>14701083</v>
      </c>
      <c r="X139" s="46" t="str">
        <f>F139&amp;":"&amp;H139&amp;"-"&amp;I139</f>
        <v>Mobile &amp; Electronics :North-Power</v>
      </c>
    </row>
    <row r="140" spans="2:24" collapsed="1"/>
    <row r="142" spans="2:24" ht="16.5">
      <c r="B142" s="48" t="s">
        <v>790</v>
      </c>
      <c r="C142" s="48"/>
      <c r="D142" s="48" t="s">
        <v>791</v>
      </c>
    </row>
    <row r="143" spans="2:24" ht="16.5">
      <c r="B143" s="46" t="s">
        <v>792</v>
      </c>
      <c r="C143" s="46"/>
      <c r="D143" s="46" t="s">
        <v>793</v>
      </c>
    </row>
    <row r="148" spans="2:8" ht="24.75">
      <c r="B148" s="611" t="s">
        <v>464</v>
      </c>
      <c r="C148" s="612"/>
      <c r="D148" s="612"/>
      <c r="E148" s="612"/>
      <c r="F148" s="612"/>
      <c r="G148" s="612"/>
      <c r="H148" s="613"/>
    </row>
    <row r="149" spans="2:8" ht="24.75">
      <c r="B149" s="1" t="s">
        <v>11</v>
      </c>
      <c r="C149" s="1"/>
      <c r="D149" s="49" t="s">
        <v>465</v>
      </c>
      <c r="E149" s="49" t="s">
        <v>153</v>
      </c>
      <c r="F149" s="49" t="s">
        <v>466</v>
      </c>
      <c r="G149" s="49" t="s">
        <v>465</v>
      </c>
      <c r="H149" s="49" t="s">
        <v>153</v>
      </c>
    </row>
    <row r="150" spans="2:8" ht="21" hidden="1" outlineLevel="2">
      <c r="B150" s="10">
        <v>45292</v>
      </c>
      <c r="C150" s="54"/>
      <c r="D150" s="11" t="str">
        <f>TEXT(B150,"MM")</f>
        <v>01</v>
      </c>
      <c r="E150" s="11" t="str">
        <f>TEXT(B150,"YY")</f>
        <v>24</v>
      </c>
      <c r="F150" s="11" t="str">
        <f>TEXT(B150,"DDDD")</f>
        <v>Monday</v>
      </c>
      <c r="G150" s="11" t="str">
        <f>TEXT(B150,"MMMM")</f>
        <v>January</v>
      </c>
      <c r="H150" s="11" t="str">
        <f>TEXT(B150,"YYYY")</f>
        <v>2024</v>
      </c>
    </row>
    <row r="151" spans="2:8" ht="21" hidden="1" outlineLevel="2">
      <c r="B151" s="10">
        <v>45350</v>
      </c>
      <c r="C151" s="54"/>
      <c r="D151" s="11" t="str">
        <f>TEXT(B151,"MM")</f>
        <v>02</v>
      </c>
      <c r="E151" s="11" t="str">
        <f>TEXT(B151,"YY")</f>
        <v>24</v>
      </c>
      <c r="F151" s="11" t="str">
        <f>TEXT(B151,"DDDD")</f>
        <v>Wednesday</v>
      </c>
      <c r="G151" s="11" t="str">
        <f>TEXT(B151,"MMMM")</f>
        <v>February</v>
      </c>
      <c r="H151" s="11" t="str">
        <f>TEXT(B151,"YYYY")</f>
        <v>2024</v>
      </c>
    </row>
    <row r="152" spans="2:8" ht="21" hidden="1" outlineLevel="2">
      <c r="B152" s="10">
        <v>45294</v>
      </c>
      <c r="C152" s="54"/>
      <c r="D152" s="11" t="str">
        <f>TEXT(B152,"MM")</f>
        <v>01</v>
      </c>
      <c r="E152" s="11" t="str">
        <f>TEXT(B152,"YY")</f>
        <v>24</v>
      </c>
      <c r="F152" s="11" t="str">
        <f>TEXT(B152,"DDDD")</f>
        <v>Wednesday</v>
      </c>
      <c r="G152" s="11" t="str">
        <f>TEXT(B152,"MMMM")</f>
        <v>January</v>
      </c>
      <c r="H152" s="11" t="str">
        <f>TEXT(B152,"YYYY")</f>
        <v>2024</v>
      </c>
    </row>
    <row r="153" spans="2:8" ht="21" hidden="1" outlineLevel="2">
      <c r="B153" s="10">
        <v>45267</v>
      </c>
      <c r="C153" s="54"/>
      <c r="D153" s="11" t="str">
        <f>TEXT(B153,"MM")</f>
        <v>12</v>
      </c>
      <c r="E153" s="11" t="str">
        <f>TEXT(B153,"YY")</f>
        <v>23</v>
      </c>
      <c r="F153" s="11" t="str">
        <f>TEXT(B153,"DDDD")</f>
        <v>Thursday</v>
      </c>
      <c r="G153" s="11" t="str">
        <f>TEXT(B153,"MMMM")</f>
        <v>December</v>
      </c>
      <c r="H153" s="11" t="str">
        <f>TEXT(B153,"YYYY")</f>
        <v>2023</v>
      </c>
    </row>
    <row r="154" spans="2:8" ht="21" hidden="1" outlineLevel="2">
      <c r="B154" s="10">
        <v>45296</v>
      </c>
      <c r="C154" s="54"/>
      <c r="D154" s="11" t="str">
        <f>TEXT(B154,"MM")</f>
        <v>01</v>
      </c>
      <c r="E154" s="11" t="str">
        <f>TEXT(B154,"YY")</f>
        <v>24</v>
      </c>
      <c r="F154" s="11" t="str">
        <f>TEXT(B154,"DDDD")</f>
        <v>Friday</v>
      </c>
      <c r="G154" s="11" t="str">
        <f>TEXT(B154,"MMMM")</f>
        <v>January</v>
      </c>
      <c r="H154" s="11" t="str">
        <f>TEXT(B154,"YYYY")</f>
        <v>2024</v>
      </c>
    </row>
    <row r="155" spans="2:8" ht="21" hidden="1" outlineLevel="2">
      <c r="B155" s="10">
        <v>39645</v>
      </c>
      <c r="C155" s="54"/>
      <c r="D155" s="11" t="str">
        <f>TEXT(B155,"MM")</f>
        <v>07</v>
      </c>
      <c r="E155" s="11" t="str">
        <f>TEXT(B155,"YY")</f>
        <v>08</v>
      </c>
      <c r="F155" s="11" t="str">
        <f>TEXT(B155,"DDDD")</f>
        <v>Wednesday</v>
      </c>
      <c r="G155" s="11" t="str">
        <f>TEXT(B155,"MMMM")</f>
        <v>July</v>
      </c>
      <c r="H155" s="11" t="str">
        <f>TEXT(B155,"YYYY")</f>
        <v>2008</v>
      </c>
    </row>
    <row r="156" spans="2:8" ht="21" hidden="1" outlineLevel="2">
      <c r="B156" s="10">
        <v>45336</v>
      </c>
      <c r="C156" s="54"/>
      <c r="D156" s="11" t="str">
        <f>TEXT(B156,"MM")</f>
        <v>02</v>
      </c>
      <c r="E156" s="11" t="str">
        <f>TEXT(B156,"YY")</f>
        <v>24</v>
      </c>
      <c r="F156" s="11" t="str">
        <f>TEXT(B156,"DDDD")</f>
        <v>Wednesday</v>
      </c>
      <c r="G156" s="11" t="str">
        <f>TEXT(B156,"MMMM")</f>
        <v>February</v>
      </c>
      <c r="H156" s="11" t="str">
        <f>TEXT(B156,"YYYY")</f>
        <v>2024</v>
      </c>
    </row>
    <row r="157" spans="2:8" ht="21" hidden="1" outlineLevel="2">
      <c r="B157" s="10">
        <v>45299</v>
      </c>
      <c r="C157" s="54"/>
      <c r="D157" s="11" t="str">
        <f>TEXT(B157,"MM")</f>
        <v>01</v>
      </c>
      <c r="E157" s="11" t="str">
        <f>TEXT(B157,"YY")</f>
        <v>24</v>
      </c>
      <c r="F157" s="11" t="str">
        <f>TEXT(B157,"DDDD")</f>
        <v>Monday</v>
      </c>
      <c r="G157" s="11" t="str">
        <f>TEXT(B157,"MMMM")</f>
        <v>January</v>
      </c>
      <c r="H157" s="11" t="str">
        <f>TEXT(B157,"YYYY")</f>
        <v>2024</v>
      </c>
    </row>
    <row r="158" spans="2:8" ht="21" hidden="1" outlineLevel="2">
      <c r="B158" s="10">
        <v>45736</v>
      </c>
      <c r="C158" s="54"/>
      <c r="D158" s="11" t="str">
        <f>TEXT(B158,"MM")</f>
        <v>03</v>
      </c>
      <c r="E158" s="11" t="str">
        <f>TEXT(B158,"YY")</f>
        <v>25</v>
      </c>
      <c r="F158" s="11" t="str">
        <f>TEXT(B158,"DDDD")</f>
        <v>Thursday</v>
      </c>
      <c r="G158" s="11" t="str">
        <f>TEXT(B158,"MMMM")</f>
        <v>March</v>
      </c>
      <c r="H158" s="11" t="str">
        <f>TEXT(B158,"YYYY")</f>
        <v>2025</v>
      </c>
    </row>
    <row r="159" spans="2:8" ht="21" hidden="1" outlineLevel="2">
      <c r="B159" s="10">
        <v>45301</v>
      </c>
      <c r="C159" s="54"/>
      <c r="D159" s="11" t="str">
        <f>TEXT(B159,"MM")</f>
        <v>01</v>
      </c>
      <c r="E159" s="11" t="str">
        <f>TEXT(B159,"YY")</f>
        <v>24</v>
      </c>
      <c r="F159" s="11" t="str">
        <f>TEXT(B159,"DDDD")</f>
        <v>Wednesday</v>
      </c>
      <c r="G159" s="11" t="str">
        <f>TEXT(B159,"MMMM")</f>
        <v>January</v>
      </c>
      <c r="H159" s="11" t="str">
        <f>TEXT(B159,"YYYY")</f>
        <v>2024</v>
      </c>
    </row>
    <row r="160" spans="2:8" ht="21" hidden="1" outlineLevel="2">
      <c r="B160" s="10">
        <v>45302</v>
      </c>
      <c r="C160" s="54"/>
      <c r="D160" s="11" t="str">
        <f>TEXT(B160,"MM")</f>
        <v>01</v>
      </c>
      <c r="E160" s="11" t="str">
        <f>TEXT(B160,"YY")</f>
        <v>24</v>
      </c>
      <c r="F160" s="11" t="str">
        <f>TEXT(B160,"DDDD")</f>
        <v>Thursday</v>
      </c>
      <c r="G160" s="11" t="str">
        <f>TEXT(B160,"MMMM")</f>
        <v>January</v>
      </c>
      <c r="H160" s="11" t="str">
        <f>TEXT(B160,"YYYY")</f>
        <v>2024</v>
      </c>
    </row>
    <row r="161" spans="2:8" ht="21" hidden="1" outlineLevel="2">
      <c r="B161" s="10">
        <v>45395</v>
      </c>
      <c r="C161" s="54"/>
      <c r="D161" s="11" t="str">
        <f>TEXT(B161,"MM")</f>
        <v>04</v>
      </c>
      <c r="E161" s="11" t="str">
        <f>TEXT(B161,"YY")</f>
        <v>24</v>
      </c>
      <c r="F161" s="11" t="str">
        <f>TEXT(B161,"DDDD")</f>
        <v>Saturday</v>
      </c>
      <c r="G161" s="11" t="str">
        <f>TEXT(B161,"MMMM")</f>
        <v>April</v>
      </c>
      <c r="H161" s="11" t="str">
        <f>TEXT(B161,"YYYY")</f>
        <v>2024</v>
      </c>
    </row>
    <row r="162" spans="2:8" ht="21" hidden="1" outlineLevel="2">
      <c r="B162" s="10">
        <v>45304</v>
      </c>
      <c r="C162" s="54"/>
      <c r="D162" s="11" t="str">
        <f>TEXT(B162,"MM")</f>
        <v>01</v>
      </c>
      <c r="E162" s="11" t="str">
        <f>TEXT(B162,"YY")</f>
        <v>24</v>
      </c>
      <c r="F162" s="11" t="str">
        <f>TEXT(B162,"DDDD")</f>
        <v>Saturday</v>
      </c>
      <c r="G162" s="11" t="str">
        <f>TEXT(B162,"MMMM")</f>
        <v>January</v>
      </c>
      <c r="H162" s="11" t="str">
        <f>TEXT(B162,"YYYY")</f>
        <v>2024</v>
      </c>
    </row>
    <row r="163" spans="2:8" ht="21" hidden="1" outlineLevel="2">
      <c r="B163" s="10">
        <v>45305</v>
      </c>
      <c r="C163" s="54"/>
      <c r="D163" s="11" t="str">
        <f>TEXT(B163,"MM")</f>
        <v>01</v>
      </c>
      <c r="E163" s="11" t="str">
        <f>TEXT(B163,"YY")</f>
        <v>24</v>
      </c>
      <c r="F163" s="11" t="str">
        <f>TEXT(B163,"DDDD")</f>
        <v>Sunday</v>
      </c>
      <c r="G163" s="11" t="str">
        <f>TEXT(B163,"MMMM")</f>
        <v>January</v>
      </c>
      <c r="H163" s="11" t="str">
        <f>TEXT(B163,"YYYY")</f>
        <v>2024</v>
      </c>
    </row>
    <row r="164" spans="2:8" ht="21" hidden="1" outlineLevel="2">
      <c r="B164" s="10">
        <v>45400</v>
      </c>
      <c r="C164" s="54"/>
      <c r="D164" s="11" t="str">
        <f>TEXT(B164,"MM")</f>
        <v>04</v>
      </c>
      <c r="E164" s="11" t="str">
        <f>TEXT(B164,"YY")</f>
        <v>24</v>
      </c>
      <c r="F164" s="11" t="str">
        <f>TEXT(B164,"DDDD")</f>
        <v>Thursday</v>
      </c>
      <c r="G164" s="11" t="str">
        <f>TEXT(B164,"MMMM")</f>
        <v>April</v>
      </c>
      <c r="H164" s="11" t="str">
        <f>TEXT(B164,"YYYY")</f>
        <v>2024</v>
      </c>
    </row>
    <row r="165" spans="2:8" ht="21" hidden="1" outlineLevel="2">
      <c r="B165" s="10">
        <v>45351</v>
      </c>
      <c r="C165" s="54"/>
      <c r="D165" s="11" t="str">
        <f>TEXT(B165,"MM")</f>
        <v>02</v>
      </c>
      <c r="E165" s="11" t="str">
        <f>TEXT(B165,"YY")</f>
        <v>24</v>
      </c>
      <c r="F165" s="11" t="str">
        <f>TEXT(B165,"DDDD")</f>
        <v>Thursday</v>
      </c>
      <c r="G165" s="11" t="str">
        <f>TEXT(B165,"MMMM")</f>
        <v>February</v>
      </c>
      <c r="H165" s="11" t="str">
        <f>TEXT(B165,"YYYY")</f>
        <v>2024</v>
      </c>
    </row>
    <row r="166" spans="2:8" ht="21" hidden="1" outlineLevel="2">
      <c r="B166" s="10">
        <v>45308</v>
      </c>
      <c r="C166" s="54"/>
      <c r="D166" s="11" t="str">
        <f>TEXT(B166,"MM")</f>
        <v>01</v>
      </c>
      <c r="E166" s="11" t="str">
        <f>TEXT(B166,"YY")</f>
        <v>24</v>
      </c>
      <c r="F166" s="11" t="str">
        <f>TEXT(B166,"DDDD")</f>
        <v>Wednesday</v>
      </c>
      <c r="G166" s="11" t="str">
        <f>TEXT(B166,"MMMM")</f>
        <v>January</v>
      </c>
      <c r="H166" s="11" t="str">
        <f>TEXT(B166,"YYYY")</f>
        <v>2024</v>
      </c>
    </row>
    <row r="167" spans="2:8" ht="21" hidden="1" outlineLevel="2">
      <c r="B167" s="10">
        <v>45434</v>
      </c>
      <c r="C167" s="54"/>
      <c r="D167" s="11" t="str">
        <f>TEXT(B167,"MM")</f>
        <v>05</v>
      </c>
      <c r="E167" s="11" t="str">
        <f>TEXT(B167,"YY")</f>
        <v>24</v>
      </c>
      <c r="F167" s="11" t="str">
        <f>TEXT(B167,"DDDD")</f>
        <v>Wednesday</v>
      </c>
      <c r="G167" s="11" t="str">
        <f>TEXT(B167,"MMMM")</f>
        <v>May</v>
      </c>
      <c r="H167" s="11" t="str">
        <f>TEXT(B167,"YYYY")</f>
        <v>2024</v>
      </c>
    </row>
    <row r="168" spans="2:8" ht="21" hidden="1" outlineLevel="2">
      <c r="B168" s="10">
        <v>45310</v>
      </c>
      <c r="C168" s="54"/>
      <c r="D168" s="11" t="str">
        <f>TEXT(B168,"MM")</f>
        <v>01</v>
      </c>
      <c r="E168" s="11" t="str">
        <f>TEXT(B168,"YY")</f>
        <v>24</v>
      </c>
      <c r="F168" s="11" t="str">
        <f>TEXT(B168,"DDDD")</f>
        <v>Friday</v>
      </c>
      <c r="G168" s="11" t="str">
        <f>TEXT(B168,"MMMM")</f>
        <v>January</v>
      </c>
      <c r="H168" s="11" t="str">
        <f>TEXT(B168,"YYYY")</f>
        <v>2024</v>
      </c>
    </row>
    <row r="169" spans="2:8" ht="21" hidden="1" outlineLevel="2">
      <c r="B169" s="10">
        <v>43391</v>
      </c>
      <c r="C169" s="54"/>
      <c r="D169" s="11" t="str">
        <f>TEXT(B169,"MM")</f>
        <v>10</v>
      </c>
      <c r="E169" s="11" t="str">
        <f>TEXT(B169,"YY")</f>
        <v>18</v>
      </c>
      <c r="F169" s="11" t="str">
        <f>TEXT(B169,"DDDD")</f>
        <v>Thursday</v>
      </c>
      <c r="G169" s="11" t="str">
        <f>TEXT(B169,"MMMM")</f>
        <v>October</v>
      </c>
      <c r="H169" s="11" t="str">
        <f>TEXT(B169,"YYYY")</f>
        <v>2018</v>
      </c>
    </row>
    <row r="170" spans="2:8" ht="21" hidden="1" outlineLevel="2">
      <c r="B170" s="10">
        <v>45365</v>
      </c>
      <c r="C170" s="54"/>
      <c r="D170" s="11" t="str">
        <f>TEXT(B170,"MM")</f>
        <v>03</v>
      </c>
      <c r="E170" s="11" t="str">
        <f>TEXT(B170,"YY")</f>
        <v>24</v>
      </c>
      <c r="F170" s="11" t="str">
        <f>TEXT(B170,"DDDD")</f>
        <v>Thursday</v>
      </c>
      <c r="G170" s="11" t="str">
        <f>TEXT(B170,"MMMM")</f>
        <v>March</v>
      </c>
      <c r="H170" s="11" t="str">
        <f>TEXT(B170,"YYYY")</f>
        <v>2024</v>
      </c>
    </row>
    <row r="171" spans="2:8" ht="21" hidden="1" outlineLevel="2">
      <c r="B171" s="10">
        <v>45313</v>
      </c>
      <c r="C171" s="54"/>
      <c r="D171" s="11" t="str">
        <f>TEXT(B171,"MM")</f>
        <v>01</v>
      </c>
      <c r="E171" s="11" t="str">
        <f>TEXT(B171,"YY")</f>
        <v>24</v>
      </c>
      <c r="F171" s="11" t="str">
        <f>TEXT(B171,"DDDD")</f>
        <v>Monday</v>
      </c>
      <c r="G171" s="11" t="str">
        <f>TEXT(B171,"MMMM")</f>
        <v>January</v>
      </c>
      <c r="H171" s="11" t="str">
        <f>TEXT(B171,"YYYY")</f>
        <v>2024</v>
      </c>
    </row>
    <row r="172" spans="2:8" ht="21" hidden="1" outlineLevel="2">
      <c r="B172" s="10">
        <v>38716</v>
      </c>
      <c r="C172" s="54"/>
      <c r="D172" s="11" t="str">
        <f>TEXT(B172,"MM")</f>
        <v>12</v>
      </c>
      <c r="E172" s="11" t="str">
        <f>TEXT(B172,"YY")</f>
        <v>05</v>
      </c>
      <c r="F172" s="11" t="str">
        <f>TEXT(B172,"DDDD")</f>
        <v>Friday</v>
      </c>
      <c r="G172" s="11" t="str">
        <f>TEXT(B172,"MMMM")</f>
        <v>December</v>
      </c>
      <c r="H172" s="11" t="str">
        <f>TEXT(B172,"YYYY")</f>
        <v>2005</v>
      </c>
    </row>
    <row r="173" spans="2:8" ht="21" hidden="1" outlineLevel="2">
      <c r="B173" s="10">
        <v>45456</v>
      </c>
      <c r="C173" s="54"/>
      <c r="D173" s="11" t="str">
        <f>TEXT(B173,"MM")</f>
        <v>06</v>
      </c>
      <c r="E173" s="11" t="str">
        <f>TEXT(B173,"YY")</f>
        <v>24</v>
      </c>
      <c r="F173" s="11" t="str">
        <f>TEXT(B173,"DDDD")</f>
        <v>Thursday</v>
      </c>
      <c r="G173" s="11" t="str">
        <f>TEXT(B173,"MMMM")</f>
        <v>June</v>
      </c>
      <c r="H173" s="11" t="str">
        <f>TEXT(B173,"YYYY")</f>
        <v>2024</v>
      </c>
    </row>
    <row r="174" spans="2:8" ht="21" hidden="1" outlineLevel="2">
      <c r="B174" s="10">
        <v>45316</v>
      </c>
      <c r="C174" s="54"/>
      <c r="D174" s="11" t="str">
        <f>TEXT(B174,"MM")</f>
        <v>01</v>
      </c>
      <c r="E174" s="11" t="str">
        <f>TEXT(B174,"YY")</f>
        <v>24</v>
      </c>
      <c r="F174" s="11" t="str">
        <f>TEXT(B174,"DDDD")</f>
        <v>Thursday</v>
      </c>
      <c r="G174" s="11" t="str">
        <f>TEXT(B174,"MMMM")</f>
        <v>January</v>
      </c>
      <c r="H174" s="11" t="str">
        <f>TEXT(B174,"YYYY")</f>
        <v>2024</v>
      </c>
    </row>
    <row r="175" spans="2:8" ht="21" hidden="1" outlineLevel="2">
      <c r="B175" s="10">
        <v>45481</v>
      </c>
      <c r="C175" s="54"/>
      <c r="D175" s="11" t="str">
        <f>TEXT(B175,"MM")</f>
        <v>07</v>
      </c>
      <c r="E175" s="11" t="str">
        <f>TEXT(B175,"YY")</f>
        <v>24</v>
      </c>
      <c r="F175" s="11" t="str">
        <f>TEXT(B175,"DDDD")</f>
        <v>Monday</v>
      </c>
      <c r="G175" s="11" t="str">
        <f>TEXT(B175,"MMMM")</f>
        <v>July</v>
      </c>
      <c r="H175" s="11" t="str">
        <f>TEXT(B175,"YYYY")</f>
        <v>2024</v>
      </c>
    </row>
    <row r="176" spans="2:8" ht="21" hidden="1" outlineLevel="2">
      <c r="B176" s="10">
        <v>45318</v>
      </c>
      <c r="C176" s="54"/>
      <c r="D176" s="11" t="str">
        <f>TEXT(B176,"MM")</f>
        <v>01</v>
      </c>
      <c r="E176" s="11" t="str">
        <f>TEXT(B176,"YY")</f>
        <v>24</v>
      </c>
      <c r="F176" s="11" t="str">
        <f>TEXT(B176,"DDDD")</f>
        <v>Saturday</v>
      </c>
      <c r="G176" s="11" t="str">
        <f>TEXT(B176,"MMMM")</f>
        <v>January</v>
      </c>
      <c r="H176" s="11" t="str">
        <f>TEXT(B176,"YYYY")</f>
        <v>2024</v>
      </c>
    </row>
    <row r="177" spans="2:8" ht="21" hidden="1" outlineLevel="2">
      <c r="B177" s="10">
        <v>47646</v>
      </c>
      <c r="C177" s="54"/>
      <c r="D177" s="11" t="str">
        <f>TEXT(B177,"MM")</f>
        <v>06</v>
      </c>
      <c r="E177" s="11" t="str">
        <f>TEXT(B177,"YY")</f>
        <v>30</v>
      </c>
      <c r="F177" s="11" t="str">
        <f>TEXT(B177,"DDDD")</f>
        <v>Wednesday</v>
      </c>
      <c r="G177" s="11" t="str">
        <f>TEXT(B177,"MMMM")</f>
        <v>June</v>
      </c>
      <c r="H177" s="11" t="str">
        <f>TEXT(B177,"YYYY")</f>
        <v>2030</v>
      </c>
    </row>
    <row r="178" spans="2:8" ht="21" hidden="1" outlineLevel="2">
      <c r="B178" s="10">
        <v>32946</v>
      </c>
      <c r="C178" s="54"/>
      <c r="D178" s="11" t="str">
        <f>TEXT(B178,"MM")</f>
        <v>03</v>
      </c>
      <c r="E178" s="11" t="str">
        <f>TEXT(B178,"YY")</f>
        <v>90</v>
      </c>
      <c r="F178" s="11" t="str">
        <f>TEXT(B178,"DDDD")</f>
        <v>Wednesday</v>
      </c>
      <c r="G178" s="11" t="str">
        <f>TEXT(B178,"MMMM")</f>
        <v>March</v>
      </c>
      <c r="H178" s="11" t="str">
        <f>TEXT(B178,"YYYY")</f>
        <v>1990</v>
      </c>
    </row>
    <row r="179" spans="2:8" ht="21" hidden="1" outlineLevel="2">
      <c r="B179" s="10">
        <v>45321</v>
      </c>
      <c r="C179" s="54"/>
      <c r="D179" s="11" t="str">
        <f>TEXT(B179,"MM")</f>
        <v>01</v>
      </c>
      <c r="E179" s="11" t="str">
        <f>TEXT(B179,"YY")</f>
        <v>24</v>
      </c>
      <c r="F179" s="11" t="str">
        <f>TEXT(B179,"DDDD")</f>
        <v>Tuesday</v>
      </c>
      <c r="G179" s="11" t="str">
        <f>TEXT(B179,"MMMM")</f>
        <v>January</v>
      </c>
      <c r="H179" s="11" t="str">
        <f>TEXT(B179,"YYYY")</f>
        <v>2024</v>
      </c>
    </row>
    <row r="180" spans="2:8" collapsed="1"/>
    <row r="184" spans="2:8" ht="24.75">
      <c r="B184" s="1" t="s">
        <v>11</v>
      </c>
      <c r="C184" s="50"/>
      <c r="D184" s="50" t="s">
        <v>794</v>
      </c>
      <c r="E184" s="50" t="s">
        <v>795</v>
      </c>
      <c r="F184" s="50" t="s">
        <v>796</v>
      </c>
      <c r="G184" s="50" t="s">
        <v>797</v>
      </c>
    </row>
    <row r="185" spans="2:8" ht="21" outlineLevel="1">
      <c r="B185" s="10">
        <v>45292</v>
      </c>
      <c r="C185" s="10"/>
      <c r="D185" s="55">
        <v>45292</v>
      </c>
      <c r="E185" s="56">
        <v>45292</v>
      </c>
      <c r="F185" s="57">
        <v>45292</v>
      </c>
      <c r="G185" s="58">
        <v>45292</v>
      </c>
    </row>
    <row r="186" spans="2:8" ht="21" outlineLevel="1">
      <c r="B186" s="10">
        <v>45350</v>
      </c>
      <c r="C186" s="10"/>
      <c r="D186" s="55">
        <v>45350</v>
      </c>
      <c r="E186" s="56">
        <v>45350</v>
      </c>
      <c r="F186" s="57">
        <v>45350</v>
      </c>
      <c r="G186" s="58">
        <v>45350</v>
      </c>
    </row>
    <row r="187" spans="2:8" ht="24.75" outlineLevel="1">
      <c r="B187" s="10">
        <v>45294</v>
      </c>
      <c r="C187" s="10"/>
      <c r="D187" s="76">
        <v>45294</v>
      </c>
      <c r="E187" s="56">
        <v>45294</v>
      </c>
      <c r="F187" s="57">
        <v>45294</v>
      </c>
      <c r="G187" s="58">
        <v>45294</v>
      </c>
    </row>
    <row r="188" spans="2:8" ht="21" outlineLevel="1">
      <c r="B188" s="10">
        <v>45267</v>
      </c>
      <c r="C188" s="10"/>
      <c r="D188" s="55">
        <v>45267</v>
      </c>
      <c r="E188" s="56">
        <v>45267</v>
      </c>
      <c r="F188" s="57">
        <v>45267</v>
      </c>
      <c r="G188" s="58">
        <v>45267</v>
      </c>
    </row>
    <row r="189" spans="2:8" ht="21" outlineLevel="1">
      <c r="B189" s="10">
        <v>45296</v>
      </c>
      <c r="C189" s="10"/>
      <c r="D189" s="55">
        <v>45296</v>
      </c>
      <c r="E189" s="56">
        <v>45296</v>
      </c>
      <c r="F189" s="57">
        <v>45296</v>
      </c>
      <c r="G189" s="58">
        <v>45296</v>
      </c>
    </row>
    <row r="190" spans="2:8" ht="21" outlineLevel="1">
      <c r="B190" s="10">
        <v>39645</v>
      </c>
      <c r="C190" s="10"/>
      <c r="D190" s="55">
        <v>39645</v>
      </c>
      <c r="E190" s="56">
        <v>39645</v>
      </c>
      <c r="F190" s="57">
        <v>39645</v>
      </c>
      <c r="G190" s="58">
        <v>39645</v>
      </c>
    </row>
    <row r="191" spans="2:8" ht="21" outlineLevel="1">
      <c r="B191" s="10">
        <v>45336</v>
      </c>
      <c r="C191" s="10"/>
      <c r="D191" s="55">
        <v>45336</v>
      </c>
      <c r="E191" s="56">
        <v>45336</v>
      </c>
      <c r="F191" s="57">
        <v>45336</v>
      </c>
      <c r="G191" s="58">
        <v>45336</v>
      </c>
    </row>
    <row r="192" spans="2:8" ht="21" outlineLevel="1">
      <c r="B192" s="10">
        <v>45299</v>
      </c>
      <c r="C192" s="10"/>
      <c r="D192" s="55">
        <v>45299</v>
      </c>
      <c r="E192" s="56">
        <v>45299</v>
      </c>
      <c r="F192" s="57">
        <v>45299</v>
      </c>
      <c r="G192" s="58">
        <v>45299</v>
      </c>
    </row>
    <row r="193" spans="2:8" ht="21" outlineLevel="1">
      <c r="B193" s="10">
        <v>45736</v>
      </c>
      <c r="C193" s="10"/>
      <c r="D193" s="55">
        <v>45736</v>
      </c>
      <c r="E193" s="56">
        <v>45736</v>
      </c>
      <c r="F193" s="57">
        <v>45736</v>
      </c>
      <c r="G193" s="58">
        <v>45736</v>
      </c>
    </row>
    <row r="194" spans="2:8" ht="21" outlineLevel="1">
      <c r="B194" s="10">
        <v>45301</v>
      </c>
      <c r="C194" s="10"/>
      <c r="D194" s="55">
        <v>45301</v>
      </c>
      <c r="E194" s="56">
        <v>45301</v>
      </c>
      <c r="F194" s="57">
        <v>45301</v>
      </c>
      <c r="G194" s="58">
        <v>45301</v>
      </c>
    </row>
    <row r="197" spans="2:8" ht="24.75">
      <c r="B197" s="1" t="s">
        <v>790</v>
      </c>
      <c r="C197" s="50" t="s">
        <v>204</v>
      </c>
    </row>
    <row r="198" spans="2:8" ht="21" outlineLevel="1">
      <c r="B198" s="10">
        <v>45294</v>
      </c>
      <c r="C198" s="59">
        <f ca="1">DATEDIF(B198,TODAY(),"Y")</f>
        <v>1</v>
      </c>
    </row>
    <row r="199" spans="2:8" ht="21" outlineLevel="1">
      <c r="B199" s="10">
        <v>45267</v>
      </c>
      <c r="C199" s="59">
        <f t="shared" ref="C199:C201" ca="1" si="3">DATEDIF(B199,TODAY(),"Y")</f>
        <v>1</v>
      </c>
    </row>
    <row r="200" spans="2:8" ht="21" outlineLevel="1">
      <c r="B200" s="10">
        <v>35800</v>
      </c>
      <c r="C200" s="59">
        <f t="shared" ca="1" si="3"/>
        <v>27</v>
      </c>
    </row>
    <row r="201" spans="2:8" ht="21" outlineLevel="1">
      <c r="B201" s="10">
        <v>39645</v>
      </c>
      <c r="C201" s="59">
        <f t="shared" ca="1" si="3"/>
        <v>16</v>
      </c>
    </row>
    <row r="205" spans="2:8" ht="24.75">
      <c r="B205" s="614" t="s">
        <v>798</v>
      </c>
      <c r="C205" s="614"/>
      <c r="D205" s="615"/>
      <c r="F205" s="614" t="s">
        <v>798</v>
      </c>
      <c r="G205" s="614"/>
      <c r="H205" s="615"/>
    </row>
    <row r="206" spans="2:8" ht="24.75" outlineLevel="1">
      <c r="B206" s="60" t="s">
        <v>799</v>
      </c>
      <c r="C206" s="60" t="s">
        <v>800</v>
      </c>
      <c r="D206" s="60" t="s">
        <v>801</v>
      </c>
      <c r="F206" s="60" t="s">
        <v>799</v>
      </c>
      <c r="G206" s="60" t="s">
        <v>800</v>
      </c>
      <c r="H206" s="60" t="s">
        <v>801</v>
      </c>
    </row>
    <row r="207" spans="2:8" ht="21" outlineLevel="1">
      <c r="B207" s="97">
        <v>0.375</v>
      </c>
      <c r="C207" s="98">
        <v>0.77083333333333337</v>
      </c>
      <c r="D207" s="99">
        <f>C207-B207</f>
        <v>0.39583333333333337</v>
      </c>
      <c r="F207" s="97">
        <v>0.375</v>
      </c>
      <c r="G207" s="98">
        <v>0.77083333333333337</v>
      </c>
      <c r="H207" s="99">
        <f>G207-F207</f>
        <v>0.39583333333333337</v>
      </c>
    </row>
    <row r="208" spans="2:8" ht="21" outlineLevel="1">
      <c r="B208" s="100">
        <v>0.44166666666666665</v>
      </c>
      <c r="C208" s="101">
        <v>0.8125</v>
      </c>
      <c r="D208" s="99">
        <f t="shared" ref="D208:D211" si="4">C208-B208</f>
        <v>0.37083333333333335</v>
      </c>
      <c r="F208" s="100">
        <v>0.44166666666666665</v>
      </c>
      <c r="G208" s="101">
        <v>0.8125</v>
      </c>
      <c r="H208" s="99">
        <f t="shared" ref="H208:H211" si="5">G208-F208</f>
        <v>0.37083333333333335</v>
      </c>
    </row>
    <row r="209" spans="2:8" ht="21" outlineLevel="1">
      <c r="B209" s="100">
        <v>0.37222222222222223</v>
      </c>
      <c r="C209" s="101">
        <v>0.49305555555555558</v>
      </c>
      <c r="D209" s="99">
        <f t="shared" si="4"/>
        <v>0.12083333333333335</v>
      </c>
      <c r="F209" s="100">
        <v>0.37222222222222223</v>
      </c>
      <c r="G209" s="101">
        <v>0.49305555555555558</v>
      </c>
      <c r="H209" s="99">
        <f t="shared" si="5"/>
        <v>0.12083333333333335</v>
      </c>
    </row>
    <row r="210" spans="2:8" ht="21" outlineLevel="1">
      <c r="B210" s="100">
        <v>0.19791666666666666</v>
      </c>
      <c r="C210" s="101">
        <v>0.51736111111111116</v>
      </c>
      <c r="D210" s="99">
        <f t="shared" si="4"/>
        <v>0.31944444444444453</v>
      </c>
      <c r="F210" s="100">
        <v>0.19791666666666666</v>
      </c>
      <c r="G210" s="101">
        <v>0.51736111111111116</v>
      </c>
      <c r="H210" s="99">
        <f t="shared" si="5"/>
        <v>0.31944444444444453</v>
      </c>
    </row>
    <row r="211" spans="2:8" ht="21" outlineLevel="1">
      <c r="B211" s="102">
        <v>0.35069444444444442</v>
      </c>
      <c r="C211" s="103">
        <v>0.5625</v>
      </c>
      <c r="D211" s="99">
        <f t="shared" si="4"/>
        <v>0.21180555555555558</v>
      </c>
      <c r="F211" s="102">
        <v>0.35069444444444442</v>
      </c>
      <c r="G211" s="103">
        <v>0.5625</v>
      </c>
      <c r="H211" s="99">
        <f t="shared" si="5"/>
        <v>0.21180555555555558</v>
      </c>
    </row>
    <row r="215" spans="2:8" ht="24.75">
      <c r="B215" s="1" t="s">
        <v>790</v>
      </c>
      <c r="C215" s="50" t="s">
        <v>204</v>
      </c>
      <c r="D215" s="6" t="s">
        <v>802</v>
      </c>
    </row>
    <row r="216" spans="2:8" ht="21" outlineLevel="1">
      <c r="B216" s="10">
        <v>45294</v>
      </c>
      <c r="C216" s="59">
        <f ca="1">DATEDIF(B216,TODAY(),"Y")</f>
        <v>1</v>
      </c>
      <c r="D216" s="61" t="b">
        <v>1</v>
      </c>
    </row>
    <row r="217" spans="2:8" ht="21" outlineLevel="1">
      <c r="B217" s="10">
        <v>45267</v>
      </c>
      <c r="C217" s="59">
        <f t="shared" ref="C217:C219" ca="1" si="6">DATEDIF(B217,TODAY(),"Y")</f>
        <v>1</v>
      </c>
      <c r="D217" s="61" t="b">
        <v>0</v>
      </c>
    </row>
    <row r="218" spans="2:8" ht="21" outlineLevel="1">
      <c r="B218" s="10">
        <v>35800</v>
      </c>
      <c r="C218" s="59">
        <f t="shared" ca="1" si="6"/>
        <v>27</v>
      </c>
      <c r="D218" s="61" t="b">
        <v>0</v>
      </c>
    </row>
    <row r="219" spans="2:8" ht="21" outlineLevel="1">
      <c r="B219" s="10">
        <v>39645</v>
      </c>
      <c r="C219" s="59">
        <f t="shared" ca="1" si="6"/>
        <v>16</v>
      </c>
      <c r="D219" s="61" t="b">
        <v>1</v>
      </c>
    </row>
    <row r="223" spans="2:8" ht="24.75">
      <c r="B223" s="616" t="s">
        <v>803</v>
      </c>
      <c r="C223" s="616"/>
    </row>
    <row r="224" spans="2:8">
      <c r="B224" s="62"/>
      <c r="C224" s="62"/>
    </row>
    <row r="238" spans="2:3">
      <c r="B238" s="62"/>
      <c r="C238" s="62"/>
    </row>
    <row r="252" spans="2:5">
      <c r="B252" s="62"/>
      <c r="C252" s="62"/>
    </row>
    <row r="254" spans="2:5" ht="24.75">
      <c r="B254" s="76" t="s">
        <v>159</v>
      </c>
    </row>
    <row r="255" spans="2:5" ht="21">
      <c r="B255" s="104" t="s">
        <v>804</v>
      </c>
      <c r="C255" s="105" t="s">
        <v>805</v>
      </c>
      <c r="D255" s="105" t="s">
        <v>806</v>
      </c>
      <c r="E255" s="105" t="s">
        <v>807</v>
      </c>
    </row>
    <row r="256" spans="2:5" ht="21" outlineLevel="1">
      <c r="B256" s="106" t="s">
        <v>808</v>
      </c>
      <c r="C256" s="107">
        <v>112</v>
      </c>
      <c r="D256" s="107">
        <v>2154625452</v>
      </c>
      <c r="E256" s="107" t="s">
        <v>809</v>
      </c>
    </row>
    <row r="257" spans="2:5" ht="21" outlineLevel="1">
      <c r="B257" s="108" t="s">
        <v>810</v>
      </c>
      <c r="C257" s="107">
        <v>142</v>
      </c>
      <c r="D257" s="107">
        <v>5542554554</v>
      </c>
      <c r="E257" s="107" t="s">
        <v>811</v>
      </c>
    </row>
    <row r="258" spans="2:5" ht="21" outlineLevel="1">
      <c r="B258" s="108" t="s">
        <v>812</v>
      </c>
      <c r="C258" s="107">
        <v>157</v>
      </c>
      <c r="D258" s="107">
        <v>5842645245</v>
      </c>
      <c r="E258" s="107" t="s">
        <v>813</v>
      </c>
    </row>
    <row r="259" spans="2:5" ht="21" outlineLevel="1">
      <c r="B259" s="108" t="s">
        <v>814</v>
      </c>
      <c r="C259" s="107">
        <v>452</v>
      </c>
      <c r="D259" s="107">
        <v>845965485</v>
      </c>
      <c r="E259" s="107" t="s">
        <v>815</v>
      </c>
    </row>
    <row r="260" spans="2:5" ht="21" outlineLevel="1">
      <c r="B260" s="108" t="s">
        <v>816</v>
      </c>
      <c r="C260" s="107">
        <v>639</v>
      </c>
      <c r="D260" s="107">
        <v>75942645</v>
      </c>
      <c r="E260" s="107" t="s">
        <v>817</v>
      </c>
    </row>
    <row r="261" spans="2:5" ht="21" outlineLevel="1">
      <c r="B261" s="106" t="s">
        <v>808</v>
      </c>
      <c r="C261" s="107">
        <v>112</v>
      </c>
      <c r="D261" s="107">
        <v>2154625452</v>
      </c>
      <c r="E261" s="107" t="s">
        <v>809</v>
      </c>
    </row>
    <row r="262" spans="2:5" ht="21" outlineLevel="1">
      <c r="B262" s="108" t="s">
        <v>810</v>
      </c>
      <c r="C262" s="107">
        <v>142</v>
      </c>
      <c r="D262" s="107">
        <v>5542554554</v>
      </c>
      <c r="E262" s="107" t="s">
        <v>811</v>
      </c>
    </row>
    <row r="263" spans="2:5" ht="21" outlineLevel="1">
      <c r="B263" s="108" t="s">
        <v>812</v>
      </c>
      <c r="C263" s="107">
        <v>157</v>
      </c>
      <c r="D263" s="107">
        <v>5842645245</v>
      </c>
      <c r="E263" s="107" t="s">
        <v>813</v>
      </c>
    </row>
    <row r="264" spans="2:5" ht="21" outlineLevel="1">
      <c r="B264" s="108" t="s">
        <v>814</v>
      </c>
      <c r="C264" s="107">
        <v>452</v>
      </c>
      <c r="D264" s="107">
        <v>845965485</v>
      </c>
      <c r="E264" s="107" t="s">
        <v>815</v>
      </c>
    </row>
    <row r="265" spans="2:5" ht="21" outlineLevel="1">
      <c r="B265" s="108" t="s">
        <v>816</v>
      </c>
      <c r="C265" s="107">
        <v>639</v>
      </c>
      <c r="D265" s="107">
        <v>75942645</v>
      </c>
      <c r="E265" s="107" t="s">
        <v>817</v>
      </c>
    </row>
    <row r="267" spans="2:5" ht="21">
      <c r="B267" s="109" t="s">
        <v>818</v>
      </c>
    </row>
    <row r="269" spans="2:5" ht="21">
      <c r="B269" s="110" t="s">
        <v>819</v>
      </c>
    </row>
    <row r="270" spans="2:5" ht="21">
      <c r="B270" s="107" t="s">
        <v>349</v>
      </c>
    </row>
    <row r="272" spans="2:5" ht="24.75">
      <c r="B272" s="76" t="s">
        <v>820</v>
      </c>
    </row>
    <row r="273" spans="2:15" ht="21">
      <c r="B273" s="606" t="s">
        <v>821</v>
      </c>
      <c r="C273" s="607"/>
      <c r="D273" s="607"/>
      <c r="E273" s="607"/>
      <c r="F273" s="607"/>
      <c r="G273" s="607"/>
      <c r="H273" s="607"/>
      <c r="I273" s="607"/>
      <c r="J273" s="607"/>
      <c r="K273" s="607"/>
      <c r="L273" s="607"/>
      <c r="M273" s="607"/>
      <c r="N273" s="607"/>
      <c r="O273" s="607"/>
    </row>
    <row r="274" spans="2:15" ht="18.75">
      <c r="B274" s="63" t="s">
        <v>822</v>
      </c>
      <c r="C274" s="63" t="s">
        <v>823</v>
      </c>
      <c r="D274" s="63" t="s">
        <v>824</v>
      </c>
      <c r="E274" s="63" t="s">
        <v>825</v>
      </c>
      <c r="F274" s="63" t="s">
        <v>826</v>
      </c>
      <c r="G274" s="63" t="s">
        <v>827</v>
      </c>
      <c r="H274" s="63" t="s">
        <v>828</v>
      </c>
      <c r="I274" s="63" t="s">
        <v>829</v>
      </c>
      <c r="J274" s="63" t="s">
        <v>830</v>
      </c>
      <c r="K274" s="63" t="s">
        <v>831</v>
      </c>
      <c r="L274" s="63" t="s">
        <v>832</v>
      </c>
      <c r="M274" s="63" t="s">
        <v>102</v>
      </c>
      <c r="N274" s="63" t="s">
        <v>833</v>
      </c>
      <c r="O274" s="63" t="s">
        <v>820</v>
      </c>
    </row>
    <row r="275" spans="2:15" ht="18.75">
      <c r="B275" s="59">
        <v>1</v>
      </c>
      <c r="C275" s="59" t="s">
        <v>165</v>
      </c>
      <c r="D275" s="59">
        <v>1254</v>
      </c>
      <c r="E275" s="59" t="s">
        <v>834</v>
      </c>
      <c r="F275" s="59">
        <v>32</v>
      </c>
      <c r="G275" s="59">
        <v>35</v>
      </c>
      <c r="H275" s="59">
        <v>24</v>
      </c>
      <c r="I275" s="59">
        <v>61</v>
      </c>
      <c r="J275" s="59">
        <v>71</v>
      </c>
      <c r="K275" s="59">
        <f>SUM(F275:J275)</f>
        <v>223</v>
      </c>
      <c r="L275" s="59">
        <f>(K275*100)/400</f>
        <v>55.75</v>
      </c>
      <c r="M275" s="59">
        <f>AVERAGE(F275:J275)</f>
        <v>44.6</v>
      </c>
      <c r="N275" s="59">
        <v>400</v>
      </c>
      <c r="O275" s="59">
        <f>ROUNDUP(L275,1)</f>
        <v>55.800000000000004</v>
      </c>
    </row>
    <row r="276" spans="2:15" ht="18.75">
      <c r="B276" s="59">
        <v>2</v>
      </c>
      <c r="C276" s="59" t="s">
        <v>168</v>
      </c>
      <c r="D276" s="59">
        <v>5546</v>
      </c>
      <c r="E276" s="59" t="s">
        <v>834</v>
      </c>
      <c r="F276" s="59">
        <v>45</v>
      </c>
      <c r="G276" s="59">
        <v>39</v>
      </c>
      <c r="H276" s="59">
        <v>71</v>
      </c>
      <c r="I276" s="59">
        <v>53</v>
      </c>
      <c r="J276" s="59">
        <v>27</v>
      </c>
      <c r="K276" s="59">
        <f t="shared" ref="K276:K284" si="7">SUM(F276:J276)</f>
        <v>235</v>
      </c>
      <c r="L276" s="59">
        <f t="shared" ref="L276:L284" si="8">(K276*100)/400</f>
        <v>58.75</v>
      </c>
      <c r="M276" s="59">
        <f t="shared" ref="M276:M284" si="9">AVERAGE(F276:J276)</f>
        <v>47</v>
      </c>
      <c r="N276" s="59">
        <v>400</v>
      </c>
      <c r="O276" s="59">
        <f t="shared" ref="O276:O284" si="10">ROUNDUP(L276,1)</f>
        <v>58.800000000000004</v>
      </c>
    </row>
    <row r="277" spans="2:15" ht="18.75">
      <c r="B277" s="59">
        <v>3</v>
      </c>
      <c r="C277" s="59" t="s">
        <v>171</v>
      </c>
      <c r="D277" s="59">
        <v>8596</v>
      </c>
      <c r="E277" s="59" t="s">
        <v>834</v>
      </c>
      <c r="F277" s="59">
        <v>66</v>
      </c>
      <c r="G277" s="59">
        <v>64</v>
      </c>
      <c r="H277" s="59">
        <v>27</v>
      </c>
      <c r="I277" s="59">
        <v>61</v>
      </c>
      <c r="J277" s="59">
        <v>78</v>
      </c>
      <c r="K277" s="59">
        <f t="shared" si="7"/>
        <v>296</v>
      </c>
      <c r="L277" s="59">
        <f t="shared" si="8"/>
        <v>74</v>
      </c>
      <c r="M277" s="59">
        <f t="shared" si="9"/>
        <v>59.2</v>
      </c>
      <c r="N277" s="59">
        <v>400</v>
      </c>
      <c r="O277" s="59">
        <f t="shared" si="10"/>
        <v>74</v>
      </c>
    </row>
    <row r="278" spans="2:15" ht="18.75">
      <c r="B278" s="59">
        <v>4</v>
      </c>
      <c r="C278" s="59" t="s">
        <v>174</v>
      </c>
      <c r="D278" s="59">
        <v>3256</v>
      </c>
      <c r="E278" s="59" t="s">
        <v>834</v>
      </c>
      <c r="F278" s="59">
        <v>23</v>
      </c>
      <c r="G278" s="59">
        <v>41</v>
      </c>
      <c r="H278" s="59">
        <v>78</v>
      </c>
      <c r="I278" s="59">
        <v>30</v>
      </c>
      <c r="J278" s="59">
        <v>63</v>
      </c>
      <c r="K278" s="59">
        <f t="shared" si="7"/>
        <v>235</v>
      </c>
      <c r="L278" s="59">
        <f t="shared" si="8"/>
        <v>58.75</v>
      </c>
      <c r="M278" s="59">
        <f t="shared" si="9"/>
        <v>47</v>
      </c>
      <c r="N278" s="59">
        <v>400</v>
      </c>
      <c r="O278" s="59">
        <f t="shared" si="10"/>
        <v>58.800000000000004</v>
      </c>
    </row>
    <row r="279" spans="2:15" ht="18.75">
      <c r="B279" s="59">
        <v>5</v>
      </c>
      <c r="C279" s="59" t="s">
        <v>177</v>
      </c>
      <c r="D279" s="59">
        <v>4455</v>
      </c>
      <c r="E279" s="59" t="s">
        <v>834</v>
      </c>
      <c r="F279" s="59">
        <v>78</v>
      </c>
      <c r="G279" s="59">
        <v>45</v>
      </c>
      <c r="H279" s="59">
        <v>63</v>
      </c>
      <c r="I279" s="59">
        <v>60</v>
      </c>
      <c r="J279" s="59">
        <v>63</v>
      </c>
      <c r="K279" s="59">
        <f t="shared" si="7"/>
        <v>309</v>
      </c>
      <c r="L279" s="59">
        <f t="shared" si="8"/>
        <v>77.25</v>
      </c>
      <c r="M279" s="59">
        <f t="shared" si="9"/>
        <v>61.8</v>
      </c>
      <c r="N279" s="59">
        <v>400</v>
      </c>
      <c r="O279" s="59">
        <f t="shared" si="10"/>
        <v>77.3</v>
      </c>
    </row>
    <row r="280" spans="2:15" ht="18.75">
      <c r="B280" s="59">
        <v>6</v>
      </c>
      <c r="C280" s="59" t="s">
        <v>180</v>
      </c>
      <c r="D280" s="59">
        <v>6145</v>
      </c>
      <c r="E280" s="59" t="s">
        <v>834</v>
      </c>
      <c r="F280" s="59">
        <v>59</v>
      </c>
      <c r="G280" s="59">
        <v>66</v>
      </c>
      <c r="H280" s="59">
        <v>63</v>
      </c>
      <c r="I280" s="59">
        <v>73</v>
      </c>
      <c r="J280" s="59">
        <v>22</v>
      </c>
      <c r="K280" s="59">
        <f t="shared" si="7"/>
        <v>283</v>
      </c>
      <c r="L280" s="59">
        <f t="shared" si="8"/>
        <v>70.75</v>
      </c>
      <c r="M280" s="59">
        <f t="shared" si="9"/>
        <v>56.6</v>
      </c>
      <c r="N280" s="59">
        <v>400</v>
      </c>
      <c r="O280" s="59">
        <f t="shared" si="10"/>
        <v>70.8</v>
      </c>
    </row>
    <row r="281" spans="2:15" ht="18.75">
      <c r="B281" s="59">
        <v>7</v>
      </c>
      <c r="C281" s="59" t="s">
        <v>835</v>
      </c>
      <c r="D281" s="59">
        <v>7854</v>
      </c>
      <c r="E281" s="59" t="s">
        <v>834</v>
      </c>
      <c r="F281" s="59">
        <v>54</v>
      </c>
      <c r="G281" s="59">
        <v>34</v>
      </c>
      <c r="H281" s="59">
        <v>22</v>
      </c>
      <c r="I281" s="59">
        <v>37</v>
      </c>
      <c r="J281" s="59">
        <v>45</v>
      </c>
      <c r="K281" s="59">
        <f t="shared" si="7"/>
        <v>192</v>
      </c>
      <c r="L281" s="59">
        <f t="shared" si="8"/>
        <v>48</v>
      </c>
      <c r="M281" s="59">
        <f t="shared" si="9"/>
        <v>38.4</v>
      </c>
      <c r="N281" s="59">
        <v>400</v>
      </c>
      <c r="O281" s="59">
        <f t="shared" si="10"/>
        <v>48</v>
      </c>
    </row>
    <row r="282" spans="2:15" ht="18.75">
      <c r="B282" s="59">
        <v>8</v>
      </c>
      <c r="C282" s="59" t="s">
        <v>186</v>
      </c>
      <c r="D282" s="59">
        <v>2598</v>
      </c>
      <c r="E282" s="59" t="s">
        <v>834</v>
      </c>
      <c r="F282" s="59">
        <v>37</v>
      </c>
      <c r="G282" s="59">
        <v>73</v>
      </c>
      <c r="H282" s="59">
        <v>45</v>
      </c>
      <c r="I282" s="59">
        <v>32</v>
      </c>
      <c r="J282" s="59">
        <v>32</v>
      </c>
      <c r="K282" s="59">
        <f t="shared" si="7"/>
        <v>219</v>
      </c>
      <c r="L282" s="59">
        <f t="shared" si="8"/>
        <v>54.75</v>
      </c>
      <c r="M282" s="59">
        <f t="shared" si="9"/>
        <v>43.8</v>
      </c>
      <c r="N282" s="59">
        <v>400</v>
      </c>
      <c r="O282" s="59">
        <f t="shared" si="10"/>
        <v>54.800000000000004</v>
      </c>
    </row>
    <row r="283" spans="2:15" ht="18.75">
      <c r="B283" s="59">
        <v>9</v>
      </c>
      <c r="C283" s="59" t="s">
        <v>189</v>
      </c>
      <c r="D283" s="59">
        <v>2034</v>
      </c>
      <c r="E283" s="59" t="s">
        <v>834</v>
      </c>
      <c r="F283" s="59">
        <v>41</v>
      </c>
      <c r="G283" s="59">
        <v>25</v>
      </c>
      <c r="H283" s="59">
        <v>21</v>
      </c>
      <c r="I283" s="59">
        <v>76</v>
      </c>
      <c r="J283" s="59">
        <v>76</v>
      </c>
      <c r="K283" s="59">
        <f t="shared" si="7"/>
        <v>239</v>
      </c>
      <c r="L283" s="59">
        <f t="shared" si="8"/>
        <v>59.75</v>
      </c>
      <c r="M283" s="59">
        <f t="shared" si="9"/>
        <v>47.8</v>
      </c>
      <c r="N283" s="59">
        <v>400</v>
      </c>
      <c r="O283" s="59">
        <f t="shared" si="10"/>
        <v>59.800000000000004</v>
      </c>
    </row>
    <row r="284" spans="2:15" ht="18.75">
      <c r="B284" s="59">
        <v>10</v>
      </c>
      <c r="C284" s="59" t="s">
        <v>191</v>
      </c>
      <c r="D284" s="59">
        <v>54267</v>
      </c>
      <c r="E284" s="59" t="s">
        <v>834</v>
      </c>
      <c r="F284" s="59">
        <v>23</v>
      </c>
      <c r="G284" s="59">
        <v>80</v>
      </c>
      <c r="H284" s="59">
        <v>59</v>
      </c>
      <c r="I284" s="59">
        <v>58</v>
      </c>
      <c r="J284" s="59">
        <v>58</v>
      </c>
      <c r="K284" s="59">
        <f t="shared" si="7"/>
        <v>278</v>
      </c>
      <c r="L284" s="59">
        <f t="shared" si="8"/>
        <v>69.5</v>
      </c>
      <c r="M284" s="59">
        <f t="shared" si="9"/>
        <v>55.6</v>
      </c>
      <c r="N284" s="59">
        <v>400</v>
      </c>
      <c r="O284" s="59">
        <f t="shared" si="10"/>
        <v>69.5</v>
      </c>
    </row>
    <row r="287" spans="2:15" ht="24.75">
      <c r="B287" s="6" t="s">
        <v>836</v>
      </c>
    </row>
    <row r="288" spans="2:15" ht="18.75" outlineLevel="1">
      <c r="B288" s="64" t="s">
        <v>435</v>
      </c>
    </row>
    <row r="289" spans="2:2" ht="18.75" outlineLevel="1">
      <c r="B289" s="64" t="s">
        <v>436</v>
      </c>
    </row>
    <row r="290" spans="2:2" ht="18.75" outlineLevel="1">
      <c r="B290" s="64" t="s">
        <v>438</v>
      </c>
    </row>
    <row r="291" spans="2:2" ht="18.75" outlineLevel="1">
      <c r="B291" s="64" t="s">
        <v>435</v>
      </c>
    </row>
    <row r="292" spans="2:2" ht="18.75" outlineLevel="1">
      <c r="B292" s="64" t="s">
        <v>440</v>
      </c>
    </row>
    <row r="293" spans="2:2" ht="18.75" outlineLevel="1">
      <c r="B293" s="64" t="s">
        <v>438</v>
      </c>
    </row>
    <row r="294" spans="2:2" ht="18.75" outlineLevel="1">
      <c r="B294" s="64" t="s">
        <v>443</v>
      </c>
    </row>
    <row r="295" spans="2:2" ht="18.75" outlineLevel="1">
      <c r="B295" s="64" t="s">
        <v>837</v>
      </c>
    </row>
    <row r="296" spans="2:2" ht="18.75" outlineLevel="1">
      <c r="B296" s="64" t="s">
        <v>837</v>
      </c>
    </row>
    <row r="297" spans="2:2" ht="18.75" outlineLevel="1">
      <c r="B297" s="64" t="s">
        <v>435</v>
      </c>
    </row>
    <row r="298" spans="2:2" ht="18.75" outlineLevel="1">
      <c r="B298" s="64" t="s">
        <v>757</v>
      </c>
    </row>
    <row r="299" spans="2:2" ht="18.75" outlineLevel="1">
      <c r="B299" s="64" t="s">
        <v>443</v>
      </c>
    </row>
    <row r="300" spans="2:2" ht="18.75" outlineLevel="1">
      <c r="B300" s="64" t="s">
        <v>838</v>
      </c>
    </row>
    <row r="301" spans="2:2" ht="18.75" outlineLevel="1">
      <c r="B301" s="64" t="s">
        <v>757</v>
      </c>
    </row>
    <row r="302" spans="2:2" ht="18.75" outlineLevel="1">
      <c r="B302" s="64" t="s">
        <v>839</v>
      </c>
    </row>
    <row r="303" spans="2:2" ht="18.75" outlineLevel="1">
      <c r="B303" s="64" t="s">
        <v>440</v>
      </c>
    </row>
    <row r="304" spans="2:2" ht="18.75" outlineLevel="1">
      <c r="B304" s="64" t="s">
        <v>438</v>
      </c>
    </row>
    <row r="305" spans="2:8" ht="18.75" outlineLevel="1">
      <c r="B305" s="64" t="s">
        <v>840</v>
      </c>
    </row>
    <row r="306" spans="2:8" ht="18.75" outlineLevel="1">
      <c r="B306" s="64" t="s">
        <v>841</v>
      </c>
    </row>
    <row r="307" spans="2:8" ht="18.75" outlineLevel="1">
      <c r="B307" s="64" t="s">
        <v>436</v>
      </c>
    </row>
    <row r="308" spans="2:8" ht="18.75" outlineLevel="1">
      <c r="B308" s="64" t="s">
        <v>842</v>
      </c>
    </row>
    <row r="310" spans="2:8" ht="18.75" customHeight="1">
      <c r="B310" s="604" t="s">
        <v>449</v>
      </c>
      <c r="C310" s="605"/>
    </row>
    <row r="311" spans="2:8" ht="18.75" customHeight="1">
      <c r="B311" s="67" t="s">
        <v>843</v>
      </c>
      <c r="C311" s="67" t="s">
        <v>844</v>
      </c>
    </row>
    <row r="312" spans="2:8" ht="18.75">
      <c r="B312" s="65" t="str" cm="1">
        <f t="array" ref="B312">INDEX(B288:B308,C312)</f>
        <v>Data Analyst</v>
      </c>
      <c r="C312" s="66">
        <v>5</v>
      </c>
    </row>
    <row r="318" spans="2:8" ht="24.75">
      <c r="B318" s="76" t="s">
        <v>845</v>
      </c>
    </row>
    <row r="319" spans="2:8" ht="18.75">
      <c r="B319" s="72" t="s">
        <v>846</v>
      </c>
      <c r="C319" s="72" t="s">
        <v>847</v>
      </c>
      <c r="D319" s="72" t="s">
        <v>848</v>
      </c>
      <c r="E319" s="72" t="s">
        <v>849</v>
      </c>
      <c r="F319" s="72" t="s">
        <v>434</v>
      </c>
      <c r="G319" s="72" t="s">
        <v>850</v>
      </c>
      <c r="H319" s="72" t="s">
        <v>851</v>
      </c>
    </row>
    <row r="320" spans="2:8" ht="18.75" outlineLevel="1">
      <c r="B320" s="59">
        <v>10020</v>
      </c>
      <c r="C320" s="59" t="s">
        <v>852</v>
      </c>
      <c r="D320" s="59" t="s">
        <v>853</v>
      </c>
      <c r="E320" s="59" t="s">
        <v>854</v>
      </c>
      <c r="F320" s="71">
        <v>26190</v>
      </c>
      <c r="G320" s="70">
        <v>33730</v>
      </c>
      <c r="H320" s="70">
        <v>43716</v>
      </c>
    </row>
    <row r="321" spans="2:8" ht="18.75" outlineLevel="1">
      <c r="B321" s="59">
        <v>10022</v>
      </c>
      <c r="C321" s="59" t="s">
        <v>855</v>
      </c>
      <c r="D321" s="59" t="s">
        <v>856</v>
      </c>
      <c r="E321" s="59" t="s">
        <v>857</v>
      </c>
      <c r="F321" s="71">
        <v>21948</v>
      </c>
      <c r="G321" s="70">
        <v>34679</v>
      </c>
      <c r="H321" s="70">
        <v>43717</v>
      </c>
    </row>
    <row r="322" spans="2:8" ht="18.75" outlineLevel="1">
      <c r="B322" s="59">
        <v>10022</v>
      </c>
      <c r="C322" s="59" t="s">
        <v>855</v>
      </c>
      <c r="D322" s="59" t="s">
        <v>856</v>
      </c>
      <c r="E322" s="59" t="s">
        <v>857</v>
      </c>
      <c r="F322" s="71">
        <v>26440</v>
      </c>
      <c r="G322" s="70">
        <v>34398</v>
      </c>
      <c r="H322" s="70">
        <v>43718</v>
      </c>
    </row>
    <row r="323" spans="2:8" ht="18.75" outlineLevel="1">
      <c r="B323" s="59">
        <v>10015</v>
      </c>
      <c r="C323" s="59" t="s">
        <v>858</v>
      </c>
      <c r="D323" s="59" t="s">
        <v>856</v>
      </c>
      <c r="E323" s="59" t="s">
        <v>859</v>
      </c>
      <c r="F323" s="71">
        <v>60757</v>
      </c>
      <c r="G323" s="70">
        <v>34581</v>
      </c>
      <c r="H323" s="70">
        <v>43256</v>
      </c>
    </row>
    <row r="324" spans="2:8" ht="18.75" outlineLevel="1">
      <c r="B324" s="59">
        <v>10027</v>
      </c>
      <c r="C324" s="59" t="s">
        <v>230</v>
      </c>
      <c r="D324" s="59" t="s">
        <v>860</v>
      </c>
      <c r="E324" s="59" t="s">
        <v>859</v>
      </c>
      <c r="F324" s="71">
        <v>66320</v>
      </c>
      <c r="G324" s="70">
        <v>35127</v>
      </c>
      <c r="H324" s="70" t="s">
        <v>861</v>
      </c>
    </row>
    <row r="325" spans="2:8" ht="18.75" outlineLevel="1">
      <c r="B325" s="59">
        <v>10028</v>
      </c>
      <c r="C325" s="59" t="s">
        <v>862</v>
      </c>
      <c r="D325" s="59" t="s">
        <v>863</v>
      </c>
      <c r="E325" s="59" t="s">
        <v>864</v>
      </c>
      <c r="F325" s="71">
        <v>76058</v>
      </c>
      <c r="G325" s="70">
        <v>34397</v>
      </c>
      <c r="H325" s="70">
        <v>43257</v>
      </c>
    </row>
    <row r="326" spans="2:8" ht="18.75" outlineLevel="1">
      <c r="B326" s="59">
        <v>10032</v>
      </c>
      <c r="C326" s="59" t="s">
        <v>865</v>
      </c>
      <c r="D326" s="59" t="s">
        <v>866</v>
      </c>
      <c r="E326" s="59" t="s">
        <v>854</v>
      </c>
      <c r="F326" s="71">
        <v>24816</v>
      </c>
      <c r="G326" s="70">
        <v>35406</v>
      </c>
      <c r="H326" s="70">
        <v>43959</v>
      </c>
    </row>
    <row r="327" spans="2:8" ht="18.75" outlineLevel="1">
      <c r="B327" s="59">
        <v>10031</v>
      </c>
      <c r="C327" s="59" t="s">
        <v>546</v>
      </c>
      <c r="D327" s="59" t="s">
        <v>863</v>
      </c>
      <c r="E327" s="59" t="s">
        <v>864</v>
      </c>
      <c r="F327" s="71">
        <v>13581</v>
      </c>
      <c r="G327" s="70">
        <v>35015</v>
      </c>
      <c r="H327" s="70">
        <v>43257</v>
      </c>
    </row>
    <row r="328" spans="2:8" ht="18.75" outlineLevel="1">
      <c r="B328" s="73">
        <v>10029</v>
      </c>
      <c r="C328" s="73" t="s">
        <v>867</v>
      </c>
      <c r="D328" s="73" t="s">
        <v>856</v>
      </c>
      <c r="E328" s="73" t="s">
        <v>868</v>
      </c>
      <c r="F328" s="74">
        <v>61373</v>
      </c>
      <c r="G328" s="75">
        <v>35405</v>
      </c>
      <c r="H328" s="75">
        <v>43719</v>
      </c>
    </row>
    <row r="331" spans="2:8" ht="24.75">
      <c r="B331" s="6"/>
      <c r="C331" s="63" t="s">
        <v>869</v>
      </c>
      <c r="D331" s="63" t="s">
        <v>870</v>
      </c>
      <c r="E331" s="63" t="s">
        <v>871</v>
      </c>
      <c r="F331" s="63" t="s">
        <v>872</v>
      </c>
      <c r="G331" s="6"/>
    </row>
    <row r="332" spans="2:8" ht="18.75">
      <c r="B332" s="67" t="s">
        <v>873</v>
      </c>
      <c r="C332" s="59">
        <v>62342</v>
      </c>
      <c r="D332" s="59">
        <v>84106</v>
      </c>
      <c r="E332" s="59">
        <v>80517</v>
      </c>
      <c r="F332" s="59">
        <v>84434</v>
      </c>
      <c r="G332" s="63">
        <f>SUM(C332:F332)</f>
        <v>311399</v>
      </c>
    </row>
    <row r="333" spans="2:8" ht="18.75">
      <c r="B333" s="67" t="s">
        <v>874</v>
      </c>
      <c r="C333" s="59">
        <v>66486</v>
      </c>
      <c r="D333" s="59">
        <v>91611</v>
      </c>
      <c r="E333" s="59">
        <v>66442</v>
      </c>
      <c r="F333" s="59">
        <v>99124</v>
      </c>
      <c r="G333" s="63"/>
    </row>
    <row r="334" spans="2:8" ht="18.75">
      <c r="B334" s="67" t="s">
        <v>785</v>
      </c>
      <c r="C334" s="59">
        <v>56768</v>
      </c>
      <c r="D334" s="59">
        <v>82083</v>
      </c>
      <c r="E334" s="59">
        <v>66721</v>
      </c>
      <c r="F334" s="59">
        <v>58845</v>
      </c>
      <c r="G334" s="63">
        <f>SUM(C334:F334)</f>
        <v>264417</v>
      </c>
    </row>
    <row r="335" spans="2:8" ht="18.75">
      <c r="B335" s="67" t="s">
        <v>6</v>
      </c>
      <c r="C335" s="59">
        <v>57351</v>
      </c>
      <c r="D335" s="59">
        <v>58661</v>
      </c>
      <c r="E335" s="59">
        <v>58090</v>
      </c>
      <c r="F335" s="59">
        <v>96793</v>
      </c>
      <c r="G335" s="63"/>
    </row>
    <row r="336" spans="2:8" ht="18.75">
      <c r="B336" s="67" t="s">
        <v>875</v>
      </c>
      <c r="C336" s="59">
        <v>62591</v>
      </c>
      <c r="D336" s="59">
        <v>65852</v>
      </c>
      <c r="E336" s="59">
        <v>88485</v>
      </c>
      <c r="F336" s="59">
        <v>82578</v>
      </c>
      <c r="G336" s="63">
        <f>SUM(C336:F336)</f>
        <v>299506</v>
      </c>
    </row>
    <row r="337" spans="2:7" ht="24.75">
      <c r="B337" s="6"/>
      <c r="C337" s="63">
        <f>SUM(C332:C336)</f>
        <v>305538</v>
      </c>
      <c r="D337" s="63">
        <f>SUM(D332:D336)</f>
        <v>382313</v>
      </c>
      <c r="E337" s="63">
        <f>SUM(E332:E336)</f>
        <v>360255</v>
      </c>
      <c r="F337" s="63"/>
      <c r="G337" s="6"/>
    </row>
    <row r="338" spans="2:7">
      <c r="B338" s="514"/>
      <c r="C338" s="514"/>
      <c r="D338" s="514"/>
      <c r="E338" s="514"/>
      <c r="F338" s="514"/>
    </row>
    <row r="339" spans="2:7">
      <c r="B339" s="514"/>
      <c r="C339" s="514"/>
      <c r="D339" s="514"/>
      <c r="E339" s="514"/>
      <c r="F339" s="514"/>
      <c r="G339" s="69"/>
    </row>
    <row r="340" spans="2:7">
      <c r="B340" s="514"/>
      <c r="C340" s="514"/>
      <c r="D340" s="514"/>
      <c r="E340" s="514"/>
      <c r="F340" s="514"/>
      <c r="G340" s="68"/>
    </row>
    <row r="341" spans="2:7">
      <c r="B341" s="514"/>
      <c r="C341" s="514"/>
      <c r="D341" s="514"/>
      <c r="E341" s="514"/>
      <c r="F341" s="514"/>
      <c r="G341" s="68"/>
    </row>
    <row r="342" spans="2:7">
      <c r="B342" s="77"/>
      <c r="C342" s="78"/>
      <c r="D342" s="77"/>
      <c r="E342" s="77"/>
      <c r="F342" s="514"/>
      <c r="G342" s="68"/>
    </row>
    <row r="343" spans="2:7">
      <c r="B343" s="78"/>
      <c r="C343" s="78"/>
      <c r="D343" s="78"/>
      <c r="E343" s="78"/>
      <c r="F343" s="514"/>
      <c r="G343" s="68"/>
    </row>
    <row r="344" spans="2:7">
      <c r="B344" s="514"/>
      <c r="C344" s="514"/>
      <c r="D344" s="514"/>
      <c r="E344" s="514"/>
      <c r="F344" s="514"/>
      <c r="G344" s="68"/>
    </row>
  </sheetData>
  <sortState xmlns:xlrd2="http://schemas.microsoft.com/office/spreadsheetml/2017/richdata2" ref="B320:H328">
    <sortCondition sortBy="icon" ref="F320:F328"/>
  </sortState>
  <mergeCells count="7">
    <mergeCell ref="B310:C310"/>
    <mergeCell ref="B273:O273"/>
    <mergeCell ref="G2:I2"/>
    <mergeCell ref="B148:H148"/>
    <mergeCell ref="B205:D205"/>
    <mergeCell ref="B223:C223"/>
    <mergeCell ref="F205:H205"/>
  </mergeCells>
  <conditionalFormatting sqref="F320:F328">
    <cfRule type="top10" dxfId="34" priority="1" stopIfTrue="1" rank="3"/>
  </conditionalFormatting>
  <conditionalFormatting sqref="I202:J202">
    <cfRule type="iconSet" priority="4">
      <iconSet iconSet="3Symbols">
        <cfvo type="percent" val="0"/>
        <cfvo type="percent" val="33"/>
        <cfvo type="percent" val="67"/>
      </iconSet>
    </cfRule>
  </conditionalFormatting>
  <conditionalFormatting sqref="I209:J209">
    <cfRule type="iconSet" priority="2">
      <iconSet iconSet="3TrafficLights2">
        <cfvo type="percent" val="0"/>
        <cfvo type="percent" val="33"/>
        <cfvo type="percent" val="67"/>
      </iconSet>
    </cfRule>
  </conditionalFormatting>
  <conditionalFormatting sqref="K110:K139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{FB12A97B-5986-435F-9BA1-7D8EBF9121C9}</x14:id>
        </ext>
      </extLst>
    </cfRule>
  </conditionalFormatting>
  <conditionalFormatting sqref="M110:M13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{4BB216F7-124A-402E-A1D7-2AA6B3FB595B}</x14:id>
        </ext>
      </extLst>
    </cfRule>
  </conditionalFormatting>
  <conditionalFormatting sqref="O110:O139">
    <cfRule type="dataBar" priority="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{3B133068-785E-42B3-988D-339ADDC1E52D}</x14:id>
        </ext>
      </extLst>
    </cfRule>
  </conditionalFormatting>
  <conditionalFormatting sqref="AE16:AE35">
    <cfRule type="dataBar" priority="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{CF2B0D6F-3305-45DD-BF92-599C01D2D185}</x14:id>
        </ext>
      </extLst>
    </cfRule>
  </conditionalFormatting>
  <hyperlinks>
    <hyperlink ref="B270" r:id="rId1" xr:uid="{7EC5132D-B219-4953-9BBE-5D53025D45BB}"/>
  </hyperlinks>
  <printOptions verticalCentered="1"/>
  <pageMargins left="0.7" right="0.7" top="0.75" bottom="0.75" header="0.3" footer="0.3"/>
  <pageSetup fitToWidth="0" fitToHeight="0" orientation="landscape"/>
  <drawing r:id="rId2"/>
  <tableParts count="2">
    <tablePart r:id="rId3"/>
    <tablePart r:id="rId4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B12A97B-5986-435F-9BA1-7D8EBF9121C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K110:K139</xm:sqref>
        </x14:conditionalFormatting>
        <x14:conditionalFormatting xmlns:xm="http://schemas.microsoft.com/office/excel/2006/main">
          <x14:cfRule type="dataBar" id="{4BB216F7-124A-402E-A1D7-2AA6B3FB595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M110:M139</xm:sqref>
        </x14:conditionalFormatting>
        <x14:conditionalFormatting xmlns:xm="http://schemas.microsoft.com/office/excel/2006/main">
          <x14:cfRule type="dataBar" id="{3B133068-785E-42B3-988D-339ADDC1E52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O110:O139</xm:sqref>
        </x14:conditionalFormatting>
        <x14:conditionalFormatting xmlns:xm="http://schemas.microsoft.com/office/excel/2006/main">
          <x14:cfRule type="dataBar" id="{CF2B0D6F-3305-45DD-BF92-599C01D2D18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AE16:AE35</xm:sqref>
        </x14:conditionalFormatting>
      </x14:conditionalFormattings>
    </ext>
    <ext xmlns:x15="http://schemas.microsoft.com/office/spreadsheetml/2010/11/main" uri="{3A4CF648-6AED-40f4-86FF-DC5316D8AED3}">
      <x14:slicerList xmlns:x14="http://schemas.microsoft.com/office/spreadsheetml/2009/9/main">
        <x14:slicer r:id="rId5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4723D-D1F6-4833-8058-CCB273D4E23C}">
  <dimension ref="B7:H36"/>
  <sheetViews>
    <sheetView workbookViewId="0">
      <selection activeCell="F3" sqref="F3"/>
    </sheetView>
  </sheetViews>
  <sheetFormatPr defaultRowHeight="15"/>
  <cols>
    <col min="2" max="2" width="17.7109375" bestFit="1" customWidth="1"/>
    <col min="3" max="3" width="23.28515625" bestFit="1" customWidth="1"/>
    <col min="4" max="4" width="17.140625" bestFit="1" customWidth="1"/>
    <col min="5" max="5" width="23.7109375" bestFit="1" customWidth="1"/>
    <col min="6" max="6" width="11.42578125" bestFit="1" customWidth="1"/>
    <col min="7" max="7" width="21.140625" bestFit="1" customWidth="1"/>
    <col min="8" max="8" width="20.28515625" bestFit="1" customWidth="1"/>
  </cols>
  <sheetData>
    <row r="7" spans="2:8" ht="18.75">
      <c r="B7" s="72" t="s">
        <v>846</v>
      </c>
      <c r="C7" s="72" t="s">
        <v>847</v>
      </c>
      <c r="D7" s="72" t="s">
        <v>848</v>
      </c>
      <c r="E7" s="72" t="s">
        <v>849</v>
      </c>
      <c r="F7" s="72" t="s">
        <v>434</v>
      </c>
      <c r="G7" s="72" t="s">
        <v>850</v>
      </c>
      <c r="H7" s="72" t="s">
        <v>851</v>
      </c>
    </row>
    <row r="8" spans="2:8" ht="18.75" hidden="1">
      <c r="B8" s="59">
        <v>10020</v>
      </c>
      <c r="C8" s="59" t="s">
        <v>852</v>
      </c>
      <c r="D8" s="59" t="s">
        <v>853</v>
      </c>
      <c r="E8" s="59" t="s">
        <v>854</v>
      </c>
      <c r="F8" s="71">
        <v>26190</v>
      </c>
      <c r="G8" s="70">
        <v>33730</v>
      </c>
      <c r="H8" s="70">
        <v>43716</v>
      </c>
    </row>
    <row r="9" spans="2:8" ht="18.75" hidden="1">
      <c r="B9" s="59">
        <v>10022</v>
      </c>
      <c r="C9" s="59" t="s">
        <v>855</v>
      </c>
      <c r="D9" s="59" t="s">
        <v>856</v>
      </c>
      <c r="E9" s="59" t="s">
        <v>857</v>
      </c>
      <c r="F9" s="71">
        <v>21948</v>
      </c>
      <c r="G9" s="70">
        <v>34679</v>
      </c>
      <c r="H9" s="70">
        <v>43717</v>
      </c>
    </row>
    <row r="10" spans="2:8" ht="18.75" hidden="1">
      <c r="B10" s="59">
        <v>10022</v>
      </c>
      <c r="C10" s="59" t="s">
        <v>855</v>
      </c>
      <c r="D10" s="59" t="s">
        <v>856</v>
      </c>
      <c r="E10" s="59" t="s">
        <v>857</v>
      </c>
      <c r="F10" s="71">
        <v>26440</v>
      </c>
      <c r="G10" s="70">
        <v>34398</v>
      </c>
      <c r="H10" s="70">
        <v>43718</v>
      </c>
    </row>
    <row r="11" spans="2:8" ht="18.75" hidden="1">
      <c r="B11" s="59">
        <v>10015</v>
      </c>
      <c r="C11" s="59" t="s">
        <v>858</v>
      </c>
      <c r="D11" s="59" t="s">
        <v>856</v>
      </c>
      <c r="E11" s="59" t="s">
        <v>859</v>
      </c>
      <c r="F11" s="71">
        <v>60757</v>
      </c>
      <c r="G11" s="70">
        <v>34581</v>
      </c>
      <c r="H11" s="70">
        <v>43256</v>
      </c>
    </row>
    <row r="12" spans="2:8" ht="18.75" hidden="1">
      <c r="B12" s="59">
        <v>10027</v>
      </c>
      <c r="C12" s="59" t="s">
        <v>230</v>
      </c>
      <c r="D12" s="59" t="s">
        <v>860</v>
      </c>
      <c r="E12" s="59" t="s">
        <v>859</v>
      </c>
      <c r="F12" s="71">
        <v>66320</v>
      </c>
      <c r="G12" s="70">
        <v>35127</v>
      </c>
      <c r="H12" s="70" t="s">
        <v>861</v>
      </c>
    </row>
    <row r="13" spans="2:8" ht="18.75" hidden="1">
      <c r="B13" s="59">
        <v>10028</v>
      </c>
      <c r="C13" s="59" t="s">
        <v>862</v>
      </c>
      <c r="D13" s="59" t="s">
        <v>863</v>
      </c>
      <c r="E13" s="59" t="s">
        <v>864</v>
      </c>
      <c r="F13" s="71">
        <v>76058</v>
      </c>
      <c r="G13" s="70">
        <v>34397</v>
      </c>
      <c r="H13" s="70">
        <v>43257</v>
      </c>
    </row>
    <row r="14" spans="2:8" ht="18.75" hidden="1">
      <c r="B14" s="59">
        <v>10032</v>
      </c>
      <c r="C14" s="59" t="s">
        <v>865</v>
      </c>
      <c r="D14" s="59" t="s">
        <v>866</v>
      </c>
      <c r="E14" s="59" t="s">
        <v>854</v>
      </c>
      <c r="F14" s="71">
        <v>24816</v>
      </c>
      <c r="G14" s="70">
        <v>35406</v>
      </c>
      <c r="H14" s="70">
        <v>43959</v>
      </c>
    </row>
    <row r="15" spans="2:8" ht="18.75" hidden="1">
      <c r="B15" s="59">
        <v>10031</v>
      </c>
      <c r="C15" s="59" t="s">
        <v>546</v>
      </c>
      <c r="D15" s="59" t="s">
        <v>863</v>
      </c>
      <c r="E15" s="59" t="s">
        <v>864</v>
      </c>
      <c r="F15" s="71">
        <v>13581</v>
      </c>
      <c r="G15" s="70">
        <v>35015</v>
      </c>
      <c r="H15" s="70">
        <v>43257</v>
      </c>
    </row>
    <row r="16" spans="2:8" ht="18.75" hidden="1">
      <c r="B16" s="73">
        <v>10029</v>
      </c>
      <c r="C16" s="73" t="s">
        <v>867</v>
      </c>
      <c r="D16" s="73" t="s">
        <v>856</v>
      </c>
      <c r="E16" s="73" t="s">
        <v>868</v>
      </c>
      <c r="F16" s="74">
        <v>61373</v>
      </c>
      <c r="G16" s="75">
        <v>35405</v>
      </c>
      <c r="H16" s="75">
        <v>43719</v>
      </c>
    </row>
    <row r="35" spans="2:5">
      <c r="B35" s="617" t="s">
        <v>876</v>
      </c>
      <c r="C35" s="617"/>
      <c r="D35" s="617"/>
      <c r="E35" s="617"/>
    </row>
    <row r="36" spans="2:5">
      <c r="B36" s="514" t="s">
        <v>466</v>
      </c>
      <c r="C36" s="514" t="s">
        <v>465</v>
      </c>
      <c r="D36" s="514" t="s">
        <v>153</v>
      </c>
      <c r="E36" s="514" t="s">
        <v>877</v>
      </c>
    </row>
  </sheetData>
  <mergeCells count="1">
    <mergeCell ref="B35:E35"/>
  </mergeCells>
  <conditionalFormatting sqref="F8:F16">
    <cfRule type="top10" dxfId="11" priority="1" stopIfTrue="1" rank="3"/>
  </conditionalFormatting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BB7D9-D1D9-4E70-8B35-B5C15479D03B}">
  <dimension ref="B2:H38"/>
  <sheetViews>
    <sheetView workbookViewId="0">
      <selection activeCell="J15" sqref="J15"/>
    </sheetView>
  </sheetViews>
  <sheetFormatPr defaultRowHeight="15"/>
  <cols>
    <col min="2" max="2" width="7" bestFit="1" customWidth="1"/>
    <col min="4" max="4" width="14.5703125" bestFit="1" customWidth="1"/>
    <col min="6" max="6" width="13.85546875" bestFit="1" customWidth="1"/>
    <col min="8" max="8" width="7.140625" bestFit="1" customWidth="1"/>
  </cols>
  <sheetData>
    <row r="2" spans="2:8" ht="18.75">
      <c r="B2" s="63" t="s">
        <v>878</v>
      </c>
      <c r="C2" s="63"/>
      <c r="D2" s="63" t="s">
        <v>466</v>
      </c>
      <c r="E2" s="63"/>
      <c r="F2" s="63" t="s">
        <v>465</v>
      </c>
      <c r="G2" s="63"/>
      <c r="H2" s="63" t="s">
        <v>153</v>
      </c>
    </row>
    <row r="4" spans="2:8" ht="18.75">
      <c r="B4" s="59">
        <v>1</v>
      </c>
      <c r="D4" s="59" t="s">
        <v>879</v>
      </c>
      <c r="F4" s="59" t="s">
        <v>880</v>
      </c>
      <c r="H4" s="59">
        <v>1990</v>
      </c>
    </row>
    <row r="5" spans="2:8" ht="18.75">
      <c r="B5" s="59">
        <v>2</v>
      </c>
      <c r="D5" s="59" t="s">
        <v>881</v>
      </c>
      <c r="F5" s="59" t="s">
        <v>882</v>
      </c>
      <c r="H5" s="59">
        <v>1991</v>
      </c>
    </row>
    <row r="6" spans="2:8" ht="18.75">
      <c r="B6" s="59">
        <v>3</v>
      </c>
      <c r="D6" s="59" t="s">
        <v>883</v>
      </c>
      <c r="F6" s="59" t="s">
        <v>884</v>
      </c>
      <c r="H6" s="59">
        <v>1992</v>
      </c>
    </row>
    <row r="7" spans="2:8" ht="18.75">
      <c r="B7" s="59">
        <v>4</v>
      </c>
      <c r="D7" s="59" t="s">
        <v>885</v>
      </c>
      <c r="F7" s="59" t="s">
        <v>886</v>
      </c>
      <c r="H7" s="59">
        <v>1993</v>
      </c>
    </row>
    <row r="8" spans="2:8" ht="18.75">
      <c r="B8" s="59">
        <v>5</v>
      </c>
      <c r="D8" s="59" t="s">
        <v>887</v>
      </c>
      <c r="F8" s="59" t="s">
        <v>888</v>
      </c>
      <c r="H8" s="59">
        <v>1994</v>
      </c>
    </row>
    <row r="9" spans="2:8" ht="18.75">
      <c r="B9" s="59">
        <v>6</v>
      </c>
      <c r="D9" s="59" t="s">
        <v>889</v>
      </c>
      <c r="F9" s="59" t="s">
        <v>890</v>
      </c>
      <c r="H9" s="59">
        <v>1995</v>
      </c>
    </row>
    <row r="10" spans="2:8" ht="18.75">
      <c r="B10" s="59">
        <v>7</v>
      </c>
      <c r="D10" s="59" t="s">
        <v>891</v>
      </c>
      <c r="F10" s="59" t="s">
        <v>892</v>
      </c>
      <c r="H10" s="59">
        <v>1996</v>
      </c>
    </row>
    <row r="11" spans="2:8" ht="18.75">
      <c r="B11" s="59">
        <v>8</v>
      </c>
      <c r="F11" s="59" t="s">
        <v>893</v>
      </c>
      <c r="H11" s="59">
        <v>1997</v>
      </c>
    </row>
    <row r="12" spans="2:8" ht="18.75">
      <c r="B12" s="59">
        <v>9</v>
      </c>
      <c r="F12" s="59" t="s">
        <v>894</v>
      </c>
      <c r="H12" s="59">
        <v>1998</v>
      </c>
    </row>
    <row r="13" spans="2:8" ht="18.75">
      <c r="B13" s="59">
        <v>10</v>
      </c>
      <c r="F13" s="59" t="s">
        <v>895</v>
      </c>
      <c r="H13" s="59">
        <v>1999</v>
      </c>
    </row>
    <row r="14" spans="2:8" ht="18.75">
      <c r="B14" s="59">
        <v>11</v>
      </c>
      <c r="F14" s="59" t="s">
        <v>896</v>
      </c>
      <c r="H14" s="59">
        <v>2000</v>
      </c>
    </row>
    <row r="15" spans="2:8" ht="18.75">
      <c r="B15" s="59">
        <v>12</v>
      </c>
      <c r="F15" s="59" t="s">
        <v>897</v>
      </c>
      <c r="H15" s="59">
        <v>2001</v>
      </c>
    </row>
    <row r="16" spans="2:8" ht="18.75">
      <c r="B16" s="59">
        <v>13</v>
      </c>
      <c r="H16" s="59">
        <v>2002</v>
      </c>
    </row>
    <row r="17" spans="2:8" ht="18.75">
      <c r="B17" s="59">
        <v>14</v>
      </c>
      <c r="H17" s="59">
        <v>2003</v>
      </c>
    </row>
    <row r="18" spans="2:8" ht="18.75">
      <c r="B18" s="59">
        <v>15</v>
      </c>
      <c r="H18" s="59">
        <v>2004</v>
      </c>
    </row>
    <row r="19" spans="2:8" ht="18.75">
      <c r="B19" s="59">
        <v>16</v>
      </c>
      <c r="H19" s="59">
        <v>2005</v>
      </c>
    </row>
    <row r="20" spans="2:8" ht="18.75">
      <c r="B20" s="59">
        <v>17</v>
      </c>
      <c r="H20" s="59">
        <v>2006</v>
      </c>
    </row>
    <row r="21" spans="2:8" ht="18.75">
      <c r="B21" s="59">
        <v>18</v>
      </c>
      <c r="H21" s="59">
        <v>2007</v>
      </c>
    </row>
    <row r="22" spans="2:8" ht="18.75">
      <c r="B22" s="59">
        <v>19</v>
      </c>
      <c r="H22" s="59">
        <v>2008</v>
      </c>
    </row>
    <row r="23" spans="2:8" ht="18.75">
      <c r="B23" s="59">
        <v>20</v>
      </c>
      <c r="H23" s="59">
        <v>2009</v>
      </c>
    </row>
    <row r="24" spans="2:8" ht="18.75">
      <c r="B24" s="59">
        <v>21</v>
      </c>
      <c r="H24" s="59">
        <v>2010</v>
      </c>
    </row>
    <row r="25" spans="2:8" ht="18.75">
      <c r="B25" s="59">
        <v>22</v>
      </c>
      <c r="H25" s="59">
        <v>2011</v>
      </c>
    </row>
    <row r="26" spans="2:8" ht="18.75">
      <c r="B26" s="59">
        <v>23</v>
      </c>
      <c r="H26" s="59">
        <v>2012</v>
      </c>
    </row>
    <row r="27" spans="2:8" ht="18.75">
      <c r="B27" s="59">
        <v>24</v>
      </c>
      <c r="H27" s="59">
        <v>2013</v>
      </c>
    </row>
    <row r="28" spans="2:8" ht="18.75">
      <c r="B28" s="59">
        <v>25</v>
      </c>
      <c r="H28" s="59">
        <v>2014</v>
      </c>
    </row>
    <row r="29" spans="2:8" ht="18.75">
      <c r="B29" s="59">
        <v>26</v>
      </c>
      <c r="H29" s="59">
        <v>2015</v>
      </c>
    </row>
    <row r="30" spans="2:8" ht="18.75">
      <c r="B30" s="59">
        <v>27</v>
      </c>
      <c r="H30" s="59">
        <v>2016</v>
      </c>
    </row>
    <row r="31" spans="2:8" ht="18.75">
      <c r="B31" s="59">
        <v>28</v>
      </c>
      <c r="H31" s="59">
        <v>2017</v>
      </c>
    </row>
    <row r="32" spans="2:8" ht="18.75">
      <c r="B32" s="59">
        <v>29</v>
      </c>
      <c r="H32" s="59">
        <v>2018</v>
      </c>
    </row>
    <row r="33" spans="2:8" ht="18.75">
      <c r="B33" s="59">
        <v>30</v>
      </c>
      <c r="H33" s="59">
        <v>2019</v>
      </c>
    </row>
    <row r="34" spans="2:8" ht="18.75">
      <c r="B34" s="59">
        <v>31</v>
      </c>
      <c r="H34" s="59">
        <v>2020</v>
      </c>
    </row>
    <row r="35" spans="2:8" ht="18.75">
      <c r="H35" s="59">
        <v>2021</v>
      </c>
    </row>
    <row r="36" spans="2:8" ht="18.75">
      <c r="H36" s="59">
        <v>2022</v>
      </c>
    </row>
    <row r="37" spans="2:8" ht="18.75">
      <c r="H37" s="59">
        <v>2023</v>
      </c>
    </row>
    <row r="38" spans="2:8" ht="18.75">
      <c r="H38" s="59">
        <v>2024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01B0F-D92D-48C4-94A4-80B562E7426F}">
  <dimension ref="A1:N5"/>
  <sheetViews>
    <sheetView workbookViewId="0"/>
  </sheetViews>
  <sheetFormatPr defaultRowHeight="15"/>
  <cols>
    <col min="2" max="2" width="13.140625" bestFit="1" customWidth="1"/>
    <col min="3" max="3" width="14.42578125" bestFit="1" customWidth="1"/>
    <col min="4" max="4" width="14.5703125" bestFit="1" customWidth="1"/>
    <col min="5" max="5" width="9.28515625" bestFit="1" customWidth="1"/>
    <col min="6" max="6" width="20.85546875" bestFit="1" customWidth="1"/>
    <col min="7" max="7" width="11.42578125" bestFit="1" customWidth="1"/>
    <col min="9" max="9" width="12.140625" bestFit="1" customWidth="1"/>
    <col min="10" max="10" width="15.28515625" bestFit="1" customWidth="1"/>
    <col min="11" max="11" width="15.85546875" bestFit="1" customWidth="1"/>
    <col min="12" max="12" width="11.140625" bestFit="1" customWidth="1"/>
    <col min="13" max="13" width="18.85546875" bestFit="1" customWidth="1"/>
    <col min="14" max="14" width="12.85546875" bestFit="1" customWidth="1"/>
  </cols>
  <sheetData>
    <row r="1" spans="1:14">
      <c r="A1" s="130" t="s">
        <v>898</v>
      </c>
    </row>
    <row r="3" spans="1:14">
      <c r="A3" t="s">
        <v>10</v>
      </c>
      <c r="B3" t="s">
        <v>11</v>
      </c>
      <c r="C3" t="s">
        <v>4</v>
      </c>
      <c r="D3" t="s">
        <v>2</v>
      </c>
      <c r="E3" t="s">
        <v>12</v>
      </c>
      <c r="F3" t="s">
        <v>0</v>
      </c>
      <c r="G3" t="s">
        <v>13</v>
      </c>
      <c r="H3" t="s">
        <v>14</v>
      </c>
      <c r="I3" t="s">
        <v>15</v>
      </c>
      <c r="J3" t="s">
        <v>899</v>
      </c>
      <c r="K3" t="s">
        <v>900</v>
      </c>
      <c r="L3" t="s">
        <v>1</v>
      </c>
      <c r="M3" t="s">
        <v>901</v>
      </c>
      <c r="N3" t="s">
        <v>902</v>
      </c>
    </row>
    <row r="4" spans="1:14">
      <c r="A4" t="s">
        <v>82</v>
      </c>
      <c r="B4">
        <v>45318</v>
      </c>
      <c r="C4" t="s">
        <v>27</v>
      </c>
      <c r="D4" t="s">
        <v>28</v>
      </c>
      <c r="E4">
        <v>556688</v>
      </c>
      <c r="F4" t="s">
        <v>8</v>
      </c>
      <c r="G4" t="s">
        <v>67</v>
      </c>
      <c r="H4">
        <v>1553</v>
      </c>
      <c r="I4">
        <v>38.825000000000003</v>
      </c>
      <c r="J4">
        <v>39</v>
      </c>
      <c r="K4">
        <v>1591.825</v>
      </c>
      <c r="L4">
        <v>4</v>
      </c>
      <c r="M4">
        <v>6367.3</v>
      </c>
      <c r="N4">
        <v>6328.4750000000004</v>
      </c>
    </row>
    <row r="5" spans="1:14">
      <c r="A5" t="s">
        <v>26</v>
      </c>
      <c r="B5">
        <v>45294</v>
      </c>
      <c r="C5" t="s">
        <v>27</v>
      </c>
      <c r="D5" t="s">
        <v>28</v>
      </c>
      <c r="E5">
        <v>126589</v>
      </c>
      <c r="F5" t="s">
        <v>29</v>
      </c>
      <c r="G5" t="s">
        <v>30</v>
      </c>
      <c r="H5">
        <v>4891</v>
      </c>
      <c r="I5">
        <v>122.27500000000001</v>
      </c>
      <c r="J5">
        <v>123</v>
      </c>
      <c r="K5">
        <v>5013.2749999999996</v>
      </c>
      <c r="L5">
        <v>8</v>
      </c>
      <c r="M5">
        <v>40106.199999999997</v>
      </c>
      <c r="N5">
        <v>39983.924999999996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08A45-CC14-49A9-8FF3-BCD3978754DE}">
  <dimension ref="A1:N33"/>
  <sheetViews>
    <sheetView workbookViewId="0"/>
  </sheetViews>
  <sheetFormatPr defaultRowHeight="15"/>
  <cols>
    <col min="2" max="2" width="13.140625" bestFit="1" customWidth="1"/>
    <col min="3" max="3" width="14.42578125" bestFit="1" customWidth="1"/>
    <col min="4" max="4" width="18.7109375" bestFit="1" customWidth="1"/>
    <col min="5" max="5" width="9.28515625" bestFit="1" customWidth="1"/>
    <col min="6" max="6" width="20.85546875" bestFit="1" customWidth="1"/>
    <col min="7" max="7" width="19" bestFit="1" customWidth="1"/>
    <col min="9" max="9" width="12.140625" bestFit="1" customWidth="1"/>
    <col min="10" max="10" width="15.28515625" bestFit="1" customWidth="1"/>
    <col min="11" max="11" width="15.85546875" bestFit="1" customWidth="1"/>
    <col min="12" max="12" width="11.140625" bestFit="1" customWidth="1"/>
    <col min="13" max="13" width="18.85546875" bestFit="1" customWidth="1"/>
    <col min="14" max="14" width="12.85546875" bestFit="1" customWidth="1"/>
  </cols>
  <sheetData>
    <row r="1" spans="1:14">
      <c r="A1" s="130" t="s">
        <v>903</v>
      </c>
    </row>
    <row r="3" spans="1:14">
      <c r="A3" t="s">
        <v>10</v>
      </c>
      <c r="B3" t="s">
        <v>11</v>
      </c>
      <c r="C3" t="s">
        <v>4</v>
      </c>
      <c r="D3" t="s">
        <v>2</v>
      </c>
      <c r="E3" t="s">
        <v>12</v>
      </c>
      <c r="F3" t="s">
        <v>0</v>
      </c>
      <c r="G3" t="s">
        <v>13</v>
      </c>
      <c r="H3" t="s">
        <v>14</v>
      </c>
      <c r="I3" t="s">
        <v>15</v>
      </c>
      <c r="J3" t="s">
        <v>899</v>
      </c>
      <c r="K3" t="s">
        <v>900</v>
      </c>
      <c r="L3" t="s">
        <v>1</v>
      </c>
      <c r="M3" t="s">
        <v>901</v>
      </c>
      <c r="N3" t="s">
        <v>902</v>
      </c>
    </row>
    <row r="4" spans="1:14">
      <c r="A4" t="s">
        <v>80</v>
      </c>
      <c r="B4">
        <v>45317</v>
      </c>
      <c r="C4" t="s">
        <v>23</v>
      </c>
      <c r="D4" t="s">
        <v>24</v>
      </c>
      <c r="E4">
        <v>125478</v>
      </c>
      <c r="F4" t="s">
        <v>8</v>
      </c>
      <c r="G4" t="s">
        <v>81</v>
      </c>
      <c r="H4">
        <v>4199</v>
      </c>
      <c r="I4">
        <v>104.97500000000001</v>
      </c>
      <c r="J4">
        <v>105</v>
      </c>
      <c r="K4">
        <v>4303.9750000000004</v>
      </c>
      <c r="L4">
        <v>2</v>
      </c>
      <c r="M4">
        <v>8607.9500000000007</v>
      </c>
      <c r="N4">
        <v>8502.9750000000004</v>
      </c>
    </row>
    <row r="5" spans="1:14">
      <c r="A5" t="s">
        <v>41</v>
      </c>
      <c r="B5">
        <v>45298</v>
      </c>
      <c r="C5" t="s">
        <v>27</v>
      </c>
      <c r="D5" t="s">
        <v>24</v>
      </c>
      <c r="E5">
        <v>125478</v>
      </c>
      <c r="F5" t="s">
        <v>6</v>
      </c>
      <c r="G5" t="s">
        <v>42</v>
      </c>
      <c r="H5">
        <v>1596</v>
      </c>
      <c r="I5">
        <v>39.900000000000006</v>
      </c>
      <c r="J5">
        <v>40</v>
      </c>
      <c r="K5">
        <v>1635.9</v>
      </c>
      <c r="L5">
        <v>3</v>
      </c>
      <c r="M5">
        <v>4907.7000000000007</v>
      </c>
      <c r="N5">
        <v>4867.8000000000011</v>
      </c>
    </row>
    <row r="6" spans="1:14">
      <c r="A6" t="s">
        <v>50</v>
      </c>
      <c r="B6">
        <v>45302</v>
      </c>
      <c r="C6" t="s">
        <v>32</v>
      </c>
      <c r="D6" t="s">
        <v>7</v>
      </c>
      <c r="E6">
        <v>112285</v>
      </c>
      <c r="F6" t="s">
        <v>44</v>
      </c>
      <c r="G6" t="s">
        <v>51</v>
      </c>
      <c r="H6">
        <v>3604</v>
      </c>
      <c r="I6">
        <v>90.100000000000009</v>
      </c>
      <c r="J6">
        <v>91</v>
      </c>
      <c r="K6">
        <v>3694.1</v>
      </c>
      <c r="L6">
        <v>3</v>
      </c>
      <c r="M6">
        <v>11082.3</v>
      </c>
      <c r="N6">
        <v>10992.199999999999</v>
      </c>
    </row>
    <row r="7" spans="1:14">
      <c r="A7" t="s">
        <v>66</v>
      </c>
      <c r="B7">
        <v>45310</v>
      </c>
      <c r="C7" t="s">
        <v>23</v>
      </c>
      <c r="D7" t="s">
        <v>36</v>
      </c>
      <c r="E7">
        <v>556688</v>
      </c>
      <c r="F7" t="s">
        <v>8</v>
      </c>
      <c r="G7" t="s">
        <v>67</v>
      </c>
      <c r="H7">
        <v>2390</v>
      </c>
      <c r="I7">
        <v>59.75</v>
      </c>
      <c r="J7">
        <v>60</v>
      </c>
      <c r="K7">
        <v>2449.75</v>
      </c>
      <c r="L7">
        <v>3</v>
      </c>
      <c r="M7">
        <v>7349.25</v>
      </c>
      <c r="N7">
        <v>7289.5</v>
      </c>
    </row>
    <row r="8" spans="1:14">
      <c r="A8" t="s">
        <v>48</v>
      </c>
      <c r="B8">
        <v>45301</v>
      </c>
      <c r="C8" t="s">
        <v>27</v>
      </c>
      <c r="D8" t="s">
        <v>36</v>
      </c>
      <c r="E8">
        <v>852369</v>
      </c>
      <c r="F8" t="s">
        <v>6</v>
      </c>
      <c r="G8" t="s">
        <v>49</v>
      </c>
      <c r="H8">
        <v>4296</v>
      </c>
      <c r="I8">
        <v>107.4</v>
      </c>
      <c r="J8">
        <v>108</v>
      </c>
      <c r="K8">
        <v>4403.3999999999996</v>
      </c>
      <c r="L8">
        <v>3</v>
      </c>
      <c r="M8">
        <v>13210.199999999999</v>
      </c>
      <c r="N8">
        <v>13102.8</v>
      </c>
    </row>
    <row r="9" spans="1:14">
      <c r="A9" t="s">
        <v>54</v>
      </c>
      <c r="B9">
        <v>45304</v>
      </c>
      <c r="C9" t="s">
        <v>23</v>
      </c>
      <c r="D9" t="s">
        <v>28</v>
      </c>
      <c r="E9">
        <v>556688</v>
      </c>
      <c r="F9" t="s">
        <v>8</v>
      </c>
      <c r="G9" t="s">
        <v>55</v>
      </c>
      <c r="H9">
        <v>4156</v>
      </c>
      <c r="I9">
        <v>103.9</v>
      </c>
      <c r="J9">
        <v>104</v>
      </c>
      <c r="K9">
        <v>4259.8999999999996</v>
      </c>
      <c r="L9">
        <v>3</v>
      </c>
      <c r="M9">
        <v>12779.699999999999</v>
      </c>
      <c r="N9">
        <v>12675.8</v>
      </c>
    </row>
    <row r="10" spans="1:14">
      <c r="A10" t="s">
        <v>72</v>
      </c>
      <c r="B10">
        <v>45313</v>
      </c>
      <c r="C10" t="s">
        <v>23</v>
      </c>
      <c r="D10" t="s">
        <v>28</v>
      </c>
      <c r="E10">
        <v>112285</v>
      </c>
      <c r="F10" t="s">
        <v>8</v>
      </c>
      <c r="G10" t="s">
        <v>73</v>
      </c>
      <c r="H10">
        <v>2823</v>
      </c>
      <c r="I10">
        <v>70.575000000000003</v>
      </c>
      <c r="J10">
        <v>71</v>
      </c>
      <c r="K10">
        <v>2893.5749999999998</v>
      </c>
      <c r="L10">
        <v>4</v>
      </c>
      <c r="M10">
        <v>11574.3</v>
      </c>
      <c r="N10">
        <v>11503.724999999999</v>
      </c>
    </row>
    <row r="11" spans="1:14">
      <c r="A11" t="s">
        <v>82</v>
      </c>
      <c r="B11">
        <v>45318</v>
      </c>
      <c r="C11" t="s">
        <v>27</v>
      </c>
      <c r="D11" t="s">
        <v>28</v>
      </c>
      <c r="E11">
        <v>556688</v>
      </c>
      <c r="F11" t="s">
        <v>8</v>
      </c>
      <c r="G11" t="s">
        <v>67</v>
      </c>
      <c r="H11">
        <v>1553</v>
      </c>
      <c r="I11">
        <v>38.825000000000003</v>
      </c>
      <c r="J11">
        <v>39</v>
      </c>
      <c r="K11">
        <v>1591.825</v>
      </c>
      <c r="L11">
        <v>4</v>
      </c>
      <c r="M11">
        <v>6367.3</v>
      </c>
      <c r="N11">
        <v>6328.4750000000004</v>
      </c>
    </row>
    <row r="12" spans="1:14">
      <c r="A12" t="s">
        <v>64</v>
      </c>
      <c r="B12">
        <v>45309</v>
      </c>
      <c r="C12" t="s">
        <v>9</v>
      </c>
      <c r="D12" t="s">
        <v>33</v>
      </c>
      <c r="E12">
        <v>125478</v>
      </c>
      <c r="F12" t="s">
        <v>6</v>
      </c>
      <c r="G12" t="s">
        <v>65</v>
      </c>
      <c r="H12">
        <v>2410</v>
      </c>
      <c r="I12">
        <v>60.25</v>
      </c>
      <c r="J12">
        <v>61</v>
      </c>
      <c r="K12">
        <v>2470.25</v>
      </c>
      <c r="L12">
        <v>5</v>
      </c>
      <c r="M12">
        <v>12351.25</v>
      </c>
      <c r="N12">
        <v>12291</v>
      </c>
    </row>
    <row r="13" spans="1:14">
      <c r="A13" t="s">
        <v>62</v>
      </c>
      <c r="B13">
        <v>45308</v>
      </c>
      <c r="C13" t="s">
        <v>32</v>
      </c>
      <c r="D13" t="s">
        <v>28</v>
      </c>
      <c r="E13">
        <v>695425</v>
      </c>
      <c r="F13" t="s">
        <v>44</v>
      </c>
      <c r="G13" t="s">
        <v>63</v>
      </c>
      <c r="H13">
        <v>4380</v>
      </c>
      <c r="I13">
        <v>109.5</v>
      </c>
      <c r="J13">
        <v>110</v>
      </c>
      <c r="K13">
        <v>4489.5</v>
      </c>
      <c r="L13">
        <v>5</v>
      </c>
      <c r="M13">
        <v>22447.5</v>
      </c>
      <c r="N13">
        <v>22338</v>
      </c>
    </row>
    <row r="14" spans="1:14">
      <c r="A14" t="s">
        <v>46</v>
      </c>
      <c r="B14">
        <v>45300</v>
      </c>
      <c r="C14" t="s">
        <v>23</v>
      </c>
      <c r="D14" t="s">
        <v>33</v>
      </c>
      <c r="E14">
        <v>126589</v>
      </c>
      <c r="F14" t="s">
        <v>8</v>
      </c>
      <c r="G14" t="s">
        <v>47</v>
      </c>
      <c r="H14">
        <v>2381</v>
      </c>
      <c r="I14">
        <v>59.525000000000006</v>
      </c>
      <c r="J14">
        <v>60</v>
      </c>
      <c r="K14">
        <v>2440.5250000000001</v>
      </c>
      <c r="L14">
        <v>5</v>
      </c>
      <c r="M14">
        <v>12202.625</v>
      </c>
      <c r="N14">
        <v>12143.1</v>
      </c>
    </row>
    <row r="15" spans="1:14">
      <c r="A15" t="s">
        <v>76</v>
      </c>
      <c r="B15">
        <v>45315</v>
      </c>
      <c r="C15" t="s">
        <v>32</v>
      </c>
      <c r="D15" t="s">
        <v>36</v>
      </c>
      <c r="E15">
        <v>112285</v>
      </c>
      <c r="F15" t="s">
        <v>44</v>
      </c>
      <c r="G15" t="s">
        <v>77</v>
      </c>
      <c r="H15">
        <v>4522</v>
      </c>
      <c r="I15">
        <v>113.05000000000001</v>
      </c>
      <c r="J15">
        <v>114</v>
      </c>
      <c r="K15">
        <v>4635.05</v>
      </c>
      <c r="L15">
        <v>5</v>
      </c>
      <c r="M15">
        <v>23175.25</v>
      </c>
      <c r="N15">
        <v>23062.2</v>
      </c>
    </row>
    <row r="16" spans="1:14">
      <c r="A16" t="s">
        <v>58</v>
      </c>
      <c r="B16">
        <v>45306</v>
      </c>
      <c r="C16" t="s">
        <v>23</v>
      </c>
      <c r="D16" t="s">
        <v>36</v>
      </c>
      <c r="E16">
        <v>852369</v>
      </c>
      <c r="F16" t="s">
        <v>8</v>
      </c>
      <c r="G16" t="s">
        <v>59</v>
      </c>
      <c r="H16">
        <v>3685</v>
      </c>
      <c r="I16">
        <v>92.125</v>
      </c>
      <c r="J16">
        <v>93</v>
      </c>
      <c r="K16">
        <v>3777.125</v>
      </c>
      <c r="L16">
        <v>6</v>
      </c>
      <c r="M16">
        <v>22662.75</v>
      </c>
      <c r="N16">
        <v>22570.625</v>
      </c>
    </row>
    <row r="17" spans="1:14">
      <c r="A17" t="s">
        <v>52</v>
      </c>
      <c r="B17">
        <v>45303</v>
      </c>
      <c r="C17" t="s">
        <v>9</v>
      </c>
      <c r="D17" t="s">
        <v>24</v>
      </c>
      <c r="E17">
        <v>695425</v>
      </c>
      <c r="F17" t="s">
        <v>6</v>
      </c>
      <c r="G17" t="s">
        <v>53</v>
      </c>
      <c r="H17">
        <v>3727</v>
      </c>
      <c r="I17">
        <v>93.175000000000011</v>
      </c>
      <c r="J17">
        <v>94</v>
      </c>
      <c r="K17">
        <v>3820.1750000000002</v>
      </c>
      <c r="L17">
        <v>6</v>
      </c>
      <c r="M17">
        <v>22921.050000000003</v>
      </c>
      <c r="N17">
        <v>22827.875000000004</v>
      </c>
    </row>
    <row r="18" spans="1:14">
      <c r="A18" t="s">
        <v>74</v>
      </c>
      <c r="B18">
        <v>45314</v>
      </c>
      <c r="C18" t="s">
        <v>27</v>
      </c>
      <c r="D18" t="s">
        <v>33</v>
      </c>
      <c r="E18">
        <v>852369</v>
      </c>
      <c r="F18" t="s">
        <v>6</v>
      </c>
      <c r="G18" t="s">
        <v>75</v>
      </c>
      <c r="H18">
        <v>2097</v>
      </c>
      <c r="I18">
        <v>52.425000000000004</v>
      </c>
      <c r="J18">
        <v>53</v>
      </c>
      <c r="K18">
        <v>2149.4250000000002</v>
      </c>
      <c r="L18">
        <v>7</v>
      </c>
      <c r="M18">
        <v>15045.975000000002</v>
      </c>
      <c r="N18">
        <v>14993.550000000003</v>
      </c>
    </row>
    <row r="19" spans="1:14">
      <c r="A19" t="s">
        <v>56</v>
      </c>
      <c r="B19">
        <v>45305</v>
      </c>
      <c r="C19" t="s">
        <v>27</v>
      </c>
      <c r="D19" t="s">
        <v>33</v>
      </c>
      <c r="E19">
        <v>126589</v>
      </c>
      <c r="F19" t="s">
        <v>6</v>
      </c>
      <c r="G19" t="s">
        <v>57</v>
      </c>
      <c r="H19">
        <v>4187</v>
      </c>
      <c r="I19">
        <v>104.67500000000001</v>
      </c>
      <c r="J19">
        <v>105</v>
      </c>
      <c r="K19">
        <v>4291.6750000000002</v>
      </c>
      <c r="L19">
        <v>7</v>
      </c>
      <c r="M19">
        <v>30041.725000000002</v>
      </c>
      <c r="N19">
        <v>29937.050000000003</v>
      </c>
    </row>
    <row r="20" spans="1:14">
      <c r="A20" t="s">
        <v>68</v>
      </c>
      <c r="B20">
        <v>45311</v>
      </c>
      <c r="C20" t="s">
        <v>27</v>
      </c>
      <c r="D20" t="s">
        <v>7</v>
      </c>
      <c r="E20">
        <v>126589</v>
      </c>
      <c r="F20" t="s">
        <v>6</v>
      </c>
      <c r="G20" t="s">
        <v>69</v>
      </c>
      <c r="H20">
        <v>1159</v>
      </c>
      <c r="I20">
        <v>28.975000000000001</v>
      </c>
      <c r="J20">
        <v>29</v>
      </c>
      <c r="K20">
        <v>1187.9749999999999</v>
      </c>
      <c r="L20">
        <v>7</v>
      </c>
      <c r="M20">
        <v>8315.8249999999989</v>
      </c>
      <c r="N20">
        <v>8286.8499999999985</v>
      </c>
    </row>
    <row r="21" spans="1:14">
      <c r="A21" t="s">
        <v>85</v>
      </c>
      <c r="B21">
        <v>45321</v>
      </c>
      <c r="C21" t="s">
        <v>27</v>
      </c>
      <c r="D21" t="s">
        <v>7</v>
      </c>
      <c r="E21">
        <v>852369</v>
      </c>
      <c r="F21" t="s">
        <v>6</v>
      </c>
      <c r="G21" t="s">
        <v>73</v>
      </c>
      <c r="H21">
        <v>1604</v>
      </c>
      <c r="I21">
        <v>40.1</v>
      </c>
      <c r="J21">
        <v>41</v>
      </c>
      <c r="K21">
        <v>1644.1</v>
      </c>
      <c r="L21">
        <v>7</v>
      </c>
      <c r="M21">
        <v>11508.699999999999</v>
      </c>
      <c r="N21">
        <v>11468.599999999999</v>
      </c>
    </row>
    <row r="22" spans="1:14">
      <c r="A22" t="s">
        <v>43</v>
      </c>
      <c r="B22">
        <v>45299</v>
      </c>
      <c r="C22" t="s">
        <v>32</v>
      </c>
      <c r="D22" t="s">
        <v>28</v>
      </c>
      <c r="E22">
        <v>556688</v>
      </c>
      <c r="F22" t="s">
        <v>44</v>
      </c>
      <c r="G22" t="s">
        <v>45</v>
      </c>
      <c r="H22">
        <v>4870</v>
      </c>
      <c r="I22">
        <v>121.75</v>
      </c>
      <c r="J22">
        <v>122</v>
      </c>
      <c r="K22">
        <v>4991.75</v>
      </c>
      <c r="L22">
        <v>7</v>
      </c>
      <c r="M22">
        <v>34942.25</v>
      </c>
      <c r="N22">
        <v>34820.5</v>
      </c>
    </row>
    <row r="23" spans="1:14">
      <c r="A23" t="s">
        <v>39</v>
      </c>
      <c r="B23">
        <v>45297</v>
      </c>
      <c r="C23" t="s">
        <v>23</v>
      </c>
      <c r="D23" t="s">
        <v>7</v>
      </c>
      <c r="E23">
        <v>695425</v>
      </c>
      <c r="F23" t="s">
        <v>8</v>
      </c>
      <c r="G23" t="s">
        <v>40</v>
      </c>
      <c r="H23">
        <v>4487</v>
      </c>
      <c r="I23">
        <v>112.17500000000001</v>
      </c>
      <c r="J23">
        <v>113</v>
      </c>
      <c r="K23">
        <v>4599.1750000000002</v>
      </c>
      <c r="L23">
        <v>7</v>
      </c>
      <c r="M23">
        <v>32194.225000000002</v>
      </c>
      <c r="N23">
        <v>32082.050000000003</v>
      </c>
    </row>
    <row r="24" spans="1:14">
      <c r="A24" t="s">
        <v>35</v>
      </c>
      <c r="B24">
        <v>45296</v>
      </c>
      <c r="C24" t="s">
        <v>9</v>
      </c>
      <c r="D24" t="s">
        <v>36</v>
      </c>
      <c r="E24">
        <v>112285</v>
      </c>
      <c r="F24" t="s">
        <v>6</v>
      </c>
      <c r="G24" t="s">
        <v>37</v>
      </c>
      <c r="H24">
        <v>3577</v>
      </c>
      <c r="I24">
        <v>89.425000000000011</v>
      </c>
      <c r="J24">
        <v>90</v>
      </c>
      <c r="K24">
        <v>3666.4250000000002</v>
      </c>
      <c r="L24">
        <v>8</v>
      </c>
      <c r="M24">
        <v>29331.4</v>
      </c>
      <c r="N24">
        <v>29241.975000000002</v>
      </c>
    </row>
    <row r="25" spans="1:14">
      <c r="A25" t="s">
        <v>31</v>
      </c>
      <c r="B25">
        <v>45295</v>
      </c>
      <c r="C25" t="s">
        <v>32</v>
      </c>
      <c r="D25" t="s">
        <v>33</v>
      </c>
      <c r="E25">
        <v>852369</v>
      </c>
      <c r="F25" t="s">
        <v>6</v>
      </c>
      <c r="G25" t="s">
        <v>34</v>
      </c>
      <c r="H25">
        <v>4970</v>
      </c>
      <c r="I25">
        <v>124.25</v>
      </c>
      <c r="J25">
        <v>125</v>
      </c>
      <c r="K25">
        <v>5094.25</v>
      </c>
      <c r="L25">
        <v>8</v>
      </c>
      <c r="M25">
        <v>40754</v>
      </c>
      <c r="N25">
        <v>40629.75</v>
      </c>
    </row>
    <row r="26" spans="1:14">
      <c r="A26" t="s">
        <v>26</v>
      </c>
      <c r="B26">
        <v>45294</v>
      </c>
      <c r="C26" t="s">
        <v>27</v>
      </c>
      <c r="D26" t="s">
        <v>28</v>
      </c>
      <c r="E26">
        <v>126589</v>
      </c>
      <c r="F26" t="s">
        <v>29</v>
      </c>
      <c r="G26" t="s">
        <v>30</v>
      </c>
      <c r="H26">
        <v>4891</v>
      </c>
      <c r="I26">
        <v>122.27500000000001</v>
      </c>
      <c r="J26">
        <v>123</v>
      </c>
      <c r="K26">
        <v>5013.2749999999996</v>
      </c>
      <c r="L26">
        <v>8</v>
      </c>
      <c r="M26">
        <v>40106.199999999997</v>
      </c>
      <c r="N26">
        <v>39983.924999999996</v>
      </c>
    </row>
    <row r="27" spans="1:14">
      <c r="A27" t="s">
        <v>84</v>
      </c>
      <c r="B27">
        <v>45320</v>
      </c>
      <c r="C27" t="s">
        <v>23</v>
      </c>
      <c r="D27" t="s">
        <v>36</v>
      </c>
      <c r="E27">
        <v>112285</v>
      </c>
      <c r="F27" t="s">
        <v>44</v>
      </c>
      <c r="G27" t="s">
        <v>71</v>
      </c>
      <c r="H27">
        <v>1730</v>
      </c>
      <c r="I27">
        <v>43.25</v>
      </c>
      <c r="J27">
        <v>44</v>
      </c>
      <c r="K27">
        <v>1773.25</v>
      </c>
      <c r="L27">
        <v>8</v>
      </c>
      <c r="M27">
        <v>14186</v>
      </c>
      <c r="N27">
        <v>14142.75</v>
      </c>
    </row>
    <row r="28" spans="1:14">
      <c r="A28" t="s">
        <v>78</v>
      </c>
      <c r="B28">
        <v>45316</v>
      </c>
      <c r="C28" t="s">
        <v>9</v>
      </c>
      <c r="D28" t="s">
        <v>36</v>
      </c>
      <c r="E28">
        <v>695425</v>
      </c>
      <c r="F28" t="s">
        <v>6</v>
      </c>
      <c r="G28" t="s">
        <v>79</v>
      </c>
      <c r="H28">
        <v>1422</v>
      </c>
      <c r="I28">
        <v>35.550000000000004</v>
      </c>
      <c r="J28">
        <v>36</v>
      </c>
      <c r="K28">
        <v>1457.55</v>
      </c>
      <c r="L28">
        <v>8</v>
      </c>
      <c r="M28">
        <v>11660.4</v>
      </c>
      <c r="N28">
        <v>11624.85</v>
      </c>
    </row>
    <row r="29" spans="1:14">
      <c r="A29" t="s">
        <v>60</v>
      </c>
      <c r="B29">
        <v>45307</v>
      </c>
      <c r="C29" t="s">
        <v>27</v>
      </c>
      <c r="D29" t="s">
        <v>24</v>
      </c>
      <c r="E29">
        <v>112285</v>
      </c>
      <c r="F29" t="s">
        <v>6</v>
      </c>
      <c r="G29" t="s">
        <v>61</v>
      </c>
      <c r="H29">
        <v>1698</v>
      </c>
      <c r="I29">
        <v>42.45</v>
      </c>
      <c r="J29">
        <v>43</v>
      </c>
      <c r="K29">
        <v>1740.45</v>
      </c>
      <c r="L29">
        <v>9</v>
      </c>
      <c r="M29">
        <v>15664.050000000001</v>
      </c>
      <c r="N29">
        <v>15621.6</v>
      </c>
    </row>
    <row r="30" spans="1:14">
      <c r="A30" t="s">
        <v>83</v>
      </c>
      <c r="B30">
        <v>45319</v>
      </c>
      <c r="C30" t="s">
        <v>32</v>
      </c>
      <c r="D30" t="s">
        <v>33</v>
      </c>
      <c r="E30">
        <v>126589</v>
      </c>
      <c r="F30" t="s">
        <v>29</v>
      </c>
      <c r="G30" t="s">
        <v>69</v>
      </c>
      <c r="H30">
        <v>3129</v>
      </c>
      <c r="I30">
        <v>78.225000000000009</v>
      </c>
      <c r="J30">
        <v>79</v>
      </c>
      <c r="K30">
        <v>3207.2249999999999</v>
      </c>
      <c r="L30">
        <v>9</v>
      </c>
      <c r="M30">
        <v>28865.024999999998</v>
      </c>
      <c r="N30">
        <v>28786.799999999999</v>
      </c>
    </row>
    <row r="31" spans="1:14">
      <c r="A31" t="s">
        <v>22</v>
      </c>
      <c r="B31">
        <v>45293</v>
      </c>
      <c r="C31" t="s">
        <v>23</v>
      </c>
      <c r="D31" t="s">
        <v>24</v>
      </c>
      <c r="E31">
        <v>556688</v>
      </c>
      <c r="F31" t="s">
        <v>8</v>
      </c>
      <c r="G31" t="s">
        <v>25</v>
      </c>
      <c r="H31">
        <v>4944</v>
      </c>
      <c r="I31">
        <v>123.60000000000001</v>
      </c>
      <c r="J31">
        <v>124</v>
      </c>
      <c r="K31">
        <v>5067.6000000000004</v>
      </c>
      <c r="L31">
        <v>9</v>
      </c>
      <c r="M31">
        <v>45608.4</v>
      </c>
      <c r="N31">
        <v>45484.800000000003</v>
      </c>
    </row>
    <row r="32" spans="1:14">
      <c r="A32" t="s">
        <v>70</v>
      </c>
      <c r="B32">
        <v>45312</v>
      </c>
      <c r="C32" t="s">
        <v>32</v>
      </c>
      <c r="D32" t="s">
        <v>24</v>
      </c>
      <c r="E32">
        <v>852369</v>
      </c>
      <c r="F32" t="s">
        <v>44</v>
      </c>
      <c r="G32" t="s">
        <v>71</v>
      </c>
      <c r="H32">
        <v>1394</v>
      </c>
      <c r="I32">
        <v>34.85</v>
      </c>
      <c r="J32">
        <v>35</v>
      </c>
      <c r="K32">
        <v>1428.85</v>
      </c>
      <c r="L32">
        <v>9</v>
      </c>
      <c r="M32">
        <v>12859.65</v>
      </c>
      <c r="N32">
        <v>12824.8</v>
      </c>
    </row>
    <row r="33" spans="1:14">
      <c r="A33" t="s">
        <v>19</v>
      </c>
      <c r="B33">
        <v>45292</v>
      </c>
      <c r="C33" t="s">
        <v>9</v>
      </c>
      <c r="D33" t="s">
        <v>7</v>
      </c>
      <c r="E33">
        <v>125478</v>
      </c>
      <c r="F33" t="s">
        <v>6</v>
      </c>
      <c r="G33" t="s">
        <v>20</v>
      </c>
      <c r="H33">
        <v>2763</v>
      </c>
      <c r="I33">
        <v>69.075000000000003</v>
      </c>
      <c r="J33">
        <v>70</v>
      </c>
      <c r="K33">
        <v>2832.0749999999998</v>
      </c>
      <c r="L33">
        <v>10</v>
      </c>
      <c r="M33">
        <v>28320.75</v>
      </c>
      <c r="N33">
        <v>28251.674999999999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BD19B-B272-40EF-9A8B-04F83AF67FBF}">
  <dimension ref="B3:Z33"/>
  <sheetViews>
    <sheetView topLeftCell="G8" workbookViewId="0">
      <selection activeCell="J23" sqref="J23"/>
    </sheetView>
  </sheetViews>
  <sheetFormatPr defaultRowHeight="15"/>
  <cols>
    <col min="2" max="2" width="38" bestFit="1" customWidth="1"/>
    <col min="3" max="3" width="19.42578125" bestFit="1" customWidth="1"/>
    <col min="4" max="4" width="21.42578125" bestFit="1" customWidth="1"/>
    <col min="5" max="5" width="26.140625" bestFit="1" customWidth="1"/>
    <col min="6" max="6" width="13.140625" bestFit="1" customWidth="1"/>
    <col min="7" max="7" width="31.7109375" bestFit="1" customWidth="1"/>
    <col min="8" max="15" width="28.28515625" customWidth="1"/>
    <col min="17" max="17" width="24.140625" bestFit="1" customWidth="1"/>
    <col min="18" max="18" width="16.140625" bestFit="1" customWidth="1"/>
    <col min="19" max="19" width="18.85546875" bestFit="1" customWidth="1"/>
    <col min="20" max="20" width="24.42578125" bestFit="1" customWidth="1"/>
    <col min="21" max="21" width="27" bestFit="1" customWidth="1"/>
    <col min="22" max="22" width="26.140625" bestFit="1" customWidth="1"/>
    <col min="23" max="24" width="24.140625" bestFit="1" customWidth="1"/>
    <col min="25" max="25" width="16.140625" bestFit="1" customWidth="1"/>
    <col min="26" max="26" width="24.42578125" bestFit="1" customWidth="1"/>
  </cols>
  <sheetData>
    <row r="3" spans="2:26" ht="24.75">
      <c r="B3" s="123" t="s">
        <v>10</v>
      </c>
      <c r="C3" s="123" t="s">
        <v>11</v>
      </c>
      <c r="D3" s="123" t="s">
        <v>4</v>
      </c>
      <c r="E3" s="123" t="s">
        <v>2</v>
      </c>
      <c r="F3" s="123" t="s">
        <v>12</v>
      </c>
      <c r="G3" s="123" t="s">
        <v>0</v>
      </c>
      <c r="H3" s="123" t="s">
        <v>13</v>
      </c>
      <c r="I3" s="123" t="s">
        <v>14</v>
      </c>
      <c r="J3" s="123" t="s">
        <v>15</v>
      </c>
      <c r="K3" s="123" t="s">
        <v>899</v>
      </c>
      <c r="L3" s="123" t="s">
        <v>900</v>
      </c>
      <c r="M3" s="123" t="s">
        <v>1</v>
      </c>
      <c r="N3" s="123" t="s">
        <v>901</v>
      </c>
      <c r="O3" s="123" t="s">
        <v>902</v>
      </c>
    </row>
    <row r="4" spans="2:26" ht="24">
      <c r="B4" s="124" t="s">
        <v>26</v>
      </c>
      <c r="C4" s="200">
        <v>45294</v>
      </c>
      <c r="D4" s="124" t="s">
        <v>27</v>
      </c>
      <c r="E4" s="124" t="s">
        <v>28</v>
      </c>
      <c r="F4" s="124">
        <v>126589</v>
      </c>
      <c r="G4" s="124" t="s">
        <v>29</v>
      </c>
      <c r="H4" s="124" t="s">
        <v>30</v>
      </c>
      <c r="I4" s="125">
        <v>4891</v>
      </c>
      <c r="J4" s="126">
        <f>I4*2.5%</f>
        <v>122.27500000000001</v>
      </c>
      <c r="K4" s="125">
        <f>ROUNDUP(J4,0)</f>
        <v>123</v>
      </c>
      <c r="L4" s="125">
        <f>I4+J4</f>
        <v>5013.2749999999996</v>
      </c>
      <c r="M4" s="124">
        <v>8</v>
      </c>
      <c r="N4" s="125">
        <f>L4*M4</f>
        <v>40106.199999999997</v>
      </c>
      <c r="O4" s="126">
        <f>N4-J4</f>
        <v>39983.924999999996</v>
      </c>
      <c r="Q4" s="131" t="s">
        <v>4</v>
      </c>
      <c r="R4" s="131" t="s">
        <v>13</v>
      </c>
      <c r="S4" s="132" t="s">
        <v>904</v>
      </c>
      <c r="T4" s="132" t="s">
        <v>905</v>
      </c>
      <c r="U4" s="132" t="s">
        <v>906</v>
      </c>
      <c r="V4" s="132" t="s">
        <v>907</v>
      </c>
      <c r="X4" s="131" t="s">
        <v>4</v>
      </c>
      <c r="Y4" s="131" t="s">
        <v>13</v>
      </c>
      <c r="Z4" s="132" t="s">
        <v>905</v>
      </c>
    </row>
    <row r="5" spans="2:26" ht="24">
      <c r="B5" s="127" t="s">
        <v>41</v>
      </c>
      <c r="C5" s="201">
        <v>45298</v>
      </c>
      <c r="D5" s="127" t="s">
        <v>27</v>
      </c>
      <c r="E5" s="127" t="s">
        <v>24</v>
      </c>
      <c r="F5" s="127">
        <v>125478</v>
      </c>
      <c r="G5" s="127" t="s">
        <v>6</v>
      </c>
      <c r="H5" s="127" t="s">
        <v>42</v>
      </c>
      <c r="I5" s="128">
        <v>1596</v>
      </c>
      <c r="J5" s="129">
        <f>I5*2.5%</f>
        <v>39.900000000000006</v>
      </c>
      <c r="K5" s="128">
        <f>ROUNDUP(J5,0)</f>
        <v>40</v>
      </c>
      <c r="L5" s="128">
        <f>I5+J5</f>
        <v>1635.9</v>
      </c>
      <c r="M5" s="127">
        <v>3</v>
      </c>
      <c r="N5" s="128">
        <f>L5*M5</f>
        <v>4907.7000000000007</v>
      </c>
      <c r="O5" s="129">
        <f>N5-J5</f>
        <v>4867.8000000000011</v>
      </c>
      <c r="Q5" s="132" t="s">
        <v>27</v>
      </c>
      <c r="R5" s="132"/>
      <c r="S5" s="133">
        <v>23081</v>
      </c>
      <c r="T5" s="134">
        <v>55</v>
      </c>
      <c r="U5" s="135">
        <v>144590.65</v>
      </c>
      <c r="V5" s="135">
        <v>577.02500000000009</v>
      </c>
      <c r="X5" s="132" t="s">
        <v>27</v>
      </c>
      <c r="Y5" s="132"/>
      <c r="Z5" s="134">
        <v>55</v>
      </c>
    </row>
    <row r="6" spans="2:26" ht="24">
      <c r="B6" s="127" t="s">
        <v>48</v>
      </c>
      <c r="C6" s="201">
        <v>45301</v>
      </c>
      <c r="D6" s="127" t="s">
        <v>27</v>
      </c>
      <c r="E6" s="127" t="s">
        <v>36</v>
      </c>
      <c r="F6" s="127">
        <v>852369</v>
      </c>
      <c r="G6" s="127" t="s">
        <v>6</v>
      </c>
      <c r="H6" s="127" t="s">
        <v>49</v>
      </c>
      <c r="I6" s="128">
        <v>4296</v>
      </c>
      <c r="J6" s="129">
        <f>I6*2.5%</f>
        <v>107.4</v>
      </c>
      <c r="K6" s="128">
        <f>ROUNDUP(J6,0)</f>
        <v>108</v>
      </c>
      <c r="L6" s="128">
        <f>I6+J6</f>
        <v>4403.3999999999996</v>
      </c>
      <c r="M6" s="127">
        <v>3</v>
      </c>
      <c r="N6" s="128">
        <f>L6*M6</f>
        <v>13210.199999999999</v>
      </c>
      <c r="O6" s="129">
        <f>N6-J6</f>
        <v>13102.8</v>
      </c>
      <c r="Q6" s="132" t="s">
        <v>32</v>
      </c>
      <c r="R6" s="132"/>
      <c r="S6" s="133">
        <v>26869</v>
      </c>
      <c r="T6" s="134">
        <v>46</v>
      </c>
      <c r="U6" s="135">
        <v>173454.25</v>
      </c>
      <c r="V6" s="135">
        <v>671.72500000000002</v>
      </c>
      <c r="X6" s="132" t="s">
        <v>32</v>
      </c>
      <c r="Y6" s="132"/>
      <c r="Z6" s="134">
        <v>46</v>
      </c>
    </row>
    <row r="7" spans="2:26" ht="24">
      <c r="B7" s="127" t="s">
        <v>56</v>
      </c>
      <c r="C7" s="201">
        <v>45305</v>
      </c>
      <c r="D7" s="127" t="s">
        <v>27</v>
      </c>
      <c r="E7" s="127" t="s">
        <v>33</v>
      </c>
      <c r="F7" s="127">
        <v>126589</v>
      </c>
      <c r="G7" s="127" t="s">
        <v>6</v>
      </c>
      <c r="H7" s="127" t="s">
        <v>57</v>
      </c>
      <c r="I7" s="128">
        <v>4187</v>
      </c>
      <c r="J7" s="129">
        <f>I7*2.5%</f>
        <v>104.67500000000001</v>
      </c>
      <c r="K7" s="128">
        <f>ROUNDUP(J7,0)</f>
        <v>105</v>
      </c>
      <c r="L7" s="128">
        <f>I7+J7</f>
        <v>4291.6750000000002</v>
      </c>
      <c r="M7" s="127">
        <v>7</v>
      </c>
      <c r="N7" s="128">
        <f>L7*M7</f>
        <v>30041.725000000002</v>
      </c>
      <c r="O7" s="129">
        <f>N7-J7</f>
        <v>29937.050000000003</v>
      </c>
      <c r="Q7" s="132" t="s">
        <v>9</v>
      </c>
      <c r="R7" s="132"/>
      <c r="S7" s="133">
        <v>13899</v>
      </c>
      <c r="T7" s="134">
        <v>37</v>
      </c>
      <c r="U7" s="135">
        <v>104237.37500000001</v>
      </c>
      <c r="V7" s="135">
        <v>347.47500000000002</v>
      </c>
      <c r="X7" s="132" t="s">
        <v>9</v>
      </c>
      <c r="Y7" s="132"/>
      <c r="Z7" s="134">
        <v>37</v>
      </c>
    </row>
    <row r="8" spans="2:26" ht="24">
      <c r="B8" s="127" t="s">
        <v>60</v>
      </c>
      <c r="C8" s="201">
        <v>45307</v>
      </c>
      <c r="D8" s="127" t="s">
        <v>27</v>
      </c>
      <c r="E8" s="127" t="s">
        <v>24</v>
      </c>
      <c r="F8" s="127">
        <v>112285</v>
      </c>
      <c r="G8" s="127" t="s">
        <v>6</v>
      </c>
      <c r="H8" s="127" t="s">
        <v>61</v>
      </c>
      <c r="I8" s="128">
        <v>1698</v>
      </c>
      <c r="J8" s="129">
        <f>I8*2.5%</f>
        <v>42.45</v>
      </c>
      <c r="K8" s="128">
        <f>ROUNDUP(J8,0)</f>
        <v>43</v>
      </c>
      <c r="L8" s="128">
        <f>I8+J8</f>
        <v>1740.45</v>
      </c>
      <c r="M8" s="127">
        <v>9</v>
      </c>
      <c r="N8" s="128">
        <f>L8*M8</f>
        <v>15664.050000000001</v>
      </c>
      <c r="O8" s="129">
        <f>N8-J8</f>
        <v>15621.6</v>
      </c>
      <c r="Q8" s="132" t="s">
        <v>23</v>
      </c>
      <c r="R8" s="132"/>
      <c r="S8" s="133">
        <v>30795</v>
      </c>
      <c r="T8" s="134">
        <v>47</v>
      </c>
      <c r="U8" s="135">
        <v>166395.32500000001</v>
      </c>
      <c r="V8" s="135">
        <v>769.87500000000011</v>
      </c>
      <c r="X8" s="132" t="s">
        <v>23</v>
      </c>
      <c r="Y8" s="132"/>
      <c r="Z8" s="134">
        <v>47</v>
      </c>
    </row>
    <row r="9" spans="2:26" ht="24">
      <c r="B9" s="127" t="s">
        <v>68</v>
      </c>
      <c r="C9" s="201">
        <v>45311</v>
      </c>
      <c r="D9" s="127" t="s">
        <v>27</v>
      </c>
      <c r="E9" s="127" t="s">
        <v>7</v>
      </c>
      <c r="F9" s="127">
        <v>126589</v>
      </c>
      <c r="G9" s="127" t="s">
        <v>6</v>
      </c>
      <c r="H9" s="127" t="s">
        <v>69</v>
      </c>
      <c r="I9" s="128">
        <v>1159</v>
      </c>
      <c r="J9" s="129">
        <f>I9*2.5%</f>
        <v>28.975000000000001</v>
      </c>
      <c r="K9" s="128">
        <f>ROUNDUP(J9,0)</f>
        <v>29</v>
      </c>
      <c r="L9" s="128">
        <f>I9+J9</f>
        <v>1187.9749999999999</v>
      </c>
      <c r="M9" s="127">
        <v>7</v>
      </c>
      <c r="N9" s="128">
        <f>L9*M9</f>
        <v>8315.8249999999989</v>
      </c>
      <c r="O9" s="129">
        <f>N9-J9</f>
        <v>8286.8499999999985</v>
      </c>
      <c r="Q9" s="132" t="s">
        <v>908</v>
      </c>
      <c r="R9" s="132"/>
      <c r="S9" s="133">
        <v>94644</v>
      </c>
      <c r="T9" s="134">
        <v>185</v>
      </c>
      <c r="U9" s="135">
        <v>588677.60000000009</v>
      </c>
      <c r="V9" s="135">
        <v>2366.1</v>
      </c>
      <c r="X9" s="132" t="s">
        <v>908</v>
      </c>
      <c r="Y9" s="132"/>
      <c r="Z9" s="134">
        <v>185</v>
      </c>
    </row>
    <row r="10" spans="2:26" ht="21">
      <c r="B10" s="127" t="s">
        <v>74</v>
      </c>
      <c r="C10" s="201">
        <v>45314</v>
      </c>
      <c r="D10" s="127" t="s">
        <v>27</v>
      </c>
      <c r="E10" s="127" t="s">
        <v>33</v>
      </c>
      <c r="F10" s="127">
        <v>852369</v>
      </c>
      <c r="G10" s="127" t="s">
        <v>6</v>
      </c>
      <c r="H10" s="127" t="s">
        <v>75</v>
      </c>
      <c r="I10" s="128">
        <v>2097</v>
      </c>
      <c r="J10" s="129">
        <f>I10*2.5%</f>
        <v>52.425000000000004</v>
      </c>
      <c r="K10" s="128">
        <f>ROUNDUP(J10,0)</f>
        <v>53</v>
      </c>
      <c r="L10" s="128">
        <f>I10+J10</f>
        <v>2149.4250000000002</v>
      </c>
      <c r="M10" s="127">
        <v>7</v>
      </c>
      <c r="N10" s="128">
        <f>L10*M10</f>
        <v>15045.975000000002</v>
      </c>
      <c r="O10" s="129">
        <f>N10-J10</f>
        <v>14993.550000000003</v>
      </c>
    </row>
    <row r="11" spans="2:26" ht="21">
      <c r="B11" s="127" t="s">
        <v>82</v>
      </c>
      <c r="C11" s="201">
        <v>45318</v>
      </c>
      <c r="D11" s="127" t="s">
        <v>27</v>
      </c>
      <c r="E11" s="127" t="s">
        <v>28</v>
      </c>
      <c r="F11" s="127">
        <v>556688</v>
      </c>
      <c r="G11" s="127" t="s">
        <v>8</v>
      </c>
      <c r="H11" s="127" t="s">
        <v>67</v>
      </c>
      <c r="I11" s="128">
        <v>1553</v>
      </c>
      <c r="J11" s="129">
        <f>I11*2.5%</f>
        <v>38.825000000000003</v>
      </c>
      <c r="K11" s="128">
        <f>ROUNDUP(J11,0)</f>
        <v>39</v>
      </c>
      <c r="L11" s="128">
        <f>I11+J11</f>
        <v>1591.825</v>
      </c>
      <c r="M11" s="127">
        <v>4</v>
      </c>
      <c r="N11" s="128">
        <f>L11*M11</f>
        <v>6367.3</v>
      </c>
      <c r="O11" s="129">
        <f>N11-J11</f>
        <v>6328.4750000000004</v>
      </c>
    </row>
    <row r="12" spans="2:26" ht="21">
      <c r="B12" s="127" t="s">
        <v>85</v>
      </c>
      <c r="C12" s="201">
        <v>45321</v>
      </c>
      <c r="D12" s="127" t="s">
        <v>27</v>
      </c>
      <c r="E12" s="127" t="s">
        <v>7</v>
      </c>
      <c r="F12" s="127">
        <v>852369</v>
      </c>
      <c r="G12" s="127" t="s">
        <v>6</v>
      </c>
      <c r="H12" s="127" t="s">
        <v>73</v>
      </c>
      <c r="I12" s="128">
        <v>1604</v>
      </c>
      <c r="J12" s="129">
        <f>I12*2.5%</f>
        <v>40.1</v>
      </c>
      <c r="K12" s="128">
        <f>ROUNDUP(J12,0)</f>
        <v>41</v>
      </c>
      <c r="L12" s="128">
        <f>I12+J12</f>
        <v>1644.1</v>
      </c>
      <c r="M12" s="127">
        <v>7</v>
      </c>
      <c r="N12" s="128">
        <f>L12*M12</f>
        <v>11508.699999999999</v>
      </c>
      <c r="O12" s="129">
        <f>N12-J12</f>
        <v>11468.599999999999</v>
      </c>
    </row>
    <row r="13" spans="2:26" ht="21">
      <c r="B13" s="127" t="s">
        <v>31</v>
      </c>
      <c r="C13" s="201">
        <v>45295</v>
      </c>
      <c r="D13" s="127" t="s">
        <v>32</v>
      </c>
      <c r="E13" s="127" t="s">
        <v>33</v>
      </c>
      <c r="F13" s="127">
        <v>852369</v>
      </c>
      <c r="G13" s="127" t="s">
        <v>6</v>
      </c>
      <c r="H13" s="127" t="s">
        <v>34</v>
      </c>
      <c r="I13" s="128">
        <v>4970</v>
      </c>
      <c r="J13" s="129">
        <f>I13*2.5%</f>
        <v>124.25</v>
      </c>
      <c r="K13" s="128">
        <f>ROUNDUP(J13,0)</f>
        <v>125</v>
      </c>
      <c r="L13" s="128">
        <f>I13+J13</f>
        <v>5094.25</v>
      </c>
      <c r="M13" s="127">
        <v>8</v>
      </c>
      <c r="N13" s="128">
        <f>L13*M13</f>
        <v>40754</v>
      </c>
      <c r="O13" s="129">
        <f>N13-J13</f>
        <v>40629.75</v>
      </c>
    </row>
    <row r="14" spans="2:26" ht="21">
      <c r="B14" s="127" t="s">
        <v>43</v>
      </c>
      <c r="C14" s="201">
        <v>45299</v>
      </c>
      <c r="D14" s="127" t="s">
        <v>32</v>
      </c>
      <c r="E14" s="127" t="s">
        <v>28</v>
      </c>
      <c r="F14" s="127">
        <v>556688</v>
      </c>
      <c r="G14" s="127" t="s">
        <v>44</v>
      </c>
      <c r="H14" s="127" t="s">
        <v>45</v>
      </c>
      <c r="I14" s="128">
        <v>4870</v>
      </c>
      <c r="J14" s="129">
        <f>I14*2.5%</f>
        <v>121.75</v>
      </c>
      <c r="K14" s="128">
        <f>ROUNDUP(J14,0)</f>
        <v>122</v>
      </c>
      <c r="L14" s="128">
        <f>I14+J14</f>
        <v>4991.75</v>
      </c>
      <c r="M14" s="127">
        <v>7</v>
      </c>
      <c r="N14" s="128">
        <f>L14*M14</f>
        <v>34942.25</v>
      </c>
      <c r="O14" s="129">
        <f>N14-J14</f>
        <v>34820.5</v>
      </c>
    </row>
    <row r="15" spans="2:26" ht="21">
      <c r="B15" s="127" t="s">
        <v>50</v>
      </c>
      <c r="C15" s="201">
        <v>45302</v>
      </c>
      <c r="D15" s="127" t="s">
        <v>32</v>
      </c>
      <c r="E15" s="127" t="s">
        <v>7</v>
      </c>
      <c r="F15" s="127">
        <v>112285</v>
      </c>
      <c r="G15" s="127" t="s">
        <v>44</v>
      </c>
      <c r="H15" s="127" t="s">
        <v>51</v>
      </c>
      <c r="I15" s="128">
        <v>3604</v>
      </c>
      <c r="J15" s="129">
        <f>I15*2.5%</f>
        <v>90.100000000000009</v>
      </c>
      <c r="K15" s="128">
        <f>ROUNDUP(J15,0)</f>
        <v>91</v>
      </c>
      <c r="L15" s="128">
        <f>I15+J15</f>
        <v>3694.1</v>
      </c>
      <c r="M15" s="127">
        <v>3</v>
      </c>
      <c r="N15" s="128">
        <f>L15*M15</f>
        <v>11082.3</v>
      </c>
      <c r="O15" s="129">
        <f>N15-J15</f>
        <v>10992.199999999999</v>
      </c>
    </row>
    <row r="16" spans="2:26" ht="21">
      <c r="B16" s="127" t="s">
        <v>62</v>
      </c>
      <c r="C16" s="201">
        <v>45308</v>
      </c>
      <c r="D16" s="127" t="s">
        <v>32</v>
      </c>
      <c r="E16" s="127" t="s">
        <v>28</v>
      </c>
      <c r="F16" s="127">
        <v>695425</v>
      </c>
      <c r="G16" s="127" t="s">
        <v>44</v>
      </c>
      <c r="H16" s="127" t="s">
        <v>63</v>
      </c>
      <c r="I16" s="128">
        <v>4380</v>
      </c>
      <c r="J16" s="129">
        <f>I16*2.5%</f>
        <v>109.5</v>
      </c>
      <c r="K16" s="128">
        <f>ROUNDUP(J16,0)</f>
        <v>110</v>
      </c>
      <c r="L16" s="128">
        <f>I16+J16</f>
        <v>4489.5</v>
      </c>
      <c r="M16" s="127">
        <v>5</v>
      </c>
      <c r="N16" s="128">
        <f>L16*M16</f>
        <v>22447.5</v>
      </c>
      <c r="O16" s="129">
        <f>N16-J16</f>
        <v>22338</v>
      </c>
    </row>
    <row r="17" spans="2:15" ht="21">
      <c r="B17" s="127" t="s">
        <v>70</v>
      </c>
      <c r="C17" s="201">
        <v>45312</v>
      </c>
      <c r="D17" s="127" t="s">
        <v>32</v>
      </c>
      <c r="E17" s="127" t="s">
        <v>24</v>
      </c>
      <c r="F17" s="127">
        <v>852369</v>
      </c>
      <c r="G17" s="127" t="s">
        <v>44</v>
      </c>
      <c r="H17" s="127" t="s">
        <v>71</v>
      </c>
      <c r="I17" s="128">
        <v>1394</v>
      </c>
      <c r="J17" s="129">
        <f>I17*2.5%</f>
        <v>34.85</v>
      </c>
      <c r="K17" s="128">
        <f>ROUNDUP(J17,0)</f>
        <v>35</v>
      </c>
      <c r="L17" s="128">
        <f>I17+J17</f>
        <v>1428.85</v>
      </c>
      <c r="M17" s="127">
        <v>9</v>
      </c>
      <c r="N17" s="128">
        <f>L17*M17</f>
        <v>12859.65</v>
      </c>
      <c r="O17" s="129">
        <f>N17-J17</f>
        <v>12824.8</v>
      </c>
    </row>
    <row r="18" spans="2:15" ht="21">
      <c r="B18" s="127" t="s">
        <v>76</v>
      </c>
      <c r="C18" s="201">
        <v>45315</v>
      </c>
      <c r="D18" s="127" t="s">
        <v>32</v>
      </c>
      <c r="E18" s="127" t="s">
        <v>36</v>
      </c>
      <c r="F18" s="127">
        <v>112285</v>
      </c>
      <c r="G18" s="127" t="s">
        <v>44</v>
      </c>
      <c r="H18" s="127" t="s">
        <v>77</v>
      </c>
      <c r="I18" s="128">
        <v>4522</v>
      </c>
      <c r="J18" s="129">
        <f>I18*2.5%</f>
        <v>113.05000000000001</v>
      </c>
      <c r="K18" s="128">
        <f>ROUNDUP(J18,0)</f>
        <v>114</v>
      </c>
      <c r="L18" s="128">
        <f>I18+J18</f>
        <v>4635.05</v>
      </c>
      <c r="M18" s="127">
        <v>5</v>
      </c>
      <c r="N18" s="128">
        <f>L18*M18</f>
        <v>23175.25</v>
      </c>
      <c r="O18" s="129">
        <f>N18-J18</f>
        <v>23062.2</v>
      </c>
    </row>
    <row r="19" spans="2:15" ht="21">
      <c r="B19" s="127" t="s">
        <v>83</v>
      </c>
      <c r="C19" s="201">
        <v>45319</v>
      </c>
      <c r="D19" s="127" t="s">
        <v>32</v>
      </c>
      <c r="E19" s="127" t="s">
        <v>33</v>
      </c>
      <c r="F19" s="127">
        <v>126589</v>
      </c>
      <c r="G19" s="127" t="s">
        <v>29</v>
      </c>
      <c r="H19" s="127" t="s">
        <v>69</v>
      </c>
      <c r="I19" s="128">
        <v>3129</v>
      </c>
      <c r="J19" s="129">
        <f>I19*2.5%</f>
        <v>78.225000000000009</v>
      </c>
      <c r="K19" s="128">
        <f>ROUNDUP(J19,0)</f>
        <v>79</v>
      </c>
      <c r="L19" s="128">
        <f>I19+J19</f>
        <v>3207.2249999999999</v>
      </c>
      <c r="M19" s="127">
        <v>9</v>
      </c>
      <c r="N19" s="128">
        <f>L19*M19</f>
        <v>28865.024999999998</v>
      </c>
      <c r="O19" s="129">
        <f>N19-J19</f>
        <v>28786.799999999999</v>
      </c>
    </row>
    <row r="20" spans="2:15" ht="21">
      <c r="B20" s="127" t="s">
        <v>19</v>
      </c>
      <c r="C20" s="201">
        <v>45292</v>
      </c>
      <c r="D20" s="127" t="s">
        <v>9</v>
      </c>
      <c r="E20" s="127" t="s">
        <v>7</v>
      </c>
      <c r="F20" s="127">
        <v>125478</v>
      </c>
      <c r="G20" s="127" t="s">
        <v>6</v>
      </c>
      <c r="H20" s="127" t="s">
        <v>20</v>
      </c>
      <c r="I20" s="128">
        <v>2763</v>
      </c>
      <c r="J20" s="129">
        <f>I20*2.5%</f>
        <v>69.075000000000003</v>
      </c>
      <c r="K20" s="128">
        <f>ROUNDUP(J20,0)</f>
        <v>70</v>
      </c>
      <c r="L20" s="128">
        <f>I20+J20</f>
        <v>2832.0749999999998</v>
      </c>
      <c r="M20" s="127">
        <v>10</v>
      </c>
      <c r="N20" s="128">
        <f>L20*M20</f>
        <v>28320.75</v>
      </c>
      <c r="O20" s="129">
        <f>N20-J20</f>
        <v>28251.674999999999</v>
      </c>
    </row>
    <row r="21" spans="2:15" ht="21">
      <c r="B21" s="127" t="s">
        <v>35</v>
      </c>
      <c r="C21" s="201">
        <v>45296</v>
      </c>
      <c r="D21" s="127" t="s">
        <v>9</v>
      </c>
      <c r="E21" s="127" t="s">
        <v>36</v>
      </c>
      <c r="F21" s="127">
        <v>112285</v>
      </c>
      <c r="G21" s="127" t="s">
        <v>6</v>
      </c>
      <c r="H21" s="127" t="s">
        <v>37</v>
      </c>
      <c r="I21" s="128">
        <v>3577</v>
      </c>
      <c r="J21" s="129">
        <f>I21*2.5%</f>
        <v>89.425000000000011</v>
      </c>
      <c r="K21" s="128">
        <f>ROUNDUP(J21,0)</f>
        <v>90</v>
      </c>
      <c r="L21" s="128">
        <f>I21+J21</f>
        <v>3666.4250000000002</v>
      </c>
      <c r="M21" s="127">
        <v>8</v>
      </c>
      <c r="N21" s="128">
        <f>L21*M21</f>
        <v>29331.4</v>
      </c>
      <c r="O21" s="129">
        <f>N21-J21</f>
        <v>29241.975000000002</v>
      </c>
    </row>
    <row r="22" spans="2:15" ht="21">
      <c r="B22" s="127" t="s">
        <v>52</v>
      </c>
      <c r="C22" s="201">
        <v>45303</v>
      </c>
      <c r="D22" s="127" t="s">
        <v>9</v>
      </c>
      <c r="E22" s="127" t="s">
        <v>24</v>
      </c>
      <c r="F22" s="127">
        <v>695425</v>
      </c>
      <c r="G22" s="127" t="s">
        <v>6</v>
      </c>
      <c r="H22" s="127" t="s">
        <v>53</v>
      </c>
      <c r="I22" s="128">
        <v>3727</v>
      </c>
      <c r="J22" s="129">
        <f>I22*2.5%</f>
        <v>93.175000000000011</v>
      </c>
      <c r="K22" s="128">
        <f>ROUNDUP(J22,0)</f>
        <v>94</v>
      </c>
      <c r="L22" s="128">
        <f>I22+J22</f>
        <v>3820.1750000000002</v>
      </c>
      <c r="M22" s="127">
        <v>6</v>
      </c>
      <c r="N22" s="128">
        <f>L22*M22</f>
        <v>22921.050000000003</v>
      </c>
      <c r="O22" s="129">
        <f>N22-J22</f>
        <v>22827.875000000004</v>
      </c>
    </row>
    <row r="23" spans="2:15" ht="21">
      <c r="B23" s="127" t="s">
        <v>64</v>
      </c>
      <c r="C23" s="201">
        <v>45309</v>
      </c>
      <c r="D23" s="127" t="s">
        <v>9</v>
      </c>
      <c r="E23" s="127" t="s">
        <v>33</v>
      </c>
      <c r="F23" s="127">
        <v>125478</v>
      </c>
      <c r="G23" s="127" t="s">
        <v>6</v>
      </c>
      <c r="H23" s="127" t="s">
        <v>65</v>
      </c>
      <c r="I23" s="128">
        <v>2410</v>
      </c>
      <c r="J23" s="129">
        <f>I23*2.5%</f>
        <v>60.25</v>
      </c>
      <c r="K23" s="128">
        <f>ROUNDUP(J23,0)</f>
        <v>61</v>
      </c>
      <c r="L23" s="128">
        <f>I23+J23</f>
        <v>2470.25</v>
      </c>
      <c r="M23" s="127">
        <v>5</v>
      </c>
      <c r="N23" s="128">
        <f>L23*M23</f>
        <v>12351.25</v>
      </c>
      <c r="O23" s="129">
        <f>N23-J23</f>
        <v>12291</v>
      </c>
    </row>
    <row r="24" spans="2:15" ht="21">
      <c r="B24" s="127" t="s">
        <v>78</v>
      </c>
      <c r="C24" s="201">
        <v>45316</v>
      </c>
      <c r="D24" s="127" t="s">
        <v>9</v>
      </c>
      <c r="E24" s="127" t="s">
        <v>36</v>
      </c>
      <c r="F24" s="127">
        <v>695425</v>
      </c>
      <c r="G24" s="127" t="s">
        <v>6</v>
      </c>
      <c r="H24" s="127" t="s">
        <v>79</v>
      </c>
      <c r="I24" s="128">
        <v>1422</v>
      </c>
      <c r="J24" s="129">
        <f>I24*2.5%</f>
        <v>35.550000000000004</v>
      </c>
      <c r="K24" s="128">
        <f>ROUNDUP(J24,0)</f>
        <v>36</v>
      </c>
      <c r="L24" s="128">
        <f>I24+J24</f>
        <v>1457.55</v>
      </c>
      <c r="M24" s="127">
        <v>8</v>
      </c>
      <c r="N24" s="128">
        <f>L24*M24</f>
        <v>11660.4</v>
      </c>
      <c r="O24" s="129">
        <f>N24-J24</f>
        <v>11624.85</v>
      </c>
    </row>
    <row r="25" spans="2:15" ht="21">
      <c r="B25" s="127" t="s">
        <v>22</v>
      </c>
      <c r="C25" s="201">
        <v>45293</v>
      </c>
      <c r="D25" s="127" t="s">
        <v>23</v>
      </c>
      <c r="E25" s="127" t="s">
        <v>24</v>
      </c>
      <c r="F25" s="127">
        <v>556688</v>
      </c>
      <c r="G25" s="127" t="s">
        <v>8</v>
      </c>
      <c r="H25" s="127" t="s">
        <v>25</v>
      </c>
      <c r="I25" s="128">
        <v>4944</v>
      </c>
      <c r="J25" s="129">
        <f>I25*2.5%</f>
        <v>123.60000000000001</v>
      </c>
      <c r="K25" s="128">
        <f>ROUNDUP(J25,0)</f>
        <v>124</v>
      </c>
      <c r="L25" s="128">
        <f>I25+J25</f>
        <v>5067.6000000000004</v>
      </c>
      <c r="M25" s="127">
        <v>9</v>
      </c>
      <c r="N25" s="128">
        <f>L25*M25</f>
        <v>45608.4</v>
      </c>
      <c r="O25" s="129">
        <f>N25-J25</f>
        <v>45484.800000000003</v>
      </c>
    </row>
    <row r="26" spans="2:15" ht="21">
      <c r="B26" s="127" t="s">
        <v>39</v>
      </c>
      <c r="C26" s="201">
        <v>45297</v>
      </c>
      <c r="D26" s="127" t="s">
        <v>23</v>
      </c>
      <c r="E26" s="127" t="s">
        <v>7</v>
      </c>
      <c r="F26" s="127">
        <v>695425</v>
      </c>
      <c r="G26" s="127" t="s">
        <v>8</v>
      </c>
      <c r="H26" s="127" t="s">
        <v>40</v>
      </c>
      <c r="I26" s="128">
        <v>4487</v>
      </c>
      <c r="J26" s="129">
        <f>I26*2.5%</f>
        <v>112.17500000000001</v>
      </c>
      <c r="K26" s="128">
        <f>ROUNDUP(J26,0)</f>
        <v>113</v>
      </c>
      <c r="L26" s="128">
        <f>I26+J26</f>
        <v>4599.1750000000002</v>
      </c>
      <c r="M26" s="127">
        <v>7</v>
      </c>
      <c r="N26" s="128">
        <f>L26*M26</f>
        <v>32194.225000000002</v>
      </c>
      <c r="O26" s="129">
        <f>N26-J26</f>
        <v>32082.050000000003</v>
      </c>
    </row>
    <row r="27" spans="2:15" ht="21">
      <c r="B27" s="127" t="s">
        <v>46</v>
      </c>
      <c r="C27" s="201">
        <v>45300</v>
      </c>
      <c r="D27" s="127" t="s">
        <v>23</v>
      </c>
      <c r="E27" s="127" t="s">
        <v>33</v>
      </c>
      <c r="F27" s="127">
        <v>126589</v>
      </c>
      <c r="G27" s="127" t="s">
        <v>8</v>
      </c>
      <c r="H27" s="127" t="s">
        <v>47</v>
      </c>
      <c r="I27" s="128">
        <v>2381</v>
      </c>
      <c r="J27" s="129">
        <f>I27*2.5%</f>
        <v>59.525000000000006</v>
      </c>
      <c r="K27" s="128">
        <f>ROUNDUP(J27,0)</f>
        <v>60</v>
      </c>
      <c r="L27" s="128">
        <f>I27+J27</f>
        <v>2440.5250000000001</v>
      </c>
      <c r="M27" s="127">
        <v>5</v>
      </c>
      <c r="N27" s="128">
        <f>L27*M27</f>
        <v>12202.625</v>
      </c>
      <c r="O27" s="129">
        <f>N27-J27</f>
        <v>12143.1</v>
      </c>
    </row>
    <row r="28" spans="2:15" ht="21">
      <c r="B28" s="127" t="s">
        <v>54</v>
      </c>
      <c r="C28" s="201">
        <v>45304</v>
      </c>
      <c r="D28" s="127" t="s">
        <v>23</v>
      </c>
      <c r="E28" s="127" t="s">
        <v>28</v>
      </c>
      <c r="F28" s="127">
        <v>556688</v>
      </c>
      <c r="G28" s="127" t="s">
        <v>8</v>
      </c>
      <c r="H28" s="127" t="s">
        <v>55</v>
      </c>
      <c r="I28" s="128">
        <v>4156</v>
      </c>
      <c r="J28" s="129">
        <f>I28*2.5%</f>
        <v>103.9</v>
      </c>
      <c r="K28" s="128">
        <f>ROUNDUP(J28,0)</f>
        <v>104</v>
      </c>
      <c r="L28" s="128">
        <f>I28+J28</f>
        <v>4259.8999999999996</v>
      </c>
      <c r="M28" s="127">
        <v>3</v>
      </c>
      <c r="N28" s="128">
        <f>L28*M28</f>
        <v>12779.699999999999</v>
      </c>
      <c r="O28" s="129">
        <f>N28-J28</f>
        <v>12675.8</v>
      </c>
    </row>
    <row r="29" spans="2:15" ht="21">
      <c r="B29" s="127" t="s">
        <v>58</v>
      </c>
      <c r="C29" s="201">
        <v>45306</v>
      </c>
      <c r="D29" s="127" t="s">
        <v>23</v>
      </c>
      <c r="E29" s="127" t="s">
        <v>36</v>
      </c>
      <c r="F29" s="127">
        <v>852369</v>
      </c>
      <c r="G29" s="127" t="s">
        <v>8</v>
      </c>
      <c r="H29" s="127" t="s">
        <v>59</v>
      </c>
      <c r="I29" s="128">
        <v>3685</v>
      </c>
      <c r="J29" s="129">
        <f>I29*2.5%</f>
        <v>92.125</v>
      </c>
      <c r="K29" s="128">
        <f>ROUNDUP(J29,0)</f>
        <v>93</v>
      </c>
      <c r="L29" s="128">
        <f>I29+J29</f>
        <v>3777.125</v>
      </c>
      <c r="M29" s="127">
        <v>6</v>
      </c>
      <c r="N29" s="128">
        <f>L29*M29</f>
        <v>22662.75</v>
      </c>
      <c r="O29" s="129">
        <f>N29-J29</f>
        <v>22570.625</v>
      </c>
    </row>
    <row r="30" spans="2:15" ht="21">
      <c r="B30" s="127" t="s">
        <v>66</v>
      </c>
      <c r="C30" s="201">
        <v>45310</v>
      </c>
      <c r="D30" s="127" t="s">
        <v>23</v>
      </c>
      <c r="E30" s="127" t="s">
        <v>36</v>
      </c>
      <c r="F30" s="127">
        <v>556688</v>
      </c>
      <c r="G30" s="127" t="s">
        <v>8</v>
      </c>
      <c r="H30" s="127" t="s">
        <v>67</v>
      </c>
      <c r="I30" s="128">
        <v>2390</v>
      </c>
      <c r="J30" s="129">
        <f>I30*2.5%</f>
        <v>59.75</v>
      </c>
      <c r="K30" s="128">
        <f>ROUNDUP(J30,0)</f>
        <v>60</v>
      </c>
      <c r="L30" s="128">
        <f>I30+J30</f>
        <v>2449.75</v>
      </c>
      <c r="M30" s="127">
        <v>3</v>
      </c>
      <c r="N30" s="128">
        <f>L30*M30</f>
        <v>7349.25</v>
      </c>
      <c r="O30" s="129">
        <f>N30-J30</f>
        <v>7289.5</v>
      </c>
    </row>
    <row r="31" spans="2:15" ht="21">
      <c r="B31" s="127" t="s">
        <v>72</v>
      </c>
      <c r="C31" s="201">
        <v>45313</v>
      </c>
      <c r="D31" s="127" t="s">
        <v>23</v>
      </c>
      <c r="E31" s="127" t="s">
        <v>28</v>
      </c>
      <c r="F31" s="127">
        <v>112285</v>
      </c>
      <c r="G31" s="127" t="s">
        <v>8</v>
      </c>
      <c r="H31" s="127" t="s">
        <v>73</v>
      </c>
      <c r="I31" s="128">
        <v>2823</v>
      </c>
      <c r="J31" s="129">
        <f>I31*2.5%</f>
        <v>70.575000000000003</v>
      </c>
      <c r="K31" s="128">
        <f>ROUNDUP(J31,0)</f>
        <v>71</v>
      </c>
      <c r="L31" s="128">
        <f>I31+J31</f>
        <v>2893.5749999999998</v>
      </c>
      <c r="M31" s="127">
        <v>4</v>
      </c>
      <c r="N31" s="128">
        <f>L31*M31</f>
        <v>11574.3</v>
      </c>
      <c r="O31" s="129">
        <f>N31-J31</f>
        <v>11503.724999999999</v>
      </c>
    </row>
    <row r="32" spans="2:15" ht="21">
      <c r="B32" s="127" t="s">
        <v>80</v>
      </c>
      <c r="C32" s="201">
        <v>45317</v>
      </c>
      <c r="D32" s="127" t="s">
        <v>23</v>
      </c>
      <c r="E32" s="127" t="s">
        <v>24</v>
      </c>
      <c r="F32" s="127">
        <v>125478</v>
      </c>
      <c r="G32" s="127" t="s">
        <v>8</v>
      </c>
      <c r="H32" s="127" t="s">
        <v>81</v>
      </c>
      <c r="I32" s="128">
        <v>4199</v>
      </c>
      <c r="J32" s="129">
        <f>I32*2.5%</f>
        <v>104.97500000000001</v>
      </c>
      <c r="K32" s="128">
        <f>ROUNDUP(J32,0)</f>
        <v>105</v>
      </c>
      <c r="L32" s="128">
        <f>I32+J32</f>
        <v>4303.9750000000004</v>
      </c>
      <c r="M32" s="127">
        <v>2</v>
      </c>
      <c r="N32" s="128">
        <f>L32*M32</f>
        <v>8607.9500000000007</v>
      </c>
      <c r="O32" s="129">
        <f>N32-J32</f>
        <v>8502.9750000000004</v>
      </c>
    </row>
    <row r="33" spans="2:15" ht="21">
      <c r="B33" s="127" t="s">
        <v>84</v>
      </c>
      <c r="C33" s="201">
        <v>45320</v>
      </c>
      <c r="D33" s="127" t="s">
        <v>23</v>
      </c>
      <c r="E33" s="127" t="s">
        <v>36</v>
      </c>
      <c r="F33" s="127">
        <v>112285</v>
      </c>
      <c r="G33" s="127" t="s">
        <v>44</v>
      </c>
      <c r="H33" s="127" t="s">
        <v>71</v>
      </c>
      <c r="I33" s="128">
        <v>1730</v>
      </c>
      <c r="J33" s="129">
        <f>I33*2.5%</f>
        <v>43.25</v>
      </c>
      <c r="K33" s="128">
        <f>ROUNDUP(J33,0)</f>
        <v>44</v>
      </c>
      <c r="L33" s="128">
        <f>I33+J33</f>
        <v>1773.25</v>
      </c>
      <c r="M33" s="127">
        <v>8</v>
      </c>
      <c r="N33" s="128">
        <f>L33*M33</f>
        <v>14186</v>
      </c>
      <c r="O33" s="129">
        <f>N33-J33</f>
        <v>14142.75</v>
      </c>
    </row>
  </sheetData>
  <autoFilter ref="B3:O33" xr:uid="{9E7BD19B-B272-40EF-9A8B-04F83AF67FBF}">
    <sortState xmlns:xlrd2="http://schemas.microsoft.com/office/spreadsheetml/2017/richdata2" ref="B4:O33">
      <sortCondition sortBy="cellColor" ref="I4:I33" dxfId="0"/>
    </sortState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EBEDD-646B-4B60-83DB-9803C1579215}">
  <dimension ref="A1"/>
  <sheetViews>
    <sheetView showGridLines="0" topLeftCell="D21" workbookViewId="0">
      <selection activeCell="L38" sqref="L38"/>
    </sheetView>
  </sheetViews>
  <sheetFormatPr defaultRowHeight="15"/>
  <cols>
    <col min="1" max="16384" width="9.140625" style="198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2024-12-03T07:28:19Z</dcterms:created>
  <dcterms:modified xsi:type="dcterms:W3CDTF">2025-03-26T08:09:23Z</dcterms:modified>
  <cp:category/>
  <cp:contentStatus/>
</cp:coreProperties>
</file>