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Z:\CPNP\Pete\ENVIRONMENTAL SUSTAINABILITY\OTHER PROJECTS\LEAP\PAPERS\EPIC OXFORD 2\NATURE FOOD SUBMISSION_JUN2022\FINAL REVIEW AND PROOFS\"/>
    </mc:Choice>
  </mc:AlternateContent>
  <xr:revisionPtr revIDLastSave="0" documentId="13_ncr:1_{2017490F-A2E2-46C7-A91E-0B9350CBA45E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C86" i="1" l="1"/>
  <c r="C87" i="1"/>
  <c r="C89" i="1"/>
  <c r="C90" i="1"/>
  <c r="C85" i="1"/>
  <c r="AA68" i="1" l="1"/>
  <c r="AA69" i="1"/>
  <c r="AA70" i="1"/>
  <c r="AA71" i="1"/>
  <c r="AA72" i="1"/>
  <c r="AA67" i="1"/>
  <c r="W68" i="1"/>
  <c r="W69" i="1"/>
  <c r="W70" i="1"/>
  <c r="W71" i="1"/>
  <c r="W72" i="1"/>
  <c r="W67" i="1"/>
  <c r="S68" i="1"/>
  <c r="S69" i="1"/>
  <c r="S70" i="1"/>
  <c r="S71" i="1"/>
  <c r="S72" i="1"/>
  <c r="S67" i="1"/>
  <c r="O68" i="1"/>
  <c r="O69" i="1"/>
  <c r="O70" i="1"/>
  <c r="O71" i="1"/>
  <c r="O72" i="1"/>
  <c r="O67" i="1"/>
  <c r="I24" i="1" l="1"/>
  <c r="I52" i="1" s="1"/>
  <c r="I23" i="1"/>
  <c r="I34" i="1"/>
  <c r="B23" i="1"/>
  <c r="B24" i="1"/>
  <c r="I53" i="1" l="1"/>
  <c r="I38" i="1"/>
  <c r="I43" i="1" s="1"/>
  <c r="I42" i="1" s="1"/>
  <c r="I46" i="1" s="1"/>
  <c r="I51" i="1"/>
  <c r="B53" i="1"/>
  <c r="B52" i="1"/>
  <c r="B51" i="1"/>
  <c r="B34" i="1"/>
  <c r="B38" i="1"/>
  <c r="I56" i="1" l="1"/>
  <c r="I47" i="1"/>
  <c r="B67" i="1"/>
  <c r="C67" i="1" s="1"/>
  <c r="B68" i="1"/>
  <c r="B43" i="1"/>
  <c r="B42" i="1" s="1"/>
  <c r="B69" i="1"/>
  <c r="I54" i="1"/>
  <c r="I55" i="1"/>
  <c r="F68" i="1" l="1"/>
  <c r="D68" i="1"/>
  <c r="E68" i="1"/>
  <c r="C68" i="1"/>
  <c r="F67" i="1"/>
  <c r="D67" i="1"/>
  <c r="E67" i="1"/>
  <c r="F69" i="1"/>
  <c r="D69" i="1"/>
  <c r="E69" i="1"/>
  <c r="C69" i="1"/>
  <c r="B55" i="1"/>
  <c r="B71" i="1" s="1"/>
  <c r="B47" i="1"/>
  <c r="B56" i="1"/>
  <c r="B72" i="1" s="1"/>
  <c r="B54" i="1"/>
  <c r="B70" i="1" s="1"/>
  <c r="B46" i="1"/>
  <c r="B88" i="1" l="1"/>
  <c r="C88" i="1" s="1"/>
  <c r="C91" i="1" s="1"/>
  <c r="C92" i="1" s="1"/>
  <c r="F70" i="1"/>
  <c r="D70" i="1"/>
  <c r="E70" i="1"/>
  <c r="C70" i="1"/>
  <c r="B73" i="1"/>
  <c r="E72" i="1"/>
  <c r="C72" i="1"/>
  <c r="F72" i="1"/>
  <c r="D72" i="1"/>
  <c r="E71" i="1"/>
  <c r="C71" i="1"/>
  <c r="D71" i="1"/>
  <c r="F71" i="1"/>
  <c r="F73" i="1" l="1"/>
  <c r="F76" i="1" s="1"/>
  <c r="E73" i="1"/>
  <c r="E76" i="1" s="1"/>
  <c r="D73" i="1"/>
  <c r="D76" i="1" s="1"/>
  <c r="C73" i="1"/>
  <c r="C76" i="1" s="1"/>
  <c r="C94" i="1" l="1"/>
</calcChain>
</file>

<file path=xl/sharedStrings.xml><?xml version="1.0" encoding="utf-8"?>
<sst xmlns="http://schemas.openxmlformats.org/spreadsheetml/2006/main" count="359" uniqueCount="93">
  <si>
    <t>Vegan Society poll 2016</t>
  </si>
  <si>
    <t>n = 9933, adults aged 15+ in Great Britain</t>
  </si>
  <si>
    <t>% vegan (self-identify)</t>
  </si>
  <si>
    <t>% vegetarian (self-identify as never eating meat, but eating animal products)</t>
  </si>
  <si>
    <t>National Diet and Nutrition Survey, years 9-11 (2016/17 - 2018/2019)</t>
  </si>
  <si>
    <t>Adults aged 19-64, inc. non-consumers</t>
  </si>
  <si>
    <t>Mean meat (g/d)</t>
  </si>
  <si>
    <t>Median mean (g/d)</t>
  </si>
  <si>
    <t>SD</t>
  </si>
  <si>
    <t>2.5th percentile</t>
  </si>
  <si>
    <t>97.5th percentile</t>
  </si>
  <si>
    <t>Mean is larger than median, so assume lognormal distribution</t>
  </si>
  <si>
    <t>Shape parameter</t>
  </si>
  <si>
    <t>Scale parameter</t>
  </si>
  <si>
    <t>Variance</t>
  </si>
  <si>
    <t>50th percentile</t>
  </si>
  <si>
    <t>Not far off</t>
  </si>
  <si>
    <t>Vegans</t>
  </si>
  <si>
    <t>Vegetarians</t>
  </si>
  <si>
    <t>Fish eaters</t>
  </si>
  <si>
    <t>Low meat eaters</t>
  </si>
  <si>
    <t>Medium meat eaters</t>
  </si>
  <si>
    <t>High meat eaters</t>
  </si>
  <si>
    <t>15-64 year olds</t>
  </si>
  <si>
    <t>65+</t>
  </si>
  <si>
    <t>Adults aged 65+, inc. non-consumers</t>
  </si>
  <si>
    <t>Estimated % population in each group, 19-64 year olds</t>
  </si>
  <si>
    <t>Estimated % population in each group, 65+</t>
  </si>
  <si>
    <t>19-64</t>
  </si>
  <si>
    <t>All adults, 2019</t>
  </si>
  <si>
    <t>ONS population estimates, 2019 from https://www.ons.gov.uk/peoplepopulationandcommunity/populationandmigration/populationestimates/articles/overviewoftheukpopulation/january2021</t>
  </si>
  <si>
    <t>Adult population by diet group</t>
  </si>
  <si>
    <t>Pop</t>
  </si>
  <si>
    <t>TOTAL</t>
  </si>
  <si>
    <t>Annual impact</t>
  </si>
  <si>
    <t>GHG</t>
  </si>
  <si>
    <t>Land use</t>
  </si>
  <si>
    <t>Water use</t>
  </si>
  <si>
    <t>Eutrophication</t>
  </si>
  <si>
    <t>Diet group</t>
  </si>
  <si>
    <t>N</t>
  </si>
  <si>
    <t>Mean</t>
  </si>
  <si>
    <t>LCI</t>
  </si>
  <si>
    <t>UCI</t>
  </si>
  <si>
    <t>SEM</t>
  </si>
  <si>
    <t>Vegan</t>
  </si>
  <si>
    <t>Vegetarian</t>
  </si>
  <si>
    <t>MTCO2e</t>
  </si>
  <si>
    <t>Scenario: All meat eaters move to low meat eater category</t>
  </si>
  <si>
    <t>Reduction in GHG emissions</t>
  </si>
  <si>
    <t>Calculation of 8M car comparison</t>
  </si>
  <si>
    <t>This document provides the calculation for the claim "Eating less meat like taking 8m cars off road". This was the headline of a BBC article on 20/07/2023, which can be found here: https://www.bbc.co.uk/news/science-environment-66238584</t>
  </si>
  <si>
    <t>This headline statistic was provided by Prof Peter Scarborough (Oxford University) in an interview with Pallab Ghosh (Science Correspondent of the BBC). The statistic is based on a scenario analysis, where the annual greenhouse gas (GHG) emissions</t>
  </si>
  <si>
    <t>of the UK adult population are calculated, and then compared with the annual GHG emissions if all meat eaters in the country reduced their consumption to less than 50g per day.</t>
  </si>
  <si>
    <t>The data supporting this calculaton are from the paper cited below, which can be accessed here: https://www.nature.com/articles/s43016-023-00795-w</t>
  </si>
  <si>
    <t>Scarborough, P., Clark, M., Cobiac, L. et al. Vegans, vegetarians, fish-eaters and meat-eaters in the UK show discrepant environmental impacts. Nat Food (2023). https://doi.org/10.1038/s43016-023-00795-w</t>
  </si>
  <si>
    <t>Step 1</t>
  </si>
  <si>
    <t>Estimate the number of adults in the UK by six diet groups (vegans, vegetarians, fish-eaters, low meat-eaters (&lt;50g/d), medium meat-eaters (50-100g/d), high meat eaters (&gt;100g/d))</t>
  </si>
  <si>
    <t>Step 2</t>
  </si>
  <si>
    <t>The calculation follows four steps:</t>
  </si>
  <si>
    <t>Estimate the annual GHG emissions of the UK adult population by applying daily rates for each of these groups</t>
  </si>
  <si>
    <t>Step 3</t>
  </si>
  <si>
    <t>Estimate the annual GHG emissions in a scenario, where all medium-meat eaters and high-meat eaters move to the low meat-eater group</t>
  </si>
  <si>
    <t>Step 4</t>
  </si>
  <si>
    <t>Calculate the number of cars that would produce the same amount of GHG emissions as the difference between step 2 and step 3.</t>
  </si>
  <si>
    <t>Please note that throughout the analyses the GWP100 scale is used for dietary GHG emissions.</t>
  </si>
  <si>
    <t>Source: Ipsos Mori. Poll conducted for the Vegan Society. Incidence of vegans research. Ipsos Mori: London, 2016. Available at https://www.ipsos.com/ipsos-mori/en-uk/vegan-society-poll. Accessed June 2021.</t>
  </si>
  <si>
    <t>Source: Public Health England (PHE). National Diet and Nutrition Survey. Rolling programme years 9 to 11 (2016/17 to 2018/19). PHE: London. 2020. Available at https://assets.publishing.service.gov.uk/government/uploads/system/uploads/attachment_data/file/943114/NDNS_UK_Y9-11_report.pdf Accessed June 2021.</t>
  </si>
  <si>
    <t>Convert the mean from NDNS to meat consumers only. 50th, 75th percentile and SD barely change</t>
  </si>
  <si>
    <t>To estimate the percentage of the population in the low-meat, medium-meat and high-meat eating categories, need to estimate the distribution of meat consumption in the meat consumers.</t>
  </si>
  <si>
    <t>Check fit against 50th (cell B30) and 97.5th percentile (cell B33):</t>
  </si>
  <si>
    <t>Check fit against 50th percentile (cell I30) and 97.5th percentile (cell I33):</t>
  </si>
  <si>
    <t>NB: Half of vegetarians assumed to be fish eaters</t>
  </si>
  <si>
    <t>Use this distribution to estimate the percentage of adults in each diet group</t>
  </si>
  <si>
    <t>Number of adults</t>
  </si>
  <si>
    <t>NB: Results for other environmental impacts are provided, but not used for this calculation</t>
  </si>
  <si>
    <t>GHG (kgCO2e/d)</t>
  </si>
  <si>
    <t>Land use (m2/d)</t>
  </si>
  <si>
    <t>Water use (m3/d)</t>
  </si>
  <si>
    <t>Eutrophication (gPO4e/d)</t>
  </si>
  <si>
    <t>Convert to more reasonable units</t>
  </si>
  <si>
    <t>MTCO2e/year</t>
  </si>
  <si>
    <t>km2/year</t>
  </si>
  <si>
    <t>km3/year</t>
  </si>
  <si>
    <t>kTPO4e/year</t>
  </si>
  <si>
    <t>So adult UK population produces 146MTCO2e per year from diet</t>
  </si>
  <si>
    <t>Population</t>
  </si>
  <si>
    <t>GHG emissions</t>
  </si>
  <si>
    <t>To be conservative, assume that cars are very polluting. So assume average mileage of 15,000 per year, and 15 years old</t>
  </si>
  <si>
    <t>2008 Ford Mondeo, 1.6 L engine, 15,000 miles</t>
  </si>
  <si>
    <t>GHG emissions (T)</t>
  </si>
  <si>
    <t>Source: https://www.carbonfootprint.com/calculator.aspx</t>
  </si>
  <si>
    <t>Number of cars equivalent to change of diet in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</si>
</sst>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0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10" fontId="0" fillId="0" borderId="0" xfId="1" applyNumberFormat="1" applyFont="1"/>
    <xf numFmtId="0" fontId="1" fillId="0" borderId="0" xfId="0" applyFont="1" applyAlignment="1">
      <alignment horizontal="right"/>
    </xf>
    <xf numFmtId="43" fontId="0" fillId="0" borderId="0" xfId="2" applyFont="1"/>
    <xf numFmtId="0" fontId="0" fillId="0" borderId="0" xfId="0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10" fontId="0" fillId="3" borderId="0" xfId="0" applyNumberFormat="1" applyFill="1"/>
    <xf numFmtId="2" fontId="0" fillId="3" borderId="0" xfId="0" applyNumberFormat="1" applyFill="1"/>
    <xf numFmtId="2" fontId="2" fillId="3" borderId="0" xfId="0" applyNumberFormat="1" applyFont="1" applyFill="1"/>
    <xf numFmtId="164" fontId="0" fillId="3" borderId="0" xfId="1" applyNumberFormat="1" applyFont="1" applyFill="1"/>
    <xf numFmtId="166" fontId="0" fillId="3" borderId="0" xfId="2" applyNumberFormat="1" applyFont="1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ont="1" applyFill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43" fontId="0" fillId="4" borderId="0" xfId="2" applyFont="1" applyFill="1"/>
    <xf numFmtId="166" fontId="0" fillId="4" borderId="0" xfId="2" applyNumberFormat="1" applyFont="1" applyFill="1"/>
    <xf numFmtId="165" fontId="0" fillId="4" borderId="5" xfId="0" applyNumberFormat="1" applyFill="1" applyBorder="1"/>
    <xf numFmtId="165" fontId="0" fillId="4" borderId="0" xfId="0" applyNumberFormat="1" applyFill="1" applyBorder="1"/>
    <xf numFmtId="165" fontId="0" fillId="4" borderId="6" xfId="0" applyNumberFormat="1" applyFill="1" applyBorder="1"/>
    <xf numFmtId="2" fontId="0" fillId="4" borderId="5" xfId="0" applyNumberFormat="1" applyFill="1" applyBorder="1"/>
    <xf numFmtId="2" fontId="0" fillId="4" borderId="0" xfId="0" applyNumberFormat="1" applyFill="1" applyBorder="1"/>
    <xf numFmtId="2" fontId="0" fillId="4" borderId="6" xfId="0" applyNumberFormat="1" applyFill="1" applyBorder="1"/>
    <xf numFmtId="165" fontId="0" fillId="4" borderId="7" xfId="0" applyNumberFormat="1" applyFill="1" applyBorder="1"/>
    <xf numFmtId="165" fontId="0" fillId="4" borderId="8" xfId="0" applyNumberFormat="1" applyFill="1" applyBorder="1"/>
    <xf numFmtId="165" fontId="0" fillId="4" borderId="1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1" xfId="0" applyNumberFormat="1" applyFill="1" applyBorder="1"/>
    <xf numFmtId="43" fontId="1" fillId="4" borderId="0" xfId="2" applyFont="1" applyFill="1"/>
    <xf numFmtId="166" fontId="1" fillId="4" borderId="0" xfId="2" applyNumberFormat="1" applyFont="1" applyFill="1"/>
    <xf numFmtId="0" fontId="1" fillId="5" borderId="0" xfId="0" applyFont="1" applyFill="1"/>
    <xf numFmtId="0" fontId="0" fillId="5" borderId="0" xfId="0" applyFill="1"/>
    <xf numFmtId="166" fontId="0" fillId="5" borderId="0" xfId="2" applyNumberFormat="1" applyFont="1" applyFill="1"/>
    <xf numFmtId="166" fontId="1" fillId="5" borderId="0" xfId="2" applyNumberFormat="1" applyFont="1" applyFill="1"/>
    <xf numFmtId="0" fontId="1" fillId="5" borderId="0" xfId="0" applyFont="1" applyFill="1" applyAlignment="1">
      <alignment horizontal="right"/>
    </xf>
    <xf numFmtId="2" fontId="0" fillId="5" borderId="0" xfId="0" applyNumberForma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66" fontId="0" fillId="2" borderId="0" xfId="2" applyNumberFormat="1" applyFont="1" applyFill="1"/>
    <xf numFmtId="0" fontId="0" fillId="2" borderId="0" xfId="0" applyFill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"/>
  <sheetViews>
    <sheetView tabSelected="1" workbookViewId="0">
      <selection activeCell="D103" sqref="D103"/>
    </sheetView>
  </sheetViews>
  <sheetFormatPr defaultRowHeight="15" x14ac:dyDescent="0.25"/>
  <cols>
    <col min="1" max="1" width="20.140625" customWidth="1"/>
    <col min="2" max="2" width="14.28515625" bestFit="1" customWidth="1"/>
    <col min="3" max="4" width="19" bestFit="1" customWidth="1"/>
    <col min="5" max="5" width="21.7109375" bestFit="1" customWidth="1"/>
    <col min="6" max="6" width="19" bestFit="1" customWidth="1"/>
    <col min="10" max="10" width="17" customWidth="1"/>
    <col min="22" max="22" width="12.42578125" customWidth="1"/>
  </cols>
  <sheetData>
    <row r="1" spans="1:2" x14ac:dyDescent="0.25">
      <c r="A1" s="2" t="s">
        <v>50</v>
      </c>
    </row>
    <row r="2" spans="1:2" x14ac:dyDescent="0.25">
      <c r="A2" s="3"/>
    </row>
    <row r="3" spans="1:2" x14ac:dyDescent="0.25">
      <c r="A3" s="3" t="s">
        <v>51</v>
      </c>
    </row>
    <row r="4" spans="1:2" x14ac:dyDescent="0.25">
      <c r="A4" s="3" t="s">
        <v>52</v>
      </c>
    </row>
    <row r="5" spans="1:2" x14ac:dyDescent="0.25">
      <c r="A5" s="3" t="s">
        <v>53</v>
      </c>
    </row>
    <row r="6" spans="1:2" x14ac:dyDescent="0.25">
      <c r="A6" s="3"/>
    </row>
    <row r="7" spans="1:2" x14ac:dyDescent="0.25">
      <c r="A7" s="3" t="s">
        <v>54</v>
      </c>
    </row>
    <row r="8" spans="1:2" x14ac:dyDescent="0.25">
      <c r="A8" s="3" t="s">
        <v>55</v>
      </c>
    </row>
    <row r="9" spans="1:2" x14ac:dyDescent="0.25">
      <c r="A9" s="3"/>
    </row>
    <row r="10" spans="1:2" x14ac:dyDescent="0.25">
      <c r="A10" s="3" t="s">
        <v>59</v>
      </c>
    </row>
    <row r="11" spans="1:2" x14ac:dyDescent="0.25">
      <c r="A11" s="6" t="s">
        <v>56</v>
      </c>
      <c r="B11" t="s">
        <v>57</v>
      </c>
    </row>
    <row r="12" spans="1:2" x14ac:dyDescent="0.25">
      <c r="A12" s="6" t="s">
        <v>58</v>
      </c>
      <c r="B12" t="s">
        <v>60</v>
      </c>
    </row>
    <row r="13" spans="1:2" x14ac:dyDescent="0.25">
      <c r="A13" s="6" t="s">
        <v>61</v>
      </c>
      <c r="B13" t="s">
        <v>62</v>
      </c>
    </row>
    <row r="14" spans="1:2" x14ac:dyDescent="0.25">
      <c r="A14" s="6" t="s">
        <v>63</v>
      </c>
      <c r="B14" t="s">
        <v>64</v>
      </c>
    </row>
    <row r="15" spans="1:2" x14ac:dyDescent="0.25">
      <c r="A15" s="3"/>
    </row>
    <row r="16" spans="1:2" x14ac:dyDescent="0.25">
      <c r="A16" s="8" t="s">
        <v>65</v>
      </c>
    </row>
    <row r="17" spans="1:9" x14ac:dyDescent="0.25">
      <c r="A17" s="3"/>
    </row>
    <row r="18" spans="1:9" x14ac:dyDescent="0.25">
      <c r="A18" s="3"/>
    </row>
    <row r="19" spans="1:9" s="10" customFormat="1" x14ac:dyDescent="0.25">
      <c r="A19" s="9" t="s">
        <v>56</v>
      </c>
    </row>
    <row r="20" spans="1:9" s="10" customFormat="1" x14ac:dyDescent="0.25">
      <c r="A20" s="11" t="s">
        <v>0</v>
      </c>
      <c r="H20" s="11"/>
    </row>
    <row r="21" spans="1:9" s="10" customFormat="1" x14ac:dyDescent="0.25">
      <c r="A21" s="10" t="s">
        <v>1</v>
      </c>
    </row>
    <row r="22" spans="1:9" s="10" customFormat="1" x14ac:dyDescent="0.25">
      <c r="A22" s="10" t="s">
        <v>23</v>
      </c>
      <c r="H22" s="10" t="s">
        <v>24</v>
      </c>
    </row>
    <row r="23" spans="1:9" s="10" customFormat="1" x14ac:dyDescent="0.25">
      <c r="A23" s="10" t="s">
        <v>2</v>
      </c>
      <c r="B23" s="12">
        <f>(72-3)/(9933-2508)</f>
        <v>9.2929292929292938E-3</v>
      </c>
      <c r="C23" s="12"/>
      <c r="D23" s="12"/>
      <c r="E23" s="12"/>
      <c r="F23" s="12"/>
      <c r="G23" s="12"/>
      <c r="H23" s="12" t="s">
        <v>2</v>
      </c>
      <c r="I23" s="12">
        <f>3/2508</f>
        <v>1.1961722488038277E-3</v>
      </c>
    </row>
    <row r="24" spans="1:9" s="10" customFormat="1" x14ac:dyDescent="0.25">
      <c r="A24" s="10" t="s">
        <v>3</v>
      </c>
      <c r="B24" s="12">
        <f>(219-25)/(9933-2508)</f>
        <v>2.6127946127946129E-2</v>
      </c>
      <c r="C24" s="12"/>
      <c r="D24" s="12"/>
      <c r="E24" s="12"/>
      <c r="F24" s="12"/>
      <c r="G24" s="12"/>
      <c r="H24" s="12" t="s">
        <v>3</v>
      </c>
      <c r="I24" s="12">
        <f>25/2508</f>
        <v>9.9681020733652318E-3</v>
      </c>
    </row>
    <row r="25" spans="1:9" s="10" customFormat="1" x14ac:dyDescent="0.25">
      <c r="A25" s="10" t="s">
        <v>66</v>
      </c>
      <c r="B25" s="13"/>
      <c r="C25" s="13"/>
      <c r="D25" s="13"/>
      <c r="E25" s="13"/>
      <c r="F25" s="13"/>
      <c r="G25" s="13"/>
      <c r="H25" s="13"/>
      <c r="I25" s="13"/>
    </row>
    <row r="26" spans="1:9" s="10" customFormat="1" x14ac:dyDescent="0.25">
      <c r="B26" s="13"/>
      <c r="C26" s="13"/>
      <c r="D26" s="13"/>
      <c r="E26" s="13"/>
      <c r="F26" s="13"/>
      <c r="G26" s="13"/>
      <c r="H26" s="13"/>
      <c r="I26" s="13"/>
    </row>
    <row r="27" spans="1:9" s="10" customFormat="1" x14ac:dyDescent="0.25">
      <c r="A27" s="11" t="s">
        <v>4</v>
      </c>
      <c r="B27" s="13"/>
      <c r="C27" s="13"/>
      <c r="D27" s="13"/>
      <c r="E27" s="13"/>
      <c r="F27" s="13"/>
      <c r="G27" s="13"/>
      <c r="H27" s="14" t="s">
        <v>4</v>
      </c>
      <c r="I27" s="13"/>
    </row>
    <row r="28" spans="1:9" s="10" customFormat="1" x14ac:dyDescent="0.25">
      <c r="A28" s="10" t="s">
        <v>5</v>
      </c>
      <c r="B28" s="13"/>
      <c r="C28" s="13"/>
      <c r="D28" s="13"/>
      <c r="E28" s="13"/>
      <c r="F28" s="13"/>
      <c r="G28" s="13"/>
      <c r="H28" s="13" t="s">
        <v>25</v>
      </c>
      <c r="I28" s="13"/>
    </row>
    <row r="29" spans="1:9" s="10" customFormat="1" x14ac:dyDescent="0.25">
      <c r="A29" s="10" t="s">
        <v>6</v>
      </c>
      <c r="B29" s="13">
        <v>98.599476963561301</v>
      </c>
      <c r="C29" s="13"/>
      <c r="D29" s="13"/>
      <c r="E29" s="13"/>
      <c r="F29" s="13"/>
      <c r="G29" s="13"/>
      <c r="H29" s="13" t="s">
        <v>6</v>
      </c>
      <c r="I29" s="13">
        <v>76.786840609739698</v>
      </c>
    </row>
    <row r="30" spans="1:9" s="10" customFormat="1" x14ac:dyDescent="0.25">
      <c r="A30" s="10" t="s">
        <v>7</v>
      </c>
      <c r="B30" s="13">
        <v>91.3361522348645</v>
      </c>
      <c r="C30" s="13"/>
      <c r="D30" s="13"/>
      <c r="E30" s="13"/>
      <c r="F30" s="13"/>
      <c r="G30" s="13"/>
      <c r="H30" s="13" t="s">
        <v>7</v>
      </c>
      <c r="I30" s="13">
        <v>70.700516501472293</v>
      </c>
    </row>
    <row r="31" spans="1:9" s="10" customFormat="1" x14ac:dyDescent="0.25">
      <c r="A31" s="10" t="s">
        <v>8</v>
      </c>
      <c r="B31" s="13">
        <v>68.997616885753601</v>
      </c>
      <c r="C31" s="13"/>
      <c r="D31" s="13"/>
      <c r="E31" s="13"/>
      <c r="F31" s="13"/>
      <c r="G31" s="13"/>
      <c r="H31" s="13" t="s">
        <v>8</v>
      </c>
      <c r="I31" s="13">
        <v>45.7801345141174</v>
      </c>
    </row>
    <row r="32" spans="1:9" s="10" customFormat="1" x14ac:dyDescent="0.25">
      <c r="A32" s="10" t="s">
        <v>9</v>
      </c>
      <c r="B32" s="13">
        <v>0</v>
      </c>
      <c r="C32" s="13"/>
      <c r="D32" s="13"/>
      <c r="E32" s="13"/>
      <c r="F32" s="13"/>
      <c r="G32" s="13"/>
      <c r="H32" s="13" t="s">
        <v>9</v>
      </c>
      <c r="I32" s="13">
        <v>0</v>
      </c>
    </row>
    <row r="33" spans="1:10" s="10" customFormat="1" x14ac:dyDescent="0.25">
      <c r="A33" s="10" t="s">
        <v>10</v>
      </c>
      <c r="B33" s="13">
        <v>270.80803408800602</v>
      </c>
      <c r="C33" s="13"/>
      <c r="D33" s="13"/>
      <c r="E33" s="13"/>
      <c r="F33" s="13"/>
      <c r="G33" s="13"/>
      <c r="H33" s="13" t="s">
        <v>10</v>
      </c>
      <c r="I33" s="13">
        <v>184.23726866161101</v>
      </c>
    </row>
    <row r="34" spans="1:10" s="10" customFormat="1" x14ac:dyDescent="0.25">
      <c r="A34" s="10" t="s">
        <v>14</v>
      </c>
      <c r="B34" s="13">
        <f>B31^2</f>
        <v>4760.6711359132305</v>
      </c>
      <c r="C34" s="13"/>
      <c r="D34" s="13"/>
      <c r="E34" s="13"/>
      <c r="F34" s="13"/>
      <c r="G34" s="13"/>
      <c r="H34" s="13" t="s">
        <v>14</v>
      </c>
      <c r="I34" s="13">
        <f>I31^2</f>
        <v>2095.8207161306832</v>
      </c>
    </row>
    <row r="35" spans="1:10" s="10" customFormat="1" x14ac:dyDescent="0.25">
      <c r="A35" s="10" t="s">
        <v>67</v>
      </c>
    </row>
    <row r="36" spans="1:10" s="10" customFormat="1" x14ac:dyDescent="0.25"/>
    <row r="37" spans="1:10" s="10" customFormat="1" x14ac:dyDescent="0.25">
      <c r="A37" s="9" t="s">
        <v>68</v>
      </c>
    </row>
    <row r="38" spans="1:10" s="10" customFormat="1" x14ac:dyDescent="0.25">
      <c r="A38" s="10" t="s">
        <v>6</v>
      </c>
      <c r="B38" s="13">
        <f>B29/(1-B23-B24)</f>
        <v>102.22020615113692</v>
      </c>
      <c r="C38" s="13"/>
      <c r="D38" s="13"/>
      <c r="E38" s="13"/>
      <c r="F38" s="13"/>
      <c r="G38" s="13"/>
      <c r="H38" s="13" t="s">
        <v>6</v>
      </c>
      <c r="I38" s="13">
        <f>I29/(1-I23-I24)</f>
        <v>77.653788810172244</v>
      </c>
    </row>
    <row r="39" spans="1:10" s="10" customFormat="1" x14ac:dyDescent="0.25">
      <c r="B39" s="13"/>
      <c r="C39" s="13"/>
      <c r="D39" s="13"/>
      <c r="E39" s="13"/>
      <c r="F39" s="13"/>
      <c r="G39" s="13"/>
      <c r="H39" s="13"/>
      <c r="I39" s="13"/>
    </row>
    <row r="40" spans="1:10" s="10" customFormat="1" x14ac:dyDescent="0.25">
      <c r="A40" s="9" t="s">
        <v>69</v>
      </c>
      <c r="B40" s="13"/>
      <c r="C40" s="13"/>
      <c r="D40" s="13"/>
      <c r="E40" s="13"/>
      <c r="F40" s="13"/>
      <c r="G40" s="13"/>
      <c r="H40" s="13"/>
      <c r="I40" s="13"/>
    </row>
    <row r="41" spans="1:10" s="10" customFormat="1" x14ac:dyDescent="0.25">
      <c r="A41" s="10" t="s">
        <v>11</v>
      </c>
      <c r="B41" s="13"/>
      <c r="C41" s="13"/>
      <c r="D41" s="13"/>
      <c r="E41" s="13"/>
      <c r="F41" s="13"/>
      <c r="G41" s="13"/>
      <c r="H41" s="13" t="s">
        <v>11</v>
      </c>
      <c r="I41" s="13"/>
    </row>
    <row r="42" spans="1:10" s="10" customFormat="1" x14ac:dyDescent="0.25">
      <c r="A42" s="10" t="s">
        <v>13</v>
      </c>
      <c r="B42" s="13">
        <f>LN(B38/EXP(0.5*B43^2))</f>
        <v>4.4394163267113571</v>
      </c>
      <c r="C42" s="13"/>
      <c r="D42" s="13"/>
      <c r="E42" s="13"/>
      <c r="F42" s="13"/>
      <c r="G42" s="13"/>
      <c r="H42" s="13" t="s">
        <v>13</v>
      </c>
      <c r="I42" s="13">
        <f>LN(I38/EXP(0.5*I43^2))</f>
        <v>4.2031128521214756</v>
      </c>
    </row>
    <row r="43" spans="1:10" s="10" customFormat="1" x14ac:dyDescent="0.25">
      <c r="A43" s="10" t="s">
        <v>12</v>
      </c>
      <c r="B43" s="13">
        <f>SQRT(LN((B34/B38^2)+1))</f>
        <v>0.61272023528930397</v>
      </c>
      <c r="C43" s="13"/>
      <c r="D43" s="13"/>
      <c r="E43" s="13"/>
      <c r="F43" s="13"/>
      <c r="G43" s="13"/>
      <c r="H43" s="13" t="s">
        <v>12</v>
      </c>
      <c r="I43" s="13">
        <f>SQRT(LN((I34/I38^2)+1))</f>
        <v>0.54616387598804961</v>
      </c>
    </row>
    <row r="44" spans="1:10" s="10" customFormat="1" x14ac:dyDescent="0.25"/>
    <row r="45" spans="1:10" s="10" customFormat="1" x14ac:dyDescent="0.25">
      <c r="A45" s="9" t="s">
        <v>70</v>
      </c>
      <c r="H45" s="10" t="s">
        <v>71</v>
      </c>
    </row>
    <row r="46" spans="1:10" s="10" customFormat="1" x14ac:dyDescent="0.25">
      <c r="A46" s="10" t="s">
        <v>15</v>
      </c>
      <c r="B46" s="13">
        <f>EXP(_xlfn.NORM.INV(0.5,B42,B43))</f>
        <v>84.725475242348423</v>
      </c>
      <c r="C46" s="13"/>
      <c r="D46" s="13"/>
      <c r="E46" s="13"/>
      <c r="F46" s="13"/>
      <c r="G46" s="13"/>
      <c r="H46" s="13" t="s">
        <v>15</v>
      </c>
      <c r="I46" s="13">
        <f>EXP(_xlfn.NORM.INV(0.5,I42,I43))</f>
        <v>66.894239153701122</v>
      </c>
    </row>
    <row r="47" spans="1:10" s="10" customFormat="1" x14ac:dyDescent="0.25">
      <c r="A47" s="10" t="s">
        <v>10</v>
      </c>
      <c r="B47" s="13">
        <f>EXP(_xlfn.NORM.INV(0.975,B42,B43))</f>
        <v>281.55446788952213</v>
      </c>
      <c r="C47" s="13" t="s">
        <v>16</v>
      </c>
      <c r="D47" s="13"/>
      <c r="E47" s="13"/>
      <c r="F47" s="13"/>
      <c r="G47" s="13"/>
      <c r="H47" s="13" t="s">
        <v>10</v>
      </c>
      <c r="I47" s="13">
        <f>EXP(_xlfn.NORM.INV(0.975,I42,I43))</f>
        <v>195.1121221514145</v>
      </c>
      <c r="J47" s="10" t="s">
        <v>16</v>
      </c>
    </row>
    <row r="48" spans="1:10" s="10" customFormat="1" x14ac:dyDescent="0.25">
      <c r="B48" s="13"/>
      <c r="C48" s="13"/>
      <c r="D48" s="13"/>
      <c r="E48" s="13"/>
      <c r="F48" s="13"/>
      <c r="G48" s="13"/>
      <c r="H48" s="13"/>
      <c r="I48" s="13"/>
    </row>
    <row r="49" spans="1:12" s="10" customFormat="1" x14ac:dyDescent="0.25">
      <c r="A49" s="9" t="s">
        <v>73</v>
      </c>
    </row>
    <row r="50" spans="1:12" s="10" customFormat="1" x14ac:dyDescent="0.25">
      <c r="A50" s="10" t="s">
        <v>26</v>
      </c>
      <c r="H50" s="10" t="s">
        <v>27</v>
      </c>
    </row>
    <row r="51" spans="1:12" s="10" customFormat="1" x14ac:dyDescent="0.25">
      <c r="A51" s="10" t="s">
        <v>17</v>
      </c>
      <c r="B51" s="15">
        <f>B23</f>
        <v>9.2929292929292938E-3</v>
      </c>
      <c r="H51" s="10" t="s">
        <v>17</v>
      </c>
      <c r="I51" s="15">
        <f>I23</f>
        <v>1.1961722488038277E-3</v>
      </c>
    </row>
    <row r="52" spans="1:12" s="10" customFormat="1" x14ac:dyDescent="0.25">
      <c r="A52" s="10" t="s">
        <v>18</v>
      </c>
      <c r="B52" s="15">
        <f>B24/2</f>
        <v>1.3063973063973064E-2</v>
      </c>
      <c r="H52" s="10" t="s">
        <v>18</v>
      </c>
      <c r="I52" s="15">
        <f>I24/2</f>
        <v>4.9840510366826159E-3</v>
      </c>
    </row>
    <row r="53" spans="1:12" s="10" customFormat="1" x14ac:dyDescent="0.25">
      <c r="A53" s="10" t="s">
        <v>19</v>
      </c>
      <c r="B53" s="15">
        <f>B24/2</f>
        <v>1.3063973063973064E-2</v>
      </c>
      <c r="C53" s="10" t="s">
        <v>72</v>
      </c>
      <c r="H53" s="10" t="s">
        <v>19</v>
      </c>
      <c r="I53" s="15">
        <f>I24/2</f>
        <v>4.9840510366826159E-3</v>
      </c>
    </row>
    <row r="54" spans="1:12" s="10" customFormat="1" x14ac:dyDescent="0.25">
      <c r="A54" s="10" t="s">
        <v>20</v>
      </c>
      <c r="B54" s="15">
        <f>_xlfn.NORM.DIST(LN(50),B42,B43,TRUE)*(1-SUM(B51:B53))</f>
        <v>0.18779429675659132</v>
      </c>
      <c r="H54" s="10" t="s">
        <v>20</v>
      </c>
      <c r="I54" s="15">
        <f>_xlfn.NORM.DIST(LN(50),I42,I43,TRUE)*(1-SUM(I51:I53))</f>
        <v>0.29371052581642854</v>
      </c>
    </row>
    <row r="55" spans="1:12" s="10" customFormat="1" x14ac:dyDescent="0.25">
      <c r="A55" s="10" t="s">
        <v>21</v>
      </c>
      <c r="B55" s="15">
        <f>(_xlfn.NORM.DIST(LN(100),B42,B43,TRUE)-_xlfn.NORM.DIST(LN(50),B42,B43,TRUE))*(1-SUM(B51:B53))</f>
        <v>0.3973390526569226</v>
      </c>
      <c r="H55" s="10" t="s">
        <v>21</v>
      </c>
      <c r="I55" s="15">
        <f>(_xlfn.NORM.DIST(LN(100),I42,I43,TRUE)-_xlfn.NORM.DIST(LN(50),I42,I43,TRUE))*(1-SUM(I51:I53))</f>
        <v>0.46688176300381418</v>
      </c>
    </row>
    <row r="56" spans="1:12" s="10" customFormat="1" x14ac:dyDescent="0.25">
      <c r="A56" s="10" t="s">
        <v>22</v>
      </c>
      <c r="B56" s="15">
        <f>(1-_xlfn.NORM.DIST(LN(100),B42,B43,TRUE))*(1-SUM(B51:B53))</f>
        <v>0.37944577516561062</v>
      </c>
      <c r="H56" s="10" t="s">
        <v>22</v>
      </c>
      <c r="I56" s="15">
        <f>(1-_xlfn.NORM.DIST(LN(100),I42,I43,TRUE))*(1-SUM(I51:I53))</f>
        <v>0.22824343685758827</v>
      </c>
    </row>
    <row r="57" spans="1:12" s="10" customFormat="1" x14ac:dyDescent="0.25"/>
    <row r="58" spans="1:12" s="10" customFormat="1" x14ac:dyDescent="0.25"/>
    <row r="59" spans="1:12" s="10" customFormat="1" x14ac:dyDescent="0.25">
      <c r="A59" s="10" t="s">
        <v>30</v>
      </c>
    </row>
    <row r="60" spans="1:12" s="10" customFormat="1" x14ac:dyDescent="0.25">
      <c r="A60" s="10" t="s">
        <v>29</v>
      </c>
      <c r="B60" s="10" t="s">
        <v>74</v>
      </c>
    </row>
    <row r="61" spans="1:12" s="10" customFormat="1" x14ac:dyDescent="0.25">
      <c r="A61" s="10" t="s">
        <v>28</v>
      </c>
      <c r="B61" s="16">
        <v>39565405</v>
      </c>
    </row>
    <row r="62" spans="1:12" s="10" customFormat="1" x14ac:dyDescent="0.25">
      <c r="A62" s="10" t="s">
        <v>24</v>
      </c>
      <c r="B62" s="16">
        <v>12374961</v>
      </c>
    </row>
    <row r="63" spans="1:12" x14ac:dyDescent="0.25">
      <c r="L63" s="1"/>
    </row>
    <row r="64" spans="1:12" s="18" customFormat="1" ht="15.75" thickBot="1" x14ac:dyDescent="0.3">
      <c r="A64" s="17" t="s">
        <v>58</v>
      </c>
      <c r="L64" s="17"/>
    </row>
    <row r="65" spans="1:27" s="18" customFormat="1" x14ac:dyDescent="0.25">
      <c r="C65" s="19" t="s">
        <v>34</v>
      </c>
      <c r="D65" s="19"/>
      <c r="E65" s="19"/>
      <c r="F65" s="19"/>
      <c r="L65" s="20" t="s">
        <v>76</v>
      </c>
      <c r="M65" s="21"/>
      <c r="N65" s="21"/>
      <c r="O65" s="22"/>
      <c r="P65" s="20" t="s">
        <v>77</v>
      </c>
      <c r="Q65" s="21"/>
      <c r="R65" s="21"/>
      <c r="S65" s="22"/>
      <c r="T65" s="20" t="s">
        <v>78</v>
      </c>
      <c r="U65" s="21"/>
      <c r="V65" s="21"/>
      <c r="W65" s="22"/>
      <c r="X65" s="20" t="s">
        <v>79</v>
      </c>
      <c r="Y65" s="21"/>
      <c r="Z65" s="21"/>
      <c r="AA65" s="22"/>
    </row>
    <row r="66" spans="1:27" s="18" customFormat="1" x14ac:dyDescent="0.25">
      <c r="A66" s="18" t="s">
        <v>31</v>
      </c>
      <c r="B66" s="18" t="s">
        <v>32</v>
      </c>
      <c r="C66" s="18" t="s">
        <v>35</v>
      </c>
      <c r="D66" s="18" t="s">
        <v>36</v>
      </c>
      <c r="E66" s="18" t="s">
        <v>37</v>
      </c>
      <c r="F66" s="18" t="s">
        <v>38</v>
      </c>
      <c r="J66" s="23" t="s">
        <v>39</v>
      </c>
      <c r="K66" s="18" t="s">
        <v>40</v>
      </c>
      <c r="L66" s="24" t="s">
        <v>41</v>
      </c>
      <c r="M66" s="25" t="s">
        <v>42</v>
      </c>
      <c r="N66" s="25" t="s">
        <v>43</v>
      </c>
      <c r="O66" s="26" t="s">
        <v>44</v>
      </c>
      <c r="P66" s="24" t="s">
        <v>41</v>
      </c>
      <c r="Q66" s="25" t="s">
        <v>42</v>
      </c>
      <c r="R66" s="25" t="s">
        <v>43</v>
      </c>
      <c r="S66" s="26" t="s">
        <v>44</v>
      </c>
      <c r="T66" s="24" t="s">
        <v>41</v>
      </c>
      <c r="U66" s="25" t="s">
        <v>42</v>
      </c>
      <c r="V66" s="25" t="s">
        <v>43</v>
      </c>
      <c r="W66" s="26" t="s">
        <v>44</v>
      </c>
      <c r="X66" s="24" t="s">
        <v>41</v>
      </c>
      <c r="Y66" s="25" t="s">
        <v>42</v>
      </c>
      <c r="Z66" s="25" t="s">
        <v>43</v>
      </c>
      <c r="AA66" s="26" t="s">
        <v>44</v>
      </c>
    </row>
    <row r="67" spans="1:27" s="18" customFormat="1" x14ac:dyDescent="0.25">
      <c r="A67" s="18" t="s">
        <v>17</v>
      </c>
      <c r="B67" s="27">
        <f>B51*$B$61+I51*$B$62</f>
        <v>382481.09603934083</v>
      </c>
      <c r="C67" s="28">
        <f>B67*L67*365.25</f>
        <v>345062014.21107203</v>
      </c>
      <c r="D67" s="28">
        <f>B67*P67*365.25</f>
        <v>610962992.22360301</v>
      </c>
      <c r="E67" s="28">
        <f>B67*T67*365.25</f>
        <v>57245458326.451485</v>
      </c>
      <c r="F67" s="28">
        <f>B67*X67*365.25</f>
        <v>1494156236.8930659</v>
      </c>
      <c r="J67" s="18" t="s">
        <v>45</v>
      </c>
      <c r="K67" s="23">
        <v>2041</v>
      </c>
      <c r="L67" s="29">
        <v>2.4700000000000002</v>
      </c>
      <c r="M67" s="30">
        <v>2.09</v>
      </c>
      <c r="N67" s="30">
        <v>3.36</v>
      </c>
      <c r="O67" s="31">
        <f>(N67-M67)/3.92</f>
        <v>0.32397959183673469</v>
      </c>
      <c r="P67" s="29">
        <v>4.3733547265194099</v>
      </c>
      <c r="Q67" s="30">
        <v>3.5908080597755201</v>
      </c>
      <c r="R67" s="30">
        <v>5.9011544679465304</v>
      </c>
      <c r="S67" s="31">
        <f>(R67-Q67)/3.92</f>
        <v>0.58937408371709443</v>
      </c>
      <c r="T67" s="32">
        <v>409.77063902445099</v>
      </c>
      <c r="U67" s="33">
        <v>256.35263065755902</v>
      </c>
      <c r="V67" s="33">
        <v>773.77198436986998</v>
      </c>
      <c r="W67" s="34">
        <f>(V67-U67)/3.92</f>
        <v>131.99473308987527</v>
      </c>
      <c r="X67" s="29">
        <v>10.6953699715796</v>
      </c>
      <c r="Y67" s="30">
        <v>8.60799525733084</v>
      </c>
      <c r="Z67" s="30">
        <v>16.2791704003332</v>
      </c>
      <c r="AA67" s="31">
        <f>(Z67-Y67)/3.92</f>
        <v>1.9569324344393777</v>
      </c>
    </row>
    <row r="68" spans="1:27" s="18" customFormat="1" x14ac:dyDescent="0.25">
      <c r="A68" s="18" t="s">
        <v>18</v>
      </c>
      <c r="B68" s="27">
        <f>B52*$B$61+I52*$B$62</f>
        <v>578558.8223861421</v>
      </c>
      <c r="C68" s="28">
        <f t="shared" ref="C68:C72" si="0">B68*L68*365.25</f>
        <v>879085417.08639967</v>
      </c>
      <c r="D68" s="28">
        <f t="shared" ref="D68:D72" si="1">B68*P68*365.25</f>
        <v>1271023474.3471014</v>
      </c>
      <c r="E68" s="28">
        <f t="shared" ref="E68:E72" si="2">B68*T68*365.25</f>
        <v>111506907121.92145</v>
      </c>
      <c r="F68" s="28">
        <f t="shared" ref="F68:F72" si="3">B68*X68*365.25</f>
        <v>3649332021.7287068</v>
      </c>
      <c r="J68" s="18" t="s">
        <v>46</v>
      </c>
      <c r="K68" s="18">
        <v>15571</v>
      </c>
      <c r="L68" s="29">
        <v>4.16</v>
      </c>
      <c r="M68" s="30">
        <v>3.31</v>
      </c>
      <c r="N68" s="30">
        <v>5.82</v>
      </c>
      <c r="O68" s="31">
        <f t="shared" ref="O68:O72" si="4">(N68-M68)/3.92</f>
        <v>0.64030612244897966</v>
      </c>
      <c r="P68" s="29">
        <v>6.0147257030021599</v>
      </c>
      <c r="Q68" s="30">
        <v>5.0361512596247602</v>
      </c>
      <c r="R68" s="30">
        <v>9.3247325868197493</v>
      </c>
      <c r="S68" s="31">
        <f t="shared" ref="S68:S72" si="5">(R68-Q68)/3.92</f>
        <v>1.094025848774232</v>
      </c>
      <c r="T68" s="32">
        <v>527.67196976673597</v>
      </c>
      <c r="U68" s="33">
        <v>375.06574065072698</v>
      </c>
      <c r="V68" s="33">
        <v>888.59993622215597</v>
      </c>
      <c r="W68" s="34">
        <f t="shared" ref="W68:W72" si="6">(V68-U68)/3.92</f>
        <v>131.00362131924209</v>
      </c>
      <c r="X68" s="29">
        <v>17.2693357383943</v>
      </c>
      <c r="Y68" s="30">
        <v>14.358717970619599</v>
      </c>
      <c r="Z68" s="30">
        <v>22.0902574740883</v>
      </c>
      <c r="AA68" s="31">
        <f t="shared" ref="AA68:AA72" si="7">(Z68-Y68)/3.92</f>
        <v>1.9723315059869135</v>
      </c>
    </row>
    <row r="69" spans="1:27" s="18" customFormat="1" x14ac:dyDescent="0.25">
      <c r="A69" s="18" t="s">
        <v>19</v>
      </c>
      <c r="B69" s="27">
        <f>B53*$B$61+I53*$B$62</f>
        <v>578558.8223861421</v>
      </c>
      <c r="C69" s="28">
        <f t="shared" si="0"/>
        <v>1001650210.814792</v>
      </c>
      <c r="D69" s="28">
        <f t="shared" si="1"/>
        <v>1334189280.6799824</v>
      </c>
      <c r="E69" s="28">
        <f t="shared" si="2"/>
        <v>151022799749.54117</v>
      </c>
      <c r="F69" s="28">
        <f t="shared" si="3"/>
        <v>4456694650.8238659</v>
      </c>
      <c r="J69" s="18" t="s">
        <v>19</v>
      </c>
      <c r="K69" s="18">
        <v>8123</v>
      </c>
      <c r="L69" s="29">
        <v>4.74</v>
      </c>
      <c r="M69" s="30">
        <v>3.85</v>
      </c>
      <c r="N69" s="30">
        <v>6.27</v>
      </c>
      <c r="O69" s="31">
        <f t="shared" si="4"/>
        <v>0.61734693877551006</v>
      </c>
      <c r="P69" s="29">
        <v>6.3136383561271501</v>
      </c>
      <c r="Q69" s="30">
        <v>5.1998375871406504</v>
      </c>
      <c r="R69" s="30">
        <v>9.6812519026019697</v>
      </c>
      <c r="S69" s="31">
        <f t="shared" si="5"/>
        <v>1.1432179376176834</v>
      </c>
      <c r="T69" s="32">
        <v>714.66871676742198</v>
      </c>
      <c r="U69" s="33">
        <v>477.03745437292599</v>
      </c>
      <c r="V69" s="33">
        <v>1631.69609484641</v>
      </c>
      <c r="W69" s="34">
        <f t="shared" si="6"/>
        <v>294.55577563099081</v>
      </c>
      <c r="X69" s="29">
        <v>21.089929814641799</v>
      </c>
      <c r="Y69" s="30">
        <v>17.362302884699499</v>
      </c>
      <c r="Z69" s="30">
        <v>26.517584350020801</v>
      </c>
      <c r="AA69" s="31">
        <f t="shared" si="7"/>
        <v>2.3355309860513525</v>
      </c>
    </row>
    <row r="70" spans="1:27" s="18" customFormat="1" x14ac:dyDescent="0.25">
      <c r="A70" s="18" t="s">
        <v>20</v>
      </c>
      <c r="B70" s="27">
        <f>B54*$B$61+I54*$B$62</f>
        <v>11064813.710132517</v>
      </c>
      <c r="C70" s="28">
        <f t="shared" si="0"/>
        <v>21702442624.951092</v>
      </c>
      <c r="D70" s="28">
        <f t="shared" si="1"/>
        <v>33599824024.931229</v>
      </c>
      <c r="E70" s="28">
        <f t="shared" si="2"/>
        <v>2849377896387.1782</v>
      </c>
      <c r="F70" s="28">
        <f t="shared" si="3"/>
        <v>95185842295.141876</v>
      </c>
      <c r="J70" s="18" t="s">
        <v>20</v>
      </c>
      <c r="K70" s="18">
        <v>9332</v>
      </c>
      <c r="L70" s="29">
        <v>5.37</v>
      </c>
      <c r="M70" s="30">
        <v>4.26</v>
      </c>
      <c r="N70" s="30">
        <v>6.99</v>
      </c>
      <c r="O70" s="31">
        <f t="shared" si="4"/>
        <v>0.69642857142857151</v>
      </c>
      <c r="P70" s="29">
        <v>8.3138593259747093</v>
      </c>
      <c r="Q70" s="30">
        <v>5.9116822599874297</v>
      </c>
      <c r="R70" s="30">
        <v>12.9531089679266</v>
      </c>
      <c r="S70" s="31">
        <f t="shared" si="5"/>
        <v>1.7962823234538698</v>
      </c>
      <c r="T70" s="32">
        <v>705.04318652166603</v>
      </c>
      <c r="U70" s="33">
        <v>481.11791083859998</v>
      </c>
      <c r="V70" s="33">
        <v>1700.1742622740601</v>
      </c>
      <c r="W70" s="34">
        <f t="shared" si="6"/>
        <v>310.98376312129085</v>
      </c>
      <c r="X70" s="29">
        <v>23.552554980021</v>
      </c>
      <c r="Y70" s="30">
        <v>19.169384504360099</v>
      </c>
      <c r="Z70" s="30">
        <v>28.8817361190425</v>
      </c>
      <c r="AA70" s="31">
        <f t="shared" si="7"/>
        <v>2.4776407180312248</v>
      </c>
    </row>
    <row r="71" spans="1:27" s="18" customFormat="1" x14ac:dyDescent="0.25">
      <c r="A71" s="18" t="s">
        <v>21</v>
      </c>
      <c r="B71" s="27">
        <f>B55*$B$61+I55*$B$62</f>
        <v>21498524.14947091</v>
      </c>
      <c r="C71" s="28">
        <f t="shared" si="0"/>
        <v>55280445056.983521</v>
      </c>
      <c r="D71" s="28">
        <f t="shared" si="1"/>
        <v>88548135186.706558</v>
      </c>
      <c r="E71" s="28">
        <f t="shared" si="2"/>
        <v>6086875631174.4043</v>
      </c>
      <c r="F71" s="28">
        <f t="shared" si="3"/>
        <v>232493346684.41782</v>
      </c>
      <c r="J71" s="18" t="s">
        <v>21</v>
      </c>
      <c r="K71" s="18">
        <v>11971</v>
      </c>
      <c r="L71" s="29">
        <v>7.04</v>
      </c>
      <c r="M71" s="30">
        <v>5.26</v>
      </c>
      <c r="N71" s="30">
        <v>9.39</v>
      </c>
      <c r="O71" s="31">
        <f t="shared" si="4"/>
        <v>1.0535714285714288</v>
      </c>
      <c r="P71" s="29">
        <v>11.2766615947435</v>
      </c>
      <c r="Q71" s="30">
        <v>7.3761842225436798</v>
      </c>
      <c r="R71" s="30">
        <v>26.321774834943501</v>
      </c>
      <c r="S71" s="31">
        <f t="shared" si="5"/>
        <v>4.8330588296938313</v>
      </c>
      <c r="T71" s="32">
        <v>775.16750090011101</v>
      </c>
      <c r="U71" s="33">
        <v>540.34339141629403</v>
      </c>
      <c r="V71" s="33">
        <v>2016.12929731549</v>
      </c>
      <c r="W71" s="34">
        <f t="shared" si="6"/>
        <v>376.47599640285614</v>
      </c>
      <c r="X71" s="29">
        <v>29.608176254209301</v>
      </c>
      <c r="Y71" s="30">
        <v>23.9622337134982</v>
      </c>
      <c r="Z71" s="30">
        <v>36.624669857591499</v>
      </c>
      <c r="AA71" s="31">
        <f t="shared" si="7"/>
        <v>3.2302133020646169</v>
      </c>
    </row>
    <row r="72" spans="1:27" s="18" customFormat="1" ht="15.75" thickBot="1" x14ac:dyDescent="0.3">
      <c r="A72" s="18" t="s">
        <v>22</v>
      </c>
      <c r="B72" s="27">
        <f>B56*$B$61+I56*$B$62</f>
        <v>17837429.399584945</v>
      </c>
      <c r="C72" s="28">
        <f t="shared" si="0"/>
        <v>66714839943.151634</v>
      </c>
      <c r="D72" s="28">
        <f t="shared" si="1"/>
        <v>109301748856.24791</v>
      </c>
      <c r="E72" s="28">
        <f t="shared" si="2"/>
        <v>5788284734538.6895</v>
      </c>
      <c r="F72" s="28">
        <f t="shared" si="3"/>
        <v>265803423644.06119</v>
      </c>
      <c r="J72" s="18" t="s">
        <v>22</v>
      </c>
      <c r="K72" s="18">
        <v>8286</v>
      </c>
      <c r="L72" s="35">
        <v>10.24</v>
      </c>
      <c r="M72" s="36">
        <v>7.04</v>
      </c>
      <c r="N72" s="36">
        <v>15.95</v>
      </c>
      <c r="O72" s="37">
        <f t="shared" si="4"/>
        <v>2.2729591836734695</v>
      </c>
      <c r="P72" s="35">
        <v>16.776625848787202</v>
      </c>
      <c r="Q72" s="36">
        <v>10.305945108925799</v>
      </c>
      <c r="R72" s="36">
        <v>60.838584383411401</v>
      </c>
      <c r="S72" s="37">
        <f t="shared" si="5"/>
        <v>12.890979406756532</v>
      </c>
      <c r="T72" s="38">
        <v>888.43855028630003</v>
      </c>
      <c r="U72" s="39">
        <v>627.27733526502402</v>
      </c>
      <c r="V72" s="39">
        <v>2042.7045518049999</v>
      </c>
      <c r="W72" s="40">
        <f t="shared" si="6"/>
        <v>361.07837156632041</v>
      </c>
      <c r="X72" s="35">
        <v>40.7979253256769</v>
      </c>
      <c r="Y72" s="36">
        <v>31.2557791164487</v>
      </c>
      <c r="Z72" s="36">
        <v>52.270733260046903</v>
      </c>
      <c r="AA72" s="37">
        <f t="shared" si="7"/>
        <v>5.3609576896934188</v>
      </c>
    </row>
    <row r="73" spans="1:27" s="18" customFormat="1" x14ac:dyDescent="0.25">
      <c r="A73" s="17" t="s">
        <v>33</v>
      </c>
      <c r="B73" s="41">
        <f>SUM(B67:B72)</f>
        <v>51940366</v>
      </c>
      <c r="C73" s="42">
        <f t="shared" ref="C73:F73" si="8">SUM(C67:C72)</f>
        <v>145923525267.19852</v>
      </c>
      <c r="D73" s="42">
        <f t="shared" si="8"/>
        <v>234665883815.13638</v>
      </c>
      <c r="E73" s="42">
        <f t="shared" si="8"/>
        <v>15044313427298.186</v>
      </c>
      <c r="F73" s="42">
        <f t="shared" si="8"/>
        <v>603082795533.06653</v>
      </c>
    </row>
    <row r="74" spans="1:27" s="18" customFormat="1" x14ac:dyDescent="0.25">
      <c r="A74" s="17"/>
      <c r="B74" s="41"/>
      <c r="C74" s="42"/>
      <c r="D74" s="42"/>
      <c r="E74" s="42"/>
      <c r="F74" s="42"/>
      <c r="K74" s="18" t="s">
        <v>75</v>
      </c>
    </row>
    <row r="75" spans="1:27" s="18" customFormat="1" x14ac:dyDescent="0.25">
      <c r="A75" s="18" t="s">
        <v>80</v>
      </c>
      <c r="B75" s="41"/>
      <c r="C75" s="42"/>
      <c r="D75" s="42"/>
      <c r="E75" s="42"/>
      <c r="F75" s="42"/>
    </row>
    <row r="76" spans="1:27" s="18" customFormat="1" x14ac:dyDescent="0.25">
      <c r="C76" s="18">
        <f>C73/1000000000</f>
        <v>145.92352526719853</v>
      </c>
      <c r="D76" s="18">
        <f>D73/1000000</f>
        <v>234665.88381513639</v>
      </c>
      <c r="E76" s="18">
        <f>E73/1000000000000</f>
        <v>15.044313427298185</v>
      </c>
      <c r="F76" s="18">
        <f>F73/1000000000</f>
        <v>603.08279553306647</v>
      </c>
    </row>
    <row r="77" spans="1:27" s="18" customFormat="1" x14ac:dyDescent="0.25">
      <c r="C77" s="18" t="s">
        <v>81</v>
      </c>
      <c r="D77" s="18" t="s">
        <v>82</v>
      </c>
      <c r="E77" s="18" t="s">
        <v>83</v>
      </c>
      <c r="F77" s="18" t="s">
        <v>84</v>
      </c>
    </row>
    <row r="78" spans="1:27" s="18" customFormat="1" x14ac:dyDescent="0.25"/>
    <row r="79" spans="1:27" s="18" customFormat="1" x14ac:dyDescent="0.25">
      <c r="A79" s="18" t="s">
        <v>85</v>
      </c>
    </row>
    <row r="81" spans="1:6" x14ac:dyDescent="0.25">
      <c r="F81" s="5"/>
    </row>
    <row r="82" spans="1:6" s="44" customFormat="1" x14ac:dyDescent="0.25">
      <c r="A82" s="43" t="s">
        <v>61</v>
      </c>
    </row>
    <row r="83" spans="1:6" s="44" customFormat="1" x14ac:dyDescent="0.25">
      <c r="A83" s="43" t="s">
        <v>48</v>
      </c>
    </row>
    <row r="84" spans="1:6" s="44" customFormat="1" x14ac:dyDescent="0.25">
      <c r="A84" s="43"/>
      <c r="B84" s="44" t="s">
        <v>86</v>
      </c>
      <c r="C84" s="44" t="s">
        <v>87</v>
      </c>
    </row>
    <row r="85" spans="1:6" s="44" customFormat="1" x14ac:dyDescent="0.25">
      <c r="A85" s="44" t="s">
        <v>17</v>
      </c>
      <c r="B85" s="45">
        <v>382481.09603934083</v>
      </c>
      <c r="C85" s="45">
        <f>B85*L67*365.25</f>
        <v>345062014.21107203</v>
      </c>
    </row>
    <row r="86" spans="1:6" s="44" customFormat="1" x14ac:dyDescent="0.25">
      <c r="A86" s="44" t="s">
        <v>18</v>
      </c>
      <c r="B86" s="45">
        <v>578558.8223861421</v>
      </c>
      <c r="C86" s="45">
        <f>B86*L68*365.25</f>
        <v>879085417.08639967</v>
      </c>
    </row>
    <row r="87" spans="1:6" s="44" customFormat="1" x14ac:dyDescent="0.25">
      <c r="A87" s="44" t="s">
        <v>19</v>
      </c>
      <c r="B87" s="45">
        <v>578558.8223861421</v>
      </c>
      <c r="C87" s="45">
        <f>B87*L69*365.25</f>
        <v>1001650210.814792</v>
      </c>
    </row>
    <row r="88" spans="1:6" s="44" customFormat="1" x14ac:dyDescent="0.25">
      <c r="A88" s="44" t="s">
        <v>20</v>
      </c>
      <c r="B88" s="45">
        <f>SUM(B70:B72)</f>
        <v>50400767.259188369</v>
      </c>
      <c r="C88" s="45">
        <f>B88*L70*365.25</f>
        <v>98855686896.417633</v>
      </c>
    </row>
    <row r="89" spans="1:6" s="44" customFormat="1" x14ac:dyDescent="0.25">
      <c r="A89" s="44" t="s">
        <v>21</v>
      </c>
      <c r="B89" s="45">
        <v>0</v>
      </c>
      <c r="C89" s="45">
        <f>B89*L71*365.25</f>
        <v>0</v>
      </c>
    </row>
    <row r="90" spans="1:6" s="44" customFormat="1" x14ac:dyDescent="0.25">
      <c r="A90" s="44" t="s">
        <v>22</v>
      </c>
      <c r="B90" s="45">
        <v>0</v>
      </c>
      <c r="C90" s="45">
        <f>B90*L72*365.25</f>
        <v>0</v>
      </c>
    </row>
    <row r="91" spans="1:6" s="44" customFormat="1" x14ac:dyDescent="0.25">
      <c r="A91" s="43" t="s">
        <v>33</v>
      </c>
      <c r="B91" s="45"/>
      <c r="C91" s="45">
        <f>SUM(C85:C90)</f>
        <v>101081484538.52989</v>
      </c>
    </row>
    <row r="92" spans="1:6" s="44" customFormat="1" x14ac:dyDescent="0.25">
      <c r="B92" s="46"/>
      <c r="C92" s="45">
        <f>C91/1000000000</f>
        <v>101.08148453852989</v>
      </c>
    </row>
    <row r="93" spans="1:6" s="44" customFormat="1" x14ac:dyDescent="0.25">
      <c r="C93" s="44" t="s">
        <v>47</v>
      </c>
    </row>
    <row r="94" spans="1:6" s="44" customFormat="1" x14ac:dyDescent="0.25">
      <c r="B94" s="47" t="s">
        <v>49</v>
      </c>
      <c r="C94" s="48">
        <f>C76-C92</f>
        <v>44.842040728668636</v>
      </c>
    </row>
    <row r="95" spans="1:6" x14ac:dyDescent="0.25">
      <c r="B95" s="6"/>
    </row>
    <row r="96" spans="1:6" s="4" customFormat="1" x14ac:dyDescent="0.25">
      <c r="A96" s="49" t="s">
        <v>63</v>
      </c>
      <c r="B96" s="50"/>
    </row>
    <row r="97" spans="1:5" s="4" customFormat="1" x14ac:dyDescent="0.25">
      <c r="A97" s="4" t="s">
        <v>88</v>
      </c>
      <c r="B97" s="50"/>
    </row>
    <row r="98" spans="1:5" s="4" customFormat="1" x14ac:dyDescent="0.25">
      <c r="B98" s="50"/>
      <c r="D98" s="4" t="s">
        <v>90</v>
      </c>
    </row>
    <row r="99" spans="1:5" s="4" customFormat="1" x14ac:dyDescent="0.25">
      <c r="B99" s="50"/>
      <c r="C99" s="52" t="s">
        <v>89</v>
      </c>
      <c r="D99" s="4">
        <v>5.05</v>
      </c>
      <c r="E99" s="4" t="s">
        <v>91</v>
      </c>
    </row>
    <row r="100" spans="1:5" s="4" customFormat="1" x14ac:dyDescent="0.25"/>
    <row r="101" spans="1:5" s="4" customFormat="1" x14ac:dyDescent="0.25">
      <c r="C101" s="52" t="s">
        <v>92</v>
      </c>
      <c r="D101" s="51">
        <f>C94*1000000/D99</f>
        <v>8879612.0254789386</v>
      </c>
    </row>
    <row r="102" spans="1:5" x14ac:dyDescent="0.25">
      <c r="D102" s="7"/>
    </row>
  </sheetData>
  <mergeCells count="5">
    <mergeCell ref="X65:AA65"/>
    <mergeCell ref="C65:F65"/>
    <mergeCell ref="L65:O65"/>
    <mergeCell ref="P65:S65"/>
    <mergeCell ref="T65:W6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Scarborough</dc:creator>
  <cp:lastModifiedBy>Peter Scarborough</cp:lastModifiedBy>
  <dcterms:created xsi:type="dcterms:W3CDTF">2021-06-22T10:09:34Z</dcterms:created>
  <dcterms:modified xsi:type="dcterms:W3CDTF">2023-07-21T07:47:30Z</dcterms:modified>
</cp:coreProperties>
</file>