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24" windowWidth="17124" windowHeight="8736" firstSheet="1" activeTab="5"/>
  </bookViews>
  <sheets>
    <sheet name="BeanLoad" sheetId="1" r:id="rId1"/>
    <sheet name="Ref-BM-Trades-Portfolio" sheetId="2" r:id="rId2"/>
    <sheet name="Flt-Portfolio" sheetId="3" r:id="rId3"/>
    <sheet name="BMTrades" sheetId="4" r:id="rId4"/>
    <sheet name="ExtObba_POI" sheetId="5" r:id="rId5"/>
    <sheet name="Tabelle1" sheetId="6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F11" i="1" l="1"/>
  <c r="C31" i="3" a="1"/>
  <c r="C43" i="3" a="1"/>
  <c r="C68" i="2" a="1"/>
  <c r="C30" i="3" a="1"/>
  <c r="C42" i="3" a="1"/>
  <c r="C41" i="3" a="1"/>
  <c r="C40" i="3" a="1"/>
  <c r="C35" i="3" a="1"/>
  <c r="C72" i="2" a="1"/>
  <c r="C51" i="2" a="1"/>
  <c r="C36" i="2" a="1"/>
  <c r="C65" i="2" a="1"/>
  <c r="C34" i="3" a="1"/>
  <c r="C71" i="2" a="1"/>
  <c r="C57" i="2" a="1"/>
  <c r="C69" i="2" a="1"/>
  <c r="C29" i="3" a="1"/>
  <c r="C55" i="2" a="1"/>
  <c r="C46" i="3" a="1"/>
  <c r="C70" i="2" a="1"/>
  <c r="C49" i="2" a="1"/>
  <c r="C45" i="3" a="1"/>
  <c r="C66" i="2" a="1"/>
  <c r="C28" i="3" a="1"/>
  <c r="C37" i="2" a="1"/>
  <c r="C38" i="2" a="1"/>
  <c r="C39" i="2" a="1"/>
  <c r="C40" i="2" a="1"/>
  <c r="C41" i="2" a="1"/>
  <c r="C42" i="2" a="1"/>
  <c r="C43" i="2" a="1"/>
  <c r="C44" i="2" a="1"/>
  <c r="C63" i="2"/>
  <c r="F14" i="1"/>
  <c r="F19" i="1"/>
  <c r="G17" i="1"/>
  <c r="E17" i="1" l="1"/>
  <c r="I44" i="2"/>
  <c r="K44" i="2"/>
  <c r="D44" i="2"/>
  <c r="J44" i="2"/>
  <c r="L44" i="2"/>
  <c r="C44" i="2"/>
  <c r="E44" i="2"/>
  <c r="H44" i="2"/>
  <c r="F44" i="2"/>
  <c r="G44" i="2"/>
  <c r="J43" i="2"/>
  <c r="L43" i="2"/>
  <c r="C43" i="2"/>
  <c r="D43" i="2"/>
  <c r="E43" i="2"/>
  <c r="F43" i="2"/>
  <c r="G43" i="2"/>
  <c r="I43" i="2"/>
  <c r="H43" i="2"/>
  <c r="K43" i="2"/>
  <c r="J42" i="2"/>
  <c r="L42" i="2"/>
  <c r="K42" i="2"/>
  <c r="E42" i="2"/>
  <c r="F42" i="2"/>
  <c r="G42" i="2"/>
  <c r="H42" i="2"/>
  <c r="I42" i="2"/>
  <c r="C42" i="2"/>
  <c r="D42" i="2"/>
  <c r="J41" i="2"/>
  <c r="L41" i="2"/>
  <c r="C41" i="2"/>
  <c r="K41" i="2"/>
  <c r="D41" i="2"/>
  <c r="E41" i="2"/>
  <c r="F41" i="2"/>
  <c r="G41" i="2"/>
  <c r="I41" i="2"/>
  <c r="H41" i="2"/>
  <c r="D40" i="2"/>
  <c r="E40" i="2"/>
  <c r="F40" i="2"/>
  <c r="G40" i="2"/>
  <c r="I40" i="2"/>
  <c r="H40" i="2"/>
  <c r="J40" i="2"/>
  <c r="L40" i="2"/>
  <c r="C40" i="2"/>
  <c r="K40" i="2"/>
  <c r="F39" i="2"/>
  <c r="E39" i="2"/>
  <c r="G39" i="2"/>
  <c r="L39" i="2"/>
  <c r="H39" i="2"/>
  <c r="I39" i="2"/>
  <c r="J39" i="2"/>
  <c r="C39" i="2"/>
  <c r="K39" i="2"/>
  <c r="D39" i="2"/>
  <c r="E38" i="2"/>
  <c r="D38" i="2"/>
  <c r="F38" i="2"/>
  <c r="L38" i="2"/>
  <c r="G38" i="2"/>
  <c r="J38" i="2"/>
  <c r="K38" i="2"/>
  <c r="H38" i="2"/>
  <c r="I38" i="2"/>
  <c r="C38" i="2"/>
  <c r="D37" i="2"/>
  <c r="K37" i="2"/>
  <c r="E37" i="2"/>
  <c r="L37" i="2"/>
  <c r="F37" i="2"/>
  <c r="G37" i="2"/>
  <c r="H37" i="2"/>
  <c r="I37" i="2"/>
  <c r="J37" i="2"/>
  <c r="C37" i="2"/>
  <c r="U28" i="3"/>
  <c r="R28" i="3"/>
  <c r="C28" i="3"/>
  <c r="J28" i="3"/>
  <c r="H28" i="3"/>
  <c r="T28" i="3"/>
  <c r="Q28" i="3"/>
  <c r="K28" i="3"/>
  <c r="S28" i="3"/>
  <c r="P28" i="3"/>
  <c r="M28" i="3"/>
  <c r="V28" i="3"/>
  <c r="N28" i="3"/>
  <c r="G28" i="3"/>
  <c r="O28" i="3"/>
  <c r="L28" i="3"/>
  <c r="I28" i="3"/>
  <c r="F28" i="3"/>
  <c r="E28" i="3"/>
  <c r="D28" i="3"/>
  <c r="T66" i="2"/>
  <c r="O66" i="2"/>
  <c r="K66" i="2"/>
  <c r="E66" i="2"/>
  <c r="P66" i="2"/>
  <c r="F66" i="2"/>
  <c r="Q66" i="2"/>
  <c r="C66" i="2"/>
  <c r="H66" i="2"/>
  <c r="M66" i="2"/>
  <c r="N66" i="2"/>
  <c r="J66" i="2"/>
  <c r="L66" i="2"/>
  <c r="D66" i="2"/>
  <c r="V66" i="2"/>
  <c r="R66" i="2"/>
  <c r="G66" i="2"/>
  <c r="S66" i="2"/>
  <c r="U66" i="2"/>
  <c r="I66" i="2"/>
  <c r="E45" i="3"/>
  <c r="I45" i="3"/>
  <c r="C45" i="3"/>
  <c r="D45" i="3"/>
  <c r="F45" i="3"/>
  <c r="G45" i="3"/>
  <c r="H45" i="3"/>
  <c r="G49" i="2"/>
  <c r="I49" i="2"/>
  <c r="E49" i="2"/>
  <c r="K49" i="2"/>
  <c r="D49" i="2"/>
  <c r="H49" i="2"/>
  <c r="F49" i="2"/>
  <c r="L49" i="2"/>
  <c r="C49" i="2"/>
  <c r="J49" i="2"/>
  <c r="J70" i="2"/>
  <c r="E70" i="2"/>
  <c r="C70" i="2"/>
  <c r="H70" i="2"/>
  <c r="S70" i="2"/>
  <c r="N70" i="2"/>
  <c r="Q70" i="2"/>
  <c r="M70" i="2"/>
  <c r="G70" i="2"/>
  <c r="P70" i="2"/>
  <c r="D70" i="2"/>
  <c r="V70" i="2"/>
  <c r="I70" i="2"/>
  <c r="L70" i="2"/>
  <c r="T70" i="2"/>
  <c r="R70" i="2"/>
  <c r="U70" i="2"/>
  <c r="K70" i="2"/>
  <c r="O70" i="2"/>
  <c r="F70" i="2"/>
  <c r="E46" i="3"/>
  <c r="H46" i="3"/>
  <c r="C46" i="3"/>
  <c r="D46" i="3"/>
  <c r="F46" i="3"/>
  <c r="G46" i="3"/>
  <c r="I46" i="3"/>
  <c r="D55" i="2"/>
  <c r="E55" i="2"/>
  <c r="G55" i="2"/>
  <c r="L55" i="2"/>
  <c r="H55" i="2"/>
  <c r="J55" i="2"/>
  <c r="C55" i="2"/>
  <c r="I55" i="2"/>
  <c r="K55" i="2"/>
  <c r="F55" i="2"/>
  <c r="J29" i="3"/>
  <c r="M29" i="3"/>
  <c r="P29" i="3"/>
  <c r="U29" i="3"/>
  <c r="Q29" i="3"/>
  <c r="N29" i="3"/>
  <c r="D29" i="3"/>
  <c r="V29" i="3"/>
  <c r="E29" i="3"/>
  <c r="R29" i="3"/>
  <c r="C29" i="3"/>
  <c r="S29" i="3"/>
  <c r="L29" i="3"/>
  <c r="G29" i="3"/>
  <c r="H29" i="3"/>
  <c r="T29" i="3"/>
  <c r="O29" i="3"/>
  <c r="I29" i="3"/>
  <c r="F29" i="3"/>
  <c r="K29" i="3"/>
  <c r="U69" i="2"/>
  <c r="G69" i="2"/>
  <c r="S69" i="2"/>
  <c r="O69" i="2"/>
  <c r="J69" i="2"/>
  <c r="I69" i="2"/>
  <c r="T69" i="2"/>
  <c r="H69" i="2"/>
  <c r="K69" i="2"/>
  <c r="Q69" i="2"/>
  <c r="M69" i="2"/>
  <c r="F69" i="2"/>
  <c r="N69" i="2"/>
  <c r="E69" i="2"/>
  <c r="D69" i="2"/>
  <c r="R69" i="2"/>
  <c r="C69" i="2"/>
  <c r="L69" i="2"/>
  <c r="V69" i="2"/>
  <c r="P69" i="2"/>
  <c r="G57" i="2"/>
  <c r="D57" i="2"/>
  <c r="I57" i="2"/>
  <c r="L57" i="2"/>
  <c r="F57" i="2"/>
  <c r="C57" i="2"/>
  <c r="E57" i="2"/>
  <c r="H57" i="2"/>
  <c r="K57" i="2"/>
  <c r="J57" i="2"/>
  <c r="M71" i="2"/>
  <c r="P71" i="2"/>
  <c r="L71" i="2"/>
  <c r="T71" i="2"/>
  <c r="V71" i="2"/>
  <c r="R71" i="2"/>
  <c r="E71" i="2"/>
  <c r="G71" i="2"/>
  <c r="C71" i="2"/>
  <c r="S71" i="2"/>
  <c r="I71" i="2"/>
  <c r="Q71" i="2"/>
  <c r="D71" i="2"/>
  <c r="O71" i="2"/>
  <c r="K71" i="2"/>
  <c r="H71" i="2"/>
  <c r="U71" i="2"/>
  <c r="F71" i="2"/>
  <c r="N71" i="2"/>
  <c r="J71" i="2"/>
  <c r="L34" i="3"/>
  <c r="G34" i="3"/>
  <c r="T34" i="3"/>
  <c r="C34" i="3"/>
  <c r="U34" i="3"/>
  <c r="I34" i="3"/>
  <c r="R34" i="3"/>
  <c r="O34" i="3"/>
  <c r="E34" i="3"/>
  <c r="M34" i="3"/>
  <c r="K34" i="3"/>
  <c r="F34" i="3"/>
  <c r="Q34" i="3"/>
  <c r="D34" i="3"/>
  <c r="S34" i="3"/>
  <c r="N34" i="3"/>
  <c r="J34" i="3"/>
  <c r="V34" i="3"/>
  <c r="H34" i="3"/>
  <c r="P34" i="3"/>
  <c r="F65" i="2"/>
  <c r="Q65" i="2"/>
  <c r="J65" i="2"/>
  <c r="T65" i="2"/>
  <c r="O65" i="2"/>
  <c r="K65" i="2"/>
  <c r="I65" i="2"/>
  <c r="R65" i="2"/>
  <c r="E65" i="2"/>
  <c r="H65" i="2"/>
  <c r="S65" i="2"/>
  <c r="U65" i="2"/>
  <c r="N65" i="2"/>
  <c r="V65" i="2"/>
  <c r="M65" i="2"/>
  <c r="P65" i="2"/>
  <c r="D65" i="2"/>
  <c r="L65" i="2"/>
  <c r="G65" i="2"/>
  <c r="C65" i="2"/>
  <c r="D36" i="2"/>
  <c r="G36" i="2"/>
  <c r="H36" i="2"/>
  <c r="L36" i="2"/>
  <c r="I36" i="2"/>
  <c r="C36" i="2"/>
  <c r="J36" i="2"/>
  <c r="K36" i="2"/>
  <c r="E36" i="2"/>
  <c r="F36" i="2"/>
  <c r="C51" i="2"/>
  <c r="I51" i="2"/>
  <c r="J51" i="2"/>
  <c r="E51" i="2"/>
  <c r="H51" i="2"/>
  <c r="F51" i="2"/>
  <c r="K51" i="2"/>
  <c r="G51" i="2"/>
  <c r="D51" i="2"/>
  <c r="L51" i="2"/>
  <c r="E72" i="2"/>
  <c r="H72" i="2"/>
  <c r="M72" i="2"/>
  <c r="I72" i="2"/>
  <c r="S72" i="2"/>
  <c r="N72" i="2"/>
  <c r="J72" i="2"/>
  <c r="P72" i="2"/>
  <c r="U72" i="2"/>
  <c r="D72" i="2"/>
  <c r="V72" i="2"/>
  <c r="R72" i="2"/>
  <c r="O72" i="2"/>
  <c r="C72" i="2"/>
  <c r="L72" i="2"/>
  <c r="G72" i="2"/>
  <c r="T72" i="2"/>
  <c r="K72" i="2"/>
  <c r="Q72" i="2"/>
  <c r="F72" i="2"/>
  <c r="H35" i="3"/>
  <c r="L35" i="3"/>
  <c r="G35" i="3"/>
  <c r="E35" i="3"/>
  <c r="R35" i="3"/>
  <c r="Q35" i="3"/>
  <c r="C35" i="3"/>
  <c r="U35" i="3"/>
  <c r="V35" i="3"/>
  <c r="P35" i="3"/>
  <c r="K35" i="3"/>
  <c r="F35" i="3"/>
  <c r="O35" i="3"/>
  <c r="I35" i="3"/>
  <c r="M35" i="3"/>
  <c r="S35" i="3"/>
  <c r="N35" i="3"/>
  <c r="D35" i="3"/>
  <c r="T35" i="3"/>
  <c r="J35" i="3"/>
  <c r="G40" i="3"/>
  <c r="C40" i="3"/>
  <c r="F40" i="3"/>
  <c r="D40" i="3"/>
  <c r="I40" i="3"/>
  <c r="E40" i="3"/>
  <c r="H40" i="3"/>
  <c r="D41" i="3"/>
  <c r="F41" i="3"/>
  <c r="C41" i="3"/>
  <c r="G41" i="3"/>
  <c r="I41" i="3"/>
  <c r="H41" i="3"/>
  <c r="E41" i="3"/>
  <c r="E42" i="3"/>
  <c r="F42" i="3"/>
  <c r="C42" i="3"/>
  <c r="H42" i="3"/>
  <c r="D42" i="3"/>
  <c r="G42" i="3"/>
  <c r="I42" i="3"/>
  <c r="L30" i="3"/>
  <c r="G30" i="3"/>
  <c r="O30" i="3"/>
  <c r="M30" i="3"/>
  <c r="C30" i="3"/>
  <c r="U30" i="3"/>
  <c r="I30" i="3"/>
  <c r="D30" i="3"/>
  <c r="K30" i="3"/>
  <c r="F30" i="3"/>
  <c r="Q30" i="3"/>
  <c r="R30" i="3"/>
  <c r="T30" i="3"/>
  <c r="H30" i="3"/>
  <c r="P30" i="3"/>
  <c r="S30" i="3"/>
  <c r="N30" i="3"/>
  <c r="J30" i="3"/>
  <c r="V30" i="3"/>
  <c r="E30" i="3"/>
  <c r="J68" i="2"/>
  <c r="E68" i="2"/>
  <c r="G68" i="2"/>
  <c r="H68" i="2"/>
  <c r="S68" i="2"/>
  <c r="N68" i="2"/>
  <c r="T68" i="2"/>
  <c r="R68" i="2"/>
  <c r="P68" i="2"/>
  <c r="D68" i="2"/>
  <c r="V68" i="2"/>
  <c r="Q68" i="2"/>
  <c r="M68" i="2"/>
  <c r="U68" i="2"/>
  <c r="I68" i="2"/>
  <c r="L68" i="2"/>
  <c r="C68" i="2"/>
  <c r="K68" i="2"/>
  <c r="F68" i="2"/>
  <c r="O68" i="2"/>
  <c r="H43" i="3"/>
  <c r="I43" i="3"/>
  <c r="F43" i="3"/>
  <c r="G43" i="3"/>
  <c r="C43" i="3"/>
  <c r="D43" i="3"/>
  <c r="E43" i="3"/>
  <c r="D31" i="3"/>
  <c r="V31" i="3"/>
  <c r="R31" i="3"/>
  <c r="L31" i="3"/>
  <c r="K31" i="3"/>
  <c r="T31" i="3"/>
  <c r="M31" i="3"/>
  <c r="P31" i="3"/>
  <c r="G31" i="3"/>
  <c r="O31" i="3"/>
  <c r="E31" i="3"/>
  <c r="U31" i="3"/>
  <c r="I31" i="3"/>
  <c r="J31" i="3"/>
  <c r="H31" i="3"/>
  <c r="F31" i="3"/>
  <c r="Q31" i="3"/>
  <c r="N31" i="3"/>
  <c r="C31" i="3"/>
  <c r="S31" i="3"/>
  <c r="C10" i="3"/>
  <c r="F11" i="3"/>
  <c r="F14" i="3"/>
  <c r="C51" i="3" a="1"/>
  <c r="C32" i="3" a="1"/>
  <c r="C51" i="1"/>
  <c r="C22" i="3"/>
  <c r="C47" i="3" a="1"/>
  <c r="C55" i="1"/>
  <c r="C54" i="3" a="1"/>
  <c r="C52" i="3" a="1"/>
  <c r="C55" i="3" a="1"/>
  <c r="C36" i="1"/>
  <c r="C56" i="1"/>
  <c r="C27" i="3"/>
  <c r="E57" i="1"/>
  <c r="C67" i="2" a="1"/>
  <c r="C53" i="3" a="1"/>
  <c r="C24" i="3"/>
  <c r="G17" i="2"/>
  <c r="C49" i="3"/>
  <c r="C48" i="1"/>
  <c r="C53" i="1"/>
  <c r="C50" i="3" a="1"/>
  <c r="G17" i="3"/>
  <c r="C44" i="3" a="1"/>
  <c r="C56" i="3" a="1"/>
  <c r="C39" i="3"/>
  <c r="C33" i="3" a="1"/>
  <c r="C57" i="3" a="1"/>
  <c r="C57" i="1"/>
  <c r="F57" i="1"/>
  <c r="D57" i="1"/>
  <c r="C57" i="3" l="1"/>
  <c r="K57" i="3"/>
  <c r="D57" i="3"/>
  <c r="L57" i="3"/>
  <c r="E57" i="3"/>
  <c r="M57" i="3"/>
  <c r="F57" i="3"/>
  <c r="N57" i="3"/>
  <c r="G57" i="3"/>
  <c r="O57" i="3"/>
  <c r="H57" i="3"/>
  <c r="I57" i="3"/>
  <c r="J57" i="3"/>
  <c r="J56" i="3"/>
  <c r="C56" i="3"/>
  <c r="K56" i="3"/>
  <c r="D56" i="3"/>
  <c r="L56" i="3"/>
  <c r="M56" i="3"/>
  <c r="F56" i="3"/>
  <c r="O56" i="3"/>
  <c r="H56" i="3"/>
  <c r="I56" i="3"/>
  <c r="E56" i="3"/>
  <c r="N56" i="3"/>
  <c r="G56" i="3"/>
  <c r="D55" i="3"/>
  <c r="L55" i="3"/>
  <c r="E55" i="3"/>
  <c r="M55" i="3"/>
  <c r="F55" i="3"/>
  <c r="N55" i="3"/>
  <c r="G55" i="3"/>
  <c r="O55" i="3"/>
  <c r="H55" i="3"/>
  <c r="I55" i="3"/>
  <c r="J55" i="3"/>
  <c r="C55" i="3"/>
  <c r="K55" i="3"/>
  <c r="C54" i="3"/>
  <c r="K54" i="3"/>
  <c r="L54" i="3"/>
  <c r="E54" i="3"/>
  <c r="M54" i="3"/>
  <c r="F54" i="3"/>
  <c r="N54" i="3"/>
  <c r="G54" i="3"/>
  <c r="H54" i="3"/>
  <c r="I54" i="3"/>
  <c r="D54" i="3"/>
  <c r="O54" i="3"/>
  <c r="J54" i="3"/>
  <c r="C53" i="3"/>
  <c r="K53" i="3"/>
  <c r="D53" i="3"/>
  <c r="L53" i="3"/>
  <c r="E53" i="3"/>
  <c r="M53" i="3"/>
  <c r="F53" i="3"/>
  <c r="N53" i="3"/>
  <c r="G53" i="3"/>
  <c r="O53" i="3"/>
  <c r="H53" i="3"/>
  <c r="I53" i="3"/>
  <c r="J53" i="3"/>
  <c r="C52" i="3"/>
  <c r="K52" i="3"/>
  <c r="D52" i="3"/>
  <c r="L52" i="3"/>
  <c r="E52" i="3"/>
  <c r="M52" i="3"/>
  <c r="F52" i="3"/>
  <c r="N52" i="3"/>
  <c r="G52" i="3"/>
  <c r="O52" i="3"/>
  <c r="H52" i="3"/>
  <c r="I52" i="3"/>
  <c r="J52" i="3"/>
  <c r="C51" i="3"/>
  <c r="K51" i="3"/>
  <c r="D51" i="3"/>
  <c r="L51" i="3"/>
  <c r="E51" i="3"/>
  <c r="M51" i="3"/>
  <c r="F51" i="3"/>
  <c r="N51" i="3"/>
  <c r="G51" i="3"/>
  <c r="O51" i="3"/>
  <c r="H51" i="3"/>
  <c r="I51" i="3"/>
  <c r="J51" i="3"/>
  <c r="D50" i="3"/>
  <c r="L50" i="3"/>
  <c r="E50" i="3"/>
  <c r="M50" i="3"/>
  <c r="F50" i="3"/>
  <c r="N50" i="3"/>
  <c r="G50" i="3"/>
  <c r="O50" i="3"/>
  <c r="H50" i="3"/>
  <c r="I50" i="3"/>
  <c r="J50" i="3"/>
  <c r="C50" i="3"/>
  <c r="K50" i="3"/>
  <c r="F47" i="3"/>
  <c r="G47" i="3"/>
  <c r="H47" i="3"/>
  <c r="I47" i="3"/>
  <c r="C47" i="3"/>
  <c r="D47" i="3"/>
  <c r="E47" i="3"/>
  <c r="D44" i="3"/>
  <c r="E44" i="3"/>
  <c r="F44" i="3"/>
  <c r="G44" i="3"/>
  <c r="H44" i="3"/>
  <c r="I44" i="3"/>
  <c r="C44" i="3"/>
  <c r="E17" i="3"/>
  <c r="J67" i="2"/>
  <c r="R67" i="2"/>
  <c r="C67" i="2"/>
  <c r="K67" i="2"/>
  <c r="S67" i="2"/>
  <c r="D67" i="2"/>
  <c r="L67" i="2"/>
  <c r="T67" i="2"/>
  <c r="I67" i="2"/>
  <c r="Q67" i="2"/>
  <c r="E67" i="2"/>
  <c r="M67" i="2"/>
  <c r="U67" i="2"/>
  <c r="F67" i="2"/>
  <c r="N67" i="2"/>
  <c r="V67" i="2"/>
  <c r="G67" i="2"/>
  <c r="O67" i="2"/>
  <c r="H67" i="2"/>
  <c r="P67" i="2"/>
  <c r="D33" i="3"/>
  <c r="L33" i="3"/>
  <c r="T33" i="3"/>
  <c r="E33" i="3"/>
  <c r="M33" i="3"/>
  <c r="U33" i="3"/>
  <c r="F33" i="3"/>
  <c r="N33" i="3"/>
  <c r="V33" i="3"/>
  <c r="G33" i="3"/>
  <c r="O33" i="3"/>
  <c r="H33" i="3"/>
  <c r="P33" i="3"/>
  <c r="I33" i="3"/>
  <c r="Q33" i="3"/>
  <c r="J33" i="3"/>
  <c r="R33" i="3"/>
  <c r="C33" i="3"/>
  <c r="K33" i="3"/>
  <c r="S33" i="3"/>
  <c r="C32" i="3"/>
  <c r="K32" i="3"/>
  <c r="S32" i="3"/>
  <c r="D32" i="3"/>
  <c r="L32" i="3"/>
  <c r="T32" i="3"/>
  <c r="E32" i="3"/>
  <c r="M32" i="3"/>
  <c r="U32" i="3"/>
  <c r="F32" i="3"/>
  <c r="N32" i="3"/>
  <c r="V32" i="3"/>
  <c r="G32" i="3"/>
  <c r="O32" i="3"/>
  <c r="H32" i="3"/>
  <c r="P32" i="3"/>
  <c r="I32" i="3"/>
  <c r="Q32" i="3"/>
  <c r="J32" i="3"/>
  <c r="R32" i="3"/>
  <c r="C47" i="2"/>
  <c r="C48" i="2" a="1"/>
  <c r="C50" i="2" a="1"/>
  <c r="C35" i="2" a="1"/>
  <c r="C20" i="2"/>
  <c r="C53" i="2" a="1"/>
  <c r="E65" i="1" a="1"/>
  <c r="C34" i="2"/>
  <c r="E59" i="1"/>
  <c r="C54" i="2" a="1"/>
  <c r="C56" i="2" a="1"/>
  <c r="C37" i="1"/>
  <c r="C58" i="1"/>
  <c r="C52" i="2" a="1"/>
  <c r="G57" i="1"/>
  <c r="C56" i="2" l="1"/>
  <c r="K56" i="2"/>
  <c r="D56" i="2"/>
  <c r="L56" i="2"/>
  <c r="E56" i="2"/>
  <c r="F56" i="2"/>
  <c r="G56" i="2"/>
  <c r="H56" i="2"/>
  <c r="I56" i="2"/>
  <c r="J56" i="2"/>
  <c r="C54" i="2"/>
  <c r="K54" i="2"/>
  <c r="D54" i="2"/>
  <c r="L54" i="2"/>
  <c r="E54" i="2"/>
  <c r="F54" i="2"/>
  <c r="G54" i="2"/>
  <c r="H54" i="2"/>
  <c r="I54" i="2"/>
  <c r="J54" i="2"/>
  <c r="F53" i="2"/>
  <c r="G53" i="2"/>
  <c r="H53" i="2"/>
  <c r="I53" i="2"/>
  <c r="J53" i="2"/>
  <c r="C53" i="2"/>
  <c r="K53" i="2"/>
  <c r="D53" i="2"/>
  <c r="L53" i="2"/>
  <c r="E53" i="2"/>
  <c r="C52" i="2"/>
  <c r="K52" i="2"/>
  <c r="D52" i="2"/>
  <c r="L52" i="2"/>
  <c r="E52" i="2"/>
  <c r="F52" i="2"/>
  <c r="G52" i="2"/>
  <c r="H52" i="2"/>
  <c r="I52" i="2"/>
  <c r="J52" i="2"/>
  <c r="C50" i="2"/>
  <c r="K50" i="2"/>
  <c r="D50" i="2"/>
  <c r="L50" i="2"/>
  <c r="E50" i="2"/>
  <c r="F50" i="2"/>
  <c r="G50" i="2"/>
  <c r="H50" i="2"/>
  <c r="I50" i="2"/>
  <c r="J50" i="2"/>
  <c r="C48" i="2"/>
  <c r="K48" i="2"/>
  <c r="D48" i="2"/>
  <c r="L48" i="2"/>
  <c r="E48" i="2"/>
  <c r="F48" i="2"/>
  <c r="G48" i="2"/>
  <c r="H48" i="2"/>
  <c r="I48" i="2"/>
  <c r="J48" i="2"/>
  <c r="G35" i="2"/>
  <c r="H35" i="2"/>
  <c r="I35" i="2"/>
  <c r="J35" i="2"/>
  <c r="C35" i="2"/>
  <c r="K35" i="2"/>
  <c r="D35" i="2"/>
  <c r="L35" i="2"/>
  <c r="E35" i="2"/>
  <c r="F35" i="2"/>
  <c r="E65" i="1"/>
  <c r="F65" i="1"/>
  <c r="G65" i="1"/>
  <c r="H65" i="1"/>
  <c r="I65" i="1"/>
  <c r="J65" i="1"/>
  <c r="B13" i="3"/>
  <c r="B13" i="2"/>
  <c r="F11" i="2"/>
  <c r="C10" i="2"/>
  <c r="C10" i="1"/>
  <c r="F23" i="1"/>
  <c r="F24" i="1" s="1"/>
  <c r="B13" i="1"/>
  <c r="C21" i="2" a="1"/>
  <c r="C59" i="1"/>
  <c r="C28" i="1"/>
  <c r="G59" i="1"/>
  <c r="C38" i="1" a="1"/>
  <c r="D63" i="1" a="1"/>
  <c r="C68" i="1"/>
  <c r="F59" i="1"/>
  <c r="C62" i="1"/>
  <c r="D62" i="1" a="1"/>
  <c r="C63" i="1"/>
  <c r="C47" i="1"/>
  <c r="D58" i="1"/>
  <c r="D68" i="1"/>
  <c r="C40" i="1" a="1"/>
  <c r="C64" i="1"/>
  <c r="D70" i="1" a="1"/>
  <c r="C65" i="1"/>
  <c r="F14" i="2"/>
  <c r="D59" i="1"/>
  <c r="E17" i="2" l="1"/>
  <c r="J21" i="2"/>
  <c r="G22" i="2"/>
  <c r="D23" i="2"/>
  <c r="L23" i="2"/>
  <c r="I24" i="2"/>
  <c r="F25" i="2"/>
  <c r="C26" i="2"/>
  <c r="K26" i="2"/>
  <c r="H27" i="2"/>
  <c r="E28" i="2"/>
  <c r="M28" i="2"/>
  <c r="J29" i="2"/>
  <c r="G30" i="2"/>
  <c r="D31" i="2"/>
  <c r="L31" i="2"/>
  <c r="I32" i="2"/>
  <c r="C23" i="2"/>
  <c r="M25" i="2"/>
  <c r="D28" i="2"/>
  <c r="F30" i="2"/>
  <c r="H32" i="2"/>
  <c r="C21" i="2"/>
  <c r="K21" i="2"/>
  <c r="H22" i="2"/>
  <c r="E23" i="2"/>
  <c r="M23" i="2"/>
  <c r="J24" i="2"/>
  <c r="G25" i="2"/>
  <c r="D26" i="2"/>
  <c r="L26" i="2"/>
  <c r="I27" i="2"/>
  <c r="F28" i="2"/>
  <c r="C29" i="2"/>
  <c r="K29" i="2"/>
  <c r="H30" i="2"/>
  <c r="E31" i="2"/>
  <c r="M31" i="2"/>
  <c r="J32" i="2"/>
  <c r="M21" i="2"/>
  <c r="G23" i="2"/>
  <c r="L24" i="2"/>
  <c r="F26" i="2"/>
  <c r="K27" i="2"/>
  <c r="E29" i="2"/>
  <c r="J30" i="2"/>
  <c r="D32" i="2"/>
  <c r="C22" i="2"/>
  <c r="H23" i="2"/>
  <c r="M24" i="2"/>
  <c r="G26" i="2"/>
  <c r="L27" i="2"/>
  <c r="F29" i="2"/>
  <c r="K30" i="2"/>
  <c r="E32" i="2"/>
  <c r="L22" i="2"/>
  <c r="F24" i="2"/>
  <c r="K25" i="2"/>
  <c r="E27" i="2"/>
  <c r="J28" i="2"/>
  <c r="L30" i="2"/>
  <c r="F32" i="2"/>
  <c r="H21" i="2"/>
  <c r="E22" i="2"/>
  <c r="M22" i="2"/>
  <c r="J23" i="2"/>
  <c r="D25" i="2"/>
  <c r="L25" i="2"/>
  <c r="I26" i="2"/>
  <c r="F27" i="2"/>
  <c r="C28" i="2"/>
  <c r="H29" i="2"/>
  <c r="E30" i="2"/>
  <c r="J31" i="2"/>
  <c r="I21" i="2"/>
  <c r="K23" i="2"/>
  <c r="E25" i="2"/>
  <c r="G27" i="2"/>
  <c r="I29" i="2"/>
  <c r="K31" i="2"/>
  <c r="D21" i="2"/>
  <c r="L21" i="2"/>
  <c r="I22" i="2"/>
  <c r="F23" i="2"/>
  <c r="C24" i="2"/>
  <c r="K24" i="2"/>
  <c r="H25" i="2"/>
  <c r="E26" i="2"/>
  <c r="M26" i="2"/>
  <c r="J27" i="2"/>
  <c r="G28" i="2"/>
  <c r="D29" i="2"/>
  <c r="L29" i="2"/>
  <c r="I30" i="2"/>
  <c r="F31" i="2"/>
  <c r="C32" i="2"/>
  <c r="K32" i="2"/>
  <c r="E21" i="2"/>
  <c r="J22" i="2"/>
  <c r="D24" i="2"/>
  <c r="I25" i="2"/>
  <c r="C27" i="2"/>
  <c r="H28" i="2"/>
  <c r="M29" i="2"/>
  <c r="G31" i="2"/>
  <c r="L32" i="2"/>
  <c r="F21" i="2"/>
  <c r="K22" i="2"/>
  <c r="E24" i="2"/>
  <c r="J25" i="2"/>
  <c r="D27" i="2"/>
  <c r="I28" i="2"/>
  <c r="C30" i="2"/>
  <c r="H31" i="2"/>
  <c r="M32" i="2"/>
  <c r="D22" i="2"/>
  <c r="I23" i="2"/>
  <c r="C25" i="2"/>
  <c r="H26" i="2"/>
  <c r="M27" i="2"/>
  <c r="G29" i="2"/>
  <c r="I31" i="2"/>
  <c r="G21" i="2"/>
  <c r="D30" i="2"/>
  <c r="G24" i="2"/>
  <c r="K28" i="2"/>
  <c r="M30" i="2"/>
  <c r="G32" i="2"/>
  <c r="F22" i="2"/>
  <c r="H24" i="2"/>
  <c r="J26" i="2"/>
  <c r="L28" i="2"/>
  <c r="C31" i="2"/>
  <c r="D62" i="1"/>
  <c r="E62" i="1"/>
  <c r="F62" i="1"/>
  <c r="G62" i="1"/>
  <c r="H62" i="1"/>
  <c r="I62" i="1"/>
  <c r="J62" i="1"/>
  <c r="D70" i="1"/>
  <c r="F70" i="1"/>
  <c r="H70" i="1"/>
  <c r="I70" i="1"/>
  <c r="J70" i="1"/>
  <c r="E70" i="1"/>
  <c r="G70" i="1"/>
  <c r="D63" i="1"/>
  <c r="F63" i="1"/>
  <c r="G63" i="1"/>
  <c r="H63" i="1"/>
  <c r="I63" i="1"/>
  <c r="J63" i="1"/>
  <c r="E63" i="1"/>
  <c r="D38" i="1"/>
  <c r="E38" i="1"/>
  <c r="F38" i="1"/>
  <c r="G38" i="1"/>
  <c r="C38" i="1"/>
  <c r="C40" i="1"/>
  <c r="D40" i="1"/>
  <c r="E40" i="1"/>
  <c r="F40" i="1"/>
  <c r="G40" i="1"/>
  <c r="F25" i="1"/>
  <c r="C52" i="1"/>
  <c r="H47" i="1"/>
  <c r="C29" i="1"/>
  <c r="F27" i="1" l="1"/>
  <c r="F29" i="1" s="1"/>
</calcChain>
</file>

<file path=xl/sharedStrings.xml><?xml version="1.0" encoding="utf-8"?>
<sst xmlns="http://schemas.openxmlformats.org/spreadsheetml/2006/main" count="691" uniqueCount="147">
  <si>
    <t>Config &amp; Loading Java Libs</t>
  </si>
  <si>
    <t>Object Viewer</t>
  </si>
  <si>
    <t>Libraries</t>
  </si>
  <si>
    <t>Visibility</t>
  </si>
  <si>
    <t>Parameters</t>
  </si>
  <si>
    <t>Result:</t>
  </si>
  <si>
    <t>Load libraries from</t>
  </si>
  <si>
    <t>Path:</t>
  </si>
  <si>
    <t>lib</t>
  </si>
  <si>
    <t>isRelative</t>
  </si>
  <si>
    <t>Loaded:</t>
  </si>
  <si>
    <t xml:space="preserve">Invoke Java </t>
  </si>
  <si>
    <t>Pricing</t>
  </si>
  <si>
    <t xml:space="preserve">Comparison to Excel </t>
  </si>
  <si>
    <t>Coupon</t>
  </si>
  <si>
    <t>Yield</t>
  </si>
  <si>
    <t>Redemption</t>
  </si>
  <si>
    <t>Fequency</t>
  </si>
  <si>
    <t>Value</t>
  </si>
  <si>
    <t>Time To Mat</t>
  </si>
  <si>
    <t xml:space="preserve">Settlement: </t>
  </si>
  <si>
    <t xml:space="preserve">Maturity: </t>
  </si>
  <si>
    <t xml:space="preserve">Excel PRICE: </t>
  </si>
  <si>
    <t xml:space="preserve">Java PRICE: </t>
  </si>
  <si>
    <t xml:space="preserve">Difference: </t>
  </si>
  <si>
    <t>Ensure-lib</t>
  </si>
  <si>
    <t>Invoke-funct</t>
  </si>
  <si>
    <t>StringArray I/O</t>
  </si>
  <si>
    <t>Params</t>
  </si>
  <si>
    <t>Company</t>
  </si>
  <si>
    <t>Desk</t>
  </si>
  <si>
    <t>Book</t>
  </si>
  <si>
    <t>Folder</t>
  </si>
  <si>
    <t>Call</t>
  </si>
  <si>
    <t>MakeArray</t>
  </si>
  <si>
    <t>Result</t>
  </si>
  <si>
    <t>obSave("marrclass","objArray","marclslab") )</t>
  </si>
  <si>
    <t>saveObj??</t>
  </si>
  <si>
    <t>StructArray</t>
  </si>
  <si>
    <t>Call-Hello</t>
  </si>
  <si>
    <t>Call-aAgent</t>
  </si>
  <si>
    <t>getAccessObj</t>
  </si>
  <si>
    <t>Call-AgentSA</t>
  </si>
  <si>
    <t>makeObjArray</t>
  </si>
  <si>
    <t>makeObjSA</t>
  </si>
  <si>
    <t>Control-Panel</t>
  </si>
  <si>
    <t>loadObj</t>
  </si>
  <si>
    <t>AccessArray</t>
  </si>
  <si>
    <t>FetchArrayIdx</t>
  </si>
  <si>
    <t>Struct-item-0</t>
  </si>
  <si>
    <t>Struct-item-1</t>
  </si>
  <si>
    <t>getNames</t>
  </si>
  <si>
    <t>namesField</t>
  </si>
  <si>
    <t>CodeField</t>
  </si>
  <si>
    <t>AllAgents</t>
  </si>
  <si>
    <t>Ref-Trades</t>
  </si>
  <si>
    <t>Tradeid</t>
  </si>
  <si>
    <t>Wkn</t>
  </si>
  <si>
    <t>Tradedate</t>
  </si>
  <si>
    <t>Valutadate</t>
  </si>
  <si>
    <t>Nominal</t>
  </si>
  <si>
    <t>Price</t>
  </si>
  <si>
    <t>Inst-type</t>
  </si>
  <si>
    <t>BM-Trades</t>
  </si>
  <si>
    <t>Ref-Trd-Cls</t>
  </si>
  <si>
    <t>LoadPortfolio</t>
  </si>
  <si>
    <t>Portfolioid</t>
  </si>
  <si>
    <t>Portfolio</t>
  </si>
  <si>
    <t>Today</t>
  </si>
  <si>
    <t>AllPortfolio</t>
  </si>
  <si>
    <t>Notional</t>
  </si>
  <si>
    <t>Sec-Price</t>
  </si>
  <si>
    <t>AccessPtf</t>
  </si>
  <si>
    <t>Portfolio-1</t>
  </si>
  <si>
    <t>Portfolio-2</t>
  </si>
  <si>
    <t>BM_113740_0+</t>
  </si>
  <si>
    <t>schatz</t>
  </si>
  <si>
    <t>bm_bund</t>
  </si>
  <si>
    <t>emissionen</t>
  </si>
  <si>
    <t>bestand_fa</t>
  </si>
  <si>
    <t>BM_113740_1+</t>
  </si>
  <si>
    <t>eigenbestand</t>
  </si>
  <si>
    <t>tender_aufst</t>
  </si>
  <si>
    <t>BM_113740_2+</t>
  </si>
  <si>
    <t>bund10</t>
  </si>
  <si>
    <t>BM_113740_3+</t>
  </si>
  <si>
    <t>BM_113740_4+</t>
  </si>
  <si>
    <t>BM_113740_5+</t>
  </si>
  <si>
    <t>bobl</t>
  </si>
  <si>
    <t>BM_113740_6+</t>
  </si>
  <si>
    <t>BM_113740_7+</t>
  </si>
  <si>
    <t>BM_113740_8+</t>
  </si>
  <si>
    <t>BM_113740_9+</t>
  </si>
  <si>
    <t>Load-Class:</t>
  </si>
  <si>
    <t>C:\devdrv\more4\ExtAppObba\lib</t>
  </si>
  <si>
    <t>Test-Funct</t>
  </si>
  <si>
    <t>HelloSA!</t>
  </si>
  <si>
    <t>Load-Jars</t>
  </si>
  <si>
    <t>Lib-Loaded</t>
  </si>
  <si>
    <t>BM-Params</t>
  </si>
  <si>
    <t>execExcelParams 
[4254]</t>
  </si>
  <si>
    <t>BMTradesData.xlsx</t>
  </si>
  <si>
    <t>RefTradesData.xlsx</t>
  </si>
  <si>
    <t>Exec BM-Streams</t>
  </si>
  <si>
    <t>PortfolioData.xlsx</t>
  </si>
  <si>
    <t>Restore Excel-Stream</t>
  </si>
  <si>
    <t>[[Ljava.lang.Object;@1296f20e</t>
  </si>
  <si>
    <t>[[Ljava.lang.Object;@73ed7eaa</t>
  </si>
  <si>
    <t>Excel-Stream-StrArr</t>
  </si>
  <si>
    <t>113740.0</t>
  </si>
  <si>
    <t>41276.0</t>
  </si>
  <si>
    <t>41278.0</t>
  </si>
  <si>
    <t>5.0E9</t>
  </si>
  <si>
    <t>99.983</t>
  </si>
  <si>
    <t>-1.0E9</t>
  </si>
  <si>
    <t>113524.0</t>
  </si>
  <si>
    <t>41281.0</t>
  </si>
  <si>
    <t>-5.6E7</t>
  </si>
  <si>
    <t>104.277</t>
  </si>
  <si>
    <t>113526.0</t>
  </si>
  <si>
    <t>-3.9E7</t>
  </si>
  <si>
    <t>107.494</t>
  </si>
  <si>
    <t>113549.0</t>
  </si>
  <si>
    <t>2.9E7</t>
  </si>
  <si>
    <t>100.17</t>
  </si>
  <si>
    <t>114164.0</t>
  </si>
  <si>
    <t>4.3E7</t>
  </si>
  <si>
    <t>100.691</t>
  </si>
  <si>
    <t>7.1E7</t>
  </si>
  <si>
    <t>99.954</t>
  </si>
  <si>
    <t>41277.0</t>
  </si>
  <si>
    <t>41282.0</t>
  </si>
  <si>
    <t>4.2E7</t>
  </si>
  <si>
    <t>100.57</t>
  </si>
  <si>
    <t>2.8E7</t>
  </si>
  <si>
    <t>101.03</t>
  </si>
  <si>
    <t>1.2E7</t>
  </si>
  <si>
    <t>null</t>
  </si>
  <si>
    <t>41278.0schatzbm_bund99.46</t>
  </si>
  <si>
    <t>41281.0bund10bm_bund106.17</t>
  </si>
  <si>
    <t>41281.0boblbm_bund101.66</t>
  </si>
  <si>
    <t>41281.0schatzbm_bund98.66</t>
  </si>
  <si>
    <t>41282.0boblbm_bund101.32</t>
  </si>
  <si>
    <t>41282.0bund10bm_bund103.53</t>
  </si>
  <si>
    <t>Hbase Display</t>
  </si>
  <si>
    <t>Spark Computaion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</si>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</sst>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0" borderId="0"/>
    <xf numFmtId="9" fontId="6" fillId="0" borderId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6" fillId="5" borderId="0" xfId="3" applyFont="1" applyFill="1"/>
    <xf numFmtId="9" fontId="0" fillId="0" borderId="0" xfId="0" applyNumberFormat="1"/>
    <xf numFmtId="14" fontId="0" fillId="0" borderId="0" xfId="0" applyNumberFormat="1"/>
    <xf numFmtId="0" fontId="7" fillId="0" borderId="0" xfId="0" applyFont="1"/>
    <xf numFmtId="0" fontId="6" fillId="0" borderId="0" xfId="3"/>
    <xf numFmtId="0" fontId="6" fillId="5" borderId="0" xfId="3" applyFont="1" applyFill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" fillId="2" borderId="0" xfId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2" fillId="3" borderId="1" xfId="2" applyAlignment="1">
      <alignment horizontal="left"/>
    </xf>
    <xf numFmtId="0" fontId="2" fillId="3" borderId="1" xfId="2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14" fontId="1" fillId="2" borderId="0" xfId="1" applyNumberFormat="1" applyAlignment="1">
      <alignment horizontal="left"/>
    </xf>
    <xf numFmtId="14" fontId="1" fillId="2" borderId="0" xfId="1" applyNumberFormat="1"/>
    <xf numFmtId="0" fontId="1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/>
    <xf numFmtId="0" fontId="10" fillId="0" borderId="0" xfId="0" applyFont="1"/>
    <xf numFmtId="0" fontId="4" fillId="0" borderId="0" xfId="0" applyFont="1"/>
    <xf numFmtId="0" fontId="9" fillId="0" borderId="0" xfId="0" applyFont="1"/>
    <xf numFmtId="0" fontId="7" fillId="0" borderId="0" xfId="0" applyFont="1"/>
    <xf numFmtId="0" fontId="5" fillId="4" borderId="0" xfId="0" applyFont="1" applyFill="1"/>
  </cellXfs>
  <cellStyles count="5">
    <cellStyle name="Berechnung" xfId="2" builtinId="22"/>
    <cellStyle name="Gut" xfId="1" builtinId="26"/>
    <cellStyle name="Prozent 2" xfId="4"/>
    <cellStyle name="Standard" xfId="0" builtinId="0"/>
    <cellStyle name="Standar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Classes"/>
      <definedName name="obCall"/>
      <definedName name="obControlPanelSetVisible"/>
      <definedName name="obGet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70"/>
  <sheetViews>
    <sheetView topLeftCell="B61" workbookViewId="0">
      <selection activeCell="G19" sqref="G19"/>
    </sheetView>
  </sheetViews>
  <sheetFormatPr baseColWidth="10" defaultRowHeight="14.4" x14ac:dyDescent="0.3"/>
  <cols>
    <col min="3" max="3" width="17.88671875" customWidth="1"/>
  </cols>
  <sheetData>
    <row r="5" spans="1:7" x14ac:dyDescent="0.3">
      <c r="A5" s="2" t="s">
        <v>0</v>
      </c>
      <c r="B5" s="2"/>
    </row>
    <row r="7" spans="1:7" x14ac:dyDescent="0.3">
      <c r="B7" s="2" t="s">
        <v>1</v>
      </c>
      <c r="E7" s="2" t="s">
        <v>2</v>
      </c>
    </row>
    <row r="9" spans="1:7" x14ac:dyDescent="0.3">
      <c r="B9" s="1" t="s">
        <v>4</v>
      </c>
      <c r="E9" s="1" t="s">
        <v>6</v>
      </c>
    </row>
    <row r="10" spans="1:7" x14ac:dyDescent="0.3">
      <c r="B10" t="s">
        <v>3</v>
      </c>
      <c r="C10" t="b">
        <f>TRUE</f>
        <v>1</v>
      </c>
      <c r="E10" t="s">
        <v>7</v>
      </c>
      <c r="F10" t="s">
        <v>8</v>
      </c>
    </row>
    <row r="11" spans="1:7" x14ac:dyDescent="0.3">
      <c r="E11" t="s">
        <v>9</v>
      </c>
      <c r="F11" t="b">
        <f>TRUE</f>
        <v>1</v>
      </c>
    </row>
    <row r="12" spans="1:7" x14ac:dyDescent="0.3">
      <c r="B12" s="2" t="s">
        <v>5</v>
      </c>
    </row>
    <row r="13" spans="1:7" x14ac:dyDescent="0.3">
      <c r="B13" t="b">
        <f>TRUE</f>
        <v>1</v>
      </c>
    </row>
    <row r="14" spans="1:7" x14ac:dyDescent="0.3">
      <c r="E14" s="7" t="s">
        <v>10</v>
      </c>
      <c r="F14" t="str">
        <f>[1]!obAddClasses(F10,F11)</f>
        <v>H:\Release_IT_Architecture\1-Publish_MeetingsEA_NS\MoRE\MoRE5\edrk_spark\cert-project\risksys\final\visualizerObba\lib</v>
      </c>
    </row>
    <row r="16" spans="1:7" x14ac:dyDescent="0.3">
      <c r="E16" s="7" t="s">
        <v>25</v>
      </c>
      <c r="G16" s="7" t="s">
        <v>45</v>
      </c>
    </row>
    <row r="17" spans="1:7" x14ac:dyDescent="0.3">
      <c r="E17" s="3" t="str">
        <f>IF(ISTEXT(F14),"Lib-Loaded",NA())</f>
        <v>Lib-Loaded</v>
      </c>
      <c r="G17" t="b">
        <f>[1]!obControlPanelSetVisible(TRUE)</f>
        <v>1</v>
      </c>
    </row>
    <row r="19" spans="1:7" x14ac:dyDescent="0.3">
      <c r="A19" s="1" t="s">
        <v>11</v>
      </c>
      <c r="E19" s="7" t="s">
        <v>26</v>
      </c>
      <c r="F19" t="str">
        <f>[1]!obGet([1]!obCall("Hello","HelloObba","HelloObbaDisp"))</f>
        <v>Hello-Obba!</v>
      </c>
    </row>
    <row r="21" spans="1:7" x14ac:dyDescent="0.3">
      <c r="B21" s="2" t="s">
        <v>12</v>
      </c>
      <c r="E21" s="2" t="s">
        <v>13</v>
      </c>
    </row>
    <row r="23" spans="1:7" x14ac:dyDescent="0.3">
      <c r="B23" s="4" t="s">
        <v>19</v>
      </c>
      <c r="C23">
        <v>2.5</v>
      </c>
      <c r="E23" s="9" t="s">
        <v>20</v>
      </c>
      <c r="F23" s="6">
        <f ca="1">TODAY()</f>
        <v>42461</v>
      </c>
    </row>
    <row r="24" spans="1:7" x14ac:dyDescent="0.3">
      <c r="B24" s="4" t="s">
        <v>14</v>
      </c>
      <c r="C24" s="5">
        <v>0.05</v>
      </c>
      <c r="E24" s="9" t="s">
        <v>21</v>
      </c>
      <c r="F24" s="6">
        <f ca="1">F23+C23*365.25</f>
        <v>43374.125</v>
      </c>
    </row>
    <row r="25" spans="1:7" x14ac:dyDescent="0.3">
      <c r="B25" s="4" t="s">
        <v>15</v>
      </c>
      <c r="C25" s="5">
        <v>0.03</v>
      </c>
      <c r="E25" s="9" t="s">
        <v>22</v>
      </c>
      <c r="F25">
        <f ca="1">PRICE(F23,F24,C24,C25,C26*100,C27)</f>
        <v>104.78264497295744</v>
      </c>
    </row>
    <row r="26" spans="1:7" x14ac:dyDescent="0.3">
      <c r="B26" s="4" t="s">
        <v>16</v>
      </c>
      <c r="C26">
        <v>1</v>
      </c>
      <c r="E26" s="8"/>
    </row>
    <row r="27" spans="1:7" x14ac:dyDescent="0.3">
      <c r="B27" s="4" t="s">
        <v>17</v>
      </c>
      <c r="C27">
        <v>2</v>
      </c>
      <c r="E27" s="9" t="s">
        <v>23</v>
      </c>
      <c r="F27">
        <f>C29*100</f>
        <v>104.78264497295741</v>
      </c>
    </row>
    <row r="28" spans="1:7" x14ac:dyDescent="0.3">
      <c r="C28" t="str">
        <f>[1]!obCall("","SpreadsheetFunctions","price",[1]!obMake("","double",C23),[1]!obMake("","double",C24),[1]!obMake("","double",C25),[1]!obMake("","double",C26),[1]!obMake("","int",C27))</f>
        <v>ob.trans.4340 
[3675]</v>
      </c>
    </row>
    <row r="29" spans="1:7" x14ac:dyDescent="0.3">
      <c r="B29" s="4" t="s">
        <v>18</v>
      </c>
      <c r="C29">
        <f>[1]!obGet(C28)</f>
        <v>1.0478264497295742</v>
      </c>
      <c r="E29" s="9" t="s">
        <v>24</v>
      </c>
      <c r="F29">
        <f ca="1">(F27-F25)/100</f>
        <v>-2.8421709430404008E-16</v>
      </c>
    </row>
    <row r="33" spans="2:8" x14ac:dyDescent="0.3">
      <c r="B33" s="2" t="s">
        <v>27</v>
      </c>
    </row>
    <row r="35" spans="2:8" x14ac:dyDescent="0.3">
      <c r="B35" s="1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18</v>
      </c>
    </row>
    <row r="36" spans="2:8" x14ac:dyDescent="0.3">
      <c r="B36" s="10" t="s">
        <v>34</v>
      </c>
      <c r="C36" t="str">
        <f>[1]!obMake("objArray","String[]",C35:G35)</f>
        <v>objArray 
[3630]</v>
      </c>
    </row>
    <row r="37" spans="2:8" x14ac:dyDescent="0.3">
      <c r="B37" s="10" t="s">
        <v>33</v>
      </c>
      <c r="C37" t="str">
        <f>[1]!obCall("Hell","HelloObba","RetStrArray",C36)</f>
        <v>Hell 
[3663]</v>
      </c>
    </row>
    <row r="38" spans="2:8" x14ac:dyDescent="0.3">
      <c r="B38" s="10" t="s">
        <v>35</v>
      </c>
      <c r="C38" t="str">
        <f t="array" ref="C38:G38">[1]!obGet(C37)</f>
        <v>Hello-Company</v>
      </c>
      <c r="D38" t="str">
        <v>Hello-Desk</v>
      </c>
      <c r="E38" t="str">
        <v>Hello-Book</v>
      </c>
      <c r="F38" t="str">
        <v>Hello-Folder</v>
      </c>
      <c r="G38" t="str">
        <v>Hello-Value</v>
      </c>
    </row>
    <row r="40" spans="2:8" x14ac:dyDescent="0.3">
      <c r="C40" t="str">
        <f t="array" ref="C40:G40">[1]!obGet(C36)</f>
        <v>Company</v>
      </c>
      <c r="D40" t="str">
        <v>Desk</v>
      </c>
      <c r="E40" t="str">
        <v>Book</v>
      </c>
      <c r="F40" t="str">
        <v>Folder</v>
      </c>
      <c r="G40" t="str">
        <v>Value</v>
      </c>
    </row>
    <row r="42" spans="2:8" x14ac:dyDescent="0.3">
      <c r="B42" t="s">
        <v>37</v>
      </c>
      <c r="C42" t="s">
        <v>36</v>
      </c>
    </row>
    <row r="46" spans="2:8" x14ac:dyDescent="0.3">
      <c r="B46" s="2" t="s">
        <v>38</v>
      </c>
    </row>
    <row r="47" spans="2:8" x14ac:dyDescent="0.3">
      <c r="B47" s="7" t="s">
        <v>44</v>
      </c>
      <c r="C47" t="str">
        <f>[1]!obMake("objSA","AgentSA",[1]!obMake("","String",D47),[1]!obMake("","int",E47))</f>
        <v>objSA 
[3685]</v>
      </c>
      <c r="E47">
        <v>100312345</v>
      </c>
      <c r="G47" s="7" t="s">
        <v>41</v>
      </c>
      <c r="H47" t="str">
        <f>[1]!obGet(C47)</f>
        <v>AgentSA@46bf27</v>
      </c>
    </row>
    <row r="48" spans="2:8" x14ac:dyDescent="0.3">
      <c r="B48" s="7" t="s">
        <v>39</v>
      </c>
      <c r="C48" t="str">
        <f>[1]!obGet([1]!obCall("getSA","AccessAgentSA","getHello"))</f>
        <v>HelloSA!</v>
      </c>
    </row>
    <row r="49" spans="2:10" x14ac:dyDescent="0.3">
      <c r="B49" s="7"/>
    </row>
    <row r="50" spans="2:10" x14ac:dyDescent="0.3">
      <c r="B50" s="7"/>
    </row>
    <row r="51" spans="2:10" x14ac:dyDescent="0.3">
      <c r="B51" s="7" t="s">
        <v>40</v>
      </c>
      <c r="C51" t="e">
        <f>[1]!obCall("objSA2","AccessAgentSA","getHelloSA")</f>
        <v>#VALUE!</v>
      </c>
    </row>
    <row r="52" spans="2:10" x14ac:dyDescent="0.3">
      <c r="B52" s="7" t="s">
        <v>43</v>
      </c>
      <c r="C52" t="str">
        <f>[1]!obMake("objSARRAY","AgentSA[]",C47:C47)</f>
        <v>objSARRAY 
[3696]</v>
      </c>
    </row>
    <row r="53" spans="2:10" x14ac:dyDescent="0.3">
      <c r="B53" s="7" t="s">
        <v>42</v>
      </c>
      <c r="C53" t="e">
        <f>[1]!obCall("objAgent","AccessAgentSA","getHelloSA")</f>
        <v>#VALUE!</v>
      </c>
    </row>
    <row r="55" spans="2:10" x14ac:dyDescent="0.3">
      <c r="B55" s="7" t="s">
        <v>46</v>
      </c>
      <c r="C55" t="str">
        <f>[1]!obCall("objSA","AccessAgentSA","LoadAgentSA")</f>
        <v>objSA 
[3626]</v>
      </c>
    </row>
    <row r="56" spans="2:10" x14ac:dyDescent="0.3">
      <c r="B56" s="7" t="s">
        <v>47</v>
      </c>
      <c r="C56" t="str">
        <f>[1]!obCall("SArray","AccessAgentSA",".arr")</f>
        <v>SArray 
[3631]</v>
      </c>
    </row>
    <row r="57" spans="2:10" x14ac:dyDescent="0.3">
      <c r="B57" s="7" t="s">
        <v>48</v>
      </c>
      <c r="C57" t="str">
        <f>[1]!obCall("Row0",C56, "[]", [1]!obMake("","int",0))</f>
        <v>Row0 
[3647]</v>
      </c>
      <c r="D57" t="str">
        <f>[1]!obCall("Row1",C56, "[]", [1]!obMake("","int",1))</f>
        <v>Row1 
[3651]</v>
      </c>
      <c r="E57" t="str">
        <f>[1]!obCall("Row2",C56, "[]", [1]!obMake("","int",2))</f>
        <v>Row2 
[3634]</v>
      </c>
      <c r="F57" t="str">
        <f>[1]!obCall("Row3",C56, "[]", [1]!obMake("","int",3))</f>
        <v>Row3 
[3649]</v>
      </c>
      <c r="G57" t="str">
        <f>[1]!obCall("Row4",C56, "[]", [1]!obMake("","int",4))</f>
        <v>Row4 
[3667]</v>
      </c>
    </row>
    <row r="58" spans="2:10" x14ac:dyDescent="0.3">
      <c r="B58" s="7" t="s">
        <v>49</v>
      </c>
      <c r="C58" t="str">
        <f>[1]!obGet([1]!obCall("names",C57,"getName"))</f>
        <v>xyz+</v>
      </c>
      <c r="D58" t="str">
        <f>[1]!obGet([1]!obCall("names",D57,"getName"))</f>
        <v>xyz+</v>
      </c>
    </row>
    <row r="59" spans="2:10" x14ac:dyDescent="0.3">
      <c r="B59" s="7" t="s">
        <v>50</v>
      </c>
      <c r="C59">
        <f>[1]!obGet([1]!obCall("names",C57,"getCode"))</f>
        <v>1</v>
      </c>
      <c r="D59">
        <f>[1]!obGet([1]!obCall("names",D57,"getCode"))</f>
        <v>2</v>
      </c>
      <c r="E59">
        <f>[1]!obGet([1]!obCall("names",E57,"getCode"))</f>
        <v>3</v>
      </c>
      <c r="F59">
        <f>[1]!obGet([1]!obCall("names",F57,"getCode"))</f>
        <v>4</v>
      </c>
      <c r="G59">
        <f>[1]!obGet([1]!obCall("names",G57,"getCode"))</f>
        <v>5</v>
      </c>
    </row>
    <row r="62" spans="2:10" x14ac:dyDescent="0.3">
      <c r="B62" s="7" t="s">
        <v>51</v>
      </c>
      <c r="C62" t="str">
        <f>[1]!obCall("narr","AccessAgentSA",".names")</f>
        <v>narr 
[3680]</v>
      </c>
      <c r="D62" t="str">
        <f t="array" ref="D62:J62">[1]!obGet(   [1]!obCall("narr","AccessAgentSA",".names"))</f>
        <v>xyz+</v>
      </c>
      <c r="E62" t="str">
        <v>xyz+</v>
      </c>
      <c r="F62" t="str">
        <v>xyz+</v>
      </c>
      <c r="G62" t="str">
        <v>xyz+</v>
      </c>
      <c r="H62" t="str">
        <v>xyz+</v>
      </c>
      <c r="I62" t="str">
        <v>xyz+</v>
      </c>
      <c r="J62" t="str">
        <v>xyz+</v>
      </c>
    </row>
    <row r="63" spans="2:10" x14ac:dyDescent="0.3">
      <c r="B63" s="7" t="s">
        <v>52</v>
      </c>
      <c r="C63" t="str">
        <f>[1]!obCall("dd11","AccessAgentSA","getNames" )</f>
        <v>dd11 
[3682]</v>
      </c>
      <c r="D63" t="str">
        <f t="array" ref="D63:J63">[1]!obGet(    [1]!obCall("dd11","AccessAgentSA","getNames" )   )</f>
        <v>xyz+</v>
      </c>
      <c r="E63" t="str">
        <v>xyz+</v>
      </c>
      <c r="F63" t="str">
        <v>xyz+</v>
      </c>
      <c r="G63" t="str">
        <v>xyz+</v>
      </c>
      <c r="H63" t="str">
        <v>xyz+</v>
      </c>
      <c r="I63" t="str">
        <v>xyz+</v>
      </c>
      <c r="J63" t="str">
        <v>xyz+</v>
      </c>
    </row>
    <row r="64" spans="2:10" x14ac:dyDescent="0.3">
      <c r="C64" t="str">
        <f>[1]!obGet([1]!obCall("",[1]!obCall("nmarr","AccessAgentSA","getNames" ),"[]",[1]!obMake("","int",2)))</f>
        <v>xyz+</v>
      </c>
    </row>
    <row r="65" spans="2:10" x14ac:dyDescent="0.3">
      <c r="B65" s="7" t="s">
        <v>53</v>
      </c>
      <c r="C65" t="str">
        <f xml:space="preserve"> [1]!obCall("","AccessAgentSA","getCodes" )</f>
        <v>ob.trans.4350 
[3694]</v>
      </c>
      <c r="E65">
        <f t="array" ref="E65:J65" xml:space="preserve"> [1]!obGet(   [1]!obCall("","AccessAgentSA","getCodes" ) )</f>
        <v>50</v>
      </c>
      <c r="F65">
        <v>51</v>
      </c>
      <c r="G65">
        <v>52</v>
      </c>
      <c r="H65">
        <v>53</v>
      </c>
      <c r="I65">
        <v>54</v>
      </c>
      <c r="J65">
        <v>55</v>
      </c>
    </row>
    <row r="68" spans="2:10" x14ac:dyDescent="0.3">
      <c r="B68" s="7" t="s">
        <v>54</v>
      </c>
      <c r="C68" t="str">
        <f>[1]!obCall("","AccessAgentSA","getAgents" )</f>
        <v>ob.trans.4341 
[3678]</v>
      </c>
      <c r="D68" t="str">
        <f>[1]!obGet(  [1]!obCall("",    [1]!obCall("","AccessAgentSA","getAgents" ),  "[]",[1]!obMake("","int",1))  )</f>
        <v>AgentSA@6480d7</v>
      </c>
    </row>
    <row r="70" spans="2:10" x14ac:dyDescent="0.3">
      <c r="D70" t="str">
        <f t="array" ref="D70:J70">[1]!obGet(    [1]!obCall("","AccessAgentSA","getAgents" ) )</f>
        <v>[LAgentSA;@e8d037</v>
      </c>
      <c r="E70" t="str">
        <v>[LAgentSA;@e8d037</v>
      </c>
      <c r="F70" t="str">
        <v>[LAgentSA;@e8d037</v>
      </c>
      <c r="G70" t="str">
        <v>[LAgentSA;@e8d037</v>
      </c>
      <c r="H70" t="str">
        <v>[LAgentSA;@e8d037</v>
      </c>
      <c r="I70" t="str">
        <v>[LAgentSA;@e8d037</v>
      </c>
      <c r="J70" t="str">
        <v>[LAgentSA;@e8d037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2"/>
  <sheetViews>
    <sheetView topLeftCell="B61" workbookViewId="0">
      <selection activeCell="D77" sqref="D77"/>
    </sheetView>
  </sheetViews>
  <sheetFormatPr baseColWidth="10" defaultRowHeight="14.4" x14ac:dyDescent="0.3"/>
  <cols>
    <col min="2" max="2" width="11.5546875" style="12"/>
    <col min="3" max="3" width="12.109375" customWidth="1"/>
  </cols>
  <sheetData>
    <row r="5" spans="1:7" x14ac:dyDescent="0.3">
      <c r="A5" s="2" t="s">
        <v>0</v>
      </c>
      <c r="B5" s="11"/>
    </row>
    <row r="7" spans="1:7" x14ac:dyDescent="0.3">
      <c r="B7" s="11" t="s">
        <v>1</v>
      </c>
      <c r="E7" s="2" t="s">
        <v>2</v>
      </c>
    </row>
    <row r="9" spans="1:7" x14ac:dyDescent="0.3">
      <c r="B9" s="11" t="s">
        <v>4</v>
      </c>
      <c r="E9" s="1" t="s">
        <v>6</v>
      </c>
    </row>
    <row r="10" spans="1:7" x14ac:dyDescent="0.3">
      <c r="B10" s="12" t="s">
        <v>3</v>
      </c>
      <c r="C10" t="b">
        <f>TRUE</f>
        <v>1</v>
      </c>
      <c r="E10" t="s">
        <v>7</v>
      </c>
      <c r="F10" t="s">
        <v>8</v>
      </c>
    </row>
    <row r="11" spans="1:7" x14ac:dyDescent="0.3">
      <c r="E11" t="s">
        <v>9</v>
      </c>
      <c r="F11" t="b">
        <f>TRUE</f>
        <v>1</v>
      </c>
    </row>
    <row r="12" spans="1:7" x14ac:dyDescent="0.3">
      <c r="B12" s="11" t="s">
        <v>5</v>
      </c>
    </row>
    <row r="13" spans="1:7" x14ac:dyDescent="0.3">
      <c r="B13" s="12" t="b">
        <f>TRUE</f>
        <v>1</v>
      </c>
    </row>
    <row r="14" spans="1:7" x14ac:dyDescent="0.3">
      <c r="E14" s="7" t="s">
        <v>10</v>
      </c>
      <c r="F14" t="str">
        <f>[1]!obAddClasses(F10,F11)</f>
        <v>H:\Release_IT_Architecture\1-Publish_MeetingsEA_NS\MoRE\MoRE5\edrk_spark\cert-project\risksys\final\visualizerObba\lib</v>
      </c>
    </row>
    <row r="16" spans="1:7" x14ac:dyDescent="0.3">
      <c r="E16" s="7" t="s">
        <v>25</v>
      </c>
      <c r="G16" s="7" t="s">
        <v>45</v>
      </c>
    </row>
    <row r="17" spans="2:13" x14ac:dyDescent="0.3">
      <c r="E17" s="3" t="str">
        <f>IF(ISTEXT(F14),"Lib-Loaded",NA())</f>
        <v>Lib-Loaded</v>
      </c>
      <c r="G17" t="b">
        <f>[1]!obControlPanelSetVisible(TRUE)</f>
        <v>1</v>
      </c>
    </row>
    <row r="20" spans="2:13" x14ac:dyDescent="0.3">
      <c r="B20" s="12" t="s">
        <v>64</v>
      </c>
      <c r="C20" t="str">
        <f>[1]!obCall("refTrades","trades","loadRefTrades")</f>
        <v>refTrades 
[3656]</v>
      </c>
    </row>
    <row r="21" spans="2:13" x14ac:dyDescent="0.3">
      <c r="C21" t="str">
        <f t="array" ref="C21:M32">[1]!obGet(  [1]!obCall("refTradesArr", "trades",".refTrades") )</f>
        <v>[LtradeModel;@ae5b0b</v>
      </c>
      <c r="D21" t="str">
        <v>[LtradeModel;@ae5b0b</v>
      </c>
      <c r="E21" t="str">
        <v>[LtradeModel;@ae5b0b</v>
      </c>
      <c r="F21" t="str">
        <v>[LtradeModel;@ae5b0b</v>
      </c>
      <c r="G21" t="str">
        <v>[LtradeModel;@ae5b0b</v>
      </c>
      <c r="H21" t="str">
        <v>[LtradeModel;@ae5b0b</v>
      </c>
      <c r="I21" t="str">
        <v>[LtradeModel;@ae5b0b</v>
      </c>
      <c r="J21" t="str">
        <v>[LtradeModel;@ae5b0b</v>
      </c>
      <c r="K21" t="str">
        <v>[LtradeModel;@ae5b0b</v>
      </c>
      <c r="L21" t="str">
        <v>[LtradeModel;@ae5b0b</v>
      </c>
      <c r="M21" t="str">
        <v>[LtradeModel;@ae5b0b</v>
      </c>
    </row>
    <row r="22" spans="2:13" x14ac:dyDescent="0.3">
      <c r="C22" t="str">
        <v>[LtradeModel;@ae5b0b</v>
      </c>
      <c r="D22" t="str">
        <v>[LtradeModel;@ae5b0b</v>
      </c>
      <c r="E22" t="str">
        <v>[LtradeModel;@ae5b0b</v>
      </c>
      <c r="F22" t="str">
        <v>[LtradeModel;@ae5b0b</v>
      </c>
      <c r="G22" t="str">
        <v>[LtradeModel;@ae5b0b</v>
      </c>
      <c r="H22" t="str">
        <v>[LtradeModel;@ae5b0b</v>
      </c>
      <c r="I22" t="str">
        <v>[LtradeModel;@ae5b0b</v>
      </c>
      <c r="J22" t="str">
        <v>[LtradeModel;@ae5b0b</v>
      </c>
      <c r="K22" t="str">
        <v>[LtradeModel;@ae5b0b</v>
      </c>
      <c r="L22" t="str">
        <v>[LtradeModel;@ae5b0b</v>
      </c>
      <c r="M22" t="str">
        <v>[LtradeModel;@ae5b0b</v>
      </c>
    </row>
    <row r="23" spans="2:13" x14ac:dyDescent="0.3">
      <c r="C23" t="str">
        <v>[LtradeModel;@ae5b0b</v>
      </c>
      <c r="D23" t="str">
        <v>[LtradeModel;@ae5b0b</v>
      </c>
      <c r="E23" t="str">
        <v>[LtradeModel;@ae5b0b</v>
      </c>
      <c r="F23" t="str">
        <v>[LtradeModel;@ae5b0b</v>
      </c>
      <c r="G23" t="str">
        <v>[LtradeModel;@ae5b0b</v>
      </c>
      <c r="H23" t="str">
        <v>[LtradeModel;@ae5b0b</v>
      </c>
      <c r="I23" t="str">
        <v>[LtradeModel;@ae5b0b</v>
      </c>
      <c r="J23" t="str">
        <v>[LtradeModel;@ae5b0b</v>
      </c>
      <c r="K23" t="str">
        <v>[LtradeModel;@ae5b0b</v>
      </c>
      <c r="L23" t="str">
        <v>[LtradeModel;@ae5b0b</v>
      </c>
      <c r="M23" t="str">
        <v>[LtradeModel;@ae5b0b</v>
      </c>
    </row>
    <row r="24" spans="2:13" x14ac:dyDescent="0.3">
      <c r="C24" t="str">
        <v>[LtradeModel;@ae5b0b</v>
      </c>
      <c r="D24" t="str">
        <v>[LtradeModel;@ae5b0b</v>
      </c>
      <c r="E24" t="str">
        <v>[LtradeModel;@ae5b0b</v>
      </c>
      <c r="F24" t="str">
        <v>[LtradeModel;@ae5b0b</v>
      </c>
      <c r="G24" t="str">
        <v>[LtradeModel;@ae5b0b</v>
      </c>
      <c r="H24" t="str">
        <v>[LtradeModel;@ae5b0b</v>
      </c>
      <c r="I24" t="str">
        <v>[LtradeModel;@ae5b0b</v>
      </c>
      <c r="J24" t="str">
        <v>[LtradeModel;@ae5b0b</v>
      </c>
      <c r="K24" t="str">
        <v>[LtradeModel;@ae5b0b</v>
      </c>
      <c r="L24" t="str">
        <v>[LtradeModel;@ae5b0b</v>
      </c>
      <c r="M24" t="str">
        <v>[LtradeModel;@ae5b0b</v>
      </c>
    </row>
    <row r="25" spans="2:13" x14ac:dyDescent="0.3">
      <c r="C25" t="str">
        <v>[LtradeModel;@ae5b0b</v>
      </c>
      <c r="D25" t="str">
        <v>[LtradeModel;@ae5b0b</v>
      </c>
      <c r="E25" t="str">
        <v>[LtradeModel;@ae5b0b</v>
      </c>
      <c r="F25" t="str">
        <v>[LtradeModel;@ae5b0b</v>
      </c>
      <c r="G25" t="str">
        <v>[LtradeModel;@ae5b0b</v>
      </c>
      <c r="H25" t="str">
        <v>[LtradeModel;@ae5b0b</v>
      </c>
      <c r="I25" t="str">
        <v>[LtradeModel;@ae5b0b</v>
      </c>
      <c r="J25" t="str">
        <v>[LtradeModel;@ae5b0b</v>
      </c>
      <c r="K25" t="str">
        <v>[LtradeModel;@ae5b0b</v>
      </c>
      <c r="L25" t="str">
        <v>[LtradeModel;@ae5b0b</v>
      </c>
      <c r="M25" t="str">
        <v>[LtradeModel;@ae5b0b</v>
      </c>
    </row>
    <row r="26" spans="2:13" x14ac:dyDescent="0.3">
      <c r="C26" t="str">
        <v>[LtradeModel;@ae5b0b</v>
      </c>
      <c r="D26" t="str">
        <v>[LtradeModel;@ae5b0b</v>
      </c>
      <c r="E26" t="str">
        <v>[LtradeModel;@ae5b0b</v>
      </c>
      <c r="F26" t="str">
        <v>[LtradeModel;@ae5b0b</v>
      </c>
      <c r="G26" t="str">
        <v>[LtradeModel;@ae5b0b</v>
      </c>
      <c r="H26" t="str">
        <v>[LtradeModel;@ae5b0b</v>
      </c>
      <c r="I26" t="str">
        <v>[LtradeModel;@ae5b0b</v>
      </c>
      <c r="J26" t="str">
        <v>[LtradeModel;@ae5b0b</v>
      </c>
      <c r="K26" t="str">
        <v>[LtradeModel;@ae5b0b</v>
      </c>
      <c r="L26" t="str">
        <v>[LtradeModel;@ae5b0b</v>
      </c>
      <c r="M26" t="str">
        <v>[LtradeModel;@ae5b0b</v>
      </c>
    </row>
    <row r="27" spans="2:13" x14ac:dyDescent="0.3">
      <c r="C27" t="str">
        <v>[LtradeModel;@ae5b0b</v>
      </c>
      <c r="D27" t="str">
        <v>[LtradeModel;@ae5b0b</v>
      </c>
      <c r="E27" t="str">
        <v>[LtradeModel;@ae5b0b</v>
      </c>
      <c r="F27" t="str">
        <v>[LtradeModel;@ae5b0b</v>
      </c>
      <c r="G27" t="str">
        <v>[LtradeModel;@ae5b0b</v>
      </c>
      <c r="H27" t="str">
        <v>[LtradeModel;@ae5b0b</v>
      </c>
      <c r="I27" t="str">
        <v>[LtradeModel;@ae5b0b</v>
      </c>
      <c r="J27" t="str">
        <v>[LtradeModel;@ae5b0b</v>
      </c>
      <c r="K27" t="str">
        <v>[LtradeModel;@ae5b0b</v>
      </c>
      <c r="L27" t="str">
        <v>[LtradeModel;@ae5b0b</v>
      </c>
      <c r="M27" t="str">
        <v>[LtradeModel;@ae5b0b</v>
      </c>
    </row>
    <row r="28" spans="2:13" x14ac:dyDescent="0.3">
      <c r="C28" t="str">
        <v>[LtradeModel;@ae5b0b</v>
      </c>
      <c r="D28" t="str">
        <v>[LtradeModel;@ae5b0b</v>
      </c>
      <c r="E28" t="str">
        <v>[LtradeModel;@ae5b0b</v>
      </c>
      <c r="F28" t="str">
        <v>[LtradeModel;@ae5b0b</v>
      </c>
      <c r="G28" t="str">
        <v>[LtradeModel;@ae5b0b</v>
      </c>
      <c r="H28" t="str">
        <v>[LtradeModel;@ae5b0b</v>
      </c>
      <c r="I28" t="str">
        <v>[LtradeModel;@ae5b0b</v>
      </c>
      <c r="J28" t="str">
        <v>[LtradeModel;@ae5b0b</v>
      </c>
      <c r="K28" t="str">
        <v>[LtradeModel;@ae5b0b</v>
      </c>
      <c r="L28" t="str">
        <v>[LtradeModel;@ae5b0b</v>
      </c>
      <c r="M28" t="str">
        <v>[LtradeModel;@ae5b0b</v>
      </c>
    </row>
    <row r="29" spans="2:13" x14ac:dyDescent="0.3">
      <c r="C29" t="str">
        <v>[LtradeModel;@ae5b0b</v>
      </c>
      <c r="D29" t="str">
        <v>[LtradeModel;@ae5b0b</v>
      </c>
      <c r="E29" t="str">
        <v>[LtradeModel;@ae5b0b</v>
      </c>
      <c r="F29" t="str">
        <v>[LtradeModel;@ae5b0b</v>
      </c>
      <c r="G29" t="str">
        <v>[LtradeModel;@ae5b0b</v>
      </c>
      <c r="H29" t="str">
        <v>[LtradeModel;@ae5b0b</v>
      </c>
      <c r="I29" t="str">
        <v>[LtradeModel;@ae5b0b</v>
      </c>
      <c r="J29" t="str">
        <v>[LtradeModel;@ae5b0b</v>
      </c>
      <c r="K29" t="str">
        <v>[LtradeModel;@ae5b0b</v>
      </c>
      <c r="L29" t="str">
        <v>[LtradeModel;@ae5b0b</v>
      </c>
      <c r="M29" t="str">
        <v>[LtradeModel;@ae5b0b</v>
      </c>
    </row>
    <row r="30" spans="2:13" x14ac:dyDescent="0.3">
      <c r="C30" t="str">
        <v>[LtradeModel;@ae5b0b</v>
      </c>
      <c r="D30" t="str">
        <v>[LtradeModel;@ae5b0b</v>
      </c>
      <c r="E30" t="str">
        <v>[LtradeModel;@ae5b0b</v>
      </c>
      <c r="F30" t="str">
        <v>[LtradeModel;@ae5b0b</v>
      </c>
      <c r="G30" t="str">
        <v>[LtradeModel;@ae5b0b</v>
      </c>
      <c r="H30" t="str">
        <v>[LtradeModel;@ae5b0b</v>
      </c>
      <c r="I30" t="str">
        <v>[LtradeModel;@ae5b0b</v>
      </c>
      <c r="J30" t="str">
        <v>[LtradeModel;@ae5b0b</v>
      </c>
      <c r="K30" t="str">
        <v>[LtradeModel;@ae5b0b</v>
      </c>
      <c r="L30" t="str">
        <v>[LtradeModel;@ae5b0b</v>
      </c>
      <c r="M30" t="str">
        <v>[LtradeModel;@ae5b0b</v>
      </c>
    </row>
    <row r="31" spans="2:13" x14ac:dyDescent="0.3">
      <c r="C31" t="str">
        <v>[LtradeModel;@ae5b0b</v>
      </c>
      <c r="D31" t="str">
        <v>[LtradeModel;@ae5b0b</v>
      </c>
      <c r="E31" t="str">
        <v>[LtradeModel;@ae5b0b</v>
      </c>
      <c r="F31" t="str">
        <v>[LtradeModel;@ae5b0b</v>
      </c>
      <c r="G31" t="str">
        <v>[LtradeModel;@ae5b0b</v>
      </c>
      <c r="H31" t="str">
        <v>[LtradeModel;@ae5b0b</v>
      </c>
      <c r="I31" t="str">
        <v>[LtradeModel;@ae5b0b</v>
      </c>
      <c r="J31" t="str">
        <v>[LtradeModel;@ae5b0b</v>
      </c>
      <c r="K31" t="str">
        <v>[LtradeModel;@ae5b0b</v>
      </c>
      <c r="L31" t="str">
        <v>[LtradeModel;@ae5b0b</v>
      </c>
      <c r="M31" t="str">
        <v>[LtradeModel;@ae5b0b</v>
      </c>
    </row>
    <row r="32" spans="2:13" x14ac:dyDescent="0.3">
      <c r="C32" t="str">
        <v>[LtradeModel;@ae5b0b</v>
      </c>
      <c r="D32" t="str">
        <v>[LtradeModel;@ae5b0b</v>
      </c>
      <c r="E32" t="str">
        <v>[LtradeModel;@ae5b0b</v>
      </c>
      <c r="F32" t="str">
        <v>[LtradeModel;@ae5b0b</v>
      </c>
      <c r="G32" t="str">
        <v>[LtradeModel;@ae5b0b</v>
      </c>
      <c r="H32" t="str">
        <v>[LtradeModel;@ae5b0b</v>
      </c>
      <c r="I32" t="str">
        <v>[LtradeModel;@ae5b0b</v>
      </c>
      <c r="J32" t="str">
        <v>[LtradeModel;@ae5b0b</v>
      </c>
      <c r="K32" t="str">
        <v>[LtradeModel;@ae5b0b</v>
      </c>
      <c r="L32" t="str">
        <v>[LtradeModel;@ae5b0b</v>
      </c>
      <c r="M32" t="str">
        <v>[LtradeModel;@ae5b0b</v>
      </c>
    </row>
    <row r="34" spans="2:12" x14ac:dyDescent="0.3">
      <c r="B34" s="11" t="s">
        <v>55</v>
      </c>
      <c r="C34" s="13" t="str">
        <f>[1]!obCall("refTrades","trades","loadRefTrades")</f>
        <v>refTrades 
[3659]</v>
      </c>
      <c r="D34" s="13"/>
      <c r="E34" s="13"/>
      <c r="F34" s="13"/>
      <c r="G34" s="13"/>
      <c r="H34" s="13"/>
      <c r="I34" s="13"/>
      <c r="J34" s="13"/>
      <c r="K34" s="13"/>
      <c r="L34" s="13"/>
    </row>
    <row r="35" spans="2:12" s="16" customFormat="1" x14ac:dyDescent="0.3">
      <c r="B35" s="14" t="s">
        <v>56</v>
      </c>
      <c r="C35" s="15" t="str">
        <f t="array" ref="C35:L35">[1]!obGet( [1]!obCall("refTradesEle","trades",".ref_tradeid") )</f>
        <v>RF_113740_0+</v>
      </c>
      <c r="D35" s="15" t="str">
        <v>RF_113740_1+</v>
      </c>
      <c r="E35" s="15" t="str">
        <v>RF_113740_2+</v>
      </c>
      <c r="F35" s="15" t="str">
        <v>RF_113740_3+</v>
      </c>
      <c r="G35" s="15" t="str">
        <v>RF_113740_4+</v>
      </c>
      <c r="H35" s="15" t="str">
        <v>RF_113740_5+</v>
      </c>
      <c r="I35" s="15" t="str">
        <v>RF_113740_6+</v>
      </c>
      <c r="J35" s="15" t="str">
        <v>RF_113740_7+</v>
      </c>
      <c r="K35" s="15" t="str">
        <v>RF_113740_8+</v>
      </c>
      <c r="L35" s="15" t="str">
        <v>RF_113740_9+</v>
      </c>
    </row>
    <row r="36" spans="2:12" x14ac:dyDescent="0.3">
      <c r="B36" s="12" t="s">
        <v>57</v>
      </c>
      <c r="C36" s="13" t="str">
        <f t="array" ref="C36:L36">[1]!obGet( [1]!obCall("refTradesEle","trades",".ref_wkn") )</f>
        <v>113740</v>
      </c>
      <c r="D36" s="13" t="str">
        <v>113740</v>
      </c>
      <c r="E36" s="13" t="str">
        <v>113740</v>
      </c>
      <c r="F36" s="13" t="str">
        <v>113549</v>
      </c>
      <c r="G36" s="13" t="str">
        <v>114164</v>
      </c>
      <c r="H36" s="13" t="str">
        <v>113740</v>
      </c>
      <c r="I36" s="13" t="str">
        <v>113549</v>
      </c>
      <c r="J36" s="13" t="str">
        <v>114164</v>
      </c>
      <c r="K36" s="13" t="str">
        <v>113740</v>
      </c>
      <c r="L36" s="13" t="str">
        <v>113740</v>
      </c>
    </row>
    <row r="37" spans="2:12" x14ac:dyDescent="0.3">
      <c r="B37" s="12" t="s">
        <v>58</v>
      </c>
      <c r="C37" s="13" t="str">
        <f t="array" ref="C37:L37">[1]!obGet( [1]!obCall("refTradesEle","trades",".ref_tradedate") )</f>
        <v>2013.01.02</v>
      </c>
      <c r="D37" s="13" t="str">
        <v>2013.01.02</v>
      </c>
      <c r="E37" s="13" t="str">
        <v>2013.01.02</v>
      </c>
      <c r="F37" s="13" t="str">
        <v>2013.01.02</v>
      </c>
      <c r="G37" s="13" t="str">
        <v>2013.01.02</v>
      </c>
      <c r="H37" s="13" t="str">
        <v>2013.01.02</v>
      </c>
      <c r="I37" s="13" t="str">
        <v>2013.01.02</v>
      </c>
      <c r="J37" s="13" t="str">
        <v>2013.01.02</v>
      </c>
      <c r="K37" s="13" t="str">
        <v>2013.01.02</v>
      </c>
      <c r="L37" s="13" t="str">
        <v>2013.01.02</v>
      </c>
    </row>
    <row r="38" spans="2:12" x14ac:dyDescent="0.3">
      <c r="B38" s="12" t="s">
        <v>59</v>
      </c>
      <c r="C38" s="13" t="str">
        <f t="array" ref="C38:L38">[1]!obGet( [1]!obCall("refTradesEle","trades",".ref_valutadate") )</f>
        <v>2013.01.04</v>
      </c>
      <c r="D38" s="13" t="str">
        <v>2013.01.04</v>
      </c>
      <c r="E38" s="13" t="str">
        <v>2013.01.04</v>
      </c>
      <c r="F38" s="13" t="str">
        <v>2013.01.07</v>
      </c>
      <c r="G38" s="13" t="str">
        <v>2013.01.07</v>
      </c>
      <c r="H38" s="13" t="str">
        <v>2013.01.07</v>
      </c>
      <c r="I38" s="13" t="str">
        <v>2013.01.07</v>
      </c>
      <c r="J38" s="13" t="str">
        <v>2013.01.07</v>
      </c>
      <c r="K38" s="13" t="str">
        <v>2013.01.07</v>
      </c>
      <c r="L38" s="13" t="str">
        <v>2013.01.07</v>
      </c>
    </row>
    <row r="39" spans="2:12" x14ac:dyDescent="0.3">
      <c r="B39" s="12" t="s">
        <v>60</v>
      </c>
      <c r="C39" s="13">
        <f t="array" ref="C39:L39">[1]!obGet( [1]!obCall("refTradesEle","trades",".ref_nominal") )</f>
        <v>-900000000</v>
      </c>
      <c r="D39" s="13">
        <v>3600000000</v>
      </c>
      <c r="E39" s="13">
        <v>900000000</v>
      </c>
      <c r="F39" s="13">
        <v>-900000000</v>
      </c>
      <c r="G39" s="13">
        <v>-900000000</v>
      </c>
      <c r="H39" s="13">
        <v>-900000000</v>
      </c>
      <c r="I39" s="13">
        <v>-900000000</v>
      </c>
      <c r="J39" s="13">
        <v>-900000000</v>
      </c>
      <c r="K39" s="13">
        <v>-900000000</v>
      </c>
      <c r="L39" s="13">
        <v>-900000000</v>
      </c>
    </row>
    <row r="40" spans="2:12" x14ac:dyDescent="0.3">
      <c r="B40" s="12" t="s">
        <v>61</v>
      </c>
      <c r="C40" s="13">
        <f t="array" ref="C40:L40">[1]!obGet( [1]!obCall("refTradesEle","trades",".ref_price") )</f>
        <v>99.983000000000004</v>
      </c>
      <c r="D40" s="13">
        <v>99.983000000000004</v>
      </c>
      <c r="E40" s="13">
        <v>99.983000000000004</v>
      </c>
      <c r="F40" s="13">
        <v>100.657</v>
      </c>
      <c r="G40" s="13">
        <v>100.53400000000001</v>
      </c>
      <c r="H40" s="13">
        <v>99.953999999999994</v>
      </c>
      <c r="I40" s="13">
        <v>100.657</v>
      </c>
      <c r="J40" s="13">
        <v>100.53400000000001</v>
      </c>
      <c r="K40" s="13">
        <v>99.953999999999994</v>
      </c>
      <c r="L40" s="13">
        <v>99.953999999999994</v>
      </c>
    </row>
    <row r="41" spans="2:12" x14ac:dyDescent="0.3">
      <c r="B41" s="12" t="s">
        <v>62</v>
      </c>
      <c r="C41" s="13" t="str">
        <f t="array" ref="C41:L41">[1]!obGet( [1]!obCall("refTradesEle","trades",".ref_insttype") )</f>
        <v>schatz</v>
      </c>
      <c r="D41" s="13" t="str">
        <v>schatz</v>
      </c>
      <c r="E41" s="13" t="str">
        <v>schatz</v>
      </c>
      <c r="F41" s="13" t="str">
        <v>bund10</v>
      </c>
      <c r="G41" s="13" t="str">
        <v>bobl</v>
      </c>
      <c r="H41" s="13" t="str">
        <v>schatz</v>
      </c>
      <c r="I41" s="13" t="str">
        <v>bund10</v>
      </c>
      <c r="J41" s="13" t="str">
        <v>bobl</v>
      </c>
      <c r="K41" s="13" t="str">
        <v>schatz</v>
      </c>
      <c r="L41" s="13" t="str">
        <v>schatz</v>
      </c>
    </row>
    <row r="42" spans="2:12" x14ac:dyDescent="0.3">
      <c r="B42" s="12" t="s">
        <v>29</v>
      </c>
      <c r="C42" s="13" t="str">
        <f t="array" ref="C42:L42">[1]!obGet( [1]!obCall("refTradesEle","trades",".ref_company") )</f>
        <v>ref_bund</v>
      </c>
      <c r="D42" s="13" t="str">
        <v>ref_bund</v>
      </c>
      <c r="E42" s="13" t="str">
        <v>ref_bund</v>
      </c>
      <c r="F42" s="13" t="str">
        <v>ref_bund</v>
      </c>
      <c r="G42" s="13" t="str">
        <v>ref_bund</v>
      </c>
      <c r="H42" s="13" t="str">
        <v>ref_bund</v>
      </c>
      <c r="I42" s="13" t="str">
        <v>ref_bund</v>
      </c>
      <c r="J42" s="13" t="str">
        <v>ref_bund</v>
      </c>
      <c r="K42" s="13" t="str">
        <v>ref_bund</v>
      </c>
      <c r="L42" s="13" t="str">
        <v>ref_bund</v>
      </c>
    </row>
    <row r="43" spans="2:12" x14ac:dyDescent="0.3">
      <c r="B43" s="12" t="s">
        <v>30</v>
      </c>
      <c r="C43" s="13" t="str">
        <f t="array" ref="C43:L43">[1]!obGet( [1]!obCall("refTradesEle","trades",".ref_desk") )</f>
        <v>eigenbestand</v>
      </c>
      <c r="D43" s="13" t="str">
        <v>emissionen</v>
      </c>
      <c r="E43" s="13" t="str">
        <v>emissionen</v>
      </c>
      <c r="F43" s="13" t="str">
        <v>eigenbestand</v>
      </c>
      <c r="G43" s="13" t="str">
        <v>eigenbestand</v>
      </c>
      <c r="H43" s="13" t="str">
        <v>eigenbestand</v>
      </c>
      <c r="I43" s="13" t="str">
        <v>eigenbestand</v>
      </c>
      <c r="J43" s="13" t="str">
        <v>eigenbestand</v>
      </c>
      <c r="K43" s="13" t="str">
        <v>eigenbestand</v>
      </c>
      <c r="L43" s="13" t="str">
        <v>eigenbestand</v>
      </c>
    </row>
    <row r="44" spans="2:12" x14ac:dyDescent="0.3">
      <c r="B44" s="12" t="s">
        <v>31</v>
      </c>
      <c r="C44" s="13" t="str">
        <f t="array" ref="C44:L44">[1]!obGet( [1]!obCall("refTradesEle","trades",".ref_book") )</f>
        <v>bestand_fa</v>
      </c>
      <c r="D44" s="13" t="str">
        <v>tender_aufst</v>
      </c>
      <c r="E44" s="13" t="str">
        <v>tender_aufst</v>
      </c>
      <c r="F44" s="13" t="str">
        <v>bestand_fa</v>
      </c>
      <c r="G44" s="13" t="str">
        <v>bestand_fa</v>
      </c>
      <c r="H44" s="13" t="str">
        <v>bestand_fa</v>
      </c>
      <c r="I44" s="13" t="str">
        <v>bestand_fa</v>
      </c>
      <c r="J44" s="13" t="str">
        <v>bestand_fa</v>
      </c>
      <c r="K44" s="13" t="str">
        <v>bestand_fa</v>
      </c>
      <c r="L44" s="13" t="str">
        <v>bestand_fa</v>
      </c>
    </row>
    <row r="47" spans="2:12" x14ac:dyDescent="0.3">
      <c r="B47" s="11" t="s">
        <v>63</v>
      </c>
      <c r="C47" t="str">
        <f>[1]!obCall("BMTrades","trades","loadBMTrades")</f>
        <v>BMTrades 
[3652]</v>
      </c>
    </row>
    <row r="48" spans="2:12" s="16" customFormat="1" x14ac:dyDescent="0.3">
      <c r="B48" s="14" t="s">
        <v>56</v>
      </c>
      <c r="C48" s="15" t="str">
        <f t="array" ref="C48:L48">[1]!obGet( [1]!obCall("refTradesEle","trades",".bm_tradeid") )</f>
        <v>BM_113740_0+</v>
      </c>
      <c r="D48" s="15" t="str">
        <v>BM_113740_1+</v>
      </c>
      <c r="E48" s="15" t="str">
        <v>BM_113740_2+</v>
      </c>
      <c r="F48" s="15" t="str">
        <v>BM_113740_3+</v>
      </c>
      <c r="G48" s="15" t="str">
        <v>BM_113740_4+</v>
      </c>
      <c r="H48" s="15" t="str">
        <v>BM_113740_5+</v>
      </c>
      <c r="I48" s="15" t="str">
        <v>BM_113740_6+</v>
      </c>
      <c r="J48" s="15" t="str">
        <v>BM_113740_7+</v>
      </c>
      <c r="K48" s="15" t="str">
        <v>BM_113740_8+</v>
      </c>
      <c r="L48" s="15" t="str">
        <v>BM_113740_9+</v>
      </c>
    </row>
    <row r="49" spans="2:12" x14ac:dyDescent="0.3">
      <c r="B49" s="12" t="s">
        <v>57</v>
      </c>
      <c r="C49" s="13" t="str">
        <f t="array" ref="C49:L49">[1]!obGet( [1]!obCall("refTradesEle","trades",".bm_wkn") )</f>
        <v>113740</v>
      </c>
      <c r="D49" s="13" t="str">
        <v>113740</v>
      </c>
      <c r="E49" s="13" t="str">
        <v>113524</v>
      </c>
      <c r="F49" s="13" t="str">
        <v>113526</v>
      </c>
      <c r="G49" s="13" t="str">
        <v>113549</v>
      </c>
      <c r="H49" s="13" t="str">
        <v>114164</v>
      </c>
      <c r="I49" s="13" t="str">
        <v>113740</v>
      </c>
      <c r="J49" s="13" t="str">
        <v>114164</v>
      </c>
      <c r="K49" s="13" t="str">
        <v>113549</v>
      </c>
      <c r="L49" s="13" t="str">
        <v>114164</v>
      </c>
    </row>
    <row r="50" spans="2:12" x14ac:dyDescent="0.3">
      <c r="B50" s="12" t="s">
        <v>58</v>
      </c>
      <c r="C50" s="13" t="str">
        <f t="array" ref="C50:L50">[1]!obGet( [1]!obCall("refTradesEle","trades",".bm_tradedate") )</f>
        <v>2013.01.02</v>
      </c>
      <c r="D50" s="13" t="str">
        <v>2013.01.02</v>
      </c>
      <c r="E50" s="13" t="str">
        <v>2013.01.02</v>
      </c>
      <c r="F50" s="13" t="str">
        <v>2013.01.02</v>
      </c>
      <c r="G50" s="13" t="str">
        <v>2013.01.02</v>
      </c>
      <c r="H50" s="13" t="str">
        <v>2013.01.02</v>
      </c>
      <c r="I50" s="13" t="str">
        <v>2013.01.02</v>
      </c>
      <c r="J50" s="13" t="str">
        <v>2013.01.03</v>
      </c>
      <c r="K50" s="13" t="str">
        <v>2013.01.03</v>
      </c>
      <c r="L50" s="13" t="str">
        <v>2013.01.03</v>
      </c>
    </row>
    <row r="51" spans="2:12" x14ac:dyDescent="0.3">
      <c r="B51" s="12" t="s">
        <v>59</v>
      </c>
      <c r="C51" s="13" t="str">
        <f t="array" ref="C51:L51">[1]!obGet( [1]!obCall("refTradesEle","trades",".bm_valutadate") )</f>
        <v>2013.01.04</v>
      </c>
      <c r="D51" s="13" t="str">
        <v>2013.01.04</v>
      </c>
      <c r="E51" s="13" t="str">
        <v>2013.01.07</v>
      </c>
      <c r="F51" s="13" t="str">
        <v>2013.01.07</v>
      </c>
      <c r="G51" s="13" t="str">
        <v>2013.01.07</v>
      </c>
      <c r="H51" s="13" t="str">
        <v>2013.01.07</v>
      </c>
      <c r="I51" s="13" t="str">
        <v>2013.01.07</v>
      </c>
      <c r="J51" s="13" t="str">
        <v>2013.01.08</v>
      </c>
      <c r="K51" s="13" t="str">
        <v>2013.01.08</v>
      </c>
      <c r="L51" s="13" t="str">
        <v>2013.01.08</v>
      </c>
    </row>
    <row r="52" spans="2:12" x14ac:dyDescent="0.3">
      <c r="B52" s="12" t="s">
        <v>60</v>
      </c>
      <c r="C52" s="13">
        <f t="array" ref="C52:L52">[1]!obGet( [1]!obCall("refTradesEle","trades",".bm_nominal") )</f>
        <v>5000000000</v>
      </c>
      <c r="D52" s="13">
        <v>-1000000000</v>
      </c>
      <c r="E52" s="13">
        <v>-56000000</v>
      </c>
      <c r="F52" s="13">
        <v>-39000000</v>
      </c>
      <c r="G52" s="13">
        <v>29000000</v>
      </c>
      <c r="H52" s="13">
        <v>43000000</v>
      </c>
      <c r="I52" s="13">
        <v>71000000</v>
      </c>
      <c r="J52" s="13">
        <v>42000000</v>
      </c>
      <c r="K52" s="13">
        <v>28000000</v>
      </c>
      <c r="L52" s="13">
        <v>12000000</v>
      </c>
    </row>
    <row r="53" spans="2:12" x14ac:dyDescent="0.3">
      <c r="B53" s="12" t="s">
        <v>61</v>
      </c>
      <c r="C53" s="13">
        <f t="array" ref="C53:L53">[1]!obGet( [1]!obCall("refTradesEle","trades",".bm_price") )</f>
        <v>99.983000000000004</v>
      </c>
      <c r="D53" s="13">
        <v>99.983000000000004</v>
      </c>
      <c r="E53" s="13">
        <v>104.277</v>
      </c>
      <c r="F53" s="13">
        <v>107.494</v>
      </c>
      <c r="G53" s="13">
        <v>100.17</v>
      </c>
      <c r="H53" s="13">
        <v>100.691</v>
      </c>
      <c r="I53" s="13">
        <v>99.953999999999994</v>
      </c>
      <c r="J53" s="13">
        <v>100.57</v>
      </c>
      <c r="K53" s="13">
        <v>101.03</v>
      </c>
      <c r="L53" s="13">
        <v>100.57</v>
      </c>
    </row>
    <row r="54" spans="2:12" x14ac:dyDescent="0.3">
      <c r="B54" s="12" t="s">
        <v>62</v>
      </c>
      <c r="C54" s="13" t="str">
        <f t="array" ref="C54:L54">[1]!obGet( [1]!obCall("refTradesEle","trades",".bm_insttype") )</f>
        <v>schatz</v>
      </c>
      <c r="D54" s="13" t="str">
        <v>schatz</v>
      </c>
      <c r="E54" s="13" t="str">
        <v>bund10</v>
      </c>
      <c r="F54" s="13" t="str">
        <v>bund10</v>
      </c>
      <c r="G54" s="13" t="str">
        <v>bund10</v>
      </c>
      <c r="H54" s="13" t="str">
        <v>bobl</v>
      </c>
      <c r="I54" s="13" t="str">
        <v>schatz</v>
      </c>
      <c r="J54" s="13" t="str">
        <v>bobl</v>
      </c>
      <c r="K54" s="13" t="str">
        <v>bund10</v>
      </c>
      <c r="L54" s="13" t="str">
        <v>bobl</v>
      </c>
    </row>
    <row r="55" spans="2:12" x14ac:dyDescent="0.3">
      <c r="B55" s="12" t="s">
        <v>29</v>
      </c>
      <c r="C55" s="13" t="str">
        <f t="array" ref="C55:L55">[1]!obGet( [1]!obCall("refTradesEle","trades",".bm_company") )</f>
        <v>bm_bund</v>
      </c>
      <c r="D55" s="13" t="str">
        <v>bm_bund</v>
      </c>
      <c r="E55" s="13" t="str">
        <v>bm_bund</v>
      </c>
      <c r="F55" s="13" t="str">
        <v>bm_bund</v>
      </c>
      <c r="G55" s="13" t="str">
        <v>bm_bund</v>
      </c>
      <c r="H55" s="13" t="str">
        <v>bm_bund</v>
      </c>
      <c r="I55" s="13" t="str">
        <v>bm_bund</v>
      </c>
      <c r="J55" s="13" t="str">
        <v>bm_bund</v>
      </c>
      <c r="K55" s="13" t="str">
        <v>bm_bund</v>
      </c>
      <c r="L55" s="13" t="str">
        <v>bm_bund</v>
      </c>
    </row>
    <row r="56" spans="2:12" x14ac:dyDescent="0.3">
      <c r="B56" s="12" t="s">
        <v>30</v>
      </c>
      <c r="C56" s="13" t="str">
        <f t="array" ref="C56:L56">[1]!obGet( [1]!obCall("refTradesEle","trades",".bm_desk") )</f>
        <v>emissionen</v>
      </c>
      <c r="D56" s="13" t="str">
        <v>eigenbestand</v>
      </c>
      <c r="E56" s="13" t="str">
        <v>eigenbestand</v>
      </c>
      <c r="F56" s="13" t="str">
        <v>eigenbestand</v>
      </c>
      <c r="G56" s="13" t="str">
        <v>eigenbestand</v>
      </c>
      <c r="H56" s="13" t="str">
        <v>eigenbestand</v>
      </c>
      <c r="I56" s="13" t="str">
        <v>eigenbestand</v>
      </c>
      <c r="J56" s="13" t="str">
        <v>eigenbestand</v>
      </c>
      <c r="K56" s="13" t="str">
        <v>eigenbestand</v>
      </c>
      <c r="L56" s="13" t="str">
        <v>eigenbestand</v>
      </c>
    </row>
    <row r="57" spans="2:12" x14ac:dyDescent="0.3">
      <c r="B57" s="12" t="s">
        <v>31</v>
      </c>
      <c r="C57" s="13" t="str">
        <f t="array" ref="C57:L57">[1]!obGet( [1]!obCall("refTradesEle","trades",".bm_book") )</f>
        <v>bestand_fa</v>
      </c>
      <c r="D57" s="13" t="str">
        <v>tender_aufst</v>
      </c>
      <c r="E57" s="13" t="str">
        <v>bestand_fa</v>
      </c>
      <c r="F57" s="13" t="str">
        <v>bestand_fa</v>
      </c>
      <c r="G57" s="13" t="str">
        <v>bestand_fa</v>
      </c>
      <c r="H57" s="13" t="str">
        <v>bestand_fa</v>
      </c>
      <c r="I57" s="13" t="str">
        <v>bestand_fa</v>
      </c>
      <c r="J57" s="13" t="str">
        <v>bestand_fa</v>
      </c>
      <c r="K57" s="13" t="str">
        <v>bestand_fa</v>
      </c>
      <c r="L57" s="13" t="str">
        <v>bestand_fa</v>
      </c>
    </row>
    <row r="62" spans="2:12" x14ac:dyDescent="0.3">
      <c r="B62" s="11"/>
    </row>
    <row r="63" spans="2:12" x14ac:dyDescent="0.3">
      <c r="B63" s="11" t="s">
        <v>69</v>
      </c>
      <c r="C63" t="str">
        <f>[1]!obCall("AllPortfolio","portfolio","loadPortfolio")</f>
        <v>AllPortfolio 
[3617]</v>
      </c>
    </row>
    <row r="64" spans="2:12" x14ac:dyDescent="0.3">
      <c r="B64" s="11"/>
    </row>
    <row r="65" spans="2:22" s="27" customFormat="1" x14ac:dyDescent="0.3">
      <c r="B65" s="25" t="s">
        <v>66</v>
      </c>
      <c r="C65" s="26" t="str">
        <f t="array" ref="C65:V65">[1]!obGet( [1]!obCall("Ptf","portfolio",".a_portfolioid") )</f>
        <v>PFID_150</v>
      </c>
      <c r="D65" s="26" t="str">
        <v>PFID_151</v>
      </c>
      <c r="E65" s="26" t="str">
        <v>PFID_152</v>
      </c>
      <c r="F65" s="26" t="str">
        <v>PFID_153</v>
      </c>
      <c r="G65" s="26" t="str">
        <v>PFID_154</v>
      </c>
      <c r="H65" s="26" t="str">
        <v>PFID_155</v>
      </c>
      <c r="I65" s="26" t="str">
        <v>PFID_156</v>
      </c>
      <c r="J65" s="26" t="str">
        <v>PFID_157</v>
      </c>
      <c r="K65" s="26" t="str">
        <v>PFID_158</v>
      </c>
      <c r="L65" s="26" t="str">
        <v>PFID_159</v>
      </c>
      <c r="M65" s="26" t="str">
        <v>PFID_160</v>
      </c>
      <c r="N65" s="26" t="str">
        <v>PFID_161</v>
      </c>
      <c r="O65" s="26" t="str">
        <v>PFID_162</v>
      </c>
      <c r="P65" s="26" t="str">
        <v>PFID_163</v>
      </c>
      <c r="Q65" s="26" t="str">
        <v>PFID_164</v>
      </c>
      <c r="R65" s="26" t="str">
        <v>PFID_165</v>
      </c>
      <c r="S65" s="26" t="str">
        <v>PFID_166</v>
      </c>
      <c r="T65" s="26" t="str">
        <v>PFID_167</v>
      </c>
      <c r="U65" s="26" t="str">
        <v>PFID_168</v>
      </c>
      <c r="V65" s="26" t="str">
        <v>PFID_169</v>
      </c>
    </row>
    <row r="66" spans="2:22" x14ac:dyDescent="0.3">
      <c r="B66" s="19" t="s">
        <v>57</v>
      </c>
      <c r="C66" s="13" t="str">
        <f t="array" ref="C66:V66">[1]!obGet( [1]!obCall("Ptf","portfolio",".a_wkn") )</f>
        <v>113740</v>
      </c>
      <c r="D66" s="13" t="str">
        <v>113740</v>
      </c>
      <c r="E66" s="13" t="str">
        <v>113740</v>
      </c>
      <c r="F66" s="13" t="str">
        <v>113549</v>
      </c>
      <c r="G66" s="13" t="str">
        <v>114164</v>
      </c>
      <c r="H66" s="13" t="str">
        <v>113740</v>
      </c>
      <c r="I66" s="13" t="str">
        <v>113549</v>
      </c>
      <c r="J66" s="13" t="str">
        <v>114164</v>
      </c>
      <c r="K66" s="13" t="str">
        <v>113740</v>
      </c>
      <c r="L66" s="13" t="str">
        <v>113740</v>
      </c>
      <c r="M66" s="13" t="str">
        <v>113740</v>
      </c>
      <c r="N66" s="13" t="str">
        <v>113740</v>
      </c>
      <c r="O66" s="13" t="str">
        <v>113740</v>
      </c>
      <c r="P66" s="13" t="str">
        <v>113549</v>
      </c>
      <c r="Q66" s="13" t="str">
        <v>114164</v>
      </c>
      <c r="R66" s="13" t="str">
        <v>113740</v>
      </c>
      <c r="S66" s="13" t="str">
        <v>113549</v>
      </c>
      <c r="T66" s="13" t="str">
        <v>114164</v>
      </c>
      <c r="U66" s="13" t="str">
        <v>113740</v>
      </c>
      <c r="V66" s="13" t="str">
        <v>113740</v>
      </c>
    </row>
    <row r="67" spans="2:22" x14ac:dyDescent="0.3">
      <c r="B67" s="19" t="s">
        <v>70</v>
      </c>
      <c r="C67" s="13">
        <f t="array" ref="C67:V67">[1]!obGet( [1]!obCall("Ptf","portfolio",".a_nominal") )</f>
        <v>900000000</v>
      </c>
      <c r="D67" s="13">
        <v>2600000000</v>
      </c>
      <c r="E67" s="13">
        <v>2900000000</v>
      </c>
      <c r="F67" s="13">
        <v>1900000000</v>
      </c>
      <c r="G67" s="13">
        <v>2900000000</v>
      </c>
      <c r="H67" s="13">
        <v>3900000000</v>
      </c>
      <c r="I67" s="13">
        <v>1900000000</v>
      </c>
      <c r="J67" s="13">
        <v>900000000</v>
      </c>
      <c r="K67" s="13">
        <v>2900000000</v>
      </c>
      <c r="L67" s="13">
        <v>1900000000</v>
      </c>
      <c r="M67" s="13">
        <v>1900000000</v>
      </c>
      <c r="N67" s="13">
        <v>3600000000</v>
      </c>
      <c r="O67" s="13">
        <v>3900000000</v>
      </c>
      <c r="P67" s="13">
        <v>2900000000</v>
      </c>
      <c r="Q67" s="13">
        <v>3900000000</v>
      </c>
      <c r="R67" s="13">
        <v>4900000000</v>
      </c>
      <c r="S67" s="13">
        <v>2900000000</v>
      </c>
      <c r="T67" s="13">
        <v>1900000000</v>
      </c>
      <c r="U67" s="13">
        <v>3900000000</v>
      </c>
      <c r="V67" s="13">
        <v>2900000000</v>
      </c>
    </row>
    <row r="68" spans="2:22" x14ac:dyDescent="0.3">
      <c r="B68" s="19" t="s">
        <v>71</v>
      </c>
      <c r="C68" s="13">
        <f t="array" ref="C68:V68">[1]!obGet( [1]!obCall("Ptf","portfolio",".a_price") )</f>
        <v>99.983000000000004</v>
      </c>
      <c r="D68" s="13">
        <v>99.983000000000004</v>
      </c>
      <c r="E68" s="13">
        <v>99.983000000000004</v>
      </c>
      <c r="F68" s="13">
        <v>100.657</v>
      </c>
      <c r="G68" s="13">
        <v>100.53400000000001</v>
      </c>
      <c r="H68" s="13">
        <v>99.953999999999994</v>
      </c>
      <c r="I68" s="13">
        <v>100.657</v>
      </c>
      <c r="J68" s="13">
        <v>100.53400000000001</v>
      </c>
      <c r="K68" s="13">
        <v>99.953999999999994</v>
      </c>
      <c r="L68" s="13">
        <v>99.953999999999994</v>
      </c>
      <c r="M68" s="13">
        <v>99.983000000000004</v>
      </c>
      <c r="N68" s="13">
        <v>99.983000000000004</v>
      </c>
      <c r="O68" s="13">
        <v>99.983000000000004</v>
      </c>
      <c r="P68" s="13">
        <v>100.657</v>
      </c>
      <c r="Q68" s="13">
        <v>100.53400000000001</v>
      </c>
      <c r="R68" s="13">
        <v>99.953999999999994</v>
      </c>
      <c r="S68" s="13">
        <v>100.657</v>
      </c>
      <c r="T68" s="13">
        <v>100.53400000000001</v>
      </c>
      <c r="U68" s="13">
        <v>99.953999999999994</v>
      </c>
      <c r="V68" s="13">
        <v>99.953999999999994</v>
      </c>
    </row>
    <row r="69" spans="2:22" x14ac:dyDescent="0.3">
      <c r="B69" s="19" t="s">
        <v>62</v>
      </c>
      <c r="C69" s="13" t="str">
        <f t="array" ref="C69:V69">[1]!obGet( [1]!obCall("Ptf","portfolio",".a_insttype") )</f>
        <v>schatz</v>
      </c>
      <c r="D69" s="13" t="str">
        <v>schatz</v>
      </c>
      <c r="E69" s="13" t="str">
        <v>schatz</v>
      </c>
      <c r="F69" s="13" t="str">
        <v>bund10</v>
      </c>
      <c r="G69" s="13" t="str">
        <v>bobl</v>
      </c>
      <c r="H69" s="13" t="str">
        <v>schatz</v>
      </c>
      <c r="I69" s="13" t="str">
        <v>bund10</v>
      </c>
      <c r="J69" s="13" t="str">
        <v>bobl</v>
      </c>
      <c r="K69" s="13" t="str">
        <v>schatz</v>
      </c>
      <c r="L69" s="13" t="str">
        <v>schatz</v>
      </c>
      <c r="M69" s="13" t="str">
        <v>schatz</v>
      </c>
      <c r="N69" s="13" t="str">
        <v>schatz</v>
      </c>
      <c r="O69" s="13" t="str">
        <v>schatz</v>
      </c>
      <c r="P69" s="13" t="str">
        <v>bund10</v>
      </c>
      <c r="Q69" s="13" t="str">
        <v>bobl</v>
      </c>
      <c r="R69" s="13" t="str">
        <v>schatz</v>
      </c>
      <c r="S69" s="13" t="str">
        <v>bund10</v>
      </c>
      <c r="T69" s="13" t="str">
        <v>bobl</v>
      </c>
      <c r="U69" s="13" t="str">
        <v>schatz</v>
      </c>
      <c r="V69" s="13" t="str">
        <v>schatz</v>
      </c>
    </row>
    <row r="70" spans="2:22" x14ac:dyDescent="0.3">
      <c r="B70" s="20" t="s">
        <v>29</v>
      </c>
      <c r="C70" s="13" t="str">
        <f t="array" ref="C70:V70">[1]!obGet( [1]!obCall("Ptf","portfolio",".a_company") )</f>
        <v>bm_bund</v>
      </c>
      <c r="D70" s="13" t="str">
        <v>bm_bund</v>
      </c>
      <c r="E70" s="13" t="str">
        <v>bm_bund</v>
      </c>
      <c r="F70" s="13" t="str">
        <v>bm_bund</v>
      </c>
      <c r="G70" s="13" t="str">
        <v>bm_bund</v>
      </c>
      <c r="H70" s="13" t="str">
        <v>bm_bund</v>
      </c>
      <c r="I70" s="13" t="str">
        <v>bm_bund</v>
      </c>
      <c r="J70" s="13" t="str">
        <v>bm_bund</v>
      </c>
      <c r="K70" s="13" t="str">
        <v>bm_bund</v>
      </c>
      <c r="L70" s="13" t="str">
        <v>bm_bund</v>
      </c>
      <c r="M70" s="13" t="str">
        <v>ref_bund</v>
      </c>
      <c r="N70" s="13" t="str">
        <v>ref_bund</v>
      </c>
      <c r="O70" s="13" t="str">
        <v>ref_bund</v>
      </c>
      <c r="P70" s="13" t="str">
        <v>ref_bund</v>
      </c>
      <c r="Q70" s="13" t="str">
        <v>ref_bund</v>
      </c>
      <c r="R70" s="13" t="str">
        <v>ref_bund</v>
      </c>
      <c r="S70" s="13" t="str">
        <v>ref_bund</v>
      </c>
      <c r="T70" s="13" t="str">
        <v>ref_bund</v>
      </c>
      <c r="U70" s="13" t="str">
        <v>ref_bund</v>
      </c>
      <c r="V70" s="13" t="str">
        <v>ref_bund</v>
      </c>
    </row>
    <row r="71" spans="2:22" x14ac:dyDescent="0.3">
      <c r="B71" s="20" t="s">
        <v>30</v>
      </c>
      <c r="C71" s="13" t="str">
        <f t="array" ref="C71:V71">[1]!obGet( [1]!obCall("Ptf","portfolio",".a_desk") )</f>
        <v>eigenbestand</v>
      </c>
      <c r="D71" s="13" t="str">
        <v>emissionen</v>
      </c>
      <c r="E71" s="13" t="str">
        <v>emissionen</v>
      </c>
      <c r="F71" s="13" t="str">
        <v>eigenbestand</v>
      </c>
      <c r="G71" s="13" t="str">
        <v>eigenbestand</v>
      </c>
      <c r="H71" s="13" t="str">
        <v>eigenbestand</v>
      </c>
      <c r="I71" s="13" t="str">
        <v>eigenbestand</v>
      </c>
      <c r="J71" s="13" t="str">
        <v>eigenbestand</v>
      </c>
      <c r="K71" s="13" t="str">
        <v>eigenbestand</v>
      </c>
      <c r="L71" s="13" t="str">
        <v>eigenbestand</v>
      </c>
      <c r="M71" s="13" t="str">
        <v>eigenbestand</v>
      </c>
      <c r="N71" s="13" t="str">
        <v>emissionen</v>
      </c>
      <c r="O71" s="13" t="str">
        <v>emissionen</v>
      </c>
      <c r="P71" s="13" t="str">
        <v>eigenbestand</v>
      </c>
      <c r="Q71" s="13" t="str">
        <v>eigenbestand</v>
      </c>
      <c r="R71" s="13" t="str">
        <v>eigenbestand</v>
      </c>
      <c r="S71" s="13" t="str">
        <v>eigenbestand</v>
      </c>
      <c r="T71" s="13" t="str">
        <v>eigenbestand</v>
      </c>
      <c r="U71" s="13" t="str">
        <v>eigenbestand</v>
      </c>
      <c r="V71" s="13" t="str">
        <v>eigenbestand</v>
      </c>
    </row>
    <row r="72" spans="2:22" x14ac:dyDescent="0.3">
      <c r="B72" s="20" t="s">
        <v>31</v>
      </c>
      <c r="C72" s="13" t="str">
        <f t="array" ref="C72:V72">[1]!obGet( [1]!obCall("Ptf","portfolio",".a_book") )</f>
        <v>bestand_fa</v>
      </c>
      <c r="D72" s="13" t="str">
        <v>tender_aufst</v>
      </c>
      <c r="E72" s="13" t="str">
        <v>tender_aufst</v>
      </c>
      <c r="F72" s="13" t="str">
        <v>bestand_fa</v>
      </c>
      <c r="G72" s="13" t="str">
        <v>bestand_fa</v>
      </c>
      <c r="H72" s="13" t="str">
        <v>bestand_fa</v>
      </c>
      <c r="I72" s="13" t="str">
        <v>bestand_fa</v>
      </c>
      <c r="J72" s="13" t="str">
        <v>bestand_fa</v>
      </c>
      <c r="K72" s="13" t="str">
        <v>bestand_fa</v>
      </c>
      <c r="L72" s="13" t="str">
        <v>bestand_fa</v>
      </c>
      <c r="M72" s="13" t="str">
        <v>bestand_fa</v>
      </c>
      <c r="N72" s="13" t="str">
        <v>tender_aufst</v>
      </c>
      <c r="O72" s="13" t="str">
        <v>tender_aufst</v>
      </c>
      <c r="P72" s="13" t="str">
        <v>bestand_fa</v>
      </c>
      <c r="Q72" s="13" t="str">
        <v>bestand_fa</v>
      </c>
      <c r="R72" s="13" t="str">
        <v>bestand_fa</v>
      </c>
      <c r="S72" s="13" t="str">
        <v>bestand_fa</v>
      </c>
      <c r="T72" s="13" t="str">
        <v>bestand_fa</v>
      </c>
      <c r="U72" s="13" t="str">
        <v>bestand_fa</v>
      </c>
      <c r="V72" s="13" t="str">
        <v>bestand_fa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57"/>
  <sheetViews>
    <sheetView topLeftCell="A22" workbookViewId="0">
      <selection activeCell="F38" sqref="F38"/>
    </sheetView>
  </sheetViews>
  <sheetFormatPr baseColWidth="10" defaultRowHeight="14.4" x14ac:dyDescent="0.3"/>
  <cols>
    <col min="2" max="2" width="11.5546875" style="12"/>
    <col min="3" max="3" width="24.88671875" customWidth="1"/>
    <col min="4" max="4" width="11.88671875" bestFit="1" customWidth="1"/>
    <col min="5" max="5" width="15.21875" customWidth="1"/>
    <col min="6" max="6" width="11.88671875" bestFit="1" customWidth="1"/>
    <col min="7" max="7" width="12" bestFit="1" customWidth="1"/>
    <col min="8" max="9" width="11.88671875" bestFit="1" customWidth="1"/>
    <col min="10" max="15" width="11.77734375" bestFit="1" customWidth="1"/>
    <col min="16" max="16" width="17.44140625" customWidth="1"/>
    <col min="17" max="19" width="11.77734375" bestFit="1" customWidth="1"/>
    <col min="20" max="20" width="18.44140625" customWidth="1"/>
    <col min="21" max="22" width="11.77734375" bestFit="1" customWidth="1"/>
  </cols>
  <sheetData>
    <row r="5" spans="1:7" x14ac:dyDescent="0.3">
      <c r="A5" s="2" t="s">
        <v>0</v>
      </c>
      <c r="B5" s="11"/>
    </row>
    <row r="7" spans="1:7" x14ac:dyDescent="0.3">
      <c r="B7" s="11" t="s">
        <v>1</v>
      </c>
      <c r="E7" s="2" t="s">
        <v>2</v>
      </c>
    </row>
    <row r="9" spans="1:7" x14ac:dyDescent="0.3">
      <c r="B9" s="11" t="s">
        <v>4</v>
      </c>
      <c r="E9" s="1" t="s">
        <v>6</v>
      </c>
    </row>
    <row r="10" spans="1:7" x14ac:dyDescent="0.3">
      <c r="B10" s="12" t="s">
        <v>3</v>
      </c>
      <c r="C10" t="b">
        <f>TRUE</f>
        <v>1</v>
      </c>
      <c r="E10" t="s">
        <v>7</v>
      </c>
      <c r="F10" t="s">
        <v>8</v>
      </c>
    </row>
    <row r="11" spans="1:7" x14ac:dyDescent="0.3">
      <c r="E11" t="s">
        <v>9</v>
      </c>
      <c r="F11" t="b">
        <f>TRUE</f>
        <v>1</v>
      </c>
    </row>
    <row r="12" spans="1:7" x14ac:dyDescent="0.3">
      <c r="B12" s="11" t="s">
        <v>5</v>
      </c>
    </row>
    <row r="13" spans="1:7" x14ac:dyDescent="0.3">
      <c r="B13" s="12" t="b">
        <f>TRUE</f>
        <v>1</v>
      </c>
    </row>
    <row r="14" spans="1:7" x14ac:dyDescent="0.3">
      <c r="E14" s="7" t="s">
        <v>10</v>
      </c>
      <c r="F14" t="str">
        <f>[1]!obAddClasses(F10,F11)</f>
        <v>H:\Release_IT_Architecture\1-Publish_MeetingsEA_NS\MoRE\MoRE5\edrk_spark\cert-project\risksys\final\visualizerObba\lib</v>
      </c>
    </row>
    <row r="16" spans="1:7" x14ac:dyDescent="0.3">
      <c r="E16" s="7" t="s">
        <v>25</v>
      </c>
      <c r="G16" s="7" t="s">
        <v>45</v>
      </c>
    </row>
    <row r="17" spans="2:22" x14ac:dyDescent="0.3">
      <c r="E17" s="3" t="str">
        <f>IF(ISTEXT(F14),"Lib-Loaded",NA())</f>
        <v>Lib-Loaded</v>
      </c>
      <c r="G17" t="b">
        <f>[1]!obControlPanelSetVisible(TRUE)</f>
        <v>1</v>
      </c>
    </row>
    <row r="22" spans="2:22" x14ac:dyDescent="0.3">
      <c r="B22" s="11" t="s">
        <v>65</v>
      </c>
      <c r="C22" t="str">
        <f>[1]!obCall("LoadPtf","portfolio","loadPortfolio")</f>
        <v>LoadPtf 
[3623]</v>
      </c>
    </row>
    <row r="23" spans="2:22" x14ac:dyDescent="0.3">
      <c r="B23" s="11"/>
    </row>
    <row r="24" spans="2:22" x14ac:dyDescent="0.3">
      <c r="B24" s="11" t="s">
        <v>72</v>
      </c>
      <c r="C24" t="str">
        <f>[1]!obCall("AccessPtf","portfolio","accessPortfolio")</f>
        <v>AccessPtf 
[3637]</v>
      </c>
    </row>
    <row r="25" spans="2:22" x14ac:dyDescent="0.3">
      <c r="B25" s="11"/>
    </row>
    <row r="26" spans="2:22" x14ac:dyDescent="0.3">
      <c r="B26" s="11" t="s">
        <v>67</v>
      </c>
    </row>
    <row r="27" spans="2:22" x14ac:dyDescent="0.3">
      <c r="B27" s="11" t="s">
        <v>68</v>
      </c>
      <c r="C27" s="17" t="str">
        <f>[1]!obCall("today","portfolio",".portfolioTotal")</f>
        <v>today 
[3632]</v>
      </c>
    </row>
    <row r="28" spans="2:22" x14ac:dyDescent="0.3">
      <c r="B28" s="18" t="s">
        <v>66</v>
      </c>
      <c r="C28" s="23" t="str">
        <f t="array" ref="C28:V28">[1]!obGet( [1]!obCall("PAEle","portfolio",".d_portfolioid") )</f>
        <v>PFID_50</v>
      </c>
      <c r="D28" s="13" t="str">
        <v>TD_150</v>
      </c>
      <c r="E28" s="13" t="str">
        <v>TD_151</v>
      </c>
      <c r="F28" s="13" t="str">
        <v>TD_152</v>
      </c>
      <c r="G28" s="13" t="str">
        <v>TD_155</v>
      </c>
      <c r="H28" s="13" t="str">
        <v>TD_158</v>
      </c>
      <c r="I28" s="13" t="str">
        <v>TD_159</v>
      </c>
      <c r="J28" s="13" t="str">
        <v>TD_160</v>
      </c>
      <c r="K28" s="13" t="str">
        <v>TD_161</v>
      </c>
      <c r="L28" s="13" t="str">
        <v>TD_162</v>
      </c>
      <c r="M28" s="13" t="str">
        <v>TD_165</v>
      </c>
      <c r="N28" s="13" t="str">
        <v>TD_168</v>
      </c>
      <c r="O28" s="13" t="str">
        <v>TD_169</v>
      </c>
      <c r="P28" s="23" t="str">
        <v>PFID_71</v>
      </c>
      <c r="Q28" s="13" t="str">
        <v>TD57_153</v>
      </c>
      <c r="R28" s="13" t="str">
        <v>TD_163</v>
      </c>
      <c r="S28" s="13" t="str">
        <v>TD_166</v>
      </c>
      <c r="T28" s="23" t="str">
        <v>PFID_82</v>
      </c>
      <c r="U28" s="13" t="str">
        <v>TD_157</v>
      </c>
      <c r="V28" s="13" t="str">
        <v>TD_164</v>
      </c>
    </row>
    <row r="29" spans="2:22" x14ac:dyDescent="0.3">
      <c r="B29" s="19" t="s">
        <v>57</v>
      </c>
      <c r="C29" s="23" t="str">
        <f t="array" ref="C29:V29">[1]!obGet( [1]!obCall("PAEle","portfolio",".d_wkn") )</f>
        <v>113740</v>
      </c>
      <c r="D29" s="13" t="str">
        <v>113740</v>
      </c>
      <c r="E29" s="13" t="str">
        <v>113740</v>
      </c>
      <c r="F29" s="13" t="str">
        <v>113740</v>
      </c>
      <c r="G29" s="13" t="str">
        <v>113740</v>
      </c>
      <c r="H29" s="13" t="str">
        <v>113740</v>
      </c>
      <c r="I29" s="13" t="str">
        <v>113740</v>
      </c>
      <c r="J29" s="13" t="str">
        <v>113740</v>
      </c>
      <c r="K29" s="13" t="str">
        <v>113740</v>
      </c>
      <c r="L29" s="13" t="str">
        <v>113740</v>
      </c>
      <c r="M29" s="13" t="str">
        <v>113740</v>
      </c>
      <c r="N29" s="13" t="str">
        <v>113740</v>
      </c>
      <c r="O29" s="13" t="str">
        <v>113740</v>
      </c>
      <c r="P29" s="23" t="str">
        <v>113549</v>
      </c>
      <c r="Q29" s="13" t="str">
        <v>113549</v>
      </c>
      <c r="R29" s="13" t="str">
        <v>113549</v>
      </c>
      <c r="S29" s="13" t="str">
        <v>113549</v>
      </c>
      <c r="T29" s="23" t="str">
        <v>114164</v>
      </c>
      <c r="U29" s="13" t="str">
        <v>114164</v>
      </c>
      <c r="V29" s="13" t="str">
        <v>114164</v>
      </c>
    </row>
    <row r="30" spans="2:22" x14ac:dyDescent="0.3">
      <c r="B30" s="19" t="s">
        <v>70</v>
      </c>
      <c r="C30" s="23">
        <f t="array" ref="C30:V30">[1]!obGet( [1]!obCall("PAEle","portfolio",".d_nominal") )</f>
        <v>35900000000</v>
      </c>
      <c r="D30" s="13">
        <v>900000000</v>
      </c>
      <c r="E30" s="13">
        <v>2600000000</v>
      </c>
      <c r="F30" s="13">
        <v>2900000000</v>
      </c>
      <c r="G30" s="13">
        <v>3900000000</v>
      </c>
      <c r="H30" s="13">
        <v>2900000000</v>
      </c>
      <c r="I30" s="13">
        <v>1900000000</v>
      </c>
      <c r="J30" s="13">
        <v>1900000000</v>
      </c>
      <c r="K30" s="13">
        <v>3600000000</v>
      </c>
      <c r="L30" s="13">
        <v>3900000000</v>
      </c>
      <c r="M30" s="13">
        <v>4900000000</v>
      </c>
      <c r="N30" s="13">
        <v>3900000000</v>
      </c>
      <c r="O30" s="13">
        <v>2900000000</v>
      </c>
      <c r="P30" s="23">
        <v>6700000000</v>
      </c>
      <c r="Q30" s="13">
        <v>1900000000</v>
      </c>
      <c r="R30" s="13">
        <v>2900000000</v>
      </c>
      <c r="S30" s="13">
        <v>2900000000</v>
      </c>
      <c r="T30" s="23">
        <v>6700000000</v>
      </c>
      <c r="U30" s="13">
        <v>900000000</v>
      </c>
      <c r="V30" s="13">
        <v>3900000000</v>
      </c>
    </row>
    <row r="31" spans="2:22" x14ac:dyDescent="0.3">
      <c r="B31" s="19" t="s">
        <v>61</v>
      </c>
      <c r="C31" s="23">
        <f t="array" ref="C31:V31">[1]!obGet( [1]!obCall("PAEle","portfolio",".d_price") )</f>
        <v>3589389700000</v>
      </c>
      <c r="D31" s="13">
        <v>99.983000000000004</v>
      </c>
      <c r="E31" s="13">
        <v>99.983000000000004</v>
      </c>
      <c r="F31" s="13">
        <v>99.983000000000004</v>
      </c>
      <c r="G31" s="13">
        <v>99.953999999999994</v>
      </c>
      <c r="H31" s="13">
        <v>99.953999999999994</v>
      </c>
      <c r="I31" s="13">
        <v>99.953999999999994</v>
      </c>
      <c r="J31" s="13">
        <v>99.983000000000004</v>
      </c>
      <c r="K31" s="13">
        <v>99.983000000000004</v>
      </c>
      <c r="L31" s="13">
        <v>99.983000000000004</v>
      </c>
      <c r="M31" s="13">
        <v>99.953999999999994</v>
      </c>
      <c r="N31" s="13">
        <v>99.953999999999994</v>
      </c>
      <c r="O31" s="13">
        <v>99.953999999999994</v>
      </c>
      <c r="P31" s="23">
        <v>1337789000000</v>
      </c>
      <c r="Q31" s="13">
        <v>100.657</v>
      </c>
      <c r="R31" s="13">
        <v>100.657</v>
      </c>
      <c r="S31" s="13">
        <v>100.657</v>
      </c>
      <c r="T31" s="23">
        <v>673577800000</v>
      </c>
      <c r="U31" s="13">
        <v>100.53400000000001</v>
      </c>
      <c r="V31" s="13">
        <v>100.53400000000001</v>
      </c>
    </row>
    <row r="32" spans="2:22" x14ac:dyDescent="0.3">
      <c r="B32" s="19" t="s">
        <v>62</v>
      </c>
      <c r="C32" s="23" t="str">
        <f t="array" ref="C32:V32">[1]!obGet( [1]!obCall("PAEle","portfolio",".d_insttype") )</f>
        <v>schatz</v>
      </c>
      <c r="D32" s="13" t="str">
        <v>schatz</v>
      </c>
      <c r="E32" s="13" t="str">
        <v>schatz</v>
      </c>
      <c r="F32" s="13" t="str">
        <v>schatz</v>
      </c>
      <c r="G32" s="13" t="str">
        <v>schatz</v>
      </c>
      <c r="H32" s="13" t="str">
        <v>schatz</v>
      </c>
      <c r="I32" s="13" t="str">
        <v>schatz</v>
      </c>
      <c r="J32" s="13" t="str">
        <v>schatz</v>
      </c>
      <c r="K32" s="13" t="str">
        <v>schatz</v>
      </c>
      <c r="L32" s="13" t="str">
        <v>schatz</v>
      </c>
      <c r="M32" s="13" t="str">
        <v>schatz</v>
      </c>
      <c r="N32" s="13" t="str">
        <v>schatz</v>
      </c>
      <c r="O32" s="13" t="str">
        <v>schatz</v>
      </c>
      <c r="P32" s="23" t="str">
        <v>bund10</v>
      </c>
      <c r="Q32" s="13" t="str">
        <v>bund10</v>
      </c>
      <c r="R32" s="13" t="str">
        <v>bund10</v>
      </c>
      <c r="S32" s="13" t="str">
        <v>bund10</v>
      </c>
      <c r="T32" s="23" t="str">
        <v>bobl</v>
      </c>
      <c r="U32" s="13" t="str">
        <v>bobl</v>
      </c>
      <c r="V32" s="13" t="str">
        <v>bobl</v>
      </c>
    </row>
    <row r="33" spans="2:22" s="22" customFormat="1" x14ac:dyDescent="0.3">
      <c r="B33" s="20" t="s">
        <v>29</v>
      </c>
      <c r="C33" s="23" t="str">
        <f t="array" ref="C33:V33">[1]!obGet( [1]!obCall("PAEle","portfolio",".d_company") )</f>
        <v>bm_bund+ref_bund</v>
      </c>
      <c r="D33" s="21" t="str">
        <v>bm_bund</v>
      </c>
      <c r="E33" s="21" t="str">
        <v>bm_bund</v>
      </c>
      <c r="F33" s="21" t="str">
        <v>bm_bund</v>
      </c>
      <c r="G33" s="21" t="str">
        <v>bm_bund</v>
      </c>
      <c r="H33" s="21" t="str">
        <v>bm_bund</v>
      </c>
      <c r="I33" s="21" t="str">
        <v>bm_bund</v>
      </c>
      <c r="J33" s="21" t="str">
        <v>ref_bund</v>
      </c>
      <c r="K33" s="21" t="str">
        <v>ref_bund</v>
      </c>
      <c r="L33" s="21" t="str">
        <v>ref_bund</v>
      </c>
      <c r="M33" s="21" t="str">
        <v>ref_bund</v>
      </c>
      <c r="N33" s="21" t="str">
        <v>ref_bund</v>
      </c>
      <c r="O33" s="21" t="str">
        <v>ref_bund</v>
      </c>
      <c r="P33" s="23" t="str">
        <v>bm_bund+ref_bund</v>
      </c>
      <c r="Q33" s="21" t="str">
        <v>bm_bund</v>
      </c>
      <c r="R33" s="21" t="str">
        <v>ref_bund</v>
      </c>
      <c r="S33" s="21" t="str">
        <v>ref_bund</v>
      </c>
      <c r="T33" s="23" t="str">
        <v>bm_bund+ref_bund</v>
      </c>
      <c r="U33" s="21" t="str">
        <v>bm_bund</v>
      </c>
      <c r="V33" s="21" t="str">
        <v>ref_bund</v>
      </c>
    </row>
    <row r="34" spans="2:22" s="22" customFormat="1" x14ac:dyDescent="0.3">
      <c r="B34" s="20" t="s">
        <v>30</v>
      </c>
      <c r="C34" s="23" t="str">
        <f t="array" ref="C34:V34">[1]!obGet( [1]!obCall("PAEle","portfolio",".d_desk") )</f>
        <v>eigenbestand+emissionen</v>
      </c>
      <c r="D34" s="21" t="str">
        <v>eigenbestand</v>
      </c>
      <c r="E34" s="21" t="str">
        <v>emissionen</v>
      </c>
      <c r="F34" s="21" t="str">
        <v>emissionen</v>
      </c>
      <c r="G34" s="21" t="str">
        <v>eigenbestand</v>
      </c>
      <c r="H34" s="21" t="str">
        <v>eigenbestand</v>
      </c>
      <c r="I34" s="21" t="str">
        <v>eigenbestand</v>
      </c>
      <c r="J34" s="21" t="str">
        <v>eigenbestand</v>
      </c>
      <c r="K34" s="21" t="str">
        <v>emissionen</v>
      </c>
      <c r="L34" s="21" t="str">
        <v>emissionen</v>
      </c>
      <c r="M34" s="21" t="str">
        <v>eigenbestand</v>
      </c>
      <c r="N34" s="21" t="str">
        <v>eigenbestand</v>
      </c>
      <c r="O34" s="21" t="str">
        <v>eigenbestand</v>
      </c>
      <c r="P34" s="23" t="str">
        <v>eigenbestand</v>
      </c>
      <c r="Q34" s="21" t="str">
        <v>eigenbestand</v>
      </c>
      <c r="R34" s="21" t="str">
        <v>eigenbestand</v>
      </c>
      <c r="S34" s="21" t="str">
        <v>eigenbestand</v>
      </c>
      <c r="T34" s="23" t="str">
        <v>eigenbestand</v>
      </c>
      <c r="U34" s="21" t="str">
        <v>eigenbestand</v>
      </c>
      <c r="V34" s="21" t="str">
        <v>eigenbestand</v>
      </c>
    </row>
    <row r="35" spans="2:22" s="22" customFormat="1" x14ac:dyDescent="0.3">
      <c r="B35" s="20" t="s">
        <v>31</v>
      </c>
      <c r="C35" s="23" t="str">
        <f t="array" ref="C35:V35">[1]!obGet( [1]!obCall("PAEle","portfolio",".d_book") )</f>
        <v>bestand_fa+tender_aufst</v>
      </c>
      <c r="D35" s="21" t="str">
        <v>bestand_fa</v>
      </c>
      <c r="E35" s="21" t="str">
        <v>tender_aufst</v>
      </c>
      <c r="F35" s="21" t="str">
        <v>tender_aufst</v>
      </c>
      <c r="G35" s="21" t="str">
        <v>bestand_fa</v>
      </c>
      <c r="H35" s="21" t="str">
        <v>bestand_fa</v>
      </c>
      <c r="I35" s="21" t="str">
        <v>bestand_fa</v>
      </c>
      <c r="J35" s="21" t="str">
        <v>bestand_fa</v>
      </c>
      <c r="K35" s="21" t="str">
        <v>tender_aufst</v>
      </c>
      <c r="L35" s="21" t="str">
        <v>tender_aufst</v>
      </c>
      <c r="M35" s="21" t="str">
        <v>bestand_fa</v>
      </c>
      <c r="N35" s="21" t="str">
        <v>bestand_fa</v>
      </c>
      <c r="O35" s="21" t="str">
        <v>bestand_fa</v>
      </c>
      <c r="P35" s="23" t="str">
        <v>bestand_fa</v>
      </c>
      <c r="Q35" s="21" t="str">
        <v>bestand_fa</v>
      </c>
      <c r="R35" s="21" t="str">
        <v>bestand_fa</v>
      </c>
      <c r="S35" s="21" t="str">
        <v>bestand_fa</v>
      </c>
      <c r="T35" s="23" t="str">
        <v>bestand_fa</v>
      </c>
      <c r="U35" s="21" t="str">
        <v>bestand_fa</v>
      </c>
      <c r="V35" s="21" t="str">
        <v>bestand_fa</v>
      </c>
    </row>
    <row r="36" spans="2:22" x14ac:dyDescent="0.3">
      <c r="P36" s="24"/>
    </row>
    <row r="39" spans="2:22" x14ac:dyDescent="0.3">
      <c r="B39" s="11" t="s">
        <v>73</v>
      </c>
      <c r="C39" s="28" t="str">
        <f>[1]!obCall("02.01.2013","portfolio","accessPortfolio_d1"  )</f>
        <v>02.01.2013 
[3643]</v>
      </c>
      <c r="D39" s="13"/>
      <c r="E39" s="13"/>
      <c r="F39" s="13"/>
      <c r="G39" s="13"/>
      <c r="H39" s="13"/>
      <c r="I39" s="13"/>
    </row>
    <row r="40" spans="2:22" x14ac:dyDescent="0.3">
      <c r="B40" s="25" t="s">
        <v>66</v>
      </c>
      <c r="C40" s="23" t="str">
        <f t="array" ref="C40:I40" xml:space="preserve"> [1]!obGet([1]!obCall("P1-id","portfolio", ".d1_portfolioid"))</f>
        <v>PFID_71</v>
      </c>
      <c r="D40" s="13" t="str">
        <v>TD57_153</v>
      </c>
      <c r="E40" s="13" t="str">
        <v>TD_163</v>
      </c>
      <c r="F40" s="13" t="str">
        <v>TD_166</v>
      </c>
      <c r="G40" s="23" t="str">
        <v>PFID_82</v>
      </c>
      <c r="H40" s="13" t="str">
        <v>TD_157</v>
      </c>
      <c r="I40" s="13" t="str">
        <v>TD_164</v>
      </c>
    </row>
    <row r="41" spans="2:22" x14ac:dyDescent="0.3">
      <c r="B41" s="19" t="s">
        <v>57</v>
      </c>
      <c r="C41" s="23" t="str">
        <f t="array" ref="C41:I41">[1]!obGet( [1]!obCall("PAEle","portfolio",".d1_wkn") )</f>
        <v>113549</v>
      </c>
      <c r="D41" s="13" t="str">
        <v>113549</v>
      </c>
      <c r="E41" s="13" t="str">
        <v>113549</v>
      </c>
      <c r="F41" s="13" t="str">
        <v>113549</v>
      </c>
      <c r="G41" s="23" t="str">
        <v>114164</v>
      </c>
      <c r="H41" s="13" t="str">
        <v>114164</v>
      </c>
      <c r="I41" s="13" t="str">
        <v>114164</v>
      </c>
    </row>
    <row r="42" spans="2:22" x14ac:dyDescent="0.3">
      <c r="B42" s="19" t="s">
        <v>70</v>
      </c>
      <c r="C42" s="23">
        <f t="array" ref="C42:I42">[1]!obGet( [1]!obCall("PAEle","portfolio",".d1_nominal") )</f>
        <v>6700000000</v>
      </c>
      <c r="D42" s="13">
        <v>1900000000</v>
      </c>
      <c r="E42" s="13">
        <v>2900000000</v>
      </c>
      <c r="F42" s="13">
        <v>2900000000</v>
      </c>
      <c r="G42" s="23">
        <v>6700000000</v>
      </c>
      <c r="H42" s="13">
        <v>900000000</v>
      </c>
      <c r="I42" s="13">
        <v>3900000000</v>
      </c>
    </row>
    <row r="43" spans="2:22" x14ac:dyDescent="0.3">
      <c r="B43" s="19" t="s">
        <v>71</v>
      </c>
      <c r="C43" s="23">
        <f t="array" ref="C43:I43">[1]!obGet( [1]!obCall("PAEle","portfolio",".d1_price") )</f>
        <v>1337789000000</v>
      </c>
      <c r="D43" s="13">
        <v>100.657</v>
      </c>
      <c r="E43" s="13">
        <v>100.657</v>
      </c>
      <c r="F43" s="13">
        <v>100.657</v>
      </c>
      <c r="G43" s="23">
        <v>673577800000</v>
      </c>
      <c r="H43" s="13">
        <v>100.53400000000001</v>
      </c>
      <c r="I43" s="13">
        <v>100.53400000000001</v>
      </c>
    </row>
    <row r="44" spans="2:22" x14ac:dyDescent="0.3">
      <c r="B44" s="19" t="s">
        <v>62</v>
      </c>
      <c r="C44" s="23" t="str">
        <f t="array" ref="C44:I44">[1]!obGet( [1]!obCall("PAEle","portfolio",".d1_insttype") )</f>
        <v>bund10</v>
      </c>
      <c r="D44" s="13" t="str">
        <v>bund10</v>
      </c>
      <c r="E44" s="13" t="str">
        <v>bund10</v>
      </c>
      <c r="F44" s="13" t="str">
        <v>bund10</v>
      </c>
      <c r="G44" s="23" t="str">
        <v>bobl</v>
      </c>
      <c r="H44" s="13" t="str">
        <v>bobl</v>
      </c>
      <c r="I44" s="13" t="str">
        <v>bobl</v>
      </c>
    </row>
    <row r="45" spans="2:22" x14ac:dyDescent="0.3">
      <c r="B45" s="20" t="s">
        <v>29</v>
      </c>
      <c r="C45" s="23" t="str">
        <f t="array" ref="C45:I45">[1]!obGet( [1]!obCall("PAEle","portfolio",".d1_company") )</f>
        <v>bm_bund+ref_bund</v>
      </c>
      <c r="D45" s="13" t="str">
        <v>bm_bund</v>
      </c>
      <c r="E45" s="13" t="str">
        <v>ref_bund</v>
      </c>
      <c r="F45" s="13" t="str">
        <v>ref_bund</v>
      </c>
      <c r="G45" s="23" t="str">
        <v>bm_bund+ref_bund</v>
      </c>
      <c r="H45" s="13" t="str">
        <v>bm_bund</v>
      </c>
      <c r="I45" s="13" t="str">
        <v>ref_bund</v>
      </c>
    </row>
    <row r="46" spans="2:22" x14ac:dyDescent="0.3">
      <c r="B46" s="20" t="s">
        <v>30</v>
      </c>
      <c r="C46" s="23" t="str">
        <f t="array" ref="C46:I46">[1]!obGet( [1]!obCall("PAEle","portfolio",".d1_desk") )</f>
        <v>eigenbestand</v>
      </c>
      <c r="D46" s="13" t="str">
        <v>eigenbestand</v>
      </c>
      <c r="E46" s="13" t="str">
        <v>eigenbestand</v>
      </c>
      <c r="F46" s="13" t="str">
        <v>eigenbestand</v>
      </c>
      <c r="G46" s="23" t="str">
        <v>eigenbestand</v>
      </c>
      <c r="H46" s="13" t="str">
        <v>eigenbestand</v>
      </c>
      <c r="I46" s="13" t="str">
        <v>eigenbestand</v>
      </c>
    </row>
    <row r="47" spans="2:22" x14ac:dyDescent="0.3">
      <c r="B47" s="20" t="s">
        <v>31</v>
      </c>
      <c r="C47" s="23" t="str">
        <f t="array" ref="C47:I47">[1]!obGet( [1]!obCall("PAEle","portfolio",".d1_book") )</f>
        <v>bestand_fa</v>
      </c>
      <c r="D47" s="13" t="str">
        <v>bestand_fa</v>
      </c>
      <c r="E47" s="13" t="str">
        <v>bestand_fa</v>
      </c>
      <c r="F47" s="13" t="str">
        <v>bestand_fa</v>
      </c>
      <c r="G47" s="23" t="str">
        <v>bestand_fa</v>
      </c>
      <c r="H47" s="13" t="str">
        <v>bestand_fa</v>
      </c>
      <c r="I47" s="13" t="str">
        <v>bestand_fa</v>
      </c>
    </row>
    <row r="49" spans="2:15" x14ac:dyDescent="0.3">
      <c r="B49" s="11" t="s">
        <v>74</v>
      </c>
      <c r="C49" s="29" t="str">
        <f>[1]!obCall("02.01.2011","portfolio","accessPortfolio_d2"  )</f>
        <v>02.01.2011 
[3638]</v>
      </c>
    </row>
    <row r="50" spans="2:15" x14ac:dyDescent="0.3">
      <c r="B50" s="25" t="s">
        <v>66</v>
      </c>
      <c r="C50" s="23" t="str">
        <f t="array" ref="C50:O50" xml:space="preserve"> [1]!obGet([1]!obCall("Ptf2","portfolio",".d2_portfolioid"))</f>
        <v>PFID_50</v>
      </c>
      <c r="D50" s="13" t="str">
        <v>TD_150</v>
      </c>
      <c r="E50" s="13" t="str">
        <v>TD_151</v>
      </c>
      <c r="F50" s="13" t="str">
        <v>TD_152</v>
      </c>
      <c r="G50" s="13" t="str">
        <v>TD_155</v>
      </c>
      <c r="H50" s="13" t="str">
        <v>TD_158</v>
      </c>
      <c r="I50" s="13" t="str">
        <v>TD_159</v>
      </c>
      <c r="J50" s="13" t="str">
        <v>TD_160</v>
      </c>
      <c r="K50" s="13" t="str">
        <v>TD_161</v>
      </c>
      <c r="L50" s="13" t="str">
        <v>TD_162</v>
      </c>
      <c r="M50" s="13" t="str">
        <v>TD_165</v>
      </c>
      <c r="N50" s="13" t="str">
        <v>TD_168</v>
      </c>
      <c r="O50" s="13" t="str">
        <v>TD_169</v>
      </c>
    </row>
    <row r="51" spans="2:15" x14ac:dyDescent="0.3">
      <c r="B51" s="19" t="s">
        <v>57</v>
      </c>
      <c r="C51" s="23" t="str">
        <f t="array" ref="C51:O51">[1]!obGet( [1]!obCall("PA2","portfolio",".d2_wkn") )</f>
        <v>113740</v>
      </c>
      <c r="D51" s="13" t="str">
        <v>113740</v>
      </c>
      <c r="E51" s="13" t="str">
        <v>113740</v>
      </c>
      <c r="F51" s="13" t="str">
        <v>113740</v>
      </c>
      <c r="G51" s="13" t="str">
        <v>113740</v>
      </c>
      <c r="H51" s="13" t="str">
        <v>113740</v>
      </c>
      <c r="I51" s="13" t="str">
        <v>113740</v>
      </c>
      <c r="J51" s="13" t="str">
        <v>113740</v>
      </c>
      <c r="K51" s="13" t="str">
        <v>113740</v>
      </c>
      <c r="L51" s="13" t="str">
        <v>113740</v>
      </c>
      <c r="M51" s="13" t="str">
        <v>113740</v>
      </c>
      <c r="N51" s="13" t="str">
        <v>113740</v>
      </c>
      <c r="O51" s="13" t="str">
        <v>113740</v>
      </c>
    </row>
    <row r="52" spans="2:15" x14ac:dyDescent="0.3">
      <c r="B52" s="19" t="s">
        <v>70</v>
      </c>
      <c r="C52" s="23">
        <f t="array" ref="C52:O52">[1]!obGet( [1]!obCall("PAEle","portfolio",".d2_nominal") )</f>
        <v>35900000000</v>
      </c>
      <c r="D52" s="13">
        <v>900000000</v>
      </c>
      <c r="E52" s="13">
        <v>2600000000</v>
      </c>
      <c r="F52" s="13">
        <v>2900000000</v>
      </c>
      <c r="G52" s="13">
        <v>3900000000</v>
      </c>
      <c r="H52" s="13">
        <v>2900000000</v>
      </c>
      <c r="I52" s="13">
        <v>1900000000</v>
      </c>
      <c r="J52" s="13">
        <v>1900000000</v>
      </c>
      <c r="K52" s="13">
        <v>3600000000</v>
      </c>
      <c r="L52" s="13">
        <v>3900000000</v>
      </c>
      <c r="M52" s="13">
        <v>4900000000</v>
      </c>
      <c r="N52" s="13">
        <v>3900000000</v>
      </c>
      <c r="O52" s="13">
        <v>2900000000</v>
      </c>
    </row>
    <row r="53" spans="2:15" x14ac:dyDescent="0.3">
      <c r="B53" s="19" t="s">
        <v>71</v>
      </c>
      <c r="C53" s="23">
        <f t="array" ref="C53:O53" xml:space="preserve"> [1]!obGet([1]!obCall("Ptf2","portfolio",".d2_price"))</f>
        <v>3589389700000</v>
      </c>
      <c r="D53" s="13">
        <v>99.983000000000004</v>
      </c>
      <c r="E53" s="13">
        <v>99.983000000000004</v>
      </c>
      <c r="F53" s="13">
        <v>99.983000000000004</v>
      </c>
      <c r="G53" s="13">
        <v>99.953999999999994</v>
      </c>
      <c r="H53" s="13">
        <v>99.953999999999994</v>
      </c>
      <c r="I53" s="13">
        <v>99.953999999999994</v>
      </c>
      <c r="J53" s="13">
        <v>99.983000000000004</v>
      </c>
      <c r="K53" s="13">
        <v>99.983000000000004</v>
      </c>
      <c r="L53" s="13">
        <v>99.983000000000004</v>
      </c>
      <c r="M53" s="13">
        <v>99.953999999999994</v>
      </c>
      <c r="N53" s="13">
        <v>99.953999999999994</v>
      </c>
      <c r="O53" s="13">
        <v>99.953999999999994</v>
      </c>
    </row>
    <row r="54" spans="2:15" x14ac:dyDescent="0.3">
      <c r="B54" s="19" t="s">
        <v>62</v>
      </c>
      <c r="C54" s="23" t="str">
        <f t="array" ref="C54:O54" xml:space="preserve"> [1]!obGet( [1]!obCall("Ptf2","portfolio",".d2_insttype") )</f>
        <v>schatz</v>
      </c>
      <c r="D54" s="13" t="str">
        <v>schatz</v>
      </c>
      <c r="E54" s="13" t="str">
        <v>schatz</v>
      </c>
      <c r="F54" s="13" t="str">
        <v>schatz</v>
      </c>
      <c r="G54" s="13" t="str">
        <v>schatz</v>
      </c>
      <c r="H54" s="13" t="str">
        <v>schatz</v>
      </c>
      <c r="I54" s="13" t="str">
        <v>schatz</v>
      </c>
      <c r="J54" s="13" t="str">
        <v>schatz</v>
      </c>
      <c r="K54" s="13" t="str">
        <v>schatz</v>
      </c>
      <c r="L54" s="13" t="str">
        <v>schatz</v>
      </c>
      <c r="M54" s="13" t="str">
        <v>schatz</v>
      </c>
      <c r="N54" s="13" t="str">
        <v>schatz</v>
      </c>
      <c r="O54" s="13" t="str">
        <v>schatz</v>
      </c>
    </row>
    <row r="55" spans="2:15" x14ac:dyDescent="0.3">
      <c r="B55" s="20" t="s">
        <v>29</v>
      </c>
      <c r="C55" s="23" t="str">
        <f t="array" ref="C55:O55" xml:space="preserve"> [1]!obGet(  [1]!obCall("Ptf2","portfolio",".d2_company")  )</f>
        <v>bm_bund+ref_bund</v>
      </c>
      <c r="D55" s="13" t="str">
        <v>bm_bund</v>
      </c>
      <c r="E55" s="13" t="str">
        <v>bm_bund</v>
      </c>
      <c r="F55" s="13" t="str">
        <v>bm_bund</v>
      </c>
      <c r="G55" s="13" t="str">
        <v>bm_bund</v>
      </c>
      <c r="H55" s="13" t="str">
        <v>bm_bund</v>
      </c>
      <c r="I55" s="13" t="str">
        <v>bm_bund</v>
      </c>
      <c r="J55" s="13" t="str">
        <v>ref_bund</v>
      </c>
      <c r="K55" s="13" t="str">
        <v>ref_bund</v>
      </c>
      <c r="L55" s="13" t="str">
        <v>ref_bund</v>
      </c>
      <c r="M55" s="13" t="str">
        <v>ref_bund</v>
      </c>
      <c r="N55" s="13" t="str">
        <v>ref_bund</v>
      </c>
      <c r="O55" s="13" t="str">
        <v>ref_bund</v>
      </c>
    </row>
    <row r="56" spans="2:15" x14ac:dyDescent="0.3">
      <c r="B56" s="20" t="s">
        <v>30</v>
      </c>
      <c r="C56" s="23" t="str">
        <f t="array" ref="C56:O56" xml:space="preserve"> [1]!obGet(  [1]!obCall("Ptf2","portfolio",".d2_desk")  )</f>
        <v>eigenbestand+emissionen</v>
      </c>
      <c r="D56" s="13" t="str">
        <v>eigenbestand</v>
      </c>
      <c r="E56" s="13" t="str">
        <v>emissionen</v>
      </c>
      <c r="F56" s="13" t="str">
        <v>emissionen</v>
      </c>
      <c r="G56" s="13" t="str">
        <v>eigenbestand</v>
      </c>
      <c r="H56" s="13" t="str">
        <v>eigenbestand</v>
      </c>
      <c r="I56" s="13" t="str">
        <v>eigenbestand</v>
      </c>
      <c r="J56" s="13" t="str">
        <v>eigenbestand</v>
      </c>
      <c r="K56" s="13" t="str">
        <v>emissionen</v>
      </c>
      <c r="L56" s="13" t="str">
        <v>emissionen</v>
      </c>
      <c r="M56" s="13" t="str">
        <v>eigenbestand</v>
      </c>
      <c r="N56" s="13" t="str">
        <v>eigenbestand</v>
      </c>
      <c r="O56" s="13" t="str">
        <v>eigenbestand</v>
      </c>
    </row>
    <row r="57" spans="2:15" x14ac:dyDescent="0.3">
      <c r="B57" s="20" t="s">
        <v>31</v>
      </c>
      <c r="C57" s="23" t="str">
        <f t="array" ref="C57:O57" xml:space="preserve"> [1]!obGet(  [1]!obCall("Ptf2","portfolio",".d2_book")  )</f>
        <v>bestand_fa+tender_aufst</v>
      </c>
      <c r="D57" s="13" t="str">
        <v>bestand_fa</v>
      </c>
      <c r="E57" s="13" t="str">
        <v>tender_aufst</v>
      </c>
      <c r="F57" s="13" t="str">
        <v>tender_aufst</v>
      </c>
      <c r="G57" s="13" t="str">
        <v>bestand_fa</v>
      </c>
      <c r="H57" s="13" t="str">
        <v>bestand_fa</v>
      </c>
      <c r="I57" s="13" t="str">
        <v>bestand_fa</v>
      </c>
      <c r="J57" s="13" t="str">
        <v>bestand_fa</v>
      </c>
      <c r="K57" s="13" t="str">
        <v>tender_aufst</v>
      </c>
      <c r="L57" s="13" t="str">
        <v>tender_aufst</v>
      </c>
      <c r="M57" s="13" t="str">
        <v>bestand_fa</v>
      </c>
      <c r="N57" s="13" t="str">
        <v>bestand_fa</v>
      </c>
      <c r="O57" s="13" t="str">
        <v>bestand_fa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6" sqref="H6"/>
    </sheetView>
  </sheetViews>
  <sheetFormatPr baseColWidth="10" defaultRowHeight="14.4" x14ac:dyDescent="0.3"/>
  <cols>
    <col min="1" max="1" width="14.77734375" customWidth="1"/>
    <col min="9" max="9" width="13" customWidth="1"/>
    <col min="10" max="10" width="13.6640625" customWidth="1"/>
  </cols>
  <sheetData>
    <row r="1" spans="1:10" x14ac:dyDescent="0.3">
      <c r="A1" s="30" t="s">
        <v>56</v>
      </c>
      <c r="B1" s="31" t="s">
        <v>57</v>
      </c>
      <c r="C1" s="32" t="s">
        <v>58</v>
      </c>
      <c r="D1" s="32" t="s">
        <v>59</v>
      </c>
      <c r="E1" s="32" t="s">
        <v>60</v>
      </c>
      <c r="F1" s="31" t="s">
        <v>61</v>
      </c>
      <c r="G1" s="31" t="s">
        <v>62</v>
      </c>
      <c r="H1" s="33" t="s">
        <v>29</v>
      </c>
      <c r="I1" s="33" t="s">
        <v>30</v>
      </c>
      <c r="J1" s="33" t="s">
        <v>31</v>
      </c>
    </row>
    <row r="2" spans="1:10" x14ac:dyDescent="0.3">
      <c r="A2" s="34" t="s">
        <v>75</v>
      </c>
      <c r="B2" s="35">
        <v>113740</v>
      </c>
      <c r="C2" s="36">
        <v>41276</v>
      </c>
      <c r="D2" s="36">
        <v>41278</v>
      </c>
      <c r="E2" s="37">
        <v>5000000000</v>
      </c>
      <c r="F2" s="35">
        <v>99.983000000000004</v>
      </c>
      <c r="G2" s="35" t="s">
        <v>76</v>
      </c>
      <c r="H2" s="38" t="s">
        <v>77</v>
      </c>
      <c r="I2" s="38" t="s">
        <v>78</v>
      </c>
      <c r="J2" s="38" t="s">
        <v>79</v>
      </c>
    </row>
    <row r="3" spans="1:10" x14ac:dyDescent="0.3">
      <c r="A3" s="34" t="s">
        <v>80</v>
      </c>
      <c r="B3" s="35">
        <v>113740</v>
      </c>
      <c r="C3" s="36">
        <v>41276</v>
      </c>
      <c r="D3" s="36">
        <v>41278</v>
      </c>
      <c r="E3" s="37">
        <v>-1000000000</v>
      </c>
      <c r="F3" s="35">
        <v>99.983000000000004</v>
      </c>
      <c r="G3" s="35" t="s">
        <v>76</v>
      </c>
      <c r="H3" s="38" t="s">
        <v>77</v>
      </c>
      <c r="I3" s="38" t="s">
        <v>81</v>
      </c>
      <c r="J3" s="38" t="s">
        <v>82</v>
      </c>
    </row>
    <row r="4" spans="1:10" x14ac:dyDescent="0.3">
      <c r="A4" s="34" t="s">
        <v>83</v>
      </c>
      <c r="B4" s="35">
        <v>113524</v>
      </c>
      <c r="C4" s="36">
        <v>41276</v>
      </c>
      <c r="D4" s="36">
        <v>41281</v>
      </c>
      <c r="E4" s="37">
        <v>-56000000</v>
      </c>
      <c r="F4" s="35">
        <v>104.277</v>
      </c>
      <c r="G4" s="35" t="s">
        <v>84</v>
      </c>
      <c r="H4" s="38" t="s">
        <v>77</v>
      </c>
      <c r="I4" s="38" t="s">
        <v>81</v>
      </c>
      <c r="J4" s="38" t="s">
        <v>79</v>
      </c>
    </row>
    <row r="5" spans="1:10" x14ac:dyDescent="0.3">
      <c r="A5" s="34" t="s">
        <v>85</v>
      </c>
      <c r="B5" s="35">
        <v>113526</v>
      </c>
      <c r="C5" s="36">
        <v>41276</v>
      </c>
      <c r="D5" s="36">
        <v>41281</v>
      </c>
      <c r="E5" s="37">
        <v>-39000000</v>
      </c>
      <c r="F5" s="35">
        <v>107.494</v>
      </c>
      <c r="G5" s="35" t="s">
        <v>84</v>
      </c>
      <c r="H5" s="38" t="s">
        <v>77</v>
      </c>
      <c r="I5" s="38" t="s">
        <v>81</v>
      </c>
      <c r="J5" s="38" t="s">
        <v>79</v>
      </c>
    </row>
    <row r="6" spans="1:10" x14ac:dyDescent="0.3">
      <c r="A6" s="34" t="s">
        <v>86</v>
      </c>
      <c r="B6" s="35">
        <v>113549</v>
      </c>
      <c r="C6" s="36">
        <v>41276</v>
      </c>
      <c r="D6" s="36">
        <v>41281</v>
      </c>
      <c r="E6" s="37">
        <v>29000000</v>
      </c>
      <c r="F6" s="35">
        <v>100.17</v>
      </c>
      <c r="G6" s="35" t="s">
        <v>84</v>
      </c>
      <c r="H6" s="38" t="s">
        <v>77</v>
      </c>
      <c r="I6" s="38" t="s">
        <v>81</v>
      </c>
      <c r="J6" s="38" t="s">
        <v>79</v>
      </c>
    </row>
    <row r="7" spans="1:10" x14ac:dyDescent="0.3">
      <c r="A7" s="34" t="s">
        <v>87</v>
      </c>
      <c r="B7" s="35">
        <v>114164</v>
      </c>
      <c r="C7" s="36">
        <v>41276</v>
      </c>
      <c r="D7" s="36">
        <v>41281</v>
      </c>
      <c r="E7" s="37">
        <v>43000000</v>
      </c>
      <c r="F7" s="35">
        <v>100.691</v>
      </c>
      <c r="G7" s="35" t="s">
        <v>88</v>
      </c>
      <c r="H7" s="38" t="s">
        <v>77</v>
      </c>
      <c r="I7" s="38" t="s">
        <v>81</v>
      </c>
      <c r="J7" s="38" t="s">
        <v>79</v>
      </c>
    </row>
    <row r="8" spans="1:10" x14ac:dyDescent="0.3">
      <c r="A8" s="34" t="s">
        <v>89</v>
      </c>
      <c r="B8" s="35">
        <v>113740</v>
      </c>
      <c r="C8" s="36">
        <v>41276</v>
      </c>
      <c r="D8" s="36">
        <v>41281</v>
      </c>
      <c r="E8" s="37">
        <v>71000000</v>
      </c>
      <c r="F8" s="35">
        <v>99.953999999999994</v>
      </c>
      <c r="G8" s="35" t="s">
        <v>76</v>
      </c>
      <c r="H8" s="38" t="s">
        <v>77</v>
      </c>
      <c r="I8" s="38" t="s">
        <v>81</v>
      </c>
      <c r="J8" s="38" t="s">
        <v>79</v>
      </c>
    </row>
    <row r="9" spans="1:10" x14ac:dyDescent="0.3">
      <c r="A9" s="34" t="s">
        <v>90</v>
      </c>
      <c r="B9" s="35">
        <v>114164</v>
      </c>
      <c r="C9" s="36">
        <v>41277</v>
      </c>
      <c r="D9" s="36">
        <v>41282</v>
      </c>
      <c r="E9" s="37">
        <v>42000000</v>
      </c>
      <c r="F9" s="35">
        <v>100.57</v>
      </c>
      <c r="G9" s="35" t="s">
        <v>88</v>
      </c>
      <c r="H9" s="38" t="s">
        <v>77</v>
      </c>
      <c r="I9" s="38" t="s">
        <v>81</v>
      </c>
      <c r="J9" s="38" t="s">
        <v>79</v>
      </c>
    </row>
    <row r="10" spans="1:10" x14ac:dyDescent="0.3">
      <c r="A10" s="34" t="s">
        <v>91</v>
      </c>
      <c r="B10" s="35">
        <v>113549</v>
      </c>
      <c r="C10" s="36">
        <v>41277</v>
      </c>
      <c r="D10" s="36">
        <v>41282</v>
      </c>
      <c r="E10" s="37">
        <v>28000000</v>
      </c>
      <c r="F10" s="35">
        <v>101.03</v>
      </c>
      <c r="G10" s="35" t="s">
        <v>84</v>
      </c>
      <c r="H10" s="38" t="s">
        <v>77</v>
      </c>
      <c r="I10" s="38" t="s">
        <v>81</v>
      </c>
      <c r="J10" s="38" t="s">
        <v>79</v>
      </c>
    </row>
    <row r="11" spans="1:10" x14ac:dyDescent="0.3">
      <c r="A11" s="34" t="s">
        <v>92</v>
      </c>
      <c r="B11" s="35">
        <v>114164</v>
      </c>
      <c r="C11" s="36">
        <v>41277</v>
      </c>
      <c r="D11" s="36">
        <v>41282</v>
      </c>
      <c r="E11" s="37">
        <v>12000000</v>
      </c>
      <c r="F11" s="35">
        <v>100.57</v>
      </c>
      <c r="G11" s="35" t="s">
        <v>88</v>
      </c>
      <c r="H11" s="38" t="s">
        <v>77</v>
      </c>
      <c r="I11" s="38" t="s">
        <v>81</v>
      </c>
      <c r="J11" s="38" t="s">
        <v>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5"/>
  <sheetViews>
    <sheetView topLeftCell="A4" workbookViewId="0">
      <selection activeCell="A5" sqref="A5:H17"/>
    </sheetView>
  </sheetViews>
  <sheetFormatPr baseColWidth="10" defaultRowHeight="14.4" x14ac:dyDescent="0.3"/>
  <sheetData>
    <row r="5" spans="1:11" x14ac:dyDescent="0.3">
      <c r="A5" s="43" t="s">
        <v>0</v>
      </c>
      <c r="B5" s="44"/>
      <c r="C5" s="40"/>
      <c r="D5" s="40"/>
      <c r="E5" s="40"/>
      <c r="F5" s="40"/>
      <c r="G5" s="40"/>
      <c r="H5" s="40"/>
      <c r="I5" s="39"/>
      <c r="J5" s="39"/>
      <c r="K5" s="39"/>
    </row>
    <row r="6" spans="1:11" x14ac:dyDescent="0.3">
      <c r="A6" s="40"/>
      <c r="B6" s="42"/>
      <c r="C6" s="40"/>
      <c r="D6" s="40"/>
      <c r="E6" s="40"/>
      <c r="F6" s="40"/>
      <c r="G6" s="40"/>
      <c r="H6" s="40"/>
      <c r="I6" s="39"/>
      <c r="J6" s="39"/>
      <c r="K6" s="39"/>
    </row>
    <row r="7" spans="1:11" x14ac:dyDescent="0.3">
      <c r="A7" s="40"/>
      <c r="B7" s="44" t="s">
        <v>1</v>
      </c>
      <c r="C7" s="40"/>
      <c r="D7" s="40"/>
      <c r="E7" s="43" t="s">
        <v>2</v>
      </c>
      <c r="F7" s="40"/>
      <c r="G7" s="40"/>
      <c r="H7" s="40"/>
      <c r="I7" s="39"/>
      <c r="J7" s="39"/>
      <c r="K7" s="39"/>
    </row>
    <row r="8" spans="1:11" x14ac:dyDescent="0.3">
      <c r="A8" s="40"/>
      <c r="B8" s="42"/>
      <c r="C8" s="40"/>
      <c r="D8" s="40"/>
      <c r="E8" s="40"/>
      <c r="F8" s="40"/>
      <c r="G8" s="40"/>
      <c r="H8" s="40"/>
      <c r="I8" s="39"/>
      <c r="J8" s="39"/>
      <c r="K8" s="39"/>
    </row>
    <row r="9" spans="1:11" x14ac:dyDescent="0.3">
      <c r="A9" s="40"/>
      <c r="B9" s="44" t="s">
        <v>4</v>
      </c>
      <c r="C9" s="40"/>
      <c r="D9" s="40"/>
      <c r="E9" s="41" t="s">
        <v>6</v>
      </c>
      <c r="F9" s="40"/>
      <c r="G9" s="40"/>
      <c r="H9" s="40"/>
      <c r="I9" s="39"/>
      <c r="J9" s="39"/>
      <c r="K9" s="39"/>
    </row>
    <row r="10" spans="1:11" x14ac:dyDescent="0.3">
      <c r="A10" s="40"/>
      <c r="B10" s="42" t="s">
        <v>3</v>
      </c>
      <c r="C10" s="40" t="b">
        <v>1</v>
      </c>
      <c r="D10" s="40"/>
      <c r="E10" s="40" t="s">
        <v>7</v>
      </c>
      <c r="F10" s="40" t="s">
        <v>8</v>
      </c>
      <c r="G10" s="40"/>
      <c r="H10" s="40"/>
      <c r="I10" s="39"/>
      <c r="J10" s="39"/>
      <c r="K10" s="39"/>
    </row>
    <row r="11" spans="1:11" x14ac:dyDescent="0.3">
      <c r="A11" s="40"/>
      <c r="B11" s="42"/>
      <c r="C11" s="40"/>
      <c r="D11" s="40"/>
      <c r="E11" s="40" t="s">
        <v>9</v>
      </c>
      <c r="F11" s="40" t="b">
        <v>1</v>
      </c>
      <c r="G11" s="40"/>
      <c r="H11" s="40"/>
      <c r="I11" s="39"/>
      <c r="J11" s="39"/>
      <c r="K11" s="39"/>
    </row>
    <row r="12" spans="1:11" x14ac:dyDescent="0.3">
      <c r="A12" s="40"/>
      <c r="B12" s="44" t="s">
        <v>5</v>
      </c>
      <c r="C12" s="40"/>
      <c r="D12" s="40"/>
      <c r="E12" s="40"/>
      <c r="F12" s="40"/>
      <c r="G12" s="40"/>
      <c r="H12" s="40"/>
      <c r="I12" s="39"/>
      <c r="J12" s="39"/>
      <c r="K12" s="39"/>
    </row>
    <row r="13" spans="1:11" x14ac:dyDescent="0.3">
      <c r="A13" s="40"/>
      <c r="B13" s="42" t="b">
        <v>1</v>
      </c>
      <c r="C13" s="40"/>
      <c r="D13" s="40"/>
      <c r="E13" s="40"/>
      <c r="F13" s="40"/>
      <c r="G13" s="40"/>
      <c r="H13" s="40"/>
      <c r="I13" s="39"/>
      <c r="J13" s="39"/>
      <c r="K13" s="39"/>
    </row>
    <row r="14" spans="1:11" x14ac:dyDescent="0.3">
      <c r="A14" s="40"/>
      <c r="B14" s="42"/>
      <c r="C14" s="40"/>
      <c r="D14" s="40"/>
      <c r="E14" s="45" t="s">
        <v>93</v>
      </c>
      <c r="F14" s="40" t="s">
        <v>94</v>
      </c>
      <c r="G14" s="40"/>
      <c r="H14" s="40"/>
      <c r="I14" s="39"/>
      <c r="J14" s="39" t="s">
        <v>95</v>
      </c>
      <c r="K14" s="39" t="s">
        <v>96</v>
      </c>
    </row>
    <row r="15" spans="1:11" x14ac:dyDescent="0.3">
      <c r="A15" s="40"/>
      <c r="B15" s="42"/>
      <c r="C15" s="40"/>
      <c r="D15" s="40"/>
      <c r="E15" s="40" t="s">
        <v>97</v>
      </c>
      <c r="F15" s="40" t="s">
        <v>94</v>
      </c>
      <c r="G15" s="40"/>
      <c r="H15" s="40"/>
      <c r="I15" s="39"/>
      <c r="J15" s="39"/>
      <c r="K15" s="39"/>
    </row>
    <row r="16" spans="1:11" x14ac:dyDescent="0.3">
      <c r="A16" s="40"/>
      <c r="B16" s="42"/>
      <c r="C16" s="40"/>
      <c r="D16" s="40"/>
      <c r="E16" s="45" t="s">
        <v>25</v>
      </c>
      <c r="F16" s="40"/>
      <c r="G16" s="45" t="s">
        <v>45</v>
      </c>
      <c r="H16" s="40"/>
      <c r="I16" s="39"/>
      <c r="J16" s="39"/>
      <c r="K16" s="39"/>
    </row>
    <row r="17" spans="1:11" x14ac:dyDescent="0.3">
      <c r="A17" s="40"/>
      <c r="B17" s="42"/>
      <c r="C17" s="40"/>
      <c r="D17" s="40"/>
      <c r="E17" s="46" t="s">
        <v>98</v>
      </c>
      <c r="F17" s="40"/>
      <c r="G17" s="40" t="b">
        <v>1</v>
      </c>
      <c r="H17" s="40"/>
      <c r="I17" s="39"/>
      <c r="J17" s="39"/>
      <c r="K17" s="39"/>
    </row>
    <row r="18" spans="1:11" x14ac:dyDescent="0.3">
      <c r="A18" s="40"/>
      <c r="B18" s="42"/>
      <c r="C18" s="40"/>
      <c r="D18" s="40"/>
      <c r="E18" s="40"/>
      <c r="F18" s="40"/>
      <c r="G18" s="40"/>
      <c r="H18" s="40"/>
      <c r="I18" s="39"/>
      <c r="J18" s="39"/>
      <c r="K18" s="39"/>
    </row>
    <row r="21" spans="1:11" x14ac:dyDescent="0.3">
      <c r="A21" s="39" t="s">
        <v>99</v>
      </c>
      <c r="B21" s="39" t="s">
        <v>100</v>
      </c>
      <c r="C21" s="39" t="s">
        <v>101</v>
      </c>
      <c r="D21" s="39" t="s">
        <v>101</v>
      </c>
      <c r="E21" s="39" t="s">
        <v>102</v>
      </c>
      <c r="F21" s="39"/>
      <c r="G21" s="39"/>
      <c r="H21" s="39"/>
      <c r="I21" s="39"/>
      <c r="J21" s="39"/>
      <c r="K21" s="39"/>
    </row>
    <row r="22" spans="1:11" x14ac:dyDescent="0.3">
      <c r="A22" s="39" t="s">
        <v>103</v>
      </c>
      <c r="B22" s="39">
        <v>1</v>
      </c>
      <c r="C22" s="39" t="s">
        <v>104</v>
      </c>
      <c r="D22" s="39"/>
      <c r="E22" s="39"/>
      <c r="F22" s="39"/>
      <c r="G22" s="39"/>
      <c r="H22" s="39"/>
      <c r="I22" s="39"/>
      <c r="J22" s="39"/>
      <c r="K22" s="39"/>
    </row>
    <row r="23" spans="1:11" x14ac:dyDescent="0.3">
      <c r="A23" s="39" t="s">
        <v>105</v>
      </c>
      <c r="B23" s="39" t="s">
        <v>106</v>
      </c>
      <c r="C23" s="39"/>
      <c r="D23" s="39"/>
      <c r="E23" s="39"/>
      <c r="F23" s="39"/>
      <c r="G23" s="39"/>
      <c r="H23" s="39"/>
      <c r="I23" s="39"/>
      <c r="J23" s="39"/>
      <c r="K23" s="39"/>
    </row>
    <row r="25" spans="1:11" x14ac:dyDescent="0.3">
      <c r="A25" s="39"/>
      <c r="B25" s="39" t="s">
        <v>107</v>
      </c>
      <c r="C25" s="39" t="s">
        <v>107</v>
      </c>
      <c r="D25" s="39" t="s">
        <v>107</v>
      </c>
      <c r="E25" s="39" t="s">
        <v>107</v>
      </c>
      <c r="F25" s="39" t="s">
        <v>107</v>
      </c>
      <c r="G25" s="39" t="s">
        <v>107</v>
      </c>
      <c r="H25" s="39" t="s">
        <v>107</v>
      </c>
      <c r="I25" s="39" t="s">
        <v>107</v>
      </c>
      <c r="J25" s="39" t="s">
        <v>107</v>
      </c>
      <c r="K25" s="39" t="s">
        <v>107</v>
      </c>
    </row>
    <row r="26" spans="1:11" x14ac:dyDescent="0.3">
      <c r="A26" s="39"/>
      <c r="B26" s="39" t="s">
        <v>107</v>
      </c>
      <c r="C26" s="39" t="s">
        <v>107</v>
      </c>
      <c r="D26" s="39" t="s">
        <v>107</v>
      </c>
      <c r="E26" s="39" t="s">
        <v>107</v>
      </c>
      <c r="F26" s="39" t="s">
        <v>107</v>
      </c>
      <c r="G26" s="39" t="s">
        <v>107</v>
      </c>
      <c r="H26" s="39" t="s">
        <v>107</v>
      </c>
      <c r="I26" s="39" t="s">
        <v>107</v>
      </c>
      <c r="J26" s="39" t="s">
        <v>107</v>
      </c>
      <c r="K26" s="39" t="s">
        <v>107</v>
      </c>
    </row>
    <row r="27" spans="1:11" x14ac:dyDescent="0.3">
      <c r="A27" s="39"/>
      <c r="B27" s="39" t="s">
        <v>107</v>
      </c>
      <c r="C27" s="39" t="s">
        <v>107</v>
      </c>
      <c r="D27" s="39" t="s">
        <v>107</v>
      </c>
      <c r="E27" s="39" t="s">
        <v>107</v>
      </c>
      <c r="F27" s="39" t="s">
        <v>107</v>
      </c>
      <c r="G27" s="39" t="s">
        <v>107</v>
      </c>
      <c r="H27" s="39" t="s">
        <v>107</v>
      </c>
      <c r="I27" s="39" t="s">
        <v>107</v>
      </c>
      <c r="J27" s="39" t="s">
        <v>107</v>
      </c>
      <c r="K27" s="39" t="s">
        <v>107</v>
      </c>
    </row>
    <row r="28" spans="1:11" x14ac:dyDescent="0.3">
      <c r="A28" s="39"/>
      <c r="B28" s="39" t="s">
        <v>107</v>
      </c>
      <c r="C28" s="39" t="s">
        <v>107</v>
      </c>
      <c r="D28" s="39" t="s">
        <v>107</v>
      </c>
      <c r="E28" s="39" t="s">
        <v>107</v>
      </c>
      <c r="F28" s="39" t="s">
        <v>107</v>
      </c>
      <c r="G28" s="39" t="s">
        <v>107</v>
      </c>
      <c r="H28" s="39" t="s">
        <v>107</v>
      </c>
      <c r="I28" s="39" t="s">
        <v>107</v>
      </c>
      <c r="J28" s="39" t="s">
        <v>107</v>
      </c>
      <c r="K28" s="39" t="s">
        <v>107</v>
      </c>
    </row>
    <row r="29" spans="1:11" x14ac:dyDescent="0.3">
      <c r="A29" s="39"/>
      <c r="B29" s="39" t="s">
        <v>107</v>
      </c>
      <c r="C29" s="39" t="s">
        <v>107</v>
      </c>
      <c r="D29" s="39" t="s">
        <v>107</v>
      </c>
      <c r="E29" s="39" t="s">
        <v>107</v>
      </c>
      <c r="F29" s="39" t="s">
        <v>107</v>
      </c>
      <c r="G29" s="39" t="s">
        <v>107</v>
      </c>
      <c r="H29" s="39" t="s">
        <v>107</v>
      </c>
      <c r="I29" s="39" t="s">
        <v>107</v>
      </c>
      <c r="J29" s="39" t="s">
        <v>107</v>
      </c>
      <c r="K29" s="39" t="s">
        <v>107</v>
      </c>
    </row>
    <row r="30" spans="1:11" x14ac:dyDescent="0.3">
      <c r="A30" s="39"/>
      <c r="B30" s="39" t="s">
        <v>107</v>
      </c>
      <c r="C30" s="39" t="s">
        <v>107</v>
      </c>
      <c r="D30" s="39" t="s">
        <v>107</v>
      </c>
      <c r="E30" s="39" t="s">
        <v>107</v>
      </c>
      <c r="F30" s="39" t="s">
        <v>107</v>
      </c>
      <c r="G30" s="39" t="s">
        <v>107</v>
      </c>
      <c r="H30" s="39" t="s">
        <v>107</v>
      </c>
      <c r="I30" s="39" t="s">
        <v>107</v>
      </c>
      <c r="J30" s="39" t="s">
        <v>107</v>
      </c>
      <c r="K30" s="39" t="s">
        <v>107</v>
      </c>
    </row>
    <row r="31" spans="1:11" x14ac:dyDescent="0.3">
      <c r="A31" s="39"/>
      <c r="B31" s="39" t="s">
        <v>107</v>
      </c>
      <c r="C31" s="39" t="s">
        <v>107</v>
      </c>
      <c r="D31" s="39" t="s">
        <v>107</v>
      </c>
      <c r="E31" s="39" t="s">
        <v>107</v>
      </c>
      <c r="F31" s="39" t="s">
        <v>107</v>
      </c>
      <c r="G31" s="39" t="s">
        <v>107</v>
      </c>
      <c r="H31" s="39" t="s">
        <v>107</v>
      </c>
      <c r="I31" s="39" t="s">
        <v>107</v>
      </c>
      <c r="J31" s="39" t="s">
        <v>107</v>
      </c>
      <c r="K31" s="39" t="s">
        <v>107</v>
      </c>
    </row>
    <row r="32" spans="1:11" x14ac:dyDescent="0.3">
      <c r="A32" s="39"/>
      <c r="B32" s="39" t="s">
        <v>107</v>
      </c>
      <c r="C32" s="39" t="s">
        <v>107</v>
      </c>
      <c r="D32" s="39" t="s">
        <v>107</v>
      </c>
      <c r="E32" s="39" t="s">
        <v>107</v>
      </c>
      <c r="F32" s="39" t="s">
        <v>107</v>
      </c>
      <c r="G32" s="39" t="s">
        <v>107</v>
      </c>
      <c r="H32" s="39" t="s">
        <v>107</v>
      </c>
      <c r="I32" s="39" t="s">
        <v>107</v>
      </c>
      <c r="J32" s="39" t="s">
        <v>107</v>
      </c>
      <c r="K32" s="39" t="s">
        <v>107</v>
      </c>
    </row>
    <row r="33" spans="2:11" x14ac:dyDescent="0.3">
      <c r="B33" s="39" t="s">
        <v>107</v>
      </c>
      <c r="C33" s="39" t="s">
        <v>107</v>
      </c>
      <c r="D33" s="39" t="s">
        <v>107</v>
      </c>
      <c r="E33" s="39" t="s">
        <v>107</v>
      </c>
      <c r="F33" s="39" t="s">
        <v>107</v>
      </c>
      <c r="G33" s="39" t="s">
        <v>107</v>
      </c>
      <c r="H33" s="39" t="s">
        <v>107</v>
      </c>
      <c r="I33" s="39" t="s">
        <v>107</v>
      </c>
      <c r="J33" s="39" t="s">
        <v>107</v>
      </c>
      <c r="K33" s="39" t="s">
        <v>107</v>
      </c>
    </row>
    <row r="34" spans="2:11" x14ac:dyDescent="0.3">
      <c r="B34" s="39" t="s">
        <v>107</v>
      </c>
      <c r="C34" s="39" t="s">
        <v>107</v>
      </c>
      <c r="D34" s="39" t="s">
        <v>107</v>
      </c>
      <c r="E34" s="39" t="s">
        <v>107</v>
      </c>
      <c r="F34" s="39" t="s">
        <v>107</v>
      </c>
      <c r="G34" s="39" t="s">
        <v>107</v>
      </c>
      <c r="H34" s="39" t="s">
        <v>107</v>
      </c>
      <c r="I34" s="39" t="s">
        <v>107</v>
      </c>
      <c r="J34" s="39" t="s">
        <v>107</v>
      </c>
      <c r="K34" s="39" t="s">
        <v>107</v>
      </c>
    </row>
    <row r="35" spans="2:11" x14ac:dyDescent="0.3">
      <c r="B35" s="39" t="s">
        <v>107</v>
      </c>
      <c r="C35" s="39" t="s">
        <v>107</v>
      </c>
      <c r="D35" s="39" t="s">
        <v>107</v>
      </c>
      <c r="E35" s="39" t="s">
        <v>107</v>
      </c>
      <c r="F35" s="39" t="s">
        <v>107</v>
      </c>
      <c r="G35" s="39" t="s">
        <v>107</v>
      </c>
      <c r="H35" s="39" t="s">
        <v>107</v>
      </c>
      <c r="I35" s="39" t="s">
        <v>107</v>
      </c>
      <c r="J35" s="39" t="s">
        <v>107</v>
      </c>
      <c r="K35" s="39" t="s">
        <v>107</v>
      </c>
    </row>
    <row r="36" spans="2:11" x14ac:dyDescent="0.3">
      <c r="B36" s="39" t="s">
        <v>107</v>
      </c>
      <c r="C36" s="39" t="s">
        <v>107</v>
      </c>
      <c r="D36" s="39" t="s">
        <v>107</v>
      </c>
      <c r="E36" s="39" t="s">
        <v>107</v>
      </c>
      <c r="F36" s="39" t="s">
        <v>107</v>
      </c>
      <c r="G36" s="39" t="s">
        <v>107</v>
      </c>
      <c r="H36" s="39" t="s">
        <v>107</v>
      </c>
      <c r="I36" s="39" t="s">
        <v>107</v>
      </c>
      <c r="J36" s="39" t="s">
        <v>107</v>
      </c>
      <c r="K36" s="39" t="s">
        <v>107</v>
      </c>
    </row>
    <row r="37" spans="2:11" x14ac:dyDescent="0.3">
      <c r="B37" s="39" t="s">
        <v>107</v>
      </c>
      <c r="C37" s="39" t="s">
        <v>107</v>
      </c>
      <c r="D37" s="39" t="s">
        <v>107</v>
      </c>
      <c r="E37" s="39" t="s">
        <v>107</v>
      </c>
      <c r="F37" s="39" t="s">
        <v>107</v>
      </c>
      <c r="G37" s="39" t="s">
        <v>107</v>
      </c>
      <c r="H37" s="39" t="s">
        <v>107</v>
      </c>
      <c r="I37" s="39" t="s">
        <v>107</v>
      </c>
      <c r="J37" s="39" t="s">
        <v>107</v>
      </c>
      <c r="K37" s="39" t="s">
        <v>107</v>
      </c>
    </row>
    <row r="38" spans="2:11" x14ac:dyDescent="0.3">
      <c r="B38" s="39" t="s">
        <v>107</v>
      </c>
      <c r="C38" s="39" t="s">
        <v>107</v>
      </c>
      <c r="D38" s="39" t="s">
        <v>107</v>
      </c>
      <c r="E38" s="39" t="s">
        <v>107</v>
      </c>
      <c r="F38" s="39" t="s">
        <v>107</v>
      </c>
      <c r="G38" s="39" t="s">
        <v>107</v>
      </c>
      <c r="H38" s="39" t="s">
        <v>107</v>
      </c>
      <c r="I38" s="39" t="s">
        <v>107</v>
      </c>
      <c r="J38" s="39" t="s">
        <v>107</v>
      </c>
      <c r="K38" s="39" t="s">
        <v>107</v>
      </c>
    </row>
    <row r="39" spans="2:11" x14ac:dyDescent="0.3">
      <c r="B39" s="39" t="s">
        <v>107</v>
      </c>
      <c r="C39" s="39" t="s">
        <v>107</v>
      </c>
      <c r="D39" s="39" t="s">
        <v>107</v>
      </c>
      <c r="E39" s="39" t="s">
        <v>107</v>
      </c>
      <c r="F39" s="39" t="s">
        <v>107</v>
      </c>
      <c r="G39" s="39" t="s">
        <v>107</v>
      </c>
      <c r="H39" s="39" t="s">
        <v>107</v>
      </c>
      <c r="I39" s="39" t="s">
        <v>107</v>
      </c>
      <c r="J39" s="39" t="s">
        <v>107</v>
      </c>
      <c r="K39" s="39" t="s">
        <v>107</v>
      </c>
    </row>
    <row r="40" spans="2:11" x14ac:dyDescent="0.3">
      <c r="B40" s="39" t="s">
        <v>107</v>
      </c>
      <c r="C40" s="39" t="s">
        <v>107</v>
      </c>
      <c r="D40" s="39" t="s">
        <v>107</v>
      </c>
      <c r="E40" s="39" t="s">
        <v>107</v>
      </c>
      <c r="F40" s="39" t="s">
        <v>107</v>
      </c>
      <c r="G40" s="39" t="s">
        <v>107</v>
      </c>
      <c r="H40" s="39" t="s">
        <v>107</v>
      </c>
      <c r="I40" s="39" t="s">
        <v>107</v>
      </c>
      <c r="J40" s="39" t="s">
        <v>107</v>
      </c>
      <c r="K40" s="39" t="s">
        <v>107</v>
      </c>
    </row>
    <row r="41" spans="2:11" x14ac:dyDescent="0.3">
      <c r="B41" s="39" t="s">
        <v>107</v>
      </c>
      <c r="C41" s="39" t="s">
        <v>107</v>
      </c>
      <c r="D41" s="39" t="s">
        <v>107</v>
      </c>
      <c r="E41" s="39" t="s">
        <v>107</v>
      </c>
      <c r="F41" s="39" t="s">
        <v>107</v>
      </c>
      <c r="G41" s="39" t="s">
        <v>107</v>
      </c>
      <c r="H41" s="39" t="s">
        <v>107</v>
      </c>
      <c r="I41" s="39" t="s">
        <v>107</v>
      </c>
      <c r="J41" s="39" t="s">
        <v>107</v>
      </c>
      <c r="K41" s="39" t="s">
        <v>107</v>
      </c>
    </row>
    <row r="42" spans="2:11" x14ac:dyDescent="0.3">
      <c r="B42" s="39" t="s">
        <v>107</v>
      </c>
      <c r="C42" s="39" t="s">
        <v>107</v>
      </c>
      <c r="D42" s="39" t="s">
        <v>107</v>
      </c>
      <c r="E42" s="39" t="s">
        <v>107</v>
      </c>
      <c r="F42" s="39" t="s">
        <v>107</v>
      </c>
      <c r="G42" s="39" t="s">
        <v>107</v>
      </c>
      <c r="H42" s="39" t="s">
        <v>107</v>
      </c>
      <c r="I42" s="39" t="s">
        <v>107</v>
      </c>
      <c r="J42" s="39" t="s">
        <v>107</v>
      </c>
      <c r="K42" s="39" t="s">
        <v>107</v>
      </c>
    </row>
    <row r="43" spans="2:11" x14ac:dyDescent="0.3">
      <c r="B43" s="39" t="s">
        <v>107</v>
      </c>
      <c r="C43" s="39" t="s">
        <v>107</v>
      </c>
      <c r="D43" s="39" t="s">
        <v>107</v>
      </c>
      <c r="E43" s="39" t="s">
        <v>107</v>
      </c>
      <c r="F43" s="39" t="s">
        <v>107</v>
      </c>
      <c r="G43" s="39" t="s">
        <v>107</v>
      </c>
      <c r="H43" s="39" t="s">
        <v>107</v>
      </c>
      <c r="I43" s="39" t="s">
        <v>107</v>
      </c>
      <c r="J43" s="39" t="s">
        <v>107</v>
      </c>
      <c r="K43" s="39" t="s">
        <v>107</v>
      </c>
    </row>
    <row r="44" spans="2:11" x14ac:dyDescent="0.3">
      <c r="B44" s="39" t="s">
        <v>107</v>
      </c>
      <c r="C44" s="39" t="s">
        <v>107</v>
      </c>
      <c r="D44" s="39" t="s">
        <v>107</v>
      </c>
      <c r="E44" s="39" t="s">
        <v>107</v>
      </c>
      <c r="F44" s="39" t="s">
        <v>107</v>
      </c>
      <c r="G44" s="39" t="s">
        <v>107</v>
      </c>
      <c r="H44" s="39" t="s">
        <v>107</v>
      </c>
      <c r="I44" s="39" t="s">
        <v>107</v>
      </c>
      <c r="J44" s="39" t="s">
        <v>107</v>
      </c>
      <c r="K44" s="39" t="s">
        <v>107</v>
      </c>
    </row>
    <row r="45" spans="2:11" x14ac:dyDescent="0.3">
      <c r="B45" s="39" t="s">
        <v>107</v>
      </c>
      <c r="C45" s="39" t="s">
        <v>107</v>
      </c>
      <c r="D45" s="39" t="s">
        <v>107</v>
      </c>
      <c r="E45" s="39" t="s">
        <v>107</v>
      </c>
      <c r="F45" s="39" t="s">
        <v>107</v>
      </c>
      <c r="G45" s="39" t="s">
        <v>107</v>
      </c>
      <c r="H45" s="39" t="s">
        <v>107</v>
      </c>
      <c r="I45" s="39" t="s">
        <v>107</v>
      </c>
      <c r="J45" s="39" t="s">
        <v>107</v>
      </c>
      <c r="K45" s="39" t="s">
        <v>107</v>
      </c>
    </row>
    <row r="46" spans="2:11" x14ac:dyDescent="0.3">
      <c r="B46" s="39" t="s">
        <v>107</v>
      </c>
      <c r="C46" s="39" t="s">
        <v>107</v>
      </c>
      <c r="D46" s="39" t="s">
        <v>107</v>
      </c>
      <c r="E46" s="39" t="s">
        <v>107</v>
      </c>
      <c r="F46" s="39" t="s">
        <v>107</v>
      </c>
      <c r="G46" s="39" t="s">
        <v>107</v>
      </c>
      <c r="H46" s="39" t="s">
        <v>107</v>
      </c>
      <c r="I46" s="39" t="s">
        <v>107</v>
      </c>
      <c r="J46" s="39" t="s">
        <v>107</v>
      </c>
      <c r="K46" s="39" t="s">
        <v>107</v>
      </c>
    </row>
    <row r="50" spans="1:11" x14ac:dyDescent="0.3">
      <c r="A50" s="39" t="s">
        <v>108</v>
      </c>
      <c r="B50" s="39" t="s">
        <v>101</v>
      </c>
      <c r="C50" s="39"/>
      <c r="D50" s="39"/>
      <c r="E50" s="39"/>
      <c r="F50" s="39"/>
      <c r="G50" s="39"/>
      <c r="H50" s="39"/>
      <c r="I50" s="39"/>
      <c r="J50" s="39"/>
      <c r="K50" s="39"/>
    </row>
    <row r="52" spans="1:11" x14ac:dyDescent="0.3">
      <c r="A52" s="39"/>
      <c r="B52" s="39" t="s">
        <v>56</v>
      </c>
      <c r="C52" s="39" t="s">
        <v>57</v>
      </c>
      <c r="D52" s="39" t="s">
        <v>58</v>
      </c>
      <c r="E52" s="39" t="s">
        <v>59</v>
      </c>
      <c r="F52" s="39" t="s">
        <v>60</v>
      </c>
      <c r="G52" s="39" t="s">
        <v>61</v>
      </c>
      <c r="H52" s="39" t="s">
        <v>62</v>
      </c>
      <c r="I52" s="39" t="s">
        <v>29</v>
      </c>
      <c r="J52" s="39" t="s">
        <v>30</v>
      </c>
      <c r="K52" s="39" t="s">
        <v>31</v>
      </c>
    </row>
    <row r="53" spans="1:11" x14ac:dyDescent="0.3">
      <c r="A53" s="39"/>
      <c r="B53" s="39" t="s">
        <v>75</v>
      </c>
      <c r="C53" s="39" t="s">
        <v>109</v>
      </c>
      <c r="D53" s="39" t="s">
        <v>110</v>
      </c>
      <c r="E53" s="39" t="s">
        <v>111</v>
      </c>
      <c r="F53" s="39" t="s">
        <v>112</v>
      </c>
      <c r="G53" s="39" t="s">
        <v>113</v>
      </c>
      <c r="H53" s="39" t="s">
        <v>76</v>
      </c>
      <c r="I53" s="39" t="s">
        <v>77</v>
      </c>
      <c r="J53" s="39" t="s">
        <v>78</v>
      </c>
      <c r="K53" s="39" t="s">
        <v>79</v>
      </c>
    </row>
    <row r="54" spans="1:11" x14ac:dyDescent="0.3">
      <c r="A54" s="39"/>
      <c r="B54" s="39" t="s">
        <v>80</v>
      </c>
      <c r="C54" s="39" t="s">
        <v>109</v>
      </c>
      <c r="D54" s="39" t="s">
        <v>110</v>
      </c>
      <c r="E54" s="39" t="s">
        <v>111</v>
      </c>
      <c r="F54" s="39" t="s">
        <v>114</v>
      </c>
      <c r="G54" s="39" t="s">
        <v>113</v>
      </c>
      <c r="H54" s="39" t="s">
        <v>76</v>
      </c>
      <c r="I54" s="39" t="s">
        <v>77</v>
      </c>
      <c r="J54" s="39" t="s">
        <v>81</v>
      </c>
      <c r="K54" s="39" t="s">
        <v>82</v>
      </c>
    </row>
    <row r="55" spans="1:11" x14ac:dyDescent="0.3">
      <c r="A55" s="39"/>
      <c r="B55" s="39" t="s">
        <v>83</v>
      </c>
      <c r="C55" s="39" t="s">
        <v>115</v>
      </c>
      <c r="D55" s="39" t="s">
        <v>110</v>
      </c>
      <c r="E55" s="39" t="s">
        <v>116</v>
      </c>
      <c r="F55" s="39" t="s">
        <v>117</v>
      </c>
      <c r="G55" s="39" t="s">
        <v>118</v>
      </c>
      <c r="H55" s="39" t="s">
        <v>84</v>
      </c>
      <c r="I55" s="39" t="s">
        <v>77</v>
      </c>
      <c r="J55" s="39" t="s">
        <v>81</v>
      </c>
      <c r="K55" s="39" t="s">
        <v>79</v>
      </c>
    </row>
    <row r="56" spans="1:11" x14ac:dyDescent="0.3">
      <c r="A56" s="39"/>
      <c r="B56" s="39" t="s">
        <v>85</v>
      </c>
      <c r="C56" s="39" t="s">
        <v>119</v>
      </c>
      <c r="D56" s="39" t="s">
        <v>110</v>
      </c>
      <c r="E56" s="39" t="s">
        <v>116</v>
      </c>
      <c r="F56" s="39" t="s">
        <v>120</v>
      </c>
      <c r="G56" s="39" t="s">
        <v>121</v>
      </c>
      <c r="H56" s="39" t="s">
        <v>84</v>
      </c>
      <c r="I56" s="39" t="s">
        <v>77</v>
      </c>
      <c r="J56" s="39" t="s">
        <v>81</v>
      </c>
      <c r="K56" s="39" t="s">
        <v>79</v>
      </c>
    </row>
    <row r="57" spans="1:11" x14ac:dyDescent="0.3">
      <c r="A57" s="39"/>
      <c r="B57" s="39" t="s">
        <v>86</v>
      </c>
      <c r="C57" s="39" t="s">
        <v>122</v>
      </c>
      <c r="D57" s="39" t="s">
        <v>110</v>
      </c>
      <c r="E57" s="39" t="s">
        <v>116</v>
      </c>
      <c r="F57" s="39" t="s">
        <v>123</v>
      </c>
      <c r="G57" s="39" t="s">
        <v>124</v>
      </c>
      <c r="H57" s="39" t="s">
        <v>84</v>
      </c>
      <c r="I57" s="39" t="s">
        <v>77</v>
      </c>
      <c r="J57" s="39" t="s">
        <v>81</v>
      </c>
      <c r="K57" s="39" t="s">
        <v>79</v>
      </c>
    </row>
    <row r="58" spans="1:11" x14ac:dyDescent="0.3">
      <c r="A58" s="39"/>
      <c r="B58" s="39" t="s">
        <v>87</v>
      </c>
      <c r="C58" s="39" t="s">
        <v>125</v>
      </c>
      <c r="D58" s="39" t="s">
        <v>110</v>
      </c>
      <c r="E58" s="39" t="s">
        <v>116</v>
      </c>
      <c r="F58" s="39" t="s">
        <v>126</v>
      </c>
      <c r="G58" s="39" t="s">
        <v>127</v>
      </c>
      <c r="H58" s="39" t="s">
        <v>88</v>
      </c>
      <c r="I58" s="39" t="s">
        <v>77</v>
      </c>
      <c r="J58" s="39" t="s">
        <v>81</v>
      </c>
      <c r="K58" s="39" t="s">
        <v>79</v>
      </c>
    </row>
    <row r="59" spans="1:11" x14ac:dyDescent="0.3">
      <c r="A59" s="39"/>
      <c r="B59" s="39" t="s">
        <v>89</v>
      </c>
      <c r="C59" s="39" t="s">
        <v>109</v>
      </c>
      <c r="D59" s="39" t="s">
        <v>110</v>
      </c>
      <c r="E59" s="39" t="s">
        <v>116</v>
      </c>
      <c r="F59" s="39" t="s">
        <v>128</v>
      </c>
      <c r="G59" s="39" t="s">
        <v>129</v>
      </c>
      <c r="H59" s="39" t="s">
        <v>76</v>
      </c>
      <c r="I59" s="39" t="s">
        <v>77</v>
      </c>
      <c r="J59" s="39" t="s">
        <v>81</v>
      </c>
      <c r="K59" s="39" t="s">
        <v>79</v>
      </c>
    </row>
    <row r="60" spans="1:11" x14ac:dyDescent="0.3">
      <c r="A60" s="39"/>
      <c r="B60" s="39" t="s">
        <v>90</v>
      </c>
      <c r="C60" s="39" t="s">
        <v>125</v>
      </c>
      <c r="D60" s="39" t="s">
        <v>130</v>
      </c>
      <c r="E60" s="39" t="s">
        <v>131</v>
      </c>
      <c r="F60" s="39" t="s">
        <v>132</v>
      </c>
      <c r="G60" s="39" t="s">
        <v>133</v>
      </c>
      <c r="H60" s="39" t="s">
        <v>88</v>
      </c>
      <c r="I60" s="39" t="s">
        <v>77</v>
      </c>
      <c r="J60" s="39" t="s">
        <v>81</v>
      </c>
      <c r="K60" s="39" t="s">
        <v>79</v>
      </c>
    </row>
    <row r="61" spans="1:11" x14ac:dyDescent="0.3">
      <c r="A61" s="39"/>
      <c r="B61" s="39" t="s">
        <v>91</v>
      </c>
      <c r="C61" s="39" t="s">
        <v>122</v>
      </c>
      <c r="D61" s="39" t="s">
        <v>130</v>
      </c>
      <c r="E61" s="39" t="s">
        <v>131</v>
      </c>
      <c r="F61" s="39" t="s">
        <v>134</v>
      </c>
      <c r="G61" s="39" t="s">
        <v>135</v>
      </c>
      <c r="H61" s="39" t="s">
        <v>84</v>
      </c>
      <c r="I61" s="39" t="s">
        <v>77</v>
      </c>
      <c r="J61" s="39" t="s">
        <v>81</v>
      </c>
      <c r="K61" s="39" t="s">
        <v>79</v>
      </c>
    </row>
    <row r="62" spans="1:11" x14ac:dyDescent="0.3">
      <c r="A62" s="39"/>
      <c r="B62" s="39" t="s">
        <v>92</v>
      </c>
      <c r="C62" s="39" t="s">
        <v>125</v>
      </c>
      <c r="D62" s="39" t="s">
        <v>130</v>
      </c>
      <c r="E62" s="39" t="s">
        <v>131</v>
      </c>
      <c r="F62" s="39" t="s">
        <v>136</v>
      </c>
      <c r="G62" s="39" t="s">
        <v>133</v>
      </c>
      <c r="H62" s="39" t="s">
        <v>88</v>
      </c>
      <c r="I62" s="39" t="s">
        <v>77</v>
      </c>
      <c r="J62" s="39" t="s">
        <v>81</v>
      </c>
      <c r="K62" s="39" t="s">
        <v>79</v>
      </c>
    </row>
    <row r="63" spans="1:11" x14ac:dyDescent="0.3">
      <c r="A63" s="39"/>
      <c r="B63" s="39" t="s">
        <v>137</v>
      </c>
      <c r="C63" s="39" t="s">
        <v>137</v>
      </c>
      <c r="D63" s="39" t="s">
        <v>137</v>
      </c>
      <c r="E63" s="39" t="s">
        <v>137</v>
      </c>
      <c r="F63" s="39" t="s">
        <v>137</v>
      </c>
      <c r="G63" s="39" t="s">
        <v>137</v>
      </c>
      <c r="H63" s="39" t="s">
        <v>137</v>
      </c>
      <c r="I63" s="39" t="s">
        <v>137</v>
      </c>
      <c r="J63" s="39" t="s">
        <v>137</v>
      </c>
      <c r="K63" s="39" t="s">
        <v>137</v>
      </c>
    </row>
    <row r="64" spans="1:11" x14ac:dyDescent="0.3">
      <c r="A64" s="39"/>
      <c r="B64" s="39" t="s">
        <v>137</v>
      </c>
      <c r="C64" s="39" t="s">
        <v>137</v>
      </c>
      <c r="D64" s="39" t="s">
        <v>137</v>
      </c>
      <c r="E64" s="39" t="s">
        <v>137</v>
      </c>
      <c r="F64" s="39" t="s">
        <v>137</v>
      </c>
      <c r="G64" s="39" t="s">
        <v>137</v>
      </c>
      <c r="H64" s="39" t="s">
        <v>137</v>
      </c>
      <c r="I64" s="39" t="s">
        <v>137</v>
      </c>
      <c r="J64" s="39" t="s">
        <v>137</v>
      </c>
      <c r="K64" s="39" t="s">
        <v>137</v>
      </c>
    </row>
    <row r="65" spans="2:11" x14ac:dyDescent="0.3">
      <c r="B65" s="39" t="s">
        <v>137</v>
      </c>
      <c r="C65" s="39" t="s">
        <v>137</v>
      </c>
      <c r="D65" s="39" t="s">
        <v>137</v>
      </c>
      <c r="E65" s="39" t="s">
        <v>137</v>
      </c>
      <c r="F65" s="39" t="s">
        <v>137</v>
      </c>
      <c r="G65" s="39" t="s">
        <v>137</v>
      </c>
      <c r="H65" s="39" t="s">
        <v>137</v>
      </c>
      <c r="I65" s="39" t="s">
        <v>137</v>
      </c>
      <c r="J65" s="39" t="s">
        <v>137</v>
      </c>
      <c r="K65" s="39" t="s">
        <v>137</v>
      </c>
    </row>
    <row r="66" spans="2:11" x14ac:dyDescent="0.3">
      <c r="B66" s="39" t="s">
        <v>137</v>
      </c>
      <c r="C66" s="39" t="s">
        <v>137</v>
      </c>
      <c r="D66" s="39" t="s">
        <v>137</v>
      </c>
      <c r="E66" s="39" t="s">
        <v>137</v>
      </c>
      <c r="F66" s="39" t="s">
        <v>137</v>
      </c>
      <c r="G66" s="39" t="s">
        <v>137</v>
      </c>
      <c r="H66" s="39" t="s">
        <v>137</v>
      </c>
      <c r="I66" s="39" t="s">
        <v>137</v>
      </c>
      <c r="J66" s="39" t="s">
        <v>137</v>
      </c>
      <c r="K66" s="39" t="s">
        <v>137</v>
      </c>
    </row>
    <row r="67" spans="2:11" x14ac:dyDescent="0.3">
      <c r="B67" s="39" t="s">
        <v>137</v>
      </c>
      <c r="C67" s="39" t="s">
        <v>137</v>
      </c>
      <c r="D67" s="39" t="s">
        <v>137</v>
      </c>
      <c r="E67" s="39" t="s">
        <v>137</v>
      </c>
      <c r="F67" s="39" t="s">
        <v>137</v>
      </c>
      <c r="G67" s="39" t="s">
        <v>137</v>
      </c>
      <c r="H67" s="39" t="s">
        <v>137</v>
      </c>
      <c r="I67" s="39" t="s">
        <v>137</v>
      </c>
      <c r="J67" s="39" t="s">
        <v>137</v>
      </c>
      <c r="K67" s="39" t="s">
        <v>137</v>
      </c>
    </row>
    <row r="68" spans="2:11" x14ac:dyDescent="0.3">
      <c r="B68" s="39" t="s">
        <v>137</v>
      </c>
      <c r="C68" s="39" t="s">
        <v>137</v>
      </c>
      <c r="D68" s="39" t="s">
        <v>137</v>
      </c>
      <c r="E68" s="39" t="s">
        <v>137</v>
      </c>
      <c r="F68" s="39" t="s">
        <v>137</v>
      </c>
      <c r="G68" s="39" t="s">
        <v>137</v>
      </c>
      <c r="H68" s="39" t="s">
        <v>137</v>
      </c>
      <c r="I68" s="39" t="s">
        <v>137</v>
      </c>
      <c r="J68" s="39" t="s">
        <v>137</v>
      </c>
      <c r="K68" s="39" t="s">
        <v>137</v>
      </c>
    </row>
    <row r="69" spans="2:11" x14ac:dyDescent="0.3">
      <c r="B69" s="39" t="s">
        <v>137</v>
      </c>
      <c r="C69" s="39" t="s">
        <v>137</v>
      </c>
      <c r="D69" s="39" t="s">
        <v>137</v>
      </c>
      <c r="E69" s="39" t="s">
        <v>137</v>
      </c>
      <c r="F69" s="39" t="s">
        <v>137</v>
      </c>
      <c r="G69" s="39" t="s">
        <v>137</v>
      </c>
      <c r="H69" s="39" t="s">
        <v>137</v>
      </c>
      <c r="I69" s="39" t="s">
        <v>137</v>
      </c>
      <c r="J69" s="39" t="s">
        <v>137</v>
      </c>
      <c r="K69" s="39" t="s">
        <v>137</v>
      </c>
    </row>
    <row r="70" spans="2:11" x14ac:dyDescent="0.3">
      <c r="B70" s="39" t="s">
        <v>137</v>
      </c>
      <c r="C70" s="39" t="s">
        <v>137</v>
      </c>
      <c r="D70" s="39" t="s">
        <v>137</v>
      </c>
      <c r="E70" s="39" t="s">
        <v>137</v>
      </c>
      <c r="F70" s="39" t="s">
        <v>137</v>
      </c>
      <c r="G70" s="39" t="s">
        <v>137</v>
      </c>
      <c r="H70" s="39" t="s">
        <v>137</v>
      </c>
      <c r="I70" s="39" t="s">
        <v>137</v>
      </c>
      <c r="J70" s="39" t="s">
        <v>137</v>
      </c>
      <c r="K70" s="39" t="s">
        <v>137</v>
      </c>
    </row>
    <row r="71" spans="2:11" x14ac:dyDescent="0.3">
      <c r="B71" s="39" t="s">
        <v>137</v>
      </c>
      <c r="C71" s="39" t="s">
        <v>137</v>
      </c>
      <c r="D71" s="39" t="s">
        <v>137</v>
      </c>
      <c r="E71" s="39" t="s">
        <v>137</v>
      </c>
      <c r="F71" s="39" t="s">
        <v>137</v>
      </c>
      <c r="G71" s="39" t="s">
        <v>137</v>
      </c>
      <c r="H71" s="39" t="s">
        <v>137</v>
      </c>
      <c r="I71" s="39" t="s">
        <v>137</v>
      </c>
      <c r="J71" s="39" t="s">
        <v>137</v>
      </c>
      <c r="K71" s="39" t="s">
        <v>137</v>
      </c>
    </row>
    <row r="72" spans="2:11" x14ac:dyDescent="0.3">
      <c r="B72" s="39" t="s">
        <v>137</v>
      </c>
      <c r="C72" s="39" t="s">
        <v>137</v>
      </c>
      <c r="D72" s="39" t="s">
        <v>137</v>
      </c>
      <c r="E72" s="39" t="s">
        <v>137</v>
      </c>
      <c r="F72" s="39" t="s">
        <v>137</v>
      </c>
      <c r="G72" s="39" t="s">
        <v>137</v>
      </c>
      <c r="H72" s="39" t="s">
        <v>137</v>
      </c>
      <c r="I72" s="39" t="s">
        <v>137</v>
      </c>
      <c r="J72" s="39" t="s">
        <v>137</v>
      </c>
      <c r="K72" s="39" t="s">
        <v>137</v>
      </c>
    </row>
    <row r="75" spans="2:11" x14ac:dyDescent="0.3">
      <c r="B75" s="40" t="s">
        <v>138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8"/>
  <sheetViews>
    <sheetView tabSelected="1" topLeftCell="A13" workbookViewId="0">
      <selection activeCell="C31" sqref="C31"/>
    </sheetView>
  </sheetViews>
  <sheetFormatPr baseColWidth="10" defaultRowHeight="14.4" x14ac:dyDescent="0.3"/>
  <cols>
    <col min="1" max="1" width="17.88671875" customWidth="1"/>
    <col min="2" max="2" width="15" customWidth="1"/>
  </cols>
  <sheetData>
    <row r="5" spans="1:8" x14ac:dyDescent="0.3">
      <c r="A5" s="43" t="s">
        <v>0</v>
      </c>
      <c r="B5" s="44"/>
      <c r="C5" s="40"/>
      <c r="D5" s="40"/>
      <c r="E5" s="40"/>
      <c r="F5" s="40"/>
      <c r="G5" s="40"/>
      <c r="H5" s="40"/>
    </row>
    <row r="6" spans="1:8" x14ac:dyDescent="0.3">
      <c r="A6" s="40"/>
      <c r="B6" s="42"/>
      <c r="C6" s="40"/>
      <c r="D6" s="40"/>
      <c r="E6" s="40"/>
      <c r="F6" s="40"/>
      <c r="G6" s="40"/>
      <c r="H6" s="40"/>
    </row>
    <row r="7" spans="1:8" x14ac:dyDescent="0.3">
      <c r="A7" s="40"/>
      <c r="B7" s="44" t="s">
        <v>1</v>
      </c>
      <c r="C7" s="40"/>
      <c r="D7" s="40"/>
      <c r="E7" s="43" t="s">
        <v>2</v>
      </c>
      <c r="F7" s="40"/>
      <c r="G7" s="40"/>
      <c r="H7" s="40"/>
    </row>
    <row r="8" spans="1:8" x14ac:dyDescent="0.3">
      <c r="A8" s="40"/>
      <c r="B8" s="42"/>
      <c r="C8" s="40"/>
      <c r="D8" s="40"/>
      <c r="E8" s="40"/>
      <c r="F8" s="40"/>
      <c r="G8" s="40"/>
      <c r="H8" s="40"/>
    </row>
    <row r="9" spans="1:8" x14ac:dyDescent="0.3">
      <c r="A9" s="40"/>
      <c r="B9" s="44" t="s">
        <v>4</v>
      </c>
      <c r="C9" s="40"/>
      <c r="D9" s="40"/>
      <c r="E9" s="41" t="s">
        <v>6</v>
      </c>
      <c r="F9" s="40"/>
      <c r="G9" s="40"/>
      <c r="H9" s="40"/>
    </row>
    <row r="10" spans="1:8" x14ac:dyDescent="0.3">
      <c r="A10" s="40"/>
      <c r="B10" s="42" t="s">
        <v>3</v>
      </c>
      <c r="C10" s="40" t="b">
        <v>1</v>
      </c>
      <c r="D10" s="40"/>
      <c r="E10" s="40" t="s">
        <v>7</v>
      </c>
      <c r="F10" s="40" t="s">
        <v>8</v>
      </c>
      <c r="G10" s="40"/>
      <c r="H10" s="40"/>
    </row>
    <row r="11" spans="1:8" x14ac:dyDescent="0.3">
      <c r="A11" s="40"/>
      <c r="B11" s="42"/>
      <c r="C11" s="40"/>
      <c r="D11" s="40"/>
      <c r="E11" s="40" t="s">
        <v>9</v>
      </c>
      <c r="F11" s="40" t="b">
        <v>1</v>
      </c>
      <c r="G11" s="40"/>
      <c r="H11" s="40"/>
    </row>
    <row r="12" spans="1:8" x14ac:dyDescent="0.3">
      <c r="A12" s="40"/>
      <c r="B12" s="44" t="s">
        <v>5</v>
      </c>
      <c r="C12" s="40"/>
      <c r="D12" s="40"/>
      <c r="E12" s="40"/>
      <c r="F12" s="40"/>
      <c r="G12" s="40"/>
      <c r="H12" s="40"/>
    </row>
    <row r="13" spans="1:8" x14ac:dyDescent="0.3">
      <c r="A13" s="40"/>
      <c r="B13" s="42" t="b">
        <v>1</v>
      </c>
      <c r="C13" s="40"/>
      <c r="D13" s="40"/>
      <c r="E13" s="40"/>
      <c r="F13" s="40"/>
      <c r="G13" s="40"/>
      <c r="H13" s="40"/>
    </row>
    <row r="14" spans="1:8" x14ac:dyDescent="0.3">
      <c r="A14" s="40"/>
      <c r="B14" s="42"/>
      <c r="C14" s="40"/>
      <c r="D14" s="40"/>
      <c r="E14" s="45" t="s">
        <v>93</v>
      </c>
      <c r="F14" s="40" t="s">
        <v>94</v>
      </c>
      <c r="G14" s="40"/>
      <c r="H14" s="40"/>
    </row>
    <row r="15" spans="1:8" x14ac:dyDescent="0.3">
      <c r="A15" s="40"/>
      <c r="B15" s="42"/>
      <c r="C15" s="40"/>
      <c r="D15" s="40"/>
      <c r="E15" s="40" t="s">
        <v>97</v>
      </c>
      <c r="F15" s="40" t="s">
        <v>94</v>
      </c>
      <c r="G15" s="40"/>
      <c r="H15" s="40"/>
    </row>
    <row r="16" spans="1:8" x14ac:dyDescent="0.3">
      <c r="A16" s="40"/>
      <c r="B16" s="42"/>
      <c r="C16" s="40"/>
      <c r="D16" s="40"/>
      <c r="E16" s="45" t="s">
        <v>25</v>
      </c>
      <c r="F16" s="40"/>
      <c r="G16" s="45" t="s">
        <v>45</v>
      </c>
      <c r="H16" s="40"/>
    </row>
    <row r="17" spans="1:8" x14ac:dyDescent="0.3">
      <c r="A17" s="40"/>
      <c r="B17" s="42"/>
      <c r="C17" s="40"/>
      <c r="D17" s="40"/>
      <c r="E17" s="46" t="s">
        <v>98</v>
      </c>
      <c r="F17" s="40"/>
      <c r="G17" s="40" t="b">
        <v>1</v>
      </c>
      <c r="H17" s="40"/>
    </row>
    <row r="21" spans="1:8" x14ac:dyDescent="0.3">
      <c r="A21" s="27" t="s">
        <v>145</v>
      </c>
      <c r="B21" s="27" t="s">
        <v>144</v>
      </c>
    </row>
    <row r="23" spans="1:8" x14ac:dyDescent="0.3">
      <c r="B23" s="41" t="s">
        <v>146</v>
      </c>
      <c r="C23" t="s">
        <v>138</v>
      </c>
    </row>
    <row r="24" spans="1:8" x14ac:dyDescent="0.3">
      <c r="C24" t="s">
        <v>139</v>
      </c>
    </row>
    <row r="25" spans="1:8" x14ac:dyDescent="0.3">
      <c r="C25" t="s">
        <v>140</v>
      </c>
    </row>
    <row r="26" spans="1:8" x14ac:dyDescent="0.3">
      <c r="C26" t="s">
        <v>141</v>
      </c>
    </row>
    <row r="27" spans="1:8" x14ac:dyDescent="0.3">
      <c r="C27" t="s">
        <v>142</v>
      </c>
    </row>
    <row r="28" spans="1:8" x14ac:dyDescent="0.3">
      <c r="C28" t="s">
        <v>143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BeanLoad</vt:lpstr>
      <vt:lpstr>Ref-BM-Trades-Portfolio</vt:lpstr>
      <vt:lpstr>Flt-Portfolio</vt:lpstr>
      <vt:lpstr>BMTrades</vt:lpstr>
      <vt:lpstr>ExtObba_POI</vt:lpstr>
      <vt:lpstr>Tabelle1</vt:lpstr>
    </vt:vector>
  </TitlesOfParts>
  <Company>Deutsche - Finanzagentur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Neeraj Kumar</dc:creator>
  <cp:lastModifiedBy>Singh, Neeraj Kumar</cp:lastModifiedBy>
  <dcterms:created xsi:type="dcterms:W3CDTF">2015-05-07T10:10:12Z</dcterms:created>
  <dcterms:modified xsi:type="dcterms:W3CDTF">2016-04-01T14:40:46Z</dcterms:modified>
</cp:coreProperties>
</file>