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35159513\CWD-Respaldo\erick\PRODUCTO\2021\Ingresos\Simulador sucursales\"/>
    </mc:Choice>
  </mc:AlternateContent>
  <bookViews>
    <workbookView xWindow="0" yWindow="0" windowWidth="2280" windowHeight="210" tabRatio="601"/>
  </bookViews>
  <sheets>
    <sheet name="SECURED" sheetId="1" r:id="rId1"/>
    <sheet name="FOLIOS" sheetId="6" state="veryHidden" r:id="rId2"/>
    <sheet name="DATOS" sheetId="2" state="veryHidden" r:id="rId3"/>
    <sheet name="PDF" sheetId="3" state="veryHidden" r:id="rId4"/>
    <sheet name="Criterios de Evaluación" sheetId="7" state="veryHidden" r:id="rId5"/>
    <sheet name="UPDATE" sheetId="5" state="veryHidden" r:id="rId6"/>
    <sheet name="CPDOB" sheetId="4" state="veryHidden" r:id="rId7"/>
  </sheets>
  <definedNames>
    <definedName name="_xlnm._FilterDatabase" localSheetId="2" hidden="1">DATOS!$A$835:$A$1243</definedName>
    <definedName name="_xlnm._FilterDatabase" localSheetId="1" hidden="1">FOLIOS!$A$3:$B$3</definedName>
    <definedName name="_xlnm._FilterDatabase" localSheetId="0" hidden="1">SECURED!#REF!</definedName>
    <definedName name="ACT_HIPO_AUTO_Efectivo">DATOS!$A$60:$A$65</definedName>
    <definedName name="ACT_HIPOTECARIO_Declaracion">DATOS!$A$16:$A$17</definedName>
    <definedName name="ACT_HIPOTECARIO_Efectivo">DATOS!$B$60:$B$67</definedName>
    <definedName name="Actividad">DATOS!$AR$763:$AR$767</definedName>
    <definedName name="_xlnm.Print_Area" localSheetId="6">CPDOB!$B$1:$W$49</definedName>
    <definedName name="BONOS_REC_NOMINA">DATOS!$AG$412:$AG$414</definedName>
    <definedName name="BT_AUTO">DATOS!$CH$632:$CH$633</definedName>
    <definedName name="CLIENTE">DATOS!$R$1:$R$3</definedName>
    <definedName name="COMBINACION">DATOS!$BW$3:$BX$72</definedName>
    <definedName name="COMPROBANTE_ING">DATOS!$T$1:$T$9</definedName>
    <definedName name="Dias_MES">DATOS!$G$1:$G$31</definedName>
    <definedName name="DOMICILIO">DATOS!$J$1:$J$6</definedName>
    <definedName name="DTI">DATOS!$AG$731:$AG$734</definedName>
    <definedName name="ECO_USA_HIPOTECARIO">DATOS!$A$28:$A$29</definedName>
    <definedName name="Economia_Americana">DATOS!$A$14:$A$17</definedName>
    <definedName name="EDO_BCSS">DATOS!$AR$769:$AR$787</definedName>
    <definedName name="ESQUEMA">DATOS!$W$1:$W$2</definedName>
    <definedName name="ESTADO">DATOS!$AU$760:$AV$1104</definedName>
    <definedName name="Estados">DATOS!$AI$771:$AI$774</definedName>
    <definedName name="factor">DATOS!$Z$19</definedName>
    <definedName name="factor_final">DATOS!$AA$43</definedName>
    <definedName name="FACULTADO">DATOS!$O$1:$O$5</definedName>
    <definedName name="FECHAS">DATOS!$A$100:$A$120</definedName>
    <definedName name="FPT">DATOS!$AF$908:$AF$915</definedName>
    <definedName name="GRUPO_COBRANZA">DATOS!$AC$773:$AC$774</definedName>
    <definedName name="IDENTIFICACION">DATOS!$I$1:$I$3</definedName>
    <definedName name="INGRESOS">DATOS!$K$1:$K$12</definedName>
    <definedName name="LTV">DATOS!$AA$775:$AA$785</definedName>
    <definedName name="LTV_2">DATOS!$AC$761:$AC$765</definedName>
    <definedName name="LTV_3">DATOS!$Z$775</definedName>
    <definedName name="Nivel_Riesgo">DATOS!$C$103:$C$108</definedName>
    <definedName name="Nivel_Riesgo_BT_AUTO">DATOS!$CG$632:$CG$635</definedName>
    <definedName name="PERIODICIDAD">DATOS!$X$1:$X$6</definedName>
    <definedName name="PERSONA">DATOS!$S$1:$S$4</definedName>
    <definedName name="PLAZO_BT_AUTO">DATOS!$CF$632:$CF$637</definedName>
    <definedName name="PLAZO_COMENTARIOS">DATOS!$V$1:$V$4</definedName>
    <definedName name="PM_HIPOTECARIO">DATOS!$A$24:$A$25</definedName>
    <definedName name="PRODUCTO">DATOS!$P$1:$P$2</definedName>
    <definedName name="RIF_HIPOTECARIO">DATOS!$A$20:$A$21</definedName>
    <definedName name="SEGURO">DATOS!$CH$648:$CH$649</definedName>
    <definedName name="STAUTS">DATOS!$H$1:$H$4</definedName>
    <definedName name="SUBPRODUCTO">DATOS!$Q$1:$Q$11</definedName>
    <definedName name="TIPO_CLIENTE">DATOS!$U$1:$U$2</definedName>
    <definedName name="TIPO_CLIENTE2">DATOS!$AA$785:$AA$786</definedName>
    <definedName name="TIPO_CLIENTE3">DATOS!$AL$618:$AL$619</definedName>
    <definedName name="TIPO_DE_EXCEPCION">DATOS!$N$1:$N$21</definedName>
    <definedName name="TIPO_REVISION">DATOS!$M$1:$M$3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401" i="2" l="1"/>
  <c r="AB401" i="2" l="1"/>
  <c r="AK772" i="2" l="1"/>
  <c r="DB213" i="2" l="1"/>
  <c r="CB213" i="2"/>
  <c r="BB213" i="2"/>
  <c r="C797" i="2" l="1"/>
  <c r="C790" i="2"/>
  <c r="C804" i="2"/>
  <c r="D794" i="2"/>
  <c r="D793" i="2"/>
  <c r="D792" i="2"/>
  <c r="D791" i="2"/>
  <c r="D790" i="2"/>
  <c r="C792" i="2"/>
  <c r="C791" i="2"/>
  <c r="AE17" i="2" l="1"/>
  <c r="AE16" i="2"/>
  <c r="BE17" i="2"/>
  <c r="BE16" i="2"/>
  <c r="BE583" i="2"/>
  <c r="BB167" i="2"/>
  <c r="BB147" i="2"/>
  <c r="BB127" i="2"/>
  <c r="AB127" i="2"/>
  <c r="AB147" i="2"/>
  <c r="AB167" i="2"/>
  <c r="AB213" i="2"/>
  <c r="AE583" i="2"/>
  <c r="AG950" i="2" l="1"/>
  <c r="CD15" i="2" l="1"/>
  <c r="AB964" i="2" l="1"/>
  <c r="AB938" i="2"/>
  <c r="AE951" i="2" l="1"/>
  <c r="AE950" i="2"/>
  <c r="AC953" i="2"/>
  <c r="AB953" i="2"/>
  <c r="AG953" i="2" s="1"/>
  <c r="AW759" i="2"/>
  <c r="AG928" i="2"/>
  <c r="AD951" i="2"/>
  <c r="AG952" i="2"/>
  <c r="AD949" i="2"/>
  <c r="AB949" i="2" s="1"/>
  <c r="AG925" i="2"/>
  <c r="AG927" i="2" s="1"/>
  <c r="AC951" i="2" l="1"/>
  <c r="AG954" i="2"/>
  <c r="AE949" i="2"/>
  <c r="AC949" i="2" s="1"/>
  <c r="AG929" i="2"/>
  <c r="AF951" i="2" l="1"/>
  <c r="AI731" i="2" l="1"/>
  <c r="AI735" i="2"/>
  <c r="AI734" i="2"/>
  <c r="AI732" i="2"/>
  <c r="AD733" i="2"/>
  <c r="AI736" i="2" l="1"/>
  <c r="AI737" i="2"/>
  <c r="AB741" i="2"/>
  <c r="AI733" i="2"/>
  <c r="AB733" i="2" l="1"/>
  <c r="AB1010" i="2" l="1"/>
  <c r="AN763" i="2" l="1"/>
  <c r="AO763" i="2" s="1"/>
  <c r="E785" i="2" l="1"/>
  <c r="E784" i="2"/>
  <c r="D785" i="2"/>
  <c r="AE764" i="2"/>
  <c r="AC765" i="2"/>
  <c r="AC764" i="2"/>
  <c r="AC763" i="2"/>
  <c r="AC762" i="2"/>
  <c r="AC761" i="2"/>
  <c r="BG1015" i="2" l="1"/>
  <c r="C799" i="2"/>
  <c r="C785" i="2" s="1"/>
  <c r="BG1011" i="2" l="1"/>
  <c r="BG1014" i="2"/>
  <c r="AG1008" i="2"/>
  <c r="BG1010" i="2"/>
  <c r="AB768" i="2"/>
  <c r="AG1009" i="2"/>
  <c r="AK771" i="2"/>
  <c r="AE930" i="2" l="1"/>
  <c r="AB930" i="2" s="1"/>
  <c r="AE766" i="2"/>
  <c r="AE955" i="2"/>
  <c r="BC1013" i="2"/>
  <c r="AG934" i="2" l="1"/>
  <c r="AB955" i="2"/>
  <c r="AB956" i="2"/>
  <c r="AB965" i="2" s="1"/>
  <c r="AG956" i="2"/>
  <c r="AG957" i="2" s="1"/>
  <c r="AG959" i="2"/>
  <c r="AG931" i="2"/>
  <c r="AG932" i="2" s="1"/>
  <c r="AB931" i="2"/>
  <c r="BB1002" i="2"/>
  <c r="BB1015" i="2" s="1"/>
  <c r="BB1007" i="2"/>
  <c r="BC1007" i="2" s="1"/>
  <c r="BB1009" i="2" s="1"/>
  <c r="BB1011" i="2" s="1"/>
  <c r="AG960" i="2" l="1"/>
  <c r="AG961" i="2" s="1"/>
  <c r="BD1016" i="2"/>
  <c r="BE1016" i="2" s="1"/>
  <c r="BB1012" i="2"/>
  <c r="BD1013" i="2" s="1"/>
  <c r="BE1013" i="2" s="1"/>
  <c r="BE1007" i="2"/>
  <c r="BB1016" i="2" l="1"/>
  <c r="BB1013" i="2"/>
  <c r="AE765" i="2" l="1"/>
  <c r="Z765" i="2"/>
  <c r="AA765" i="2" s="1"/>
  <c r="AC768" i="2"/>
  <c r="AB770" i="2"/>
  <c r="AI770" i="2"/>
  <c r="AI769" i="2"/>
  <c r="AI768" i="2"/>
  <c r="AI767" i="2"/>
  <c r="AI766" i="2"/>
  <c r="AI765" i="2"/>
  <c r="AI762" i="2"/>
  <c r="E782" i="2"/>
  <c r="D782" i="2"/>
  <c r="AI764" i="2"/>
  <c r="AI763" i="2"/>
  <c r="AO771" i="2" l="1"/>
  <c r="C782" i="2"/>
  <c r="AE761" i="2" s="1"/>
  <c r="A780" i="2" l="1"/>
  <c r="AC917" i="2" l="1"/>
  <c r="AC913" i="2"/>
  <c r="AD913" i="2" s="1"/>
  <c r="AD917" i="2"/>
  <c r="AC640" i="2" l="1"/>
  <c r="AC639" i="2"/>
  <c r="AB642" i="2"/>
  <c r="AC648" i="2"/>
  <c r="AD652" i="2"/>
  <c r="AD651" i="2"/>
  <c r="AD649" i="2"/>
  <c r="AD648" i="2"/>
  <c r="AC652" i="2"/>
  <c r="AC651" i="2"/>
  <c r="AC649" i="2"/>
  <c r="AB652" i="2"/>
  <c r="AB651" i="2"/>
  <c r="AB649" i="2"/>
  <c r="AB648" i="2"/>
  <c r="AC1011" i="2"/>
  <c r="AB1005" i="2"/>
  <c r="AC1007" i="2" s="1"/>
  <c r="AE1005" i="2" l="1"/>
  <c r="AE648" i="2"/>
  <c r="AE652" i="2"/>
  <c r="AC635" i="2"/>
  <c r="AB635" i="2" s="1"/>
  <c r="AB637" i="2" s="1"/>
  <c r="AE649" i="2"/>
  <c r="AE651" i="2"/>
  <c r="AC636" i="2" s="1"/>
  <c r="AB636" i="2" s="1"/>
  <c r="AB638" i="2" s="1"/>
  <c r="AF12" i="2"/>
  <c r="AB1007" i="2"/>
  <c r="AB1009" i="2" s="1"/>
  <c r="AD1011" i="2" s="1"/>
  <c r="AE1011" i="2" s="1"/>
  <c r="AB1011" i="2" l="1"/>
  <c r="AB639" i="2"/>
  <c r="AB640" i="2" s="1"/>
  <c r="AC638" i="2" l="1"/>
  <c r="AE638" i="2" s="1"/>
  <c r="AS783" i="2"/>
  <c r="AS782" i="2"/>
  <c r="AS781" i="2"/>
  <c r="AS780" i="2"/>
  <c r="AS779" i="2"/>
  <c r="AS778" i="2"/>
  <c r="AS777" i="2"/>
  <c r="AS776" i="2"/>
  <c r="AS775" i="2"/>
  <c r="AP776" i="2"/>
  <c r="AN776" i="2" s="1"/>
  <c r="AS774" i="2"/>
  <c r="AS773" i="2"/>
  <c r="AS772" i="2"/>
  <c r="AP775" i="2" s="1"/>
  <c r="AS771" i="2"/>
  <c r="AS770" i="2"/>
  <c r="AS769" i="2"/>
  <c r="AN775" i="2" l="1"/>
  <c r="AK773" i="2" l="1"/>
  <c r="AJ772" i="2"/>
  <c r="AJ771" i="2" l="1"/>
  <c r="AJ910" i="2" l="1"/>
  <c r="AJ914" i="2" s="1"/>
  <c r="AJ915" i="2"/>
  <c r="AB918" i="2" s="1"/>
  <c r="BJ915" i="2"/>
  <c r="BB918" i="2" s="1"/>
  <c r="BJ910" i="2"/>
  <c r="BJ914" i="2" s="1"/>
  <c r="AJ410" i="2"/>
  <c r="AJ414" i="2" s="1"/>
  <c r="Z775" i="2" l="1"/>
  <c r="AI120" i="2" l="1"/>
  <c r="BH6" i="2" l="1"/>
  <c r="BH3" i="2"/>
  <c r="AB1" i="2"/>
  <c r="BC913" i="2"/>
  <c r="BD913" i="2" s="1"/>
  <c r="BD917" i="2"/>
  <c r="BC917" i="2"/>
  <c r="BA914" i="2"/>
  <c r="BA909" i="2"/>
  <c r="BB912" i="2" s="1"/>
  <c r="BA908" i="2"/>
  <c r="BA910" i="2" s="1"/>
  <c r="AB913" i="2" l="1"/>
  <c r="BC907" i="2"/>
  <c r="BD907" i="2"/>
  <c r="BC909" i="2"/>
  <c r="BD909" i="2"/>
  <c r="BB913" i="2"/>
  <c r="BB914" i="2" s="1"/>
  <c r="BB915" i="2" s="1"/>
  <c r="BB909" i="2"/>
  <c r="D808" i="2"/>
  <c r="D807" i="2"/>
  <c r="D806" i="2"/>
  <c r="D805" i="2"/>
  <c r="D804" i="2"/>
  <c r="C805" i="2"/>
  <c r="D784" i="2" l="1"/>
  <c r="BB916" i="2"/>
  <c r="BB917" i="2" s="1"/>
  <c r="C784" i="2" l="1"/>
  <c r="AB769" i="2" s="1"/>
  <c r="BE919" i="2"/>
  <c r="BB919" i="2" s="1"/>
  <c r="BB901" i="2" s="1"/>
  <c r="BH905" i="2" s="1"/>
  <c r="BH900" i="2" s="1"/>
  <c r="BH904" i="2" s="1"/>
  <c r="AB939" i="2"/>
  <c r="AD926" i="2"/>
  <c r="AC926" i="2" s="1"/>
  <c r="AD924" i="2"/>
  <c r="AB925" i="2" s="1"/>
  <c r="AB927" i="2" l="1"/>
  <c r="AB929" i="2" s="1"/>
  <c r="AB932" i="2" s="1"/>
  <c r="AC963" i="2"/>
  <c r="AG935" i="2"/>
  <c r="AF926" i="2"/>
  <c r="AE924" i="2"/>
  <c r="AB924" i="2"/>
  <c r="AB952" i="2" l="1"/>
  <c r="AC924" i="2"/>
  <c r="AC925" i="2"/>
  <c r="AB954" i="2" l="1"/>
  <c r="AB957" i="2" s="1"/>
  <c r="AC952" i="2"/>
  <c r="AC927" i="2"/>
  <c r="AC929" i="2" s="1"/>
  <c r="AA914" i="2"/>
  <c r="AB914" i="2" s="1"/>
  <c r="AA909" i="2"/>
  <c r="AB912" i="2" s="1"/>
  <c r="AA908" i="2"/>
  <c r="AD5" i="2"/>
  <c r="AC5" i="2" s="1"/>
  <c r="AG3" i="2"/>
  <c r="AE957" i="2" l="1"/>
  <c r="AD957" i="2" s="1"/>
  <c r="AF957" i="2" s="1"/>
  <c r="AC954" i="2"/>
  <c r="AB915" i="2"/>
  <c r="AB916" i="2"/>
  <c r="AC909" i="2"/>
  <c r="AD909" i="2"/>
  <c r="AD907" i="2" s="1"/>
  <c r="AC907" i="2"/>
  <c r="AB909" i="2"/>
  <c r="AA910" i="2" s="1"/>
  <c r="AR759" i="2"/>
  <c r="AS759" i="2" s="1"/>
  <c r="AP774" i="2" l="1"/>
  <c r="AN774" i="2" s="1"/>
  <c r="AB917" i="2"/>
  <c r="BA112" i="2"/>
  <c r="BA121" i="2"/>
  <c r="AE111" i="2"/>
  <c r="AE919" i="2" l="1"/>
  <c r="AB919" i="2" s="1"/>
  <c r="AB901" i="2" s="1"/>
  <c r="AH905" i="2" s="1"/>
  <c r="AH900" i="2" s="1"/>
  <c r="AJ773" i="2"/>
  <c r="AI761" i="2"/>
  <c r="AB771" i="2" s="1"/>
  <c r="AE762" i="2" s="1"/>
  <c r="AE763" i="2" s="1"/>
  <c r="AE768" i="2" s="1"/>
  <c r="AJ781" i="2" s="1"/>
  <c r="AH6" i="2" l="1"/>
  <c r="AH3" i="2"/>
  <c r="AE771" i="2"/>
  <c r="AH904" i="2"/>
  <c r="AO772" i="2" l="1"/>
  <c r="BJ415" i="2" l="1"/>
  <c r="BJ410" i="2"/>
  <c r="BJ414" i="2" s="1"/>
  <c r="AO770" i="2" l="1"/>
  <c r="AO769" i="2"/>
  <c r="AO768" i="2"/>
  <c r="AJ415" i="2"/>
  <c r="AP764" i="2" l="1"/>
  <c r="CC654" i="2"/>
  <c r="CB654" i="2"/>
  <c r="CC652" i="2"/>
  <c r="CB652" i="2"/>
  <c r="CF637" i="2"/>
  <c r="CB618" i="2"/>
  <c r="CB617" i="2"/>
  <c r="CC614" i="2"/>
  <c r="CH600" i="2" s="1"/>
  <c r="CF611" i="2"/>
  <c r="CC611" i="2"/>
  <c r="CC606" i="2"/>
  <c r="CD603" i="2"/>
  <c r="DE467" i="2"/>
  <c r="CE467" i="2"/>
  <c r="DA464" i="2"/>
  <c r="CA464" i="2"/>
  <c r="DH463" i="2"/>
  <c r="DG463" i="2"/>
  <c r="DF463" i="2"/>
  <c r="DD463" i="2"/>
  <c r="DC463" i="2"/>
  <c r="CH463" i="2"/>
  <c r="CG463" i="2"/>
  <c r="CF463" i="2"/>
  <c r="CD463" i="2"/>
  <c r="CC463" i="2"/>
  <c r="DE453" i="2"/>
  <c r="CE453" i="2"/>
  <c r="DA450" i="2"/>
  <c r="CA450" i="2"/>
  <c r="DH449" i="2"/>
  <c r="DG449" i="2"/>
  <c r="DF449" i="2"/>
  <c r="DD449" i="2"/>
  <c r="DC449" i="2"/>
  <c r="CH449" i="2"/>
  <c r="CG449" i="2"/>
  <c r="CF449" i="2"/>
  <c r="CD449" i="2"/>
  <c r="CC449" i="2"/>
  <c r="DE439" i="2"/>
  <c r="CE439" i="2"/>
  <c r="DA436" i="2"/>
  <c r="CA436" i="2"/>
  <c r="DH435" i="2"/>
  <c r="DG435" i="2"/>
  <c r="DF435" i="2"/>
  <c r="DD435" i="2"/>
  <c r="DC435" i="2"/>
  <c r="CH435" i="2"/>
  <c r="CG435" i="2"/>
  <c r="CF435" i="2"/>
  <c r="CD435" i="2"/>
  <c r="CC435" i="2"/>
  <c r="DE425" i="2"/>
  <c r="CE425" i="2"/>
  <c r="DA422" i="2"/>
  <c r="CA422" i="2"/>
  <c r="DH421" i="2"/>
  <c r="DG421" i="2"/>
  <c r="DF421" i="2"/>
  <c r="DD421" i="2"/>
  <c r="DC421" i="2"/>
  <c r="CH421" i="2"/>
  <c r="CG421" i="2"/>
  <c r="CF421" i="2"/>
  <c r="CD421" i="2"/>
  <c r="CC421" i="2"/>
  <c r="DE411" i="2"/>
  <c r="CE411" i="2"/>
  <c r="DA408" i="2"/>
  <c r="CA408" i="2"/>
  <c r="DH407" i="2"/>
  <c r="DG407" i="2"/>
  <c r="DF407" i="2"/>
  <c r="DD407" i="2"/>
  <c r="DC407" i="2"/>
  <c r="CH407" i="2"/>
  <c r="CG407" i="2"/>
  <c r="CF407" i="2"/>
  <c r="CD407" i="2"/>
  <c r="CC407" i="2"/>
  <c r="DA312" i="2"/>
  <c r="CA312" i="2"/>
  <c r="DD311" i="2"/>
  <c r="DC311" i="2"/>
  <c r="CD311" i="2"/>
  <c r="CC311" i="2"/>
  <c r="DD214" i="2"/>
  <c r="DB214" i="2" s="1"/>
  <c r="DF214" i="2" s="1"/>
  <c r="DG214" i="2" s="1"/>
  <c r="CD214" i="2"/>
  <c r="CB214" i="2" s="1"/>
  <c r="CF214" i="2" s="1"/>
  <c r="CG214" i="2" s="1"/>
  <c r="DF213" i="2"/>
  <c r="CF213" i="2"/>
  <c r="DB212" i="2"/>
  <c r="CB212" i="2"/>
  <c r="DB127" i="2"/>
  <c r="DI120" i="2" s="1"/>
  <c r="CB127" i="2"/>
  <c r="CI120" i="2" s="1"/>
  <c r="DA112" i="2"/>
  <c r="CA112" i="2"/>
  <c r="DF111" i="2"/>
  <c r="DE111" i="2"/>
  <c r="DD111" i="2"/>
  <c r="DC111" i="2"/>
  <c r="CF111" i="2"/>
  <c r="CE111" i="2"/>
  <c r="CD111" i="2"/>
  <c r="CC111" i="2"/>
  <c r="DB26" i="2"/>
  <c r="CB26" i="2"/>
  <c r="DB25" i="2"/>
  <c r="CB25" i="2"/>
  <c r="DA19" i="2"/>
  <c r="CA19" i="2"/>
  <c r="DB18" i="2"/>
  <c r="CB18" i="2"/>
  <c r="DE17" i="2"/>
  <c r="DF17" i="2" s="1"/>
  <c r="CE17" i="2"/>
  <c r="CF17" i="2" s="1"/>
  <c r="DE16" i="2"/>
  <c r="DF16" i="2" s="1"/>
  <c r="DD16" i="2"/>
  <c r="CE16" i="2"/>
  <c r="CF16" i="2" s="1"/>
  <c r="CD16" i="2"/>
  <c r="DE15" i="2"/>
  <c r="DF15" i="2" s="1"/>
  <c r="DD15" i="2"/>
  <c r="CE15" i="2"/>
  <c r="CF15" i="2" s="1"/>
  <c r="DE13" i="2"/>
  <c r="DF13" i="2" s="1"/>
  <c r="DD13" i="2"/>
  <c r="CE13" i="2"/>
  <c r="CF13" i="2" s="1"/>
  <c r="CD13" i="2"/>
  <c r="DE12" i="2"/>
  <c r="DF12" i="2" s="1"/>
  <c r="DD12" i="2"/>
  <c r="CE12" i="2"/>
  <c r="CF12" i="2" s="1"/>
  <c r="CD12" i="2"/>
  <c r="DE11" i="2"/>
  <c r="DF11" i="2" s="1"/>
  <c r="DD11" i="2"/>
  <c r="CE11" i="2"/>
  <c r="CF11" i="2" s="1"/>
  <c r="CD11" i="2"/>
  <c r="DD5" i="2"/>
  <c r="DC5" i="2" s="1"/>
  <c r="CD5" i="2"/>
  <c r="CC5" i="2" s="1"/>
  <c r="CB216" i="2" l="1"/>
  <c r="DF27" i="2"/>
  <c r="DB27" i="2" s="1"/>
  <c r="AP770" i="2"/>
  <c r="AP771" i="2" s="1"/>
  <c r="AP772" i="2" s="1"/>
  <c r="CB463" i="2"/>
  <c r="CB464" i="2" s="1"/>
  <c r="CF27" i="2"/>
  <c r="CB27" i="2" s="1"/>
  <c r="CH12" i="2"/>
  <c r="CB421" i="2"/>
  <c r="CB422" i="2" s="1"/>
  <c r="CH11" i="2"/>
  <c r="CF424" i="2"/>
  <c r="CF425" i="2" s="1"/>
  <c r="CB629" i="2"/>
  <c r="CD652" i="2"/>
  <c r="CE652" i="2" s="1"/>
  <c r="CH16" i="2"/>
  <c r="CB19" i="2"/>
  <c r="CB21" i="2" s="1"/>
  <c r="DH13" i="2"/>
  <c r="CB407" i="2"/>
  <c r="CB408" i="2" s="1"/>
  <c r="DH12" i="2"/>
  <c r="CF466" i="2"/>
  <c r="CF467" i="2" s="1"/>
  <c r="CB607" i="2"/>
  <c r="DH16" i="2"/>
  <c r="CF438" i="2"/>
  <c r="CF439" i="2" s="1"/>
  <c r="CH15" i="2"/>
  <c r="DH15" i="2"/>
  <c r="CF410" i="2"/>
  <c r="CF411" i="2" s="1"/>
  <c r="DH11" i="2"/>
  <c r="CH13" i="2"/>
  <c r="DB311" i="2"/>
  <c r="DB312" i="2" s="1"/>
  <c r="CB449" i="2"/>
  <c r="CB450" i="2" s="1"/>
  <c r="CD654" i="2"/>
  <c r="CE654" i="2" s="1"/>
  <c r="DB216" i="2"/>
  <c r="DH210" i="2" s="1"/>
  <c r="CB111" i="2"/>
  <c r="CB112" i="2" s="1"/>
  <c r="CB435" i="2"/>
  <c r="CB436" i="2" s="1"/>
  <c r="DB19" i="2"/>
  <c r="DB21" i="2" s="1"/>
  <c r="CB311" i="2"/>
  <c r="CB312" i="2" s="1"/>
  <c r="CB314" i="2" s="1"/>
  <c r="DB407" i="2"/>
  <c r="DB408" i="2" s="1"/>
  <c r="DB421" i="2"/>
  <c r="DB422" i="2" s="1"/>
  <c r="DF438" i="2"/>
  <c r="DF439" i="2" s="1"/>
  <c r="CF452" i="2"/>
  <c r="CF453" i="2" s="1"/>
  <c r="DF466" i="2"/>
  <c r="DF467" i="2" s="1"/>
  <c r="DF410" i="2"/>
  <c r="DF411" i="2" s="1"/>
  <c r="DF424" i="2"/>
  <c r="DF425" i="2" s="1"/>
  <c r="DB111" i="2"/>
  <c r="DB112" i="2" s="1"/>
  <c r="DB113" i="2" s="1"/>
  <c r="DF452" i="2"/>
  <c r="DF453" i="2" s="1"/>
  <c r="DB435" i="2"/>
  <c r="DB436" i="2" s="1"/>
  <c r="DB449" i="2"/>
  <c r="DB450" i="2" s="1"/>
  <c r="DB463" i="2"/>
  <c r="DB464" i="2" s="1"/>
  <c r="CF428" i="2" l="1"/>
  <c r="CF427" i="2"/>
  <c r="CF426" i="2"/>
  <c r="CB438" i="2"/>
  <c r="CB437" i="2"/>
  <c r="CB410" i="2"/>
  <c r="CB409" i="2"/>
  <c r="CB424" i="2"/>
  <c r="CB423" i="2"/>
  <c r="DF427" i="2"/>
  <c r="DF426" i="2"/>
  <c r="DF428" i="2"/>
  <c r="DF414" i="2"/>
  <c r="DF413" i="2"/>
  <c r="DF412" i="2"/>
  <c r="CF412" i="2"/>
  <c r="CF413" i="2"/>
  <c r="CF414" i="2"/>
  <c r="DB465" i="2"/>
  <c r="DB466" i="2"/>
  <c r="DF470" i="2"/>
  <c r="DF469" i="2"/>
  <c r="DF468" i="2"/>
  <c r="CF470" i="2"/>
  <c r="CF469" i="2"/>
  <c r="CF468" i="2"/>
  <c r="CF454" i="2"/>
  <c r="CF456" i="2"/>
  <c r="CF455" i="2"/>
  <c r="DB438" i="2"/>
  <c r="DB437" i="2"/>
  <c r="DF442" i="2"/>
  <c r="DF441" i="2"/>
  <c r="DF440" i="2"/>
  <c r="CF442" i="2"/>
  <c r="CF441" i="2"/>
  <c r="CF440" i="2"/>
  <c r="CB466" i="2"/>
  <c r="CB465" i="2"/>
  <c r="CB452" i="2"/>
  <c r="CB451" i="2"/>
  <c r="DB451" i="2"/>
  <c r="DB452" i="2"/>
  <c r="DF455" i="2"/>
  <c r="DF454" i="2"/>
  <c r="DF456" i="2"/>
  <c r="DB424" i="2"/>
  <c r="DB423" i="2"/>
  <c r="DB410" i="2"/>
  <c r="DB409" i="2"/>
  <c r="DB313" i="2"/>
  <c r="DB314" i="2"/>
  <c r="CB313" i="2"/>
  <c r="CB319" i="2" s="1"/>
  <c r="CB321" i="2" s="1"/>
  <c r="AC930" i="2"/>
  <c r="AC931" i="2" s="1"/>
  <c r="AC932" i="2" s="1"/>
  <c r="AC955" i="2"/>
  <c r="DB115" i="2"/>
  <c r="DB116" i="2"/>
  <c r="DB114" i="2"/>
  <c r="CB114" i="2"/>
  <c r="CB113" i="2"/>
  <c r="CB116" i="2"/>
  <c r="CB115" i="2"/>
  <c r="DD4" i="2"/>
  <c r="CB20" i="2"/>
  <c r="CB22" i="2" s="1"/>
  <c r="CD17" i="2" s="1"/>
  <c r="CH17" i="2" s="1"/>
  <c r="CH22" i="2" s="1"/>
  <c r="DB20" i="2"/>
  <c r="DB22" i="2" s="1"/>
  <c r="DD17" i="2" s="1"/>
  <c r="DH17" i="2" s="1"/>
  <c r="CB623" i="2"/>
  <c r="CE623" i="2" s="1"/>
  <c r="DB217" i="2"/>
  <c r="CH210" i="2"/>
  <c r="CD4" i="2" s="1"/>
  <c r="CH412" i="2" l="1"/>
  <c r="CH413" i="2" s="1"/>
  <c r="CB412" i="2" s="1"/>
  <c r="DB425" i="2"/>
  <c r="DB427" i="2" s="1"/>
  <c r="DB433" i="2" s="1"/>
  <c r="CB439" i="2"/>
  <c r="DB411" i="2"/>
  <c r="DB413" i="2" s="1"/>
  <c r="DB419" i="2" s="1"/>
  <c r="CB467" i="2"/>
  <c r="CB469" i="2" s="1"/>
  <c r="CB475" i="2" s="1"/>
  <c r="DB319" i="2"/>
  <c r="DB321" i="2" s="1"/>
  <c r="DH319" i="2" s="1"/>
  <c r="DF319" i="2" s="1"/>
  <c r="DB467" i="2"/>
  <c r="DB469" i="2" s="1"/>
  <c r="DB475" i="2" s="1"/>
  <c r="DB453" i="2"/>
  <c r="DB455" i="2" s="1"/>
  <c r="DB461" i="2" s="1"/>
  <c r="DB439" i="2"/>
  <c r="DB441" i="2" s="1"/>
  <c r="DB447" i="2" s="1"/>
  <c r="CB411" i="2"/>
  <c r="CB413" i="2" s="1"/>
  <c r="CB419" i="2" s="1"/>
  <c r="CB453" i="2"/>
  <c r="CB455" i="2" s="1"/>
  <c r="CB461" i="2" s="1"/>
  <c r="AH946" i="2"/>
  <c r="AC958" i="2"/>
  <c r="AA975" i="2" s="1"/>
  <c r="AH921" i="2"/>
  <c r="AC933" i="2"/>
  <c r="AB933" i="2" s="1"/>
  <c r="AC956" i="2"/>
  <c r="AC957" i="2" s="1"/>
  <c r="AG936" i="2"/>
  <c r="DC4" i="2"/>
  <c r="CB425" i="2"/>
  <c r="CB427" i="2" s="1"/>
  <c r="CB433" i="2" s="1"/>
  <c r="CH426" i="2"/>
  <c r="CH427" i="2" s="1"/>
  <c r="DH412" i="2"/>
  <c r="DH413" i="2" s="1"/>
  <c r="CH440" i="2"/>
  <c r="CB440" i="2" s="1"/>
  <c r="CB445" i="2" s="1"/>
  <c r="CB403" i="2" s="1"/>
  <c r="CB119" i="2"/>
  <c r="CB128" i="2" s="1"/>
  <c r="CH110" i="2" s="1"/>
  <c r="CF24" i="2"/>
  <c r="DH426" i="2"/>
  <c r="DH428" i="2" s="1"/>
  <c r="DB426" i="2" s="1"/>
  <c r="DH468" i="2"/>
  <c r="DB468" i="2" s="1"/>
  <c r="CH468" i="2"/>
  <c r="CH469" i="2" s="1"/>
  <c r="DH454" i="2"/>
  <c r="DH456" i="2" s="1"/>
  <c r="CB441" i="2"/>
  <c r="CB447" i="2" s="1"/>
  <c r="CH319" i="2"/>
  <c r="CF319" i="2" s="1"/>
  <c r="CC323" i="2"/>
  <c r="CB323" i="2" s="1"/>
  <c r="DB119" i="2"/>
  <c r="DB128" i="2" s="1"/>
  <c r="CF623" i="2"/>
  <c r="CF624" i="2"/>
  <c r="CF626" i="2"/>
  <c r="CF625" i="2"/>
  <c r="CB217" i="2"/>
  <c r="CC4" i="2" s="1"/>
  <c r="DH440" i="2"/>
  <c r="CH454" i="2"/>
  <c r="DF24" i="2"/>
  <c r="DH22" i="2"/>
  <c r="DB431" i="2" l="1"/>
  <c r="DB402" i="2" s="1"/>
  <c r="DB473" i="2"/>
  <c r="DB405" i="2" s="1"/>
  <c r="DC323" i="2"/>
  <c r="DB323" i="2" s="1"/>
  <c r="DH321" i="2" s="1"/>
  <c r="DF321" i="2" s="1"/>
  <c r="AB958" i="2"/>
  <c r="AD958" i="2" s="1"/>
  <c r="AA974" i="2"/>
  <c r="AB959" i="2"/>
  <c r="AB960" i="2" s="1"/>
  <c r="AB961" i="2" s="1"/>
  <c r="AB972" i="2" s="1"/>
  <c r="DH10" i="2"/>
  <c r="DD2" i="2" s="1"/>
  <c r="DB24" i="2"/>
  <c r="AB934" i="2"/>
  <c r="DH414" i="2"/>
  <c r="DB412" i="2" s="1"/>
  <c r="DB417" i="2" s="1"/>
  <c r="DB401" i="2" s="1"/>
  <c r="CH442" i="2"/>
  <c r="CH428" i="2"/>
  <c r="CB426" i="2" s="1"/>
  <c r="CB431" i="2" s="1"/>
  <c r="CB402" i="2" s="1"/>
  <c r="CH441" i="2"/>
  <c r="CH10" i="2"/>
  <c r="DH427" i="2"/>
  <c r="CH414" i="2"/>
  <c r="CB417" i="2"/>
  <c r="CB401" i="2" s="1"/>
  <c r="CB24" i="2"/>
  <c r="DH470" i="2"/>
  <c r="DH469" i="2"/>
  <c r="CH470" i="2"/>
  <c r="CB468" i="2" s="1"/>
  <c r="CB473" i="2" s="1"/>
  <c r="CB405" i="2" s="1"/>
  <c r="CB101" i="2"/>
  <c r="CH105" i="2" s="1"/>
  <c r="CH100" i="2" s="1"/>
  <c r="CH106" i="2" s="1"/>
  <c r="DH455" i="2"/>
  <c r="DB454" i="2"/>
  <c r="DB459" i="2" s="1"/>
  <c r="DB404" i="2" s="1"/>
  <c r="CG624" i="2"/>
  <c r="CB624" i="2" s="1"/>
  <c r="CG625" i="2"/>
  <c r="CB625" i="2" s="1"/>
  <c r="CG626" i="2"/>
  <c r="CB626" i="2" s="1"/>
  <c r="CG623" i="2"/>
  <c r="DB101" i="2"/>
  <c r="DH105" i="2" s="1"/>
  <c r="DH110" i="2"/>
  <c r="CH455" i="2"/>
  <c r="CH456" i="2"/>
  <c r="CB454" i="2" s="1"/>
  <c r="CB459" i="2" s="1"/>
  <c r="CB404" i="2" s="1"/>
  <c r="CH321" i="2"/>
  <c r="CF321" i="2" s="1"/>
  <c r="DH441" i="2"/>
  <c r="DH442" i="2"/>
  <c r="AB966" i="2" l="1"/>
  <c r="AB967" i="2" s="1"/>
  <c r="DG23" i="2"/>
  <c r="DC2" i="2" s="1"/>
  <c r="DC27" i="2"/>
  <c r="DB2" i="2"/>
  <c r="DB1" i="2" s="1"/>
  <c r="DG3" i="2" s="1"/>
  <c r="DB32" i="2"/>
  <c r="DB30" i="2" s="1"/>
  <c r="AE960" i="2"/>
  <c r="AD960" i="2" s="1"/>
  <c r="AF960" i="2" s="1"/>
  <c r="DB440" i="2"/>
  <c r="DB445" i="2" s="1"/>
  <c r="DB403" i="2" s="1"/>
  <c r="DH405" i="2" s="1"/>
  <c r="DH400" i="2" s="1"/>
  <c r="DD6" i="2" s="1"/>
  <c r="CD2" i="2"/>
  <c r="CB32" i="2"/>
  <c r="CB30" i="2" s="1"/>
  <c r="CC27" i="2"/>
  <c r="CG23" i="2"/>
  <c r="CH405" i="2"/>
  <c r="CH400" i="2" s="1"/>
  <c r="CD6" i="2" s="1"/>
  <c r="CD3" i="2"/>
  <c r="CC3" i="2" s="1"/>
  <c r="CB33" i="2"/>
  <c r="CE624" i="2"/>
  <c r="CH624" i="2"/>
  <c r="CC624" i="2" s="1"/>
  <c r="CD624" i="2" s="1"/>
  <c r="CH623" i="2"/>
  <c r="CC623" i="2" s="1"/>
  <c r="DH100" i="2"/>
  <c r="DH106" i="2" s="1"/>
  <c r="CH626" i="2"/>
  <c r="CC626" i="2" s="1"/>
  <c r="CD626" i="2" s="1"/>
  <c r="CE626" i="2"/>
  <c r="CH625" i="2"/>
  <c r="CC625" i="2" s="1"/>
  <c r="CD625" i="2" s="1"/>
  <c r="CE625" i="2"/>
  <c r="DH6" i="2" l="1"/>
  <c r="DH3" i="2"/>
  <c r="AA970" i="2"/>
  <c r="AE967" i="2"/>
  <c r="AC968" i="2"/>
  <c r="AB968" i="2" s="1"/>
  <c r="AD968" i="2" s="1"/>
  <c r="AA967" i="2" s="1"/>
  <c r="CB35" i="2"/>
  <c r="CC2" i="2"/>
  <c r="CH3" i="2"/>
  <c r="CB1" i="2"/>
  <c r="CG3" i="2" s="1"/>
  <c r="CH6" i="2"/>
  <c r="CB34" i="2"/>
  <c r="DH404" i="2"/>
  <c r="DC6" i="2" s="1"/>
  <c r="CB627" i="2"/>
  <c r="CB608" i="2" s="1"/>
  <c r="CD623" i="2"/>
  <c r="CH404" i="2"/>
  <c r="CC6" i="2" s="1"/>
  <c r="DB33" i="2"/>
  <c r="DD3" i="2"/>
  <c r="DC3" i="2" s="1"/>
  <c r="CB612" i="2" l="1"/>
  <c r="CB613" i="2" s="1"/>
  <c r="CC609" i="2"/>
  <c r="CB609" i="2" s="1"/>
  <c r="CB36" i="2"/>
  <c r="CC37" i="2" s="1"/>
  <c r="CB37" i="2" s="1"/>
  <c r="CB38" i="2" s="1"/>
  <c r="CC38" i="2" s="1"/>
  <c r="DB34" i="2"/>
  <c r="DB35" i="2"/>
  <c r="CB39" i="2" l="1"/>
  <c r="CC39" i="2" s="1"/>
  <c r="CB40" i="2" s="1"/>
  <c r="CB31" i="2" s="1"/>
  <c r="CD37" i="2"/>
  <c r="CA31" i="2" s="1"/>
  <c r="DB36" i="2"/>
  <c r="DC37" i="2" s="1"/>
  <c r="DB37" i="2" s="1"/>
  <c r="DB39" i="2" s="1"/>
  <c r="DC39" i="2" s="1"/>
  <c r="CD31" i="2" l="1"/>
  <c r="DD37" i="2"/>
  <c r="DA31" i="2" s="1"/>
  <c r="DB38" i="2"/>
  <c r="DC38" i="2" s="1"/>
  <c r="DB40" i="2" s="1"/>
  <c r="DB31" i="2" s="1"/>
  <c r="AD741" i="2" l="1"/>
  <c r="AC733" i="2"/>
  <c r="AC736" i="2" s="1"/>
  <c r="AD737" i="2"/>
  <c r="AB744" i="2" l="1"/>
  <c r="AE744" i="2" s="1"/>
  <c r="AB736" i="2"/>
  <c r="AE736" i="2" s="1"/>
  <c r="AC741" i="2" l="1"/>
  <c r="AB750" i="2"/>
  <c r="AB747" i="2"/>
  <c r="AB751" i="2"/>
  <c r="AB743" i="2"/>
  <c r="AD611" i="2"/>
  <c r="AD612" i="2" s="1"/>
  <c r="AB603" i="2"/>
  <c r="AC603" i="2" s="1"/>
  <c r="AD745" i="2" l="1"/>
  <c r="AB745" i="2"/>
  <c r="AE745" i="2" s="1"/>
  <c r="AC744" i="2"/>
  <c r="AC745" i="2" l="1"/>
  <c r="AB737" i="2"/>
  <c r="AE737" i="2" s="1"/>
  <c r="AC737" i="2"/>
  <c r="AB752" i="2"/>
  <c r="AL681" i="2"/>
  <c r="AK681" i="2"/>
  <c r="AJ681" i="2"/>
  <c r="AL680" i="2"/>
  <c r="AK680" i="2"/>
  <c r="AJ680" i="2"/>
  <c r="AL679" i="2"/>
  <c r="AK679" i="2"/>
  <c r="AJ679" i="2"/>
  <c r="AL678" i="2"/>
  <c r="AK678" i="2"/>
  <c r="AJ678" i="2"/>
  <c r="AL677" i="2"/>
  <c r="AK677" i="2"/>
  <c r="AJ677" i="2"/>
  <c r="AL676" i="2"/>
  <c r="AK676" i="2"/>
  <c r="AJ676" i="2"/>
  <c r="AL675" i="2"/>
  <c r="AK675" i="2"/>
  <c r="AJ675" i="2"/>
  <c r="AL674" i="2"/>
  <c r="AK674" i="2"/>
  <c r="AJ674" i="2"/>
  <c r="AL673" i="2"/>
  <c r="AK673" i="2"/>
  <c r="AJ673" i="2"/>
  <c r="AL672" i="2"/>
  <c r="AK672" i="2"/>
  <c r="AJ672" i="2"/>
  <c r="AL671" i="2"/>
  <c r="AK671" i="2"/>
  <c r="AJ671" i="2"/>
  <c r="AL670" i="2"/>
  <c r="AK670" i="2"/>
  <c r="AJ670" i="2"/>
  <c r="AL669" i="2"/>
  <c r="AK669" i="2"/>
  <c r="AJ669" i="2"/>
  <c r="AL668" i="2"/>
  <c r="AK668" i="2"/>
  <c r="AJ668" i="2"/>
  <c r="AL667" i="2"/>
  <c r="AK667" i="2"/>
  <c r="AJ667" i="2"/>
  <c r="AL666" i="2"/>
  <c r="AK666" i="2"/>
  <c r="AJ666" i="2"/>
  <c r="AL665" i="2"/>
  <c r="AK665" i="2"/>
  <c r="AJ665" i="2"/>
  <c r="AL664" i="2"/>
  <c r="AK664" i="2"/>
  <c r="AJ664" i="2"/>
  <c r="AL663" i="2"/>
  <c r="AK663" i="2"/>
  <c r="AJ663" i="2"/>
  <c r="AL662" i="2"/>
  <c r="AK662" i="2"/>
  <c r="AJ662" i="2"/>
  <c r="AG661" i="2"/>
  <c r="AF661" i="2"/>
  <c r="AD661" i="2"/>
  <c r="AC661" i="2"/>
  <c r="AE636" i="2"/>
  <c r="AE635" i="2"/>
  <c r="AC614" i="2"/>
  <c r="AC625" i="2" s="1"/>
  <c r="AD614" i="2"/>
  <c r="AD625" i="2" s="1"/>
  <c r="AB604" i="2"/>
  <c r="AC604" i="2" s="1"/>
  <c r="AB612" i="2" s="1"/>
  <c r="AE603" i="2"/>
  <c r="AH600" i="2"/>
  <c r="AF583" i="2"/>
  <c r="AD583" i="2"/>
  <c r="AD563" i="2"/>
  <c r="AC563" i="2"/>
  <c r="AD549" i="2"/>
  <c r="AC549" i="2"/>
  <c r="AD535" i="2"/>
  <c r="AC535" i="2"/>
  <c r="AD521" i="2"/>
  <c r="AC521" i="2"/>
  <c r="AD507" i="2"/>
  <c r="AC507" i="2"/>
  <c r="AH463" i="2"/>
  <c r="AG463" i="2"/>
  <c r="AF463" i="2"/>
  <c r="AD463" i="2"/>
  <c r="AC463" i="2"/>
  <c r="AH449" i="2"/>
  <c r="AG449" i="2"/>
  <c r="AF449" i="2"/>
  <c r="AD449" i="2"/>
  <c r="AC449" i="2"/>
  <c r="AH435" i="2"/>
  <c r="AG435" i="2"/>
  <c r="AF435" i="2"/>
  <c r="AD435" i="2"/>
  <c r="AC435" i="2"/>
  <c r="AH421" i="2"/>
  <c r="AG421" i="2"/>
  <c r="AF421" i="2"/>
  <c r="AD421" i="2"/>
  <c r="AC421" i="2"/>
  <c r="AH407" i="2"/>
  <c r="AG407" i="2"/>
  <c r="AF407" i="2"/>
  <c r="AD407" i="2"/>
  <c r="AD311" i="2"/>
  <c r="AC311" i="2"/>
  <c r="EB228" i="2"/>
  <c r="EH210" i="2" s="1"/>
  <c r="AD214" i="2"/>
  <c r="AB214" i="2" s="1"/>
  <c r="AF213" i="2"/>
  <c r="AB212" i="2"/>
  <c r="AH151" i="2"/>
  <c r="AG151" i="2"/>
  <c r="AF151" i="2"/>
  <c r="AE151" i="2"/>
  <c r="AD151" i="2"/>
  <c r="AC151" i="2"/>
  <c r="A139" i="2"/>
  <c r="D139" i="2" s="1"/>
  <c r="A138" i="2"/>
  <c r="A137" i="2"/>
  <c r="D137" i="2" s="1"/>
  <c r="A136" i="2"/>
  <c r="E136" i="2" s="1"/>
  <c r="AH131" i="2"/>
  <c r="AG131" i="2"/>
  <c r="AF131" i="2"/>
  <c r="AE131" i="2"/>
  <c r="AD131" i="2"/>
  <c r="AC131" i="2"/>
  <c r="E116" i="2"/>
  <c r="AH111" i="2"/>
  <c r="AG111" i="2"/>
  <c r="AF111" i="2"/>
  <c r="AD111" i="2"/>
  <c r="AC111" i="2"/>
  <c r="AB111" i="2" s="1"/>
  <c r="A101" i="2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D100" i="2"/>
  <c r="C100" i="2"/>
  <c r="B100" i="2"/>
  <c r="AB26" i="2"/>
  <c r="AB25" i="2"/>
  <c r="AC18" i="2"/>
  <c r="AB18" i="2"/>
  <c r="AF17" i="2"/>
  <c r="AF16" i="2"/>
  <c r="AD16" i="2"/>
  <c r="AD14" i="2"/>
  <c r="AD13" i="2"/>
  <c r="AD12" i="2"/>
  <c r="AD11" i="2"/>
  <c r="BI3" i="2"/>
  <c r="AI3" i="2"/>
  <c r="BD14" i="2"/>
  <c r="BC18" i="2"/>
  <c r="AB151" i="2" l="1"/>
  <c r="AB131" i="2"/>
  <c r="AH16" i="2"/>
  <c r="AH12" i="2"/>
  <c r="AG36" i="2"/>
  <c r="AH36" i="2"/>
  <c r="AB160" i="2"/>
  <c r="AB140" i="2"/>
  <c r="AB120" i="2"/>
  <c r="AH210" i="2"/>
  <c r="AB753" i="2"/>
  <c r="AC753" i="2" s="1"/>
  <c r="AF27" i="2"/>
  <c r="AB27" i="2" s="1"/>
  <c r="AG38" i="2"/>
  <c r="AH38" i="2" s="1"/>
  <c r="AB605" i="2"/>
  <c r="AB607" i="2" s="1"/>
  <c r="AB606" i="2"/>
  <c r="AB608" i="2" s="1"/>
  <c r="AN667" i="2" a="1"/>
  <c r="AN667" i="2" s="1"/>
  <c r="AB535" i="2"/>
  <c r="AN674" i="2" a="1"/>
  <c r="AN674" i="2" s="1"/>
  <c r="AO680" i="2" a="1"/>
  <c r="AO680" i="2" s="1"/>
  <c r="AN675" i="2" a="1"/>
  <c r="AN675" i="2" s="1"/>
  <c r="AB449" i="2"/>
  <c r="AB521" i="2"/>
  <c r="AB463" i="2"/>
  <c r="AB614" i="2"/>
  <c r="AB625" i="2" s="1"/>
  <c r="AF466" i="2"/>
  <c r="AF452" i="2"/>
  <c r="AB435" i="2"/>
  <c r="AF438" i="2"/>
  <c r="AB421" i="2"/>
  <c r="AF424" i="2"/>
  <c r="AF410" i="2"/>
  <c r="AE604" i="2"/>
  <c r="AH583" i="2"/>
  <c r="AH589" i="2" s="1"/>
  <c r="AF214" i="2"/>
  <c r="AG214" i="2" s="1"/>
  <c r="AB216" i="2"/>
  <c r="AI210" i="2" s="1"/>
  <c r="C139" i="2"/>
  <c r="E137" i="2"/>
  <c r="E139" i="2"/>
  <c r="D136" i="2"/>
  <c r="C137" i="2"/>
  <c r="AG16" i="2"/>
  <c r="C138" i="2"/>
  <c r="E138" i="2"/>
  <c r="D138" i="2"/>
  <c r="AB311" i="2"/>
  <c r="AI311" i="2" s="1"/>
  <c r="AO671" i="2" a="1"/>
  <c r="AO671" i="2" s="1"/>
  <c r="AO663" i="2" a="1"/>
  <c r="AO663" i="2" s="1"/>
  <c r="AO662" i="2" a="1"/>
  <c r="AO662" i="2" s="1"/>
  <c r="AO665" i="2" a="1"/>
  <c r="AO665" i="2" s="1"/>
  <c r="AO673" i="2" a="1"/>
  <c r="AO673" i="2" s="1"/>
  <c r="AO681" i="2" a="1"/>
  <c r="AO681" i="2" s="1"/>
  <c r="AB549" i="2"/>
  <c r="AB563" i="2"/>
  <c r="AO666" i="2" a="1"/>
  <c r="AO666" i="2" s="1"/>
  <c r="AN668" i="2" a="1"/>
  <c r="AN668" i="2" s="1"/>
  <c r="AO674" i="2" a="1"/>
  <c r="AO674" i="2" s="1"/>
  <c r="AN676" i="2" a="1"/>
  <c r="AN676" i="2" s="1"/>
  <c r="AO667" i="2" a="1"/>
  <c r="AO667" i="2" s="1"/>
  <c r="AN669" i="2" a="1"/>
  <c r="AN669" i="2" s="1"/>
  <c r="AO675" i="2" a="1"/>
  <c r="AO675" i="2" s="1"/>
  <c r="AN677" i="2" a="1"/>
  <c r="AN677" i="2" s="1"/>
  <c r="AB507" i="2"/>
  <c r="AN662" i="2" a="1"/>
  <c r="AN662" i="2" s="1"/>
  <c r="AO668" i="2" a="1"/>
  <c r="AO668" i="2" s="1"/>
  <c r="AN670" i="2" a="1"/>
  <c r="AN670" i="2" s="1"/>
  <c r="AO676" i="2" a="1"/>
  <c r="AO676" i="2" s="1"/>
  <c r="AN678" i="2" a="1"/>
  <c r="AN678" i="2" s="1"/>
  <c r="AN663" i="2" a="1"/>
  <c r="AN663" i="2" s="1"/>
  <c r="AO669" i="2" a="1"/>
  <c r="AO669" i="2" s="1"/>
  <c r="AN671" i="2" a="1"/>
  <c r="AN671" i="2" s="1"/>
  <c r="AO677" i="2" a="1"/>
  <c r="AO677" i="2" s="1"/>
  <c r="AN679" i="2" a="1"/>
  <c r="AN679" i="2" s="1"/>
  <c r="C136" i="2"/>
  <c r="AN664" i="2" a="1"/>
  <c r="AN664" i="2" s="1"/>
  <c r="AO670" i="2" a="1"/>
  <c r="AO670" i="2" s="1"/>
  <c r="AN672" i="2" a="1"/>
  <c r="AN672" i="2" s="1"/>
  <c r="AO678" i="2" a="1"/>
  <c r="AO678" i="2" s="1"/>
  <c r="AN680" i="2" a="1"/>
  <c r="AN680" i="2" s="1"/>
  <c r="AN665" i="2" a="1"/>
  <c r="AN665" i="2" s="1"/>
  <c r="AN673" i="2" a="1"/>
  <c r="AN673" i="2" s="1"/>
  <c r="AO679" i="2" a="1"/>
  <c r="AO679" i="2" s="1"/>
  <c r="AN681" i="2" a="1"/>
  <c r="AN681" i="2" s="1"/>
  <c r="AO664" i="2" a="1"/>
  <c r="AO664" i="2" s="1"/>
  <c r="AN666" i="2" a="1"/>
  <c r="AN666" i="2" s="1"/>
  <c r="AO672" i="2" a="1"/>
  <c r="AO672" i="2" s="1"/>
  <c r="AB609" i="2" l="1"/>
  <c r="AF638" i="2"/>
  <c r="AG39" i="2"/>
  <c r="AH504" i="2"/>
  <c r="AH39" i="2" l="1"/>
  <c r="AD4" i="2"/>
  <c r="AB217" i="2" l="1"/>
  <c r="AC4" i="2" s="1"/>
  <c r="B204" i="2" l="1"/>
  <c r="E204" i="2"/>
  <c r="E202" i="2"/>
  <c r="B202" i="2"/>
  <c r="D202" i="2" s="1"/>
  <c r="C207" i="2" l="1"/>
  <c r="F126" i="2" l="1"/>
  <c r="F125" i="2" s="1"/>
  <c r="E126" i="2"/>
  <c r="EB250" i="2" l="1"/>
  <c r="EB220" i="2"/>
  <c r="EC111" i="2" l="1"/>
  <c r="EE131" i="2"/>
  <c r="ED131" i="2"/>
  <c r="EC131" i="2"/>
  <c r="ED111" i="2"/>
  <c r="EA120" i="2"/>
  <c r="EB120" i="2" s="1"/>
  <c r="EA112" i="2"/>
  <c r="EA139" i="2"/>
  <c r="EB139" i="2" s="1"/>
  <c r="EA132" i="2"/>
  <c r="EB131" i="2" l="1"/>
  <c r="EB140" i="2" s="1"/>
  <c r="EB111" i="2"/>
  <c r="EB112" i="2" l="1"/>
  <c r="EB114" i="2" s="1"/>
  <c r="EB141" i="2"/>
  <c r="EB113" i="2" l="1"/>
  <c r="EB119" i="2" s="1"/>
  <c r="EE121" i="2" s="1"/>
  <c r="EB122" i="2"/>
  <c r="EB284" i="2" l="1"/>
  <c r="EB283" i="2"/>
  <c r="EB281" i="2"/>
  <c r="EB280" i="2"/>
  <c r="EB274" i="2"/>
  <c r="EB275" i="2"/>
  <c r="EB287" i="2" s="1"/>
  <c r="EH270" i="2" s="1"/>
  <c r="EH259" i="2" l="1"/>
  <c r="EH258" i="2"/>
  <c r="EB251" i="2"/>
  <c r="EB246" i="2"/>
  <c r="EB221" i="2"/>
  <c r="EB216" i="2"/>
  <c r="EB217" i="2" l="1"/>
  <c r="EB222" i="2" s="1"/>
  <c r="EB223" i="2" s="1"/>
  <c r="EH229" i="2" s="1"/>
  <c r="EB247" i="2"/>
  <c r="EB252" i="2" s="1"/>
  <c r="EB253" i="2" s="1"/>
  <c r="EH228" i="2" l="1"/>
  <c r="EB224" i="2" s="1"/>
  <c r="EC229" i="2" s="1"/>
  <c r="EG259" i="2"/>
  <c r="EG258" i="2"/>
  <c r="EB229" i="2" l="1"/>
  <c r="EB254" i="2"/>
  <c r="EB258" i="2" l="1"/>
  <c r="EH240" i="2" s="1"/>
  <c r="EC259" i="2" l="1"/>
  <c r="EB259" i="2" s="1"/>
  <c r="D204" i="2"/>
  <c r="BB26" i="2" l="1"/>
  <c r="BB25" i="2"/>
  <c r="BF27" i="2" l="1"/>
  <c r="BB27" i="2" l="1"/>
  <c r="EA469" i="2" l="1"/>
  <c r="EB469" i="2" s="1"/>
  <c r="EA464" i="2"/>
  <c r="ED463" i="2"/>
  <c r="EC463" i="2"/>
  <c r="EA455" i="2"/>
  <c r="EB455" i="2" s="1"/>
  <c r="EA450" i="2"/>
  <c r="ED449" i="2"/>
  <c r="EC449" i="2"/>
  <c r="EB443" i="2"/>
  <c r="EA441" i="2"/>
  <c r="EB441" i="2" s="1"/>
  <c r="EA436" i="2"/>
  <c r="ED435" i="2"/>
  <c r="EC435" i="2"/>
  <c r="EA427" i="2"/>
  <c r="EB427" i="2" s="1"/>
  <c r="EA422" i="2"/>
  <c r="ED421" i="2"/>
  <c r="EC421" i="2"/>
  <c r="EA413" i="2"/>
  <c r="EB413" i="2" s="1"/>
  <c r="EA408" i="2"/>
  <c r="ED407" i="2"/>
  <c r="EC407" i="2"/>
  <c r="EB463" i="2" l="1"/>
  <c r="EB464" i="2" s="1"/>
  <c r="EB421" i="2"/>
  <c r="EB422" i="2" s="1"/>
  <c r="EB423" i="2" s="1"/>
  <c r="EB449" i="2"/>
  <c r="EB450" i="2" s="1"/>
  <c r="EB452" i="2" s="1"/>
  <c r="EB407" i="2"/>
  <c r="EB408" i="2" s="1"/>
  <c r="EB409" i="2" s="1"/>
  <c r="EB435" i="2"/>
  <c r="EB436" i="2" s="1"/>
  <c r="EB437" i="2" s="1"/>
  <c r="EB465" i="2" l="1"/>
  <c r="EB466" i="2"/>
  <c r="EB451" i="2"/>
  <c r="EB453" i="2" s="1"/>
  <c r="EF455" i="2" s="1"/>
  <c r="EB424" i="2"/>
  <c r="EB425" i="2" s="1"/>
  <c r="EB410" i="2"/>
  <c r="EB438" i="2"/>
  <c r="EB439" i="2" s="1"/>
  <c r="EB467" i="2" l="1"/>
  <c r="EF470" i="2" s="1"/>
  <c r="EF430" i="2"/>
  <c r="EF426" i="2"/>
  <c r="EB411" i="2"/>
  <c r="EF411" i="2" s="1"/>
  <c r="EF428" i="2"/>
  <c r="EF427" i="2"/>
  <c r="EF429" i="2"/>
  <c r="EF458" i="2"/>
  <c r="EF425" i="2"/>
  <c r="EB426" i="2" s="1"/>
  <c r="EB428" i="2" s="1"/>
  <c r="EF456" i="2"/>
  <c r="EF453" i="2"/>
  <c r="EF457" i="2"/>
  <c r="EF454" i="2"/>
  <c r="EF440" i="2"/>
  <c r="EF442" i="2"/>
  <c r="EF443" i="2"/>
  <c r="EF441" i="2"/>
  <c r="EF444" i="2"/>
  <c r="EF439" i="2"/>
  <c r="EB440" i="2" s="1"/>
  <c r="EB442" i="2" s="1"/>
  <c r="EB429" i="2" l="1"/>
  <c r="EF471" i="2"/>
  <c r="EF467" i="2"/>
  <c r="EB468" i="2" s="1"/>
  <c r="EB470" i="2" s="1"/>
  <c r="EF468" i="2"/>
  <c r="EF472" i="2"/>
  <c r="EF469" i="2"/>
  <c r="EB454" i="2"/>
  <c r="EB456" i="2" s="1"/>
  <c r="EF414" i="2"/>
  <c r="EF413" i="2"/>
  <c r="EF412" i="2"/>
  <c r="EF415" i="2"/>
  <c r="EF416" i="2"/>
  <c r="EB471" i="2" l="1"/>
  <c r="EB457" i="2"/>
  <c r="EB412" i="2"/>
  <c r="EB414" i="2" s="1"/>
  <c r="EB415" i="2" l="1"/>
  <c r="EE151" i="2"/>
  <c r="ED151" i="2"/>
  <c r="EC151" i="2"/>
  <c r="EH151" i="2"/>
  <c r="EG151" i="2"/>
  <c r="EF151" i="2"/>
  <c r="EA159" i="2"/>
  <c r="EB159" i="2" s="1"/>
  <c r="EA152" i="2"/>
  <c r="EB151" i="2" l="1"/>
  <c r="EB160" i="2" s="1"/>
  <c r="EB161" i="2" l="1"/>
  <c r="EA320" i="2" l="1"/>
  <c r="EB320" i="2" s="1"/>
  <c r="ED311" i="2"/>
  <c r="EC311" i="2"/>
  <c r="EA312" i="2"/>
  <c r="EB311" i="2" l="1"/>
  <c r="EB312" i="2" s="1"/>
  <c r="EB313" i="2" s="1"/>
  <c r="EB314" i="2" l="1"/>
  <c r="EB319" i="2" s="1"/>
  <c r="EE321" i="2" s="1"/>
  <c r="E125" i="2" l="1"/>
  <c r="BC311" i="2"/>
  <c r="E100" i="2" l="1"/>
  <c r="C120" i="2" l="1"/>
  <c r="E120" i="2"/>
  <c r="D120" i="2"/>
  <c r="BD5" i="2" l="1"/>
  <c r="BC5" i="2" s="1"/>
  <c r="L3" i="4" l="1"/>
  <c r="J1" i="3" l="1"/>
  <c r="T29" i="4" l="1"/>
  <c r="M29" i="4"/>
  <c r="T25" i="4"/>
  <c r="M25" i="4"/>
  <c r="T22" i="4"/>
  <c r="M22" i="4"/>
  <c r="Q34" i="4"/>
  <c r="J34" i="4"/>
  <c r="J21" i="4"/>
  <c r="Q21" i="4"/>
  <c r="Q35" i="4"/>
  <c r="J35" i="4"/>
  <c r="J33" i="4"/>
  <c r="Q33" i="4"/>
  <c r="Q18" i="4"/>
  <c r="J18" i="4"/>
  <c r="M32" i="4"/>
  <c r="T32" i="4"/>
  <c r="T33" i="4"/>
  <c r="M33" i="4"/>
  <c r="M28" i="4"/>
  <c r="T28" i="4"/>
  <c r="M24" i="4"/>
  <c r="T24" i="4"/>
  <c r="T26" i="4"/>
  <c r="M26" i="4"/>
  <c r="Q16" i="4"/>
  <c r="J16" i="4"/>
  <c r="Q31" i="4"/>
  <c r="J31" i="4"/>
  <c r="J20" i="4"/>
  <c r="Q20" i="4"/>
  <c r="J17" i="4"/>
  <c r="Q17" i="4"/>
  <c r="J25" i="4"/>
  <c r="Q25" i="4"/>
  <c r="M27" i="4"/>
  <c r="T27" i="4"/>
  <c r="T18" i="4"/>
  <c r="M18" i="4"/>
  <c r="M23" i="4"/>
  <c r="T23" i="4"/>
  <c r="T16" i="4"/>
  <c r="M16" i="4"/>
  <c r="T30" i="4"/>
  <c r="M30" i="4"/>
  <c r="T17" i="4"/>
  <c r="M17" i="4"/>
  <c r="M31" i="4"/>
  <c r="T31" i="4"/>
  <c r="Q26" i="4"/>
  <c r="J26" i="4"/>
  <c r="Q19" i="4"/>
  <c r="J19" i="4"/>
  <c r="Q22" i="4"/>
  <c r="J22" i="4"/>
  <c r="J24" i="4"/>
  <c r="Q24" i="4"/>
  <c r="J28" i="4"/>
  <c r="Q28" i="4"/>
  <c r="M20" i="4"/>
  <c r="T20" i="4"/>
  <c r="T21" i="4"/>
  <c r="M21" i="4"/>
  <c r="T34" i="4"/>
  <c r="M34" i="4"/>
  <c r="M19" i="4"/>
  <c r="T19" i="4"/>
  <c r="M35" i="4"/>
  <c r="T35" i="4"/>
  <c r="Q23" i="4"/>
  <c r="J23" i="4"/>
  <c r="J29" i="4"/>
  <c r="Q29" i="4"/>
  <c r="Q27" i="4"/>
  <c r="J27" i="4"/>
  <c r="J32" i="4"/>
  <c r="Q32" i="4"/>
  <c r="Q30" i="4"/>
  <c r="J30" i="4"/>
  <c r="BI120" i="2" l="1"/>
  <c r="BG111" i="2"/>
  <c r="BF111" i="2"/>
  <c r="BE111" i="2"/>
  <c r="BD111" i="2"/>
  <c r="BC111" i="2"/>
  <c r="BH151" i="2"/>
  <c r="BG151" i="2"/>
  <c r="BF151" i="2"/>
  <c r="BE151" i="2"/>
  <c r="BD151" i="2"/>
  <c r="BC151" i="2"/>
  <c r="BB151" i="2" s="1"/>
  <c r="BH131" i="2"/>
  <c r="BG131" i="2"/>
  <c r="BF131" i="2"/>
  <c r="BE131" i="2"/>
  <c r="BD131" i="2"/>
  <c r="BC131" i="2"/>
  <c r="BH111" i="2"/>
  <c r="BA161" i="2"/>
  <c r="BA152" i="2"/>
  <c r="BA141" i="2"/>
  <c r="BA132" i="2"/>
  <c r="BD16" i="2"/>
  <c r="BH16" i="2" s="1"/>
  <c r="BD13" i="2"/>
  <c r="BD12" i="2"/>
  <c r="BH12" i="2" s="1"/>
  <c r="BD11" i="2"/>
  <c r="BB18" i="2"/>
  <c r="BB131" i="2" l="1"/>
  <c r="BB111" i="2"/>
  <c r="BB112" i="2" s="1"/>
  <c r="BB114" i="2" s="1"/>
  <c r="BB152" i="2"/>
  <c r="BB157" i="2" s="1"/>
  <c r="BB160" i="2"/>
  <c r="BB161" i="2" s="1"/>
  <c r="BB163" i="2" s="1"/>
  <c r="BB132" i="2"/>
  <c r="BB136" i="2" s="1"/>
  <c r="BB140" i="2"/>
  <c r="BB141" i="2" s="1"/>
  <c r="BB144" i="2" s="1"/>
  <c r="BB120" i="2"/>
  <c r="BB121" i="2" s="1"/>
  <c r="BB125" i="2" s="1"/>
  <c r="BG36" i="2"/>
  <c r="BH36" i="2" s="1"/>
  <c r="BD563" i="2"/>
  <c r="BD549" i="2"/>
  <c r="BD535" i="2"/>
  <c r="BD521" i="2"/>
  <c r="BD507" i="2"/>
  <c r="BC563" i="2"/>
  <c r="BC549" i="2"/>
  <c r="BC535" i="2"/>
  <c r="BC521" i="2"/>
  <c r="BC507" i="2"/>
  <c r="BD583" i="2"/>
  <c r="BF583" i="2"/>
  <c r="BA586" i="2"/>
  <c r="BA564" i="2"/>
  <c r="BA550" i="2"/>
  <c r="BA536" i="2"/>
  <c r="BA522" i="2"/>
  <c r="BA508" i="2"/>
  <c r="BC463" i="2"/>
  <c r="BD463" i="2"/>
  <c r="BB212" i="2"/>
  <c r="BB134" i="2" l="1"/>
  <c r="BB138" i="2"/>
  <c r="BB135" i="2"/>
  <c r="BB133" i="2"/>
  <c r="BB139" i="2" s="1"/>
  <c r="BB137" i="2"/>
  <c r="BB153" i="2"/>
  <c r="BB156" i="2"/>
  <c r="BB162" i="2"/>
  <c r="BB164" i="2"/>
  <c r="BB154" i="2"/>
  <c r="BB158" i="2"/>
  <c r="BB165" i="2"/>
  <c r="BB155" i="2"/>
  <c r="BB145" i="2"/>
  <c r="BB143" i="2"/>
  <c r="BB142" i="2"/>
  <c r="BB122" i="2"/>
  <c r="BB116" i="2"/>
  <c r="BB118" i="2"/>
  <c r="BB117" i="2"/>
  <c r="BB124" i="2"/>
  <c r="BB123" i="2"/>
  <c r="BB115" i="2"/>
  <c r="BB113" i="2"/>
  <c r="BB119" i="2" s="1"/>
  <c r="BB521" i="2"/>
  <c r="BB522" i="2" s="1"/>
  <c r="BB523" i="2" s="1"/>
  <c r="BB535" i="2"/>
  <c r="BB536" i="2" s="1"/>
  <c r="BB538" i="2" s="1"/>
  <c r="BH583" i="2"/>
  <c r="BH589" i="2" s="1"/>
  <c r="BH504" i="2" s="1"/>
  <c r="BB549" i="2"/>
  <c r="BB550" i="2" s="1"/>
  <c r="BB552" i="2" s="1"/>
  <c r="BB507" i="2"/>
  <c r="BB508" i="2" s="1"/>
  <c r="BB510" i="2" s="1"/>
  <c r="BB563" i="2"/>
  <c r="BB564" i="2" s="1"/>
  <c r="BB566" i="2" s="1"/>
  <c r="BB463" i="2"/>
  <c r="BB159" i="2" l="1"/>
  <c r="BB166" i="2"/>
  <c r="BB146" i="2"/>
  <c r="BB148" i="2" s="1"/>
  <c r="BB168" i="2"/>
  <c r="BB126" i="2"/>
  <c r="BB128" i="2" s="1"/>
  <c r="BG39" i="2"/>
  <c r="BH39" i="2" s="1"/>
  <c r="EB260" i="2"/>
  <c r="BB551" i="2"/>
  <c r="BB553" i="2" s="1"/>
  <c r="BB555" i="2" s="1"/>
  <c r="BB561" i="2" s="1"/>
  <c r="BB537" i="2"/>
  <c r="BB539" i="2" s="1"/>
  <c r="BB524" i="2"/>
  <c r="BB525" i="2" s="1"/>
  <c r="BB527" i="2" s="1"/>
  <c r="BB533" i="2" s="1"/>
  <c r="BB509" i="2"/>
  <c r="BB511" i="2" s="1"/>
  <c r="BB513" i="2" s="1"/>
  <c r="BB519" i="2" s="1"/>
  <c r="BB565" i="2"/>
  <c r="BB567" i="2" s="1"/>
  <c r="BB569" i="2" s="1"/>
  <c r="BB575" i="2" s="1"/>
  <c r="T37" i="4"/>
  <c r="Q37" i="4"/>
  <c r="BB103" i="2" l="1"/>
  <c r="BH130" i="2"/>
  <c r="BH110" i="2"/>
  <c r="AB661" i="2"/>
  <c r="BH150" i="2" l="1"/>
  <c r="BB102" i="2"/>
  <c r="BB101" i="2"/>
  <c r="BH105" i="2" l="1"/>
  <c r="BG37" i="2"/>
  <c r="BH37" i="2" s="1"/>
  <c r="BH100" i="2" l="1"/>
  <c r="BH106" i="2" s="1"/>
  <c r="BB33" i="2" l="1"/>
  <c r="BD3" i="2"/>
  <c r="BC3" i="2" s="1"/>
  <c r="AA586" i="2" l="1"/>
  <c r="AA550" i="2"/>
  <c r="AB550" i="2" s="1"/>
  <c r="AA536" i="2"/>
  <c r="AB536" i="2" s="1"/>
  <c r="AA522" i="2"/>
  <c r="AB522" i="2" s="1"/>
  <c r="AA508" i="2"/>
  <c r="AB508" i="2" s="1"/>
  <c r="BA464" i="2"/>
  <c r="AA464" i="2"/>
  <c r="AB464" i="2" s="1"/>
  <c r="BA450" i="2"/>
  <c r="AA450" i="2"/>
  <c r="AB450" i="2" s="1"/>
  <c r="BA436" i="2"/>
  <c r="AA436" i="2"/>
  <c r="AB436" i="2" s="1"/>
  <c r="BA422" i="2"/>
  <c r="AA422" i="2"/>
  <c r="AB422" i="2" s="1"/>
  <c r="BA408" i="2"/>
  <c r="AA408" i="2"/>
  <c r="AA564" i="2"/>
  <c r="AB564" i="2" s="1"/>
  <c r="AB438" i="2" l="1"/>
  <c r="AB437" i="2"/>
  <c r="AB551" i="2"/>
  <c r="AB552" i="2"/>
  <c r="AB510" i="2"/>
  <c r="AB509" i="2"/>
  <c r="AB523" i="2"/>
  <c r="AB524" i="2"/>
  <c r="AB537" i="2"/>
  <c r="AB538" i="2"/>
  <c r="AB452" i="2"/>
  <c r="AB451" i="2"/>
  <c r="AB424" i="2"/>
  <c r="AB423" i="2"/>
  <c r="AB566" i="2"/>
  <c r="AB565" i="2"/>
  <c r="AB466" i="2"/>
  <c r="AB465" i="2"/>
  <c r="BE467" i="2"/>
  <c r="AE467" i="2"/>
  <c r="AF467" i="2" s="1"/>
  <c r="BH463" i="2"/>
  <c r="BG463" i="2"/>
  <c r="BF463" i="2"/>
  <c r="BE453" i="2"/>
  <c r="AE453" i="2"/>
  <c r="AF453" i="2" s="1"/>
  <c r="BH449" i="2"/>
  <c r="BG449" i="2"/>
  <c r="BF449" i="2"/>
  <c r="BD449" i="2"/>
  <c r="BC449" i="2"/>
  <c r="BE439" i="2"/>
  <c r="AE439" i="2"/>
  <c r="AF439" i="2" s="1"/>
  <c r="BH435" i="2"/>
  <c r="BG435" i="2"/>
  <c r="BF435" i="2"/>
  <c r="BD435" i="2"/>
  <c r="BC435" i="2"/>
  <c r="BE425" i="2"/>
  <c r="AE425" i="2"/>
  <c r="AF425" i="2" s="1"/>
  <c r="BH421" i="2"/>
  <c r="BG421" i="2"/>
  <c r="BF421" i="2"/>
  <c r="BD421" i="2"/>
  <c r="BC421" i="2"/>
  <c r="BE411" i="2"/>
  <c r="AE411" i="2"/>
  <c r="AF411" i="2" s="1"/>
  <c r="BH407" i="2"/>
  <c r="BG407" i="2"/>
  <c r="BF407" i="2"/>
  <c r="BD407" i="2"/>
  <c r="BC407" i="2"/>
  <c r="BA312" i="2"/>
  <c r="AA312" i="2"/>
  <c r="AB312" i="2" s="1"/>
  <c r="BD311" i="2"/>
  <c r="BD214" i="2"/>
  <c r="BB214" i="2" s="1"/>
  <c r="BF213" i="2"/>
  <c r="AA161" i="2"/>
  <c r="AB161" i="2" s="1"/>
  <c r="AA152" i="2"/>
  <c r="AB152" i="2" s="1"/>
  <c r="AA141" i="2"/>
  <c r="AB141" i="2" s="1"/>
  <c r="AA132" i="2"/>
  <c r="AB132" i="2" s="1"/>
  <c r="AA121" i="2"/>
  <c r="AB121" i="2" s="1"/>
  <c r="AA112" i="2"/>
  <c r="AB112" i="2" s="1"/>
  <c r="AB113" i="2" s="1"/>
  <c r="BA19" i="2"/>
  <c r="AA19" i="2"/>
  <c r="BE15" i="2"/>
  <c r="AE15" i="2"/>
  <c r="AF15" i="2" s="1"/>
  <c r="BE13" i="2"/>
  <c r="BH13" i="2" s="1"/>
  <c r="AE13" i="2"/>
  <c r="BE11" i="2"/>
  <c r="BH11" i="2" s="1"/>
  <c r="AE11" i="2"/>
  <c r="AG13" i="2" l="1"/>
  <c r="AH13" i="2"/>
  <c r="AH11" i="2"/>
  <c r="AG11" i="2"/>
  <c r="AB145" i="2"/>
  <c r="AB142" i="2"/>
  <c r="AB144" i="2"/>
  <c r="AB143" i="2"/>
  <c r="AB122" i="2"/>
  <c r="AB125" i="2"/>
  <c r="AB134" i="2"/>
  <c r="AB135" i="2"/>
  <c r="AB137" i="2"/>
  <c r="AB138" i="2"/>
  <c r="AB133" i="2"/>
  <c r="AB157" i="2"/>
  <c r="AB154" i="2"/>
  <c r="AB153" i="2"/>
  <c r="AB158" i="2"/>
  <c r="AB155" i="2"/>
  <c r="AB164" i="2"/>
  <c r="AB165" i="2"/>
  <c r="AB163" i="2"/>
  <c r="AB115" i="2"/>
  <c r="AB118" i="2"/>
  <c r="AB117" i="2"/>
  <c r="AB114" i="2"/>
  <c r="AB116" i="2"/>
  <c r="AB124" i="2"/>
  <c r="AB123" i="2"/>
  <c r="AB156" i="2"/>
  <c r="AB162" i="2"/>
  <c r="BG38" i="2"/>
  <c r="BH38" i="2" s="1"/>
  <c r="BH210" i="2"/>
  <c r="AB136" i="2"/>
  <c r="BG13" i="2"/>
  <c r="AG12" i="2"/>
  <c r="BG11" i="2"/>
  <c r="AB553" i="2"/>
  <c r="AB555" i="2" s="1"/>
  <c r="AB561" i="2" s="1"/>
  <c r="AB504" i="2" s="1"/>
  <c r="AB453" i="2"/>
  <c r="AB425" i="2"/>
  <c r="AB467" i="2"/>
  <c r="AB439" i="2"/>
  <c r="AB511" i="2"/>
  <c r="AB513" i="2" s="1"/>
  <c r="AB519" i="2" s="1"/>
  <c r="AB501" i="2" s="1"/>
  <c r="AB567" i="2"/>
  <c r="AB569" i="2" s="1"/>
  <c r="AB575" i="2" s="1"/>
  <c r="AB505" i="2" s="1"/>
  <c r="AB539" i="2"/>
  <c r="AB541" i="2" s="1"/>
  <c r="AB547" i="2" s="1"/>
  <c r="AB503" i="2" s="1"/>
  <c r="AB313" i="2"/>
  <c r="AB314" i="2"/>
  <c r="AB525" i="2"/>
  <c r="AB527" i="2" s="1"/>
  <c r="AB533" i="2" s="1"/>
  <c r="AB502" i="2" s="1"/>
  <c r="AF11" i="2"/>
  <c r="AB19" i="2"/>
  <c r="AC19" i="2"/>
  <c r="AF440" i="2"/>
  <c r="AF441" i="2"/>
  <c r="AF442" i="2"/>
  <c r="AF454" i="2"/>
  <c r="AF455" i="2"/>
  <c r="AF456" i="2"/>
  <c r="AF426" i="2"/>
  <c r="AF428" i="2"/>
  <c r="AF427" i="2"/>
  <c r="BC19" i="2"/>
  <c r="BB19" i="2"/>
  <c r="AF412" i="2"/>
  <c r="AF413" i="2"/>
  <c r="AF414" i="2"/>
  <c r="AF13" i="2"/>
  <c r="AF468" i="2"/>
  <c r="AF469" i="2"/>
  <c r="AF470" i="2"/>
  <c r="BG16" i="2"/>
  <c r="BB216" i="2"/>
  <c r="BF15" i="2"/>
  <c r="BB311" i="2"/>
  <c r="BB312" i="2" s="1"/>
  <c r="BB313" i="2" s="1"/>
  <c r="BF13" i="2"/>
  <c r="BF11" i="2"/>
  <c r="BF12" i="2"/>
  <c r="BB449" i="2"/>
  <c r="BB450" i="2" s="1"/>
  <c r="BB452" i="2" s="1"/>
  <c r="BB435" i="2"/>
  <c r="BB436" i="2" s="1"/>
  <c r="BB437" i="2" s="1"/>
  <c r="BF410" i="2"/>
  <c r="BF411" i="2" s="1"/>
  <c r="BF414" i="2" s="1"/>
  <c r="BF16" i="2"/>
  <c r="BF17" i="2"/>
  <c r="BB407" i="2"/>
  <c r="BB408" i="2" s="1"/>
  <c r="BB409" i="2" s="1"/>
  <c r="BF214" i="2"/>
  <c r="BG214" i="2" s="1"/>
  <c r="BB464" i="2"/>
  <c r="BB465" i="2" s="1"/>
  <c r="BB421" i="2"/>
  <c r="BB422" i="2" s="1"/>
  <c r="BB424" i="2" s="1"/>
  <c r="BF438" i="2"/>
  <c r="BF439" i="2" s="1"/>
  <c r="BF440" i="2" s="1"/>
  <c r="BF466" i="2"/>
  <c r="BF467" i="2" s="1"/>
  <c r="BF468" i="2" s="1"/>
  <c r="BF424" i="2"/>
  <c r="BF425" i="2" s="1"/>
  <c r="BF428" i="2" s="1"/>
  <c r="BF452" i="2"/>
  <c r="BF453" i="2" s="1"/>
  <c r="BF455" i="2" s="1"/>
  <c r="AB139" i="2" l="1"/>
  <c r="AB119" i="2"/>
  <c r="AB159" i="2"/>
  <c r="AB166" i="2"/>
  <c r="AB126" i="2"/>
  <c r="AB146" i="2"/>
  <c r="AI119" i="2"/>
  <c r="AB469" i="2"/>
  <c r="AB475" i="2" s="1"/>
  <c r="AB455" i="2"/>
  <c r="AB461" i="2" s="1"/>
  <c r="AB441" i="2"/>
  <c r="AB447" i="2" s="1"/>
  <c r="AB427" i="2"/>
  <c r="AB433" i="2" s="1"/>
  <c r="AH505" i="2"/>
  <c r="AH502" i="2" s="1"/>
  <c r="AH500" i="2" s="1"/>
  <c r="AD7" i="2" s="1"/>
  <c r="AB319" i="2"/>
  <c r="AB321" i="2" s="1"/>
  <c r="AH440" i="2"/>
  <c r="AB440" i="2" s="1"/>
  <c r="BB21" i="2"/>
  <c r="BB20" i="2"/>
  <c r="AH468" i="2"/>
  <c r="AB468" i="2" s="1"/>
  <c r="AC20" i="2"/>
  <c r="AC21" i="2"/>
  <c r="AB20" i="2"/>
  <c r="AB21" i="2"/>
  <c r="AH426" i="2"/>
  <c r="AB426" i="2" s="1"/>
  <c r="AH412" i="2"/>
  <c r="AB412" i="2" s="1"/>
  <c r="AH454" i="2"/>
  <c r="AB454" i="2" s="1"/>
  <c r="BC20" i="2"/>
  <c r="BC21" i="2"/>
  <c r="BF412" i="2"/>
  <c r="BF413" i="2"/>
  <c r="BB451" i="2"/>
  <c r="BB453" i="2" s="1"/>
  <c r="BF456" i="2"/>
  <c r="BF454" i="2"/>
  <c r="BB438" i="2"/>
  <c r="BB439" i="2" s="1"/>
  <c r="BB314" i="2"/>
  <c r="BB319" i="2" s="1"/>
  <c r="BB321" i="2" s="1"/>
  <c r="BF426" i="2"/>
  <c r="BB466" i="2"/>
  <c r="BB467" i="2" s="1"/>
  <c r="BF427" i="2"/>
  <c r="BB423" i="2"/>
  <c r="BB425" i="2" s="1"/>
  <c r="BF470" i="2"/>
  <c r="BF469" i="2"/>
  <c r="BF442" i="2"/>
  <c r="BF441" i="2"/>
  <c r="BB410" i="2"/>
  <c r="BB411" i="2" s="1"/>
  <c r="AB148" i="2" l="1"/>
  <c r="AI130" i="2" s="1"/>
  <c r="AB128" i="2"/>
  <c r="AH110" i="2" s="1"/>
  <c r="AB168" i="2"/>
  <c r="AB103" i="2" s="1"/>
  <c r="AI319" i="2"/>
  <c r="AI500" i="2"/>
  <c r="BB22" i="2"/>
  <c r="BD17" i="2" s="1"/>
  <c r="BH17" i="2" s="1"/>
  <c r="AC323" i="2"/>
  <c r="AH319" i="2"/>
  <c r="AF319" i="2" s="1"/>
  <c r="AG502" i="2"/>
  <c r="AC8" i="2" s="1"/>
  <c r="BC22" i="2"/>
  <c r="BD15" i="2" s="1"/>
  <c r="BH15" i="2" s="1"/>
  <c r="AH470" i="2"/>
  <c r="AH469" i="2"/>
  <c r="AH427" i="2"/>
  <c r="AH428" i="2"/>
  <c r="AC22" i="2"/>
  <c r="AD15" i="2" s="1"/>
  <c r="AH15" i="2" s="1"/>
  <c r="AH455" i="2"/>
  <c r="AH456" i="2"/>
  <c r="AB22" i="2"/>
  <c r="AD17" i="2" s="1"/>
  <c r="AH442" i="2"/>
  <c r="AH441" i="2"/>
  <c r="AH414" i="2"/>
  <c r="AH413" i="2"/>
  <c r="BD4" i="2"/>
  <c r="BB217" i="2"/>
  <c r="BC323" i="2"/>
  <c r="BB323" i="2" s="1"/>
  <c r="BH319" i="2"/>
  <c r="BF319" i="2" s="1"/>
  <c r="BH468" i="2"/>
  <c r="BH454" i="2"/>
  <c r="BH456" i="2" s="1"/>
  <c r="BB454" i="2" s="1"/>
  <c r="BB459" i="2" s="1"/>
  <c r="BB404" i="2" s="1"/>
  <c r="BH440" i="2"/>
  <c r="BH426" i="2"/>
  <c r="BH412" i="2"/>
  <c r="BB412" i="2" s="1"/>
  <c r="BB455" i="2"/>
  <c r="BB461" i="2" s="1"/>
  <c r="BB413" i="2"/>
  <c r="BB419" i="2" s="1"/>
  <c r="BB469" i="2"/>
  <c r="BB475" i="2" s="1"/>
  <c r="BB441" i="2"/>
  <c r="BB447" i="2" s="1"/>
  <c r="BB427" i="2"/>
  <c r="BB433" i="2" s="1"/>
  <c r="AB102" i="2" l="1"/>
  <c r="AH130" i="2"/>
  <c r="AB323" i="2"/>
  <c r="AH321" i="2" s="1"/>
  <c r="AF321" i="2" s="1"/>
  <c r="AI110" i="2"/>
  <c r="AB101" i="2"/>
  <c r="AH17" i="2"/>
  <c r="AH22" i="2" s="1"/>
  <c r="AG17" i="2"/>
  <c r="BH22" i="2"/>
  <c r="AC7" i="2"/>
  <c r="BH469" i="2"/>
  <c r="BB468" i="2"/>
  <c r="AB473" i="2"/>
  <c r="AB405" i="2" s="1"/>
  <c r="AB459" i="2"/>
  <c r="AB404" i="2" s="1"/>
  <c r="AB445" i="2"/>
  <c r="AB403" i="2" s="1"/>
  <c r="AB431" i="2"/>
  <c r="AB402" i="2" s="1"/>
  <c r="BG17" i="2"/>
  <c r="BG15" i="2"/>
  <c r="BG24" i="2"/>
  <c r="AI150" i="2"/>
  <c r="AH150" i="2"/>
  <c r="AG15" i="2"/>
  <c r="BC4" i="2"/>
  <c r="BH321" i="2"/>
  <c r="BF321" i="2" s="1"/>
  <c r="BH470" i="2"/>
  <c r="BH441" i="2"/>
  <c r="BH427" i="2"/>
  <c r="BH455" i="2"/>
  <c r="BH442" i="2"/>
  <c r="BB440" i="2" s="1"/>
  <c r="BB445" i="2" s="1"/>
  <c r="BB403" i="2" s="1"/>
  <c r="BH428" i="2"/>
  <c r="BH414" i="2"/>
  <c r="BH413" i="2"/>
  <c r="AH105" i="2" l="1"/>
  <c r="AI100" i="2" s="1"/>
  <c r="AI321" i="2"/>
  <c r="AG37" i="2"/>
  <c r="AH37" i="2" s="1"/>
  <c r="AI105" i="2" s="1"/>
  <c r="AG24" i="2"/>
  <c r="BB426" i="2"/>
  <c r="BB431" i="2" s="1"/>
  <c r="BB402" i="2" s="1"/>
  <c r="BB417" i="2"/>
  <c r="BB473" i="2"/>
  <c r="BB405" i="2" s="1"/>
  <c r="AF24" i="2"/>
  <c r="BF24" i="2"/>
  <c r="AH100" i="2" l="1"/>
  <c r="AH106" i="2" s="1"/>
  <c r="BB24" i="2"/>
  <c r="BJ10" i="2"/>
  <c r="BH10" i="2"/>
  <c r="BG23" i="2" s="1"/>
  <c r="AB24" i="2"/>
  <c r="AJ10" i="2"/>
  <c r="AH10" i="2"/>
  <c r="BH405" i="2"/>
  <c r="AD3" i="2" l="1"/>
  <c r="AC3" i="2" s="1"/>
  <c r="AB33" i="2"/>
  <c r="AG23" i="2"/>
  <c r="AD2" i="2"/>
  <c r="BC27" i="2"/>
  <c r="BB32" i="2"/>
  <c r="BD2" i="2"/>
  <c r="BC2" i="2" s="1"/>
  <c r="AC27" i="2"/>
  <c r="AB32" i="2"/>
  <c r="AB30" i="2" s="1"/>
  <c r="AM667" i="2" a="1"/>
  <c r="AM667" i="2" s="1"/>
  <c r="B21" i="4" s="1"/>
  <c r="AM672" i="2" a="1"/>
  <c r="AM672" i="2" s="1"/>
  <c r="B26" i="4" s="1"/>
  <c r="AM662" i="2" a="1"/>
  <c r="AM662" i="2" s="1"/>
  <c r="B16" i="4" s="1"/>
  <c r="AM674" i="2" a="1"/>
  <c r="AM674" i="2" s="1"/>
  <c r="B28" i="4" s="1"/>
  <c r="AM664" i="2" a="1"/>
  <c r="AM664" i="2" s="1"/>
  <c r="B18" i="4" s="1"/>
  <c r="AM679" i="2" a="1"/>
  <c r="AM679" i="2" s="1"/>
  <c r="B33" i="4" s="1"/>
  <c r="AM676" i="2" a="1"/>
  <c r="AM676" i="2" s="1"/>
  <c r="B30" i="4" s="1"/>
  <c r="AM678" i="2" a="1"/>
  <c r="AM678" i="2" s="1"/>
  <c r="B32" i="4" s="1"/>
  <c r="AM666" i="2" a="1"/>
  <c r="AM666" i="2" s="1"/>
  <c r="B20" i="4" s="1"/>
  <c r="AM663" i="2" a="1"/>
  <c r="AM663" i="2" s="1"/>
  <c r="B17" i="4" s="1"/>
  <c r="AM677" i="2" a="1"/>
  <c r="AM677" i="2" s="1"/>
  <c r="B31" i="4" s="1"/>
  <c r="AM681" i="2" a="1"/>
  <c r="AM681" i="2" s="1"/>
  <c r="B35" i="4" s="1"/>
  <c r="AM671" i="2" a="1"/>
  <c r="AM671" i="2" s="1"/>
  <c r="B25" i="4" s="1"/>
  <c r="AM669" i="2" a="1"/>
  <c r="AM669" i="2" s="1"/>
  <c r="B23" i="4" s="1"/>
  <c r="AM673" i="2" a="1"/>
  <c r="AM673" i="2" s="1"/>
  <c r="B27" i="4" s="1"/>
  <c r="AM665" i="2" a="1"/>
  <c r="AM665" i="2" s="1"/>
  <c r="B19" i="4" s="1"/>
  <c r="AM670" i="2" a="1"/>
  <c r="AM670" i="2" s="1"/>
  <c r="B24" i="4" s="1"/>
  <c r="AM668" i="2" a="1"/>
  <c r="AM668" i="2" s="1"/>
  <c r="B22" i="4" s="1"/>
  <c r="AM675" i="2" a="1"/>
  <c r="AM675" i="2" s="1"/>
  <c r="B29" i="4" s="1"/>
  <c r="AM680" i="2" a="1"/>
  <c r="AM680" i="2" s="1"/>
  <c r="B34" i="4" s="1"/>
  <c r="BH400" i="2"/>
  <c r="BH404" i="2" s="1"/>
  <c r="BB1" i="2"/>
  <c r="BG3" i="2" s="1"/>
  <c r="AC2" i="2" l="1"/>
  <c r="BB30" i="2"/>
  <c r="BB35" i="2"/>
  <c r="BB34" i="2"/>
  <c r="AB35" i="2"/>
  <c r="AB34" i="2"/>
  <c r="BE30" i="2"/>
  <c r="AE30" i="2"/>
  <c r="BD6" i="2"/>
  <c r="BC6" i="2" s="1"/>
  <c r="BB36" i="2" l="1"/>
  <c r="BC37" i="2" s="1"/>
  <c r="BB37" i="2" s="1"/>
  <c r="BB38" i="2" s="1"/>
  <c r="BC38" i="2" s="1"/>
  <c r="AB36" i="2"/>
  <c r="AC37" i="2" s="1"/>
  <c r="AB37" i="2" s="1"/>
  <c r="AD37" i="2" s="1"/>
  <c r="AA31" i="2" s="1"/>
  <c r="BB505" i="2"/>
  <c r="BB541" i="2"/>
  <c r="BB501" i="2"/>
  <c r="BB502" i="2"/>
  <c r="BB39" i="2" l="1"/>
  <c r="BC39" i="2" s="1"/>
  <c r="BB40" i="2" s="1"/>
  <c r="BB31" i="2" s="1"/>
  <c r="BD37" i="2"/>
  <c r="BA31" i="2" s="1"/>
  <c r="AB39" i="2"/>
  <c r="AC39" i="2" s="1"/>
  <c r="AB38" i="2"/>
  <c r="AC38" i="2" s="1"/>
  <c r="BB547" i="2"/>
  <c r="BB503" i="2" s="1"/>
  <c r="BB504" i="2"/>
  <c r="AB40" i="2" l="1"/>
  <c r="AB31" i="2" s="1"/>
  <c r="BH505" i="2"/>
  <c r="BH502" i="2" l="1"/>
  <c r="BH500" i="2" l="1"/>
  <c r="BG502" i="2" s="1"/>
  <c r="BC8" i="2" s="1"/>
  <c r="BD7" i="2" l="1"/>
  <c r="BC7" i="2" s="1"/>
  <c r="EB163" i="2" l="1"/>
  <c r="EB321" i="2"/>
  <c r="EB474" i="2"/>
  <c r="EB121" i="2"/>
  <c r="EB123" i="2" s="1"/>
  <c r="EB460" i="2"/>
  <c r="EB432" i="2"/>
  <c r="EB418" i="2"/>
  <c r="EB230" i="2"/>
  <c r="EB143" i="2"/>
  <c r="EB446" i="2"/>
  <c r="EB126" i="2" l="1"/>
  <c r="EB128" i="2" s="1"/>
  <c r="EC101" i="2" s="1"/>
  <c r="EB124" i="2"/>
  <c r="EB278" i="2"/>
  <c r="EB277" i="2"/>
  <c r="EB322" i="2"/>
  <c r="EB324" i="2" s="1"/>
  <c r="EB325" i="2" s="1"/>
  <c r="EB327" i="2" s="1"/>
  <c r="EB404" i="2"/>
  <c r="EB461" i="2"/>
  <c r="EB166" i="2"/>
  <c r="EB164" i="2"/>
  <c r="EB447" i="2"/>
  <c r="EB403" i="2"/>
  <c r="EB433" i="2"/>
  <c r="EB402" i="2"/>
  <c r="EB419" i="2"/>
  <c r="EB401" i="2"/>
  <c r="EB405" i="2"/>
  <c r="EB475" i="2"/>
  <c r="EB144" i="2"/>
  <c r="EB146" i="2"/>
  <c r="EB148" i="2" s="1"/>
  <c r="EH310" i="2" l="1"/>
  <c r="EH269" i="2"/>
  <c r="EG311" i="2"/>
  <c r="EH128" i="2"/>
  <c r="EH110" i="2"/>
  <c r="EH148" i="2"/>
  <c r="EC102" i="2"/>
  <c r="EH130" i="2"/>
  <c r="EB289" i="2"/>
  <c r="EH405" i="2"/>
  <c r="EH400" i="2" s="1"/>
  <c r="EB168" i="2"/>
  <c r="EB102" i="2"/>
  <c r="EB101" i="2"/>
  <c r="EH168" i="2" l="1"/>
  <c r="EC103" i="2"/>
  <c r="EH106" i="2" s="1"/>
  <c r="EH150" i="2"/>
  <c r="EH404" i="2"/>
  <c r="EB103" i="2"/>
  <c r="EH105" i="2" s="1"/>
  <c r="EH100" i="2" l="1"/>
  <c r="F103" i="2"/>
  <c r="F104" i="2" s="1"/>
  <c r="F105" i="2" s="1"/>
  <c r="F106" i="2" s="1"/>
  <c r="F107" i="2" s="1"/>
  <c r="F108" i="2" s="1"/>
  <c r="D106" i="2"/>
  <c r="D113" i="2"/>
  <c r="D109" i="2"/>
  <c r="D104" i="2"/>
  <c r="D103" i="2"/>
  <c r="D112" i="2"/>
  <c r="D114" i="2"/>
  <c r="D107" i="2"/>
  <c r="D110" i="2"/>
  <c r="D111" i="2"/>
  <c r="D108" i="2"/>
  <c r="D105" i="2"/>
  <c r="D118" i="2"/>
  <c r="E118" i="2"/>
  <c r="C118" i="2"/>
  <c r="C122" i="2"/>
  <c r="D122" i="2" s="1"/>
  <c r="C123" i="2"/>
  <c r="D123" i="2" s="1"/>
  <c r="E102" i="2" l="1"/>
  <c r="AC407" i="2"/>
  <c r="AB407" i="2" l="1"/>
  <c r="AB408" i="2" s="1"/>
  <c r="AB410" i="2" s="1"/>
  <c r="AB409" i="2" l="1"/>
  <c r="AB411" i="2" s="1"/>
  <c r="AB417" i="2" s="1"/>
  <c r="AB413" i="2" l="1"/>
  <c r="AB419" i="2" s="1"/>
  <c r="AH405" i="2" l="1"/>
  <c r="AI400" i="2" l="1"/>
  <c r="AH400" i="2"/>
  <c r="AD6" i="2" s="1"/>
  <c r="AH404" i="2" l="1"/>
  <c r="AC6" i="2" s="1"/>
  <c r="AD933" i="2" l="1"/>
  <c r="AB940" i="2"/>
  <c r="AB935" i="2" l="1"/>
  <c r="AE932" i="2"/>
  <c r="AB936" i="2" l="1"/>
  <c r="AD932" i="2"/>
  <c r="AB941" i="2"/>
  <c r="AE935" i="2"/>
  <c r="AB942" i="2" l="1"/>
  <c r="AF932" i="2"/>
  <c r="AD935" i="2"/>
  <c r="AE942" i="2" l="1"/>
  <c r="AC943" i="2"/>
  <c r="AF935" i="2"/>
  <c r="AB943" i="2" l="1"/>
  <c r="AD943" i="2" l="1"/>
  <c r="AA942" i="2" s="1"/>
</calcChain>
</file>

<file path=xl/comments1.xml><?xml version="1.0" encoding="utf-8"?>
<comments xmlns="http://schemas.openxmlformats.org/spreadsheetml/2006/main">
  <authors>
    <author>alfredo.perezg@noexternalmail.hsbc.com</author>
  </authors>
  <commentList>
    <comment ref="AA19" authorId="0" shapeId="0">
      <text>
        <r>
          <rPr>
            <b/>
            <sz val="9"/>
            <color indexed="81"/>
            <rFont val="Tahoma"/>
            <family val="2"/>
          </rPr>
          <t>13.Abril.2020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<sst xmlns="http://schemas.openxmlformats.org/spreadsheetml/2006/main" count="3146" uniqueCount="740">
  <si>
    <t>MONTO QUE REQUISITA EL TITULAR</t>
  </si>
  <si>
    <t>ING. MIN. TITULAR</t>
  </si>
  <si>
    <t>Declaracion</t>
  </si>
  <si>
    <t>HIPOTECARIO Titular</t>
  </si>
  <si>
    <t>HIPOTECARIO Coacreditado</t>
  </si>
  <si>
    <t>AUTOS Titular</t>
  </si>
  <si>
    <t>AUTOS Coacreditado</t>
  </si>
  <si>
    <t>Estados de Cuenta Efectivo</t>
  </si>
  <si>
    <t>Declaracion PM</t>
  </si>
  <si>
    <t>ING. MIN. COACREDITADO</t>
  </si>
  <si>
    <t>Estados de Cuenta Nomina</t>
  </si>
  <si>
    <t>Recibos de Nomina</t>
  </si>
  <si>
    <t>MONTO QUE COMPRUEBA EL TITULAR</t>
  </si>
  <si>
    <t>MONTO QUE COMPRUEBA EL COACREDITADO</t>
  </si>
  <si>
    <t>HIPOTECARIO</t>
  </si>
  <si>
    <t>DECLARACION ANUAL</t>
  </si>
  <si>
    <t>(Afectación al ingreso clientes no asalariados)</t>
  </si>
  <si>
    <t>ARRENDAMIENTO</t>
  </si>
  <si>
    <t>TIPO DE PERSONA</t>
  </si>
  <si>
    <t>EDO CTA</t>
  </si>
  <si>
    <t>PROFESIONISTA INDEPENDIENTE</t>
  </si>
  <si>
    <t>(actividad)</t>
  </si>
  <si>
    <t>INVERSIONES - INTERESES</t>
  </si>
  <si>
    <t>Profesionista Independiente</t>
  </si>
  <si>
    <r>
      <t xml:space="preserve">Dividendos o Utilidades </t>
    </r>
    <r>
      <rPr>
        <b/>
        <sz val="8"/>
        <rFont val="Consolas"/>
        <family val="3"/>
      </rPr>
      <t>(Ejercicio ANTERIOR)</t>
    </r>
  </si>
  <si>
    <t>Actividad Empresarial PFAE (SERVICIO)</t>
  </si>
  <si>
    <r>
      <t xml:space="preserve">Dividendos o Utilidades </t>
    </r>
    <r>
      <rPr>
        <b/>
        <sz val="8"/>
        <rFont val="Consolas"/>
        <family val="3"/>
      </rPr>
      <t>(Ejercicio ACTUAL)</t>
    </r>
  </si>
  <si>
    <t>Mixtos</t>
  </si>
  <si>
    <t>Arrendamiento</t>
  </si>
  <si>
    <t>Regimen de Incorporacion Fiscal (SERVICIO)</t>
  </si>
  <si>
    <t>Inversiones / Intereses</t>
  </si>
  <si>
    <t>Promedio</t>
  </si>
  <si>
    <t>Mes1</t>
  </si>
  <si>
    <t>Utilidades/Dividendos</t>
  </si>
  <si>
    <t>Mes2</t>
  </si>
  <si>
    <t>Promedio Valido</t>
  </si>
  <si>
    <t>(PM) SERVICIO</t>
  </si>
  <si>
    <t>(PM) COMERCIO</t>
  </si>
  <si>
    <t>Regla del 30%</t>
  </si>
  <si>
    <t>Declaracion (RIF)</t>
  </si>
  <si>
    <t>Estado de Cuenta Efectivo</t>
  </si>
  <si>
    <t>Estado de Cuenta Nomina</t>
  </si>
  <si>
    <t>PJ</t>
  </si>
  <si>
    <t>ESTADO DE CUENTA EFECTIVO</t>
  </si>
  <si>
    <t>AUTOS</t>
  </si>
  <si>
    <t>Mes3</t>
  </si>
  <si>
    <t>Mes4</t>
  </si>
  <si>
    <t>Declaracion Anual</t>
  </si>
  <si>
    <t>Mes5</t>
  </si>
  <si>
    <t>Mes6</t>
  </si>
  <si>
    <t>(Factor de afectación al ingreso)</t>
  </si>
  <si>
    <t>DECLARACION ANUAL PM</t>
  </si>
  <si>
    <t>Ingreso Mensual</t>
  </si>
  <si>
    <t>Participacion Accionaria</t>
  </si>
  <si>
    <t>ESTADO DE CUENTA NOMINA</t>
  </si>
  <si>
    <t>Empleo #1</t>
  </si>
  <si>
    <t>Empleo #2</t>
  </si>
  <si>
    <t>Empleo #3</t>
  </si>
  <si>
    <t>Empleo #4</t>
  </si>
  <si>
    <t>Empleo #5</t>
  </si>
  <si>
    <t>Promedio Valido Recibos de Nomina</t>
  </si>
  <si>
    <t>1° RECIBOS DE NOMINA</t>
  </si>
  <si>
    <t>Promedio Valido Bonos</t>
  </si>
  <si>
    <t>1° Bonos Trimestrales de NOMINA</t>
  </si>
  <si>
    <t>Obligaciones Duplicadas</t>
  </si>
  <si>
    <t>Banco #1</t>
  </si>
  <si>
    <t>Ejercicio de la Declaracion</t>
  </si>
  <si>
    <t>Banco #2</t>
  </si>
  <si>
    <t>Enero</t>
  </si>
  <si>
    <t>Banco #3</t>
  </si>
  <si>
    <t>Febrero</t>
  </si>
  <si>
    <t>Marzo</t>
  </si>
  <si>
    <t>Abril</t>
  </si>
  <si>
    <t>Mayo</t>
  </si>
  <si>
    <t>2° RECIBOS DE NOMINA</t>
  </si>
  <si>
    <t>Junio</t>
  </si>
  <si>
    <t>Julio</t>
  </si>
  <si>
    <t>Agosto</t>
  </si>
  <si>
    <t>ESTADO DE CUENTA EFECTIVO 1° BANCO</t>
  </si>
  <si>
    <t>2° Bonos Trimestrales de NOMINA</t>
  </si>
  <si>
    <t>Septiembre</t>
  </si>
  <si>
    <t>Octubre</t>
  </si>
  <si>
    <t>Noviembre</t>
  </si>
  <si>
    <t>Diciembre</t>
  </si>
  <si>
    <t>Estados de Cuenta</t>
  </si>
  <si>
    <t>Promedio para Profesionista Independiente</t>
  </si>
  <si>
    <t>3° RECIBOS DE NOMINA</t>
  </si>
  <si>
    <t>3° Bonos Trimestrales de NOMINA</t>
  </si>
  <si>
    <t>Promedio Valido para Profesionista Independiente</t>
  </si>
  <si>
    <t>ESTADO DE CUENTA EFECTIVO 2° BANCO</t>
  </si>
  <si>
    <t>4° RECIBOS DE NOMINA</t>
  </si>
  <si>
    <t>4° Bonos Trimestrales de NOMINA</t>
  </si>
  <si>
    <t>5° RECIBOS DE NOMINA</t>
  </si>
  <si>
    <t>ESTADO DE CUENTA EFECTIVO 3° BANCO</t>
  </si>
  <si>
    <t>5° Bonos Trimestrales de NOMINA</t>
  </si>
  <si>
    <t>Economina Americana</t>
  </si>
  <si>
    <t>Tipo de Cambio al dia de Hoy</t>
  </si>
  <si>
    <t>1° R N Economina Americana</t>
  </si>
  <si>
    <t>2° R N Economina Americana</t>
  </si>
  <si>
    <t>3° R N Economina Americana</t>
  </si>
  <si>
    <t>4° R N Economina Americana</t>
  </si>
  <si>
    <t>5° R N Economina Americana</t>
  </si>
  <si>
    <t>Gobierno Federal</t>
  </si>
  <si>
    <t>Poder Judicial</t>
  </si>
  <si>
    <t>0</t>
  </si>
  <si>
    <t>BALANCE TRANSFER</t>
  </si>
  <si>
    <t>PTI</t>
  </si>
  <si>
    <t>DTI</t>
  </si>
  <si>
    <t>PAGO MENSUAL:</t>
  </si>
  <si>
    <t>NIVEL DE RIESGO:</t>
  </si>
  <si>
    <t>PROYECCION DE LINEA 1</t>
  </si>
  <si>
    <t>PROYECCION DE LINEA 2</t>
  </si>
  <si>
    <t>INGRESO INFERIDO</t>
  </si>
  <si>
    <t>INGRESOS</t>
  </si>
  <si>
    <t>OBLIGACIONES</t>
  </si>
  <si>
    <t>CAPACIDAD FINAL / PAGO MENSUAL</t>
  </si>
  <si>
    <t>FACTOR DE PAGO</t>
  </si>
  <si>
    <t xml:space="preserve">LINEA MAXIMA </t>
  </si>
  <si>
    <t>BALANCE TRANFER</t>
  </si>
  <si>
    <t>Liquidez-TopUp</t>
  </si>
  <si>
    <t>TX_Liquidez_CO</t>
  </si>
  <si>
    <t>Liquidez</t>
  </si>
  <si>
    <t>Liquidez + Hipotecario</t>
  </si>
  <si>
    <t>Valor vivienda:</t>
  </si>
  <si>
    <t>Hipotecario Saldo (Kroner):</t>
  </si>
  <si>
    <t>Monto de Crédito Por Capacidad de Pago</t>
  </si>
  <si>
    <t>Liquidez 2</t>
  </si>
  <si>
    <t>Liquidez + Hipotecario 2</t>
  </si>
  <si>
    <t>Monto del Crédito</t>
  </si>
  <si>
    <t>Totales</t>
  </si>
  <si>
    <t>AUTOS Titular DECLARACION ANUAL</t>
  </si>
  <si>
    <t>AUTOS Titular ESTADO DE CUENTA EFECTIVO</t>
  </si>
  <si>
    <t>AUTOS Coacreditado DECLARACION ANUAL</t>
  </si>
  <si>
    <t>AUTOS Coacreditado ESTADO DE CUENTA EFECTIVO</t>
  </si>
  <si>
    <t>HIPOTECARIO Titular DECLARACION ANUAL</t>
  </si>
  <si>
    <t>HIPOTECARIO Titular ESTADO DE CUENTA EFECTIVO</t>
  </si>
  <si>
    <t>HIPOTECARIO Titular DECLARACION ANUAL PM</t>
  </si>
  <si>
    <t>HIPOTECARIO Coacreditado DECLARACION ANUAL</t>
  </si>
  <si>
    <t>HIPOTECARIO Coacreditado ESTADO DE CUENTA EFECTIVO</t>
  </si>
  <si>
    <t>HIPOTECARIO Titular ESTADO DE CUENTA NOMINA</t>
  </si>
  <si>
    <t>HIPOTECARIO Coacreditado ESTADO DE CUENTA NOMINA</t>
  </si>
  <si>
    <t>AUTOS Titular ESTADO DE CUENTA NOMINA</t>
  </si>
  <si>
    <t>AUTOS Coacreditado ESTADO DE CUENTA NOMINA</t>
  </si>
  <si>
    <t>HIPOTECARIO Titular RECIBOS DE NOMINA</t>
  </si>
  <si>
    <t>AUTOS Titular RECIBOS DE NOMINA</t>
  </si>
  <si>
    <t>AUTOS Coacreditado RECIBOS DE NOMINA</t>
  </si>
  <si>
    <t>HIPOTECARIO Titular ECONOMINA AMERICANA</t>
  </si>
  <si>
    <t>HIPOTECARIO Coacreditado RECIBOS DE NOMINA</t>
  </si>
  <si>
    <t>HIPOTECARIO Coacreditado ECONOMINA AMERICANA</t>
  </si>
  <si>
    <t>Actividad Empresarial PFAE (COMERCIO)/(SERVICIO)</t>
  </si>
  <si>
    <t>Regimen de Incorporacion Fiscal (COMERCIO)/(SERVICIO)</t>
  </si>
  <si>
    <t>Mes # 1</t>
  </si>
  <si>
    <t>Mes # 2</t>
  </si>
  <si>
    <t>Mes # 3</t>
  </si>
  <si>
    <t>Mes # 4</t>
  </si>
  <si>
    <t>Mes # 5</t>
  </si>
  <si>
    <t>Mes # 6</t>
  </si>
  <si>
    <t>Mensual</t>
  </si>
  <si>
    <t>Bimestral</t>
  </si>
  <si>
    <t>Trimestral</t>
  </si>
  <si>
    <t>Año</t>
  </si>
  <si>
    <t>Balance Remanente Auto</t>
  </si>
  <si>
    <t>Nivel de Riesgo</t>
  </si>
  <si>
    <t>Asalariado / No Asalariado</t>
  </si>
  <si>
    <t>Obligaciones</t>
  </si>
  <si>
    <t>Capacidad Final</t>
  </si>
  <si>
    <t>PLAZO</t>
  </si>
  <si>
    <t>Tasa</t>
  </si>
  <si>
    <t>Línea Máxima</t>
  </si>
  <si>
    <t>Llave</t>
  </si>
  <si>
    <t>RL</t>
  </si>
  <si>
    <t>Asalariado</t>
  </si>
  <si>
    <t>Ingreso</t>
  </si>
  <si>
    <t>ALL</t>
  </si>
  <si>
    <t>(15k]</t>
  </si>
  <si>
    <t>(15k-30k]</t>
  </si>
  <si>
    <t>(30k)</t>
  </si>
  <si>
    <t>No Asalariado</t>
  </si>
  <si>
    <t>1ALL(15k]</t>
  </si>
  <si>
    <t>1ALL(15k-30k]</t>
  </si>
  <si>
    <t>1ALL(30k)</t>
  </si>
  <si>
    <t>2ALL(15k]</t>
  </si>
  <si>
    <t>2ALL(15k-30k]</t>
  </si>
  <si>
    <t>2ALL(30k)</t>
  </si>
  <si>
    <t>3Asalariado(15k]</t>
  </si>
  <si>
    <t>3Asalariado(15k-30k]</t>
  </si>
  <si>
    <t>3Asalariado(30k)</t>
  </si>
  <si>
    <t>3No Asalariado(15k]</t>
  </si>
  <si>
    <t>3No Asalariado(15k-30k]</t>
  </si>
  <si>
    <t>3No Asalariado(30k)</t>
  </si>
  <si>
    <t>6Asalariado(15k]</t>
  </si>
  <si>
    <t>6Asalariado(15k-30k]</t>
  </si>
  <si>
    <t>6Asalariado(30k)</t>
  </si>
  <si>
    <t>6No Asalariado(15k]</t>
  </si>
  <si>
    <t>6No Asalariado(15k-30k]</t>
  </si>
  <si>
    <t>6No Asalariado(30k)</t>
  </si>
  <si>
    <t>NR</t>
  </si>
  <si>
    <t>Asalariado / N Asalariado</t>
  </si>
  <si>
    <t>Plazo</t>
  </si>
  <si>
    <t>Llave1</t>
  </si>
  <si>
    <t>Llave2</t>
  </si>
  <si>
    <t>OK</t>
  </si>
  <si>
    <t>P.I.F.</t>
  </si>
  <si>
    <t>INE</t>
  </si>
  <si>
    <t>C.F.E.</t>
  </si>
  <si>
    <t>GREC</t>
  </si>
  <si>
    <t>PEMEX</t>
  </si>
  <si>
    <t>Pendiente</t>
  </si>
  <si>
    <t>Rechazo</t>
  </si>
  <si>
    <t>Pasaporte</t>
  </si>
  <si>
    <t>Pasaporte / FM</t>
  </si>
  <si>
    <t>Rec. Agua</t>
  </si>
  <si>
    <t>Predial</t>
  </si>
  <si>
    <t>Estado de Cuenta</t>
  </si>
  <si>
    <t>Hogan Nomina</t>
  </si>
  <si>
    <t>Hogan Efectivo</t>
  </si>
  <si>
    <t>Edo. Cta. Nomina</t>
  </si>
  <si>
    <t>Edo. Cta. Efectivo</t>
  </si>
  <si>
    <t>Recibo de Nomina</t>
  </si>
  <si>
    <t>Declaración</t>
  </si>
  <si>
    <t>Rec. Telefónico</t>
  </si>
  <si>
    <t>Carta para disminucion de obligaciones en Buró</t>
  </si>
  <si>
    <t>Firma</t>
  </si>
  <si>
    <t>Atentamente:</t>
  </si>
  <si>
    <t>PAGO MENSUAL</t>
  </si>
  <si>
    <t>SALDO</t>
  </si>
  <si>
    <t>IMPORTES A CONSOLIDAR</t>
  </si>
  <si>
    <t>CONSOLIDACION FINAL</t>
  </si>
  <si>
    <t>OBLIGACIONES ACTUALES</t>
  </si>
  <si>
    <t xml:space="preserve">DESCRIPCION DE LA CUENTA </t>
  </si>
  <si>
    <t>(Institucion &amp; Tipo de Credito)</t>
  </si>
  <si>
    <t>documento.</t>
  </si>
  <si>
    <t xml:space="preserve">Adjunto reporte de Buro de Credito especial y  Estados de Cuenta que soportan el saldo indicado en este </t>
  </si>
  <si>
    <t>Por medio de este Documento, yo__________________________________________________________________________</t>
  </si>
  <si>
    <t>solicito que para el crédito de Liquidez que estoy tramitando con HSBC, no  se consideren las siguientes</t>
  </si>
  <si>
    <t>Obligaciones  reportadas en mi buró  de Crédito, derivado de que serán pagadas por HSBC al momento de la</t>
  </si>
  <si>
    <t>disposición del crédito:</t>
  </si>
  <si>
    <t>QUIT</t>
  </si>
  <si>
    <t>Factor de línea</t>
  </si>
  <si>
    <t>SI</t>
  </si>
  <si>
    <t>DTI, Ing &gt; 30K</t>
  </si>
  <si>
    <t>DTI 2 Ing &lt; 30K</t>
  </si>
  <si>
    <t>NO</t>
  </si>
  <si>
    <t>RECIBOS NOMINA</t>
  </si>
  <si>
    <t>SUPERVISOR</t>
  </si>
  <si>
    <t>AUTO</t>
  </si>
  <si>
    <t>ADQUISICION DE VIVIENDA</t>
  </si>
  <si>
    <t>NORMAL</t>
  </si>
  <si>
    <t>PERSONA FISICA</t>
  </si>
  <si>
    <t>N/A</t>
  </si>
  <si>
    <t>NOMINA HSBC</t>
  </si>
  <si>
    <t>GERENTE</t>
  </si>
  <si>
    <t>COFINANCIAMIENTO</t>
  </si>
  <si>
    <t>ADVANCE</t>
  </si>
  <si>
    <t>PFAE</t>
  </si>
  <si>
    <t>SCORE DECLINADO</t>
  </si>
  <si>
    <t>NOMINA- EDOS DE CUENTA</t>
  </si>
  <si>
    <t>SUBDIRECTOR</t>
  </si>
  <si>
    <t>PAGO DE HIPOTECAS</t>
  </si>
  <si>
    <t>PREMIER</t>
  </si>
  <si>
    <t>PROF INDEPENDIENTE</t>
  </si>
  <si>
    <t>AMPLIACIÓN DE LA VIGENCIA</t>
  </si>
  <si>
    <t xml:space="preserve">DECLARACION ANUAL </t>
  </si>
  <si>
    <t>DIRECTORES</t>
  </si>
  <si>
    <t>LIQUIDEZ</t>
  </si>
  <si>
    <t>PERSONA MORAL</t>
  </si>
  <si>
    <t>INCREMENTO DE LTV 2A HIPOTECA VIGENTE</t>
  </si>
  <si>
    <t>ESTADOS DE CUENTA EFECTIVO</t>
  </si>
  <si>
    <t>PAGO DE HIPOTECAS + LIQUIDEZ</t>
  </si>
  <si>
    <t>EXCEDE EL NÚMERO DE CRÉDITOS VIGENTES</t>
  </si>
  <si>
    <t>APOYO INFONAVIT</t>
  </si>
  <si>
    <t>2a HIPOTECA EN MENOS DE 12 MESES</t>
  </si>
  <si>
    <t>PAGOS BIMESTRALES</t>
  </si>
  <si>
    <t>DISMINUCIÓN DE OBLIGACIONES</t>
  </si>
  <si>
    <t>EDAD MAYOR AL LÍMITE MÁXIMO</t>
  </si>
  <si>
    <t>ECONOMIA AMERICANA</t>
  </si>
  <si>
    <t>PODER JUDICIAL</t>
  </si>
  <si>
    <t>EDAD MENOR AL LÍMITE MÍNIMO</t>
  </si>
  <si>
    <t>AUTO TRADICIONAL</t>
  </si>
  <si>
    <t>REGLAS DE BURÓ DE CRÉDITO TRANSUNION RECHAZADO</t>
  </si>
  <si>
    <t>NOMINA ESPECIAL HSBC</t>
  </si>
  <si>
    <t>REGLAS DE BURÓ DE CRÉDITO D&amp;B RECHAZADO</t>
  </si>
  <si>
    <t>MALAS REFERENCIAS INTERNAS</t>
  </si>
  <si>
    <t>SIN REFERENCIAS DE CRÉDITO</t>
  </si>
  <si>
    <t>SIN ANTIGÜEDAD MÍNIMA EN EL DOMICILIO</t>
  </si>
  <si>
    <t>INGRESOS FUERA DE NORMATIVIDAD</t>
  </si>
  <si>
    <t>MONTO MAYOR</t>
  </si>
  <si>
    <t>SIN ANTIGÜEDAD LABORAL MINIMA DE OPERACIÓN</t>
  </si>
  <si>
    <t>LINEA DE CREDITO MENOR AL MINIMO DEL PRODUCTO</t>
  </si>
  <si>
    <t>WORLD CHECK</t>
  </si>
  <si>
    <t>REFERENCIAS NEGATIVAS LAR</t>
  </si>
  <si>
    <t>POLÍTICAS INTERNAS HAWK</t>
  </si>
  <si>
    <t xml:space="preserve">Credit Control Service Head and Secured Risk Head  </t>
  </si>
  <si>
    <t>ZONA GRIS</t>
  </si>
  <si>
    <t>EXCEPCIONES</t>
  </si>
  <si>
    <t>MIXTOS</t>
  </si>
  <si>
    <t>Ingreso Calculado</t>
  </si>
  <si>
    <t>Ingreso Final</t>
  </si>
  <si>
    <t>Pago Bimestral</t>
  </si>
  <si>
    <t>HERRAMIENTAS PARA SECURED</t>
  </si>
  <si>
    <t>ALFREDO PEREZ GONZALEZ  43308127</t>
  </si>
  <si>
    <t xml:space="preserve">Desarrollo &amp; Programacion </t>
  </si>
  <si>
    <t>UNDERWRITING SERVICES  - CREDIT CONTROL SERVICES</t>
  </si>
  <si>
    <t>Ávila, Víctor Manuel. (2017). CCS UWS Appeal Simulator</t>
  </si>
  <si>
    <t>Advance</t>
  </si>
  <si>
    <t>Premier</t>
  </si>
  <si>
    <t>5 años</t>
  </si>
  <si>
    <t>10 años</t>
  </si>
  <si>
    <t>15 años</t>
  </si>
  <si>
    <t>20 años</t>
  </si>
  <si>
    <t>PFIJO</t>
  </si>
  <si>
    <t>PBAJO</t>
  </si>
  <si>
    <t>Fecha</t>
  </si>
  <si>
    <t>Hora Fin</t>
  </si>
  <si>
    <t>Folio</t>
  </si>
  <si>
    <t>Comentarios</t>
  </si>
  <si>
    <t>STATUS</t>
  </si>
  <si>
    <t>Producto</t>
  </si>
  <si>
    <t xml:space="preserve"> </t>
  </si>
  <si>
    <t>Obligaciones Totales</t>
  </si>
  <si>
    <t>DTI (FCP 1)</t>
  </si>
  <si>
    <t>Seguro</t>
  </si>
  <si>
    <t>FCP FINAL</t>
  </si>
  <si>
    <t>Pago Mensual</t>
  </si>
  <si>
    <t>Obligaciones Totales LEAP</t>
  </si>
  <si>
    <t>Seguro Financiado Multianual</t>
  </si>
  <si>
    <t>Prima Seguro</t>
  </si>
  <si>
    <t>Pago Seguro</t>
  </si>
  <si>
    <t>Balance Final a Financiar</t>
  </si>
  <si>
    <t>Pago Mensual Final</t>
  </si>
  <si>
    <t>Ingreso final</t>
  </si>
  <si>
    <t>Línea</t>
  </si>
  <si>
    <t>Val</t>
  </si>
  <si>
    <t>Ingreso (1)</t>
  </si>
  <si>
    <t>Ingreso (2) - 5%</t>
  </si>
  <si>
    <t>Ingreso (3) - 10%</t>
  </si>
  <si>
    <t>Ingreso (4) - 15%</t>
  </si>
  <si>
    <t>ISR</t>
  </si>
  <si>
    <t>Diario</t>
  </si>
  <si>
    <t>Semanal</t>
  </si>
  <si>
    <t>Decenal</t>
  </si>
  <si>
    <t>Catorcenal</t>
  </si>
  <si>
    <t>Quincenal</t>
  </si>
  <si>
    <t>IMPUESTO_ACARGO</t>
  </si>
  <si>
    <t>DIAS</t>
  </si>
  <si>
    <t>ISR_FINAL</t>
  </si>
  <si>
    <t>AUTOS Coacreditado DECLARACION ANUAL PM</t>
  </si>
  <si>
    <t>AUTOS Titular DECLARACION ANUAL PM</t>
  </si>
  <si>
    <t>TX_BOX_Salario_periodo</t>
  </si>
  <si>
    <t>Ingresos Inferidos</t>
  </si>
  <si>
    <t>Mediana (TRES MESES)</t>
  </si>
  <si>
    <t>Mediana (SEIS MESES)</t>
  </si>
  <si>
    <t>Regla del 90%</t>
  </si>
  <si>
    <t>MONTO QUE REQUISITA EL COACREDITADO</t>
  </si>
  <si>
    <t>x</t>
  </si>
  <si>
    <t>SECURED ESTADO DE CUENTA NOMINA</t>
  </si>
  <si>
    <t>TOPE POR PRODUCTO</t>
  </si>
  <si>
    <t>ESTADO DE CUENTA EFECTIVO HOGAN</t>
  </si>
  <si>
    <t>TDC</t>
  </si>
  <si>
    <t>SECURED RECIBOS DE NOMINA</t>
  </si>
  <si>
    <t>TDC/PER</t>
  </si>
  <si>
    <t>Atipico</t>
  </si>
  <si>
    <t>INGRESO DEL 1° RECIBOS DE NOMINA</t>
  </si>
  <si>
    <t>INGRESO DEL 2° RECIBOS DE NOMINA</t>
  </si>
  <si>
    <t>INGRESO DEL 3° RECIBOS DE NOMINA</t>
  </si>
  <si>
    <t>INGRESO DEL 4° RECIBOS DE NOMINA</t>
  </si>
  <si>
    <t>INGRESO DEL 5° RECIBOS DE NOMINA</t>
  </si>
  <si>
    <t>RECNOM</t>
  </si>
  <si>
    <t>GOBFED</t>
  </si>
  <si>
    <t>EDONOM</t>
  </si>
  <si>
    <t>Segmento del cliente</t>
  </si>
  <si>
    <t>Exposición Total</t>
  </si>
  <si>
    <t>Inversión Total</t>
  </si>
  <si>
    <t>Ingreso final a otorgar:</t>
  </si>
  <si>
    <t>Segmento del cliente:</t>
  </si>
  <si>
    <t>Traspaso a HSBC</t>
  </si>
  <si>
    <t>Linea</t>
  </si>
  <si>
    <t>Pago mensual=</t>
  </si>
  <si>
    <t xml:space="preserve">DTI = </t>
  </si>
  <si>
    <t>Plazo promedio =</t>
  </si>
  <si>
    <t>Tasa anual promedio =</t>
  </si>
  <si>
    <t>Ingreso T =</t>
  </si>
  <si>
    <t>Ingreso Final=</t>
  </si>
  <si>
    <t>Ingreso 2 =</t>
  </si>
  <si>
    <t>Ingreso 1 =</t>
  </si>
  <si>
    <t>Ingreso Topado:</t>
  </si>
  <si>
    <t>Caps Income</t>
  </si>
  <si>
    <t>Ingreso Traspaso:</t>
  </si>
  <si>
    <t>A NOMINA</t>
  </si>
  <si>
    <t>INGRESO MIN</t>
  </si>
  <si>
    <t>INGRESO NETOS DESPUES DE TOPE</t>
  </si>
  <si>
    <t>ESTADO DE CUENTA EFECTIVO OTROS BANCOS</t>
  </si>
  <si>
    <t>Ingreso final a otorgar TDC:</t>
  </si>
  <si>
    <t>6 MESES</t>
  </si>
  <si>
    <t>Solis Torres, Aaron.  (2014). Tramitador de Autos</t>
  </si>
  <si>
    <t>FLUJO MINIMO DE EFECTIVO</t>
  </si>
  <si>
    <t>Total a considerar del Mes1</t>
  </si>
  <si>
    <t>Total a considerar del Mes2</t>
  </si>
  <si>
    <t>FLUJO DE EFECTIVO</t>
  </si>
  <si>
    <t>e-cats</t>
  </si>
  <si>
    <t>MAYOR</t>
  </si>
  <si>
    <t>menor</t>
  </si>
  <si>
    <t>Diferencia %</t>
  </si>
  <si>
    <t>Diferencia</t>
  </si>
  <si>
    <t>Ingreso Igual o Menor al 30%</t>
  </si>
  <si>
    <t>Ingreso Igual o Mayor al 30%</t>
  </si>
  <si>
    <t>Requerimiento CNBV</t>
  </si>
  <si>
    <t>Total</t>
  </si>
  <si>
    <t>El Ingreso se esta topando en base a la cantidad capturada en solicitud</t>
  </si>
  <si>
    <t>DE ACUERDO A LINEA PROYECTADA:   SE REQUIERE DE REVISION ADICIONAL         Y APROBACION DE FACULTADO</t>
  </si>
  <si>
    <t>HSBC</t>
  </si>
  <si>
    <t>Inversión Externa</t>
  </si>
  <si>
    <t>SECURED INVERSIONES INTERNAS PP</t>
  </si>
  <si>
    <t>SECURED INVERSIONES EXTERNAS PP</t>
  </si>
  <si>
    <t>SECURED INVERSIONES INTERNAS TDC</t>
  </si>
  <si>
    <t>UNSECURED ESTADO DE CUENTA EFECTIVO</t>
  </si>
  <si>
    <t>2 MESES</t>
  </si>
  <si>
    <t>3 MESES</t>
  </si>
  <si>
    <t>UNSECURED ESTADO DE CUENTA EFECTIVO 2 MESES</t>
  </si>
  <si>
    <t>UNSECURED ESTADO DE CUENTA EFECTIVO 3 MESES</t>
  </si>
  <si>
    <t>UNSECURED ESTADO DE CUENTA EFECTIVO 6 MESES</t>
  </si>
  <si>
    <t>INGRESO MINIMO</t>
  </si>
  <si>
    <t>TOPE C/Efectivo</t>
  </si>
  <si>
    <t>TOPE C/Inversion</t>
  </si>
  <si>
    <t>---</t>
  </si>
  <si>
    <t>P PERSONAL</t>
  </si>
  <si>
    <t>MENSUAL</t>
  </si>
  <si>
    <t>edonom</t>
  </si>
  <si>
    <t>solicitud</t>
  </si>
  <si>
    <t>TDC/PER/NOM</t>
  </si>
  <si>
    <t/>
  </si>
  <si>
    <t>Declaracion PFAE</t>
  </si>
  <si>
    <t>LTV&gt; 70%    MAYOR AL 30%</t>
  </si>
  <si>
    <t>LTV=&lt; 70%    10% AL 30%</t>
  </si>
  <si>
    <t>(Ejercicio ANTERIOR)</t>
  </si>
  <si>
    <t>(Ejercicio ACTUAL)</t>
  </si>
  <si>
    <t>Unificación de criterios</t>
  </si>
  <si>
    <t>Documento</t>
  </si>
  <si>
    <t>Tipo</t>
  </si>
  <si>
    <t>Validación</t>
  </si>
  <si>
    <t>Hipotecario</t>
  </si>
  <si>
    <t>Ingresos</t>
  </si>
  <si>
    <t>Estados de cuenta efectivo</t>
  </si>
  <si>
    <t>Prestamos no se consideran</t>
  </si>
  <si>
    <t>11 de mayo 2020</t>
  </si>
  <si>
    <t>Recibos de Nómina</t>
  </si>
  <si>
    <t>Aportación de afore reflejada en deducciones se suma ya que es una aportación voluntaria y se considera como fondo de ahorro</t>
  </si>
  <si>
    <t>Cuando se presenten conceptos adicionales no recurrentes (bonos, prima vacacional, aguinaldo, comisiones, etc) dentro del análisis es válido replicar con el recibo más constante u omitir este recibo por otro periodo en caso de que anexe más recibos.</t>
  </si>
  <si>
    <t xml:space="preserve">También es válido hacer análisis eliminado el concepto no recurrente y obtener el ISR </t>
  </si>
  <si>
    <t>Si están incompletos y presenta nómina en Hogan se calcula con Hogan</t>
  </si>
  <si>
    <t>Política</t>
  </si>
  <si>
    <t>Si no cubre el ingreso mínimo se solicita otra forma de comprobar</t>
  </si>
  <si>
    <t>Para todos los comprobantes es necesario revisar: Nombre, RFC y periodicidad</t>
  </si>
  <si>
    <t>DECLARACION ANUAL ECOA</t>
  </si>
  <si>
    <t>Proyeccion de Linea con Coacreditado</t>
  </si>
  <si>
    <t>PROYECCION DE LINEA</t>
  </si>
  <si>
    <t>ASIGNACION DE LTV DE ACUERDO A TIPO DE CLIENTE Y NIVEL DE RIESGO</t>
  </si>
  <si>
    <t xml:space="preserve">Tipo de Cliente </t>
  </si>
  <si>
    <t>Nivel de riego</t>
  </si>
  <si>
    <t xml:space="preserve">2da Hipoteca </t>
  </si>
  <si>
    <t>40% for Tourism</t>
  </si>
  <si>
    <t>30% for Non-Tourism</t>
  </si>
  <si>
    <t>0% for Medical Sector</t>
  </si>
  <si>
    <t>Income adjustment of COVID-19</t>
  </si>
  <si>
    <t>PRIME</t>
  </si>
  <si>
    <t>Características</t>
  </si>
  <si>
    <t>*Nomina PRIME</t>
  </si>
  <si>
    <t>*Solo aplica para asalariados</t>
  </si>
  <si>
    <t>*Se debe de comentar NSS o Fovissste ok depende del caso(solo se valida que el tramite este cotizando en instancias federales, si son estatal y municipal, PEMEX, C.F.E pasan)</t>
  </si>
  <si>
    <t>*PI y PFAE no entra como pago bajo en caso de llegar es rechazo (no aplica para ingreso mixto)</t>
  </si>
  <si>
    <t>22 de mayo</t>
  </si>
  <si>
    <t>PRESTO</t>
  </si>
  <si>
    <t>*Debe tener misma condición de pago bajo en LEAP para poder aprobar</t>
  </si>
  <si>
    <t>Respaldo</t>
  </si>
  <si>
    <t>*Respaldar el cálculo de ingresos en el file: \\hlah.adroot.hsbc\MX\Retail Banking &amp; Wealth Mgmt\MX4264\MX4264FS010_MX\RISK\RBWM\RCS\OPERATION SUPPORT\EXCEPCIONES\Dictamenes\Secure Mortgage\Resguardo CALCULO DE INGRESOS</t>
  </si>
  <si>
    <t>* Reportar casos de recibos de nómina  con Aguinaldo/Prima vacacional</t>
  </si>
  <si>
    <t>FOVISSSTE PARA TODOS</t>
  </si>
  <si>
    <t>*Se evalúa con 1 mes</t>
  </si>
  <si>
    <t>*En presupuesto en tipo de cliente debe de venir como "FOVISSSTE PARA TODOS"</t>
  </si>
  <si>
    <t>*Se debe de revisar todo el tramite como si viniera de sucursal</t>
  </si>
  <si>
    <t>*Validar M.F.</t>
  </si>
  <si>
    <t>*Si los rec nomina no traen folio fiscal y QR se solicita sustento</t>
  </si>
  <si>
    <t>Matriz de Fraudes</t>
  </si>
  <si>
    <t>*INE debe de venir el código postal : si no viene se debe de enviar a PIF (prox cambio de M.F.)</t>
  </si>
  <si>
    <t>LEAP</t>
  </si>
  <si>
    <t>RN</t>
  </si>
  <si>
    <t>Ya es posible realizar distintos cambios en leap
a partir del 25 de mayo</t>
  </si>
  <si>
    <t>Ornelas Morales, Erick Emmanuell  (2020).  P. LTV</t>
  </si>
  <si>
    <t>Asalariado (Estándar)</t>
  </si>
  <si>
    <t>PI</t>
  </si>
  <si>
    <t>TIPO DE PRODUCTO</t>
  </si>
  <si>
    <t>FOVISSSTE para todos</t>
  </si>
  <si>
    <t>COFINAVIT,Apoyo INFONAVIT,FOVISSSTE Aliados,FOVISSSTE Respaldados</t>
  </si>
  <si>
    <t>-</t>
  </si>
  <si>
    <t>Jumbo &gt; 8MDP</t>
  </si>
  <si>
    <t>PJ.</t>
  </si>
  <si>
    <t>PJ:</t>
  </si>
  <si>
    <t>PJ:.</t>
  </si>
  <si>
    <t>No Asalariado.</t>
  </si>
  <si>
    <t>Asalariado (Estándar).</t>
  </si>
  <si>
    <t>Hasta 5 MDP</t>
  </si>
  <si>
    <t xml:space="preserve"> De 5 MDP a 8MDP</t>
  </si>
  <si>
    <t>Jumbo</t>
  </si>
  <si>
    <t>Monto solicitado</t>
  </si>
  <si>
    <t>No</t>
  </si>
  <si>
    <t>LTV antes del estado</t>
  </si>
  <si>
    <t>LTV  aplicar</t>
  </si>
  <si>
    <t xml:space="preserve">(464) MONTO DE CRÉDITO </t>
  </si>
  <si>
    <t>JUMBO</t>
  </si>
  <si>
    <t>ESTADO</t>
  </si>
  <si>
    <t>Tabasco</t>
  </si>
  <si>
    <t>Tamaulipas</t>
  </si>
  <si>
    <t>Veracruz</t>
  </si>
  <si>
    <t>Otros</t>
  </si>
  <si>
    <t>Tope LTV X EDO</t>
  </si>
  <si>
    <t>Combo</t>
  </si>
  <si>
    <t>X</t>
  </si>
  <si>
    <t>NS</t>
  </si>
  <si>
    <t>S</t>
  </si>
  <si>
    <r>
      <rPr>
        <b/>
        <sz val="8"/>
        <color theme="0"/>
        <rFont val="Consolas"/>
        <family val="3"/>
      </rPr>
      <t xml:space="preserve">High Quality: </t>
    </r>
    <r>
      <rPr>
        <sz val="8"/>
        <color theme="0"/>
        <rFont val="Consolas"/>
        <family val="3"/>
      </rPr>
      <t>COFINAVIT,Apoyo INFONAVIT,FOVISSSTE Aliados,FOVISSSTE Respaldados</t>
    </r>
  </si>
  <si>
    <t>YURGEN 15/6/20</t>
  </si>
  <si>
    <r>
      <t>o</t>
    </r>
    <r>
      <rPr>
        <sz val="7"/>
        <color rgb="FF1F497D"/>
        <rFont val="Times New Roman"/>
        <family val="1"/>
      </rPr>
      <t xml:space="preserve">   </t>
    </r>
    <r>
      <rPr>
        <sz val="11"/>
        <color rgb="FF1F497D"/>
        <rFont val="Calibri"/>
        <family val="2"/>
        <scheme val="minor"/>
      </rPr>
      <t>Max LTV of 80% for Veracruz on Non High Quality.</t>
    </r>
  </si>
  <si>
    <r>
      <t>o</t>
    </r>
    <r>
      <rPr>
        <sz val="7"/>
        <color rgb="FF1F497D"/>
        <rFont val="Times New Roman"/>
        <family val="1"/>
      </rPr>
      <t xml:space="preserve">   </t>
    </r>
    <r>
      <rPr>
        <sz val="11"/>
        <color rgb="FF1F497D"/>
        <rFont val="Calibri"/>
        <family val="2"/>
        <scheme val="minor"/>
      </rPr>
      <t>Nota HQ es PEMEX, COFI, Apoyo INONAVIT, FOVISSSTE aliados y respaldados.</t>
    </r>
  </si>
  <si>
    <t>Standard Salaried: (Adquisición de Vivienda)</t>
  </si>
  <si>
    <t>High Quality: (PEMEX)</t>
  </si>
  <si>
    <r>
      <t>o</t>
    </r>
    <r>
      <rPr>
        <sz val="7"/>
        <color rgb="FF1F497D"/>
        <rFont val="Times New Roman"/>
        <family val="1"/>
      </rPr>
      <t xml:space="preserve">   </t>
    </r>
    <r>
      <rPr>
        <sz val="11"/>
        <color rgb="FF1F497D"/>
        <rFont val="Calibri"/>
        <family val="2"/>
        <scheme val="minor"/>
      </rPr>
      <t>Max LTV of 70% for Tabasco &amp; Tamaulipas (All products)</t>
    </r>
  </si>
  <si>
    <t>OP1</t>
  </si>
  <si>
    <t>OP2</t>
  </si>
  <si>
    <t xml:space="preserve"> Cliente con hipoteca vigente</t>
  </si>
  <si>
    <t xml:space="preserve"> Cliente NO presenta hipoteca activa</t>
  </si>
  <si>
    <t xml:space="preserve"> Cliente Presenta hipoteca activa adicional a la que transfiere</t>
  </si>
  <si>
    <t xml:space="preserve"> Cliente NO presenta hipoteca activa adicional a la que transfiere</t>
  </si>
  <si>
    <t xml:space="preserve">*MEDICOS: por el momento vamos a seguir haciendo el analisis de acuerdo al importe de los depositos para poder clasificarlos como PFAE O PI
</t>
  </si>
  <si>
    <t>CONDEPTO DE JUBILACIONES, PESIONES O HABERES DE RETIRO: no es necesario solicitar carta de tipo de pension ni sustento por falta del ISR siempre y cuando el recibo cuenta con folios fiscal y qr( el analisis de la carta de pension se tiene que hacer con la edad que nos indica tener el cliente</t>
  </si>
  <si>
    <t>Si envia recibos de comisiones y no cumple con folio fiscal y qr y el sustento el deposito venga a nombre de un tercero no se considera para el calculo de ingresos</t>
  </si>
  <si>
    <t>Antes de pedir sustento u otra forma de comprobar ingresos es necesario validar ctas de hogan</t>
  </si>
  <si>
    <t>Ingreso Adicional</t>
  </si>
  <si>
    <t>Percepciones</t>
  </si>
  <si>
    <t>Deducciones</t>
  </si>
  <si>
    <t>Otros conceptos</t>
  </si>
  <si>
    <t>Aguinaldo</t>
  </si>
  <si>
    <t>Prima Vacacional</t>
  </si>
  <si>
    <t>Sueldo</t>
  </si>
  <si>
    <t>Nuevo importe NETO</t>
  </si>
  <si>
    <t>R1</t>
  </si>
  <si>
    <t>Resultado del Combo:</t>
  </si>
  <si>
    <t>R FINAL:.</t>
  </si>
  <si>
    <t>Com: Tipo Cliente</t>
  </si>
  <si>
    <t>Com: Nivel de Riesgo</t>
  </si>
  <si>
    <t>Espejo de LTV</t>
  </si>
  <si>
    <t>Comentario  aplicar</t>
  </si>
  <si>
    <t>Comentario1</t>
  </si>
  <si>
    <t>Ana RAMIREZA 14/8/20</t>
  </si>
  <si>
    <t>*Recordatorio:
No se consideran: 
-Traspasos entre cuentas propias
-Depositos donde en el detalle mencione la palabra Prestamo
-SPEI´s emitidos por el mismo cliente</t>
  </si>
  <si>
    <t>La afectacion del ISR se debera de poner en el simulador de acuerdo al periodo del rec para sacar el ISR correcto</t>
  </si>
  <si>
    <t>Si están casados por bienes mancomunados y viene la figura de coacreditado ya no es necesario pedir las firmas del garante</t>
  </si>
  <si>
    <t>Las proyección del LTV la tiene que comentar el primer analista que evalúa el folio (aplica para NTB y ETB con semaforo ROJO), también es importante antes de liberar la evaluación integral validar que el SCORE no se modifique</t>
  </si>
  <si>
    <t>Los empleados EVENTUALES pasan no hay restricción en el manual de crédito. Solo debe cumplir con la antigüedad mínima del empleo.</t>
  </si>
  <si>
    <t>Sucursal</t>
  </si>
  <si>
    <t>Estado</t>
  </si>
  <si>
    <t>HIPOTECARIO Titular RECIBOS DE NOMINA FOVISSSTE PARA TODOS</t>
  </si>
  <si>
    <t>AGENCIA  DE SEGURIDAD ENERGÍA Y AMBIENTE</t>
  </si>
  <si>
    <t>AUDITORÍA SUPERIOR DE LA FEDERACIÓN</t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</si>
  <si>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Todas las dependencias no indicadas en la tabla anterior se aplicara el 13% como factor</t>
    </r>
  </si>
  <si>
    <t>CAMINOS Y PUENTES FEDERALES DE INGRESOS Y SERVICIOS CONEXOS</t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</si>
  <si>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Política actual implica evaluar un mes  en base a netos y sumar conceptos ahorro</t>
    </r>
  </si>
  <si>
    <t>COMISIÓN NACIONAL BANCARIA Y DE VALORES</t>
  </si>
  <si>
    <t>GOBIERNO DE LA CIUDAD DE MÉXICO</t>
  </si>
  <si>
    <t>GOBIERNO DEL ESTADO DE QUINTANA ROO SERVCIOS ESTATALES DE SALUD</t>
  </si>
  <si>
    <t>GOBIERNO DEL ESTADO LIBRE Y SOBERANO DE QUINTANA ROO</t>
  </si>
  <si>
    <t>Etiquetas de fila</t>
  </si>
  <si>
    <t>BAU Policy</t>
  </si>
  <si>
    <t>FPT</t>
  </si>
  <si>
    <t xml:space="preserve">HOSPITAL REGIONAL DE ALTA ESPECIALIDAD DE LA PENINSULA DE YUCATÁN </t>
  </si>
  <si>
    <t>SEP</t>
  </si>
  <si>
    <t>INSTITUTO DE SALUD CHIAPAS</t>
  </si>
  <si>
    <t>GOBIERNO DE LA CDMX</t>
  </si>
  <si>
    <t>INSTITUTO DE SERVICIOS DE SALUD PÚBLICA DEL ESTADO DE BAJA CALIFORNIA</t>
  </si>
  <si>
    <t>OTROS</t>
  </si>
  <si>
    <t>INSTITUTO FEDERAL DE TELECOMUNICACIONES</t>
  </si>
  <si>
    <t>ISSSTE</t>
  </si>
  <si>
    <t>INSTITUTO NACIONAL DE LOS PUEBLOS INDÍGENAS</t>
  </si>
  <si>
    <t>UNAM</t>
  </si>
  <si>
    <t>INSTITUTO NACIONAL DE NEUROLOGIA Y NEUROCIRUGIA MANUEL VELASCO SUAREZ</t>
  </si>
  <si>
    <t>PJF / CONSEJO DE LA JUDICATURA</t>
  </si>
  <si>
    <t>INSTITUTO NACIONAL ELECTORAL</t>
  </si>
  <si>
    <t>SAT</t>
  </si>
  <si>
    <t>SECRETARIA DE SALUD</t>
  </si>
  <si>
    <t>SECRETARÍA DE EDUCACIÓN PÚBLICA CHIHUAHUA</t>
  </si>
  <si>
    <t>SECRETARÍA DE EDUCACIÓN PÚBLICA GTO</t>
  </si>
  <si>
    <t>SECRETARÍA DE EDUCACIÓN PÚBLICA HIDALGO</t>
  </si>
  <si>
    <t>SECRETARÍA DE EDUCACIÓN PÚBLICA JALISCO</t>
  </si>
  <si>
    <t>SECRETARÍA DE EDUCACIÓN PÚBLICA MICHOACAN</t>
  </si>
  <si>
    <t>SECRETARÍA DE EDUCACIÓN PÚBLICA MORELOS</t>
  </si>
  <si>
    <t xml:space="preserve">(461) IMPORTE DEL INMUEBLE </t>
  </si>
  <si>
    <t>SECRETARÍA DE EDUCACIÓN PÚBLICA QUINTANA ROO</t>
  </si>
  <si>
    <t>OBLIGACIONES FINALES</t>
  </si>
  <si>
    <t>SECRETARÍA DE EDUCACIÓN PÚBLICA SLP</t>
  </si>
  <si>
    <t>SECRETARÍA DE EDUCACIÓN PÚBLICA TABASCO</t>
  </si>
  <si>
    <t>% Obligaciones</t>
  </si>
  <si>
    <t>SECRETARÍA DE EDUCACIÓN PÚBLICA VERACRUZ</t>
  </si>
  <si>
    <t>SECRETARÍA DE LA FUNCIÓN PÚBLICA</t>
  </si>
  <si>
    <t>Factor DTI</t>
  </si>
  <si>
    <t>SECRETARÍA DE SALUD</t>
  </si>
  <si>
    <t>Capacidad de Pago</t>
  </si>
  <si>
    <t xml:space="preserve">SECRETARIA DE SEGURIDAD Y PROTECCIÓN CIUDADANA </t>
  </si>
  <si>
    <t>Factor de Línea</t>
  </si>
  <si>
    <t>SERVICIO DE ADMINISTRACIÓN TRIBUTARIA</t>
  </si>
  <si>
    <t>Linea de Crédito máxima Capacidad Pago</t>
  </si>
  <si>
    <t>SERVICIOS DE SALUD DE HIDALGO</t>
  </si>
  <si>
    <t>LTV max</t>
  </si>
  <si>
    <t>SERVICIOS DE SALUD DE VERACRUZ</t>
  </si>
  <si>
    <t>Linea de Crédito máxima LTV</t>
  </si>
  <si>
    <t>SERVICIOS DE SALUD PÚBLICA DE LA CIUDAD DE MÉXICO</t>
  </si>
  <si>
    <t>Linea de Crédito FPT</t>
  </si>
  <si>
    <t>SUPREMA CORTE DE JUSTICIA DE LA NACIÓN</t>
  </si>
  <si>
    <t>LTV   Ponderado (Ingresos)</t>
  </si>
  <si>
    <t>TECNOLÓGICO NACIONAL DE MÉXICO</t>
  </si>
  <si>
    <t>Linea de Crédito 
Ponderada</t>
  </si>
  <si>
    <t>TRIBUNAL ELECTORAL DEL PODER JUDICIAL DE LA FEDERACIÓN</t>
  </si>
  <si>
    <t>Linea de Crédito 
Mercado</t>
  </si>
  <si>
    <t>TRIBUNAL FEDERAL DE JUSTICIA ADMINISTRATIVA</t>
  </si>
  <si>
    <t>Linea de Crédito 
Final</t>
  </si>
  <si>
    <t>Fovissste DTI 85%</t>
  </si>
  <si>
    <t>UNIVERSIDAD AUTÓNOMA METROPOLITANA</t>
  </si>
  <si>
    <t>UNIVERSIDAD JUÁREZ DEL ESTADO DE DURANGO</t>
  </si>
  <si>
    <t>Linea de DTI 85%</t>
  </si>
  <si>
    <t>Regla Final</t>
  </si>
  <si>
    <t>Ingresos Adicionales</t>
  </si>
  <si>
    <t>LTV Final</t>
  </si>
  <si>
    <t>Debes enviar a Zona GRIS!!!</t>
  </si>
  <si>
    <t xml:space="preserve"> Propuesta Ajuste a Politica COVID19 Originacion Hipotecaria 17/Sep/2020</t>
  </si>
  <si>
    <t>FPTC</t>
  </si>
  <si>
    <t>Asalariado (Con Nomina HSBC)</t>
  </si>
  <si>
    <t>Asalariado (Con Nomina HSBC).</t>
  </si>
  <si>
    <t>Otros.</t>
  </si>
  <si>
    <t>BAJA CALIFORNIA</t>
  </si>
  <si>
    <t xml:space="preserve">No Asalariado Best Class </t>
  </si>
  <si>
    <t>Contador</t>
  </si>
  <si>
    <t>Por la Actividad Especifica del cliente le corresponde:</t>
  </si>
  <si>
    <t>Dentista</t>
  </si>
  <si>
    <t>Medico</t>
  </si>
  <si>
    <t>Odontologo</t>
  </si>
  <si>
    <t>AGUASCALIENTES</t>
  </si>
  <si>
    <t>BAJA CALIFORNIA NTE</t>
  </si>
  <si>
    <t>Nota a Mostrar:</t>
  </si>
  <si>
    <t>CAMPECHE</t>
  </si>
  <si>
    <t>CHIAPAS</t>
  </si>
  <si>
    <t>CHIHUAHUA</t>
  </si>
  <si>
    <t>COAHUILA</t>
  </si>
  <si>
    <t>COLIMA</t>
  </si>
  <si>
    <t>GUANAJUATO</t>
  </si>
  <si>
    <t>GUERRERO</t>
  </si>
  <si>
    <t>MICHOACAN</t>
  </si>
  <si>
    <t>NAYARIT</t>
  </si>
  <si>
    <t>OAXACA</t>
  </si>
  <si>
    <t>SAN LUIS POTOSI</t>
  </si>
  <si>
    <t>SINALOA</t>
  </si>
  <si>
    <t>ZACATECAS</t>
  </si>
  <si>
    <t>NA</t>
  </si>
  <si>
    <t>Remodelación</t>
  </si>
  <si>
    <t>No Asalariado:</t>
  </si>
  <si>
    <t>Asalariado.</t>
  </si>
  <si>
    <t>Valor garantía</t>
  </si>
  <si>
    <t>Valor proyecto remodelación</t>
  </si>
  <si>
    <t>Capacidad de pago</t>
  </si>
  <si>
    <t>Lin_capacidad de pago</t>
  </si>
  <si>
    <t>Lin_max_Remodelación</t>
  </si>
  <si>
    <t>Lin_final</t>
  </si>
  <si>
    <t>Line (5,8] MDP</t>
  </si>
  <si>
    <t>Line &gt; 8 MDP</t>
  </si>
  <si>
    <t>Line &lt;= 5MDP</t>
  </si>
  <si>
    <t>xx</t>
  </si>
  <si>
    <t>Segunda hipoteca</t>
  </si>
  <si>
    <t>Linea de Credito Final</t>
  </si>
  <si>
    <t>Depósitos no validos en estado de cta en efvo:</t>
  </si>
  <si>
    <t>*TRANSFERENCIAS ENTRE CUENTAS PROPIAS 
*Depositos donde en el detalle mencione la palabra Prestamo 
*SPEI´s emitidos por el mismo cliente</t>
  </si>
  <si>
    <r>
      <t xml:space="preserve">*TRASPASO DE FONDOS (cuando tenga una inversión en hogan)
*DEVOLUCIONES 
*PRESTAMOS
*REVERSO O CANCELACION DE DEPOSITOS
*DISPOSICION DE TARJETA DE CREDITO
*DEPOSITOS DE TDC (DEL TITULAR)
*INTERESES
*DEPOSITOS DE HACIENDA (HACIENDA TE DEVUELVE)
*DEPOSITOS DE FAMILIARES Y LOS QUE NO SEAN PROPIOS DE LA ACTIVIDAD
* DISPOS.EFECTIVO EN </t>
    </r>
    <r>
      <rPr>
        <sz val="11"/>
        <color rgb="FFFF0000"/>
        <rFont val="Calibri"/>
        <family val="2"/>
        <scheme val="minor"/>
      </rPr>
      <t>BBVA</t>
    </r>
    <r>
      <rPr>
        <sz val="11"/>
        <color theme="1"/>
        <rFont val="Calibri"/>
        <family val="2"/>
        <scheme val="minor"/>
      </rPr>
      <t xml:space="preserve"> ES UN PRESTAMO DE TDC
*</t>
    </r>
    <r>
      <rPr>
        <b/>
        <sz val="11"/>
        <color rgb="FFFF0000"/>
        <rFont val="Calibri"/>
        <family val="2"/>
        <scheme val="minor"/>
      </rPr>
      <t>BANAMEX</t>
    </r>
    <r>
      <rPr>
        <sz val="11"/>
        <color theme="1"/>
        <rFont val="Calibri"/>
        <family val="2"/>
        <scheme val="minor"/>
      </rPr>
      <t xml:space="preserve"> VALIDAR QUE EN EL EDO DE CTA NO VENGA TRASPASO DE </t>
    </r>
    <r>
      <rPr>
        <sz val="11"/>
        <color rgb="FFFF0000"/>
        <rFont val="Calibri"/>
        <family val="2"/>
        <scheme val="minor"/>
      </rPr>
      <t>AHORRO FACIL</t>
    </r>
  </si>
  <si>
    <t>RECIBOS DE NOMINA</t>
  </si>
  <si>
    <t>*La afectacion del ISR se debera de poner en el simulador de acuerdo al periodo del rec para sacar el ISR correcto</t>
  </si>
  <si>
    <t>*Antes de pedir sustento u otra forma de comprobar ingresos es necesario validar ctas de hogan</t>
  </si>
  <si>
    <t>*Si están incompletos y presenta nómina en Hogan se calcula con Hogan</t>
  </si>
  <si>
    <t>*CONDEPTO DE JUBILACIONES, PESIONES O HABERES DE RETIRO: no es necesario solicitar carta de tipo de pension ni sustento por falta del ISR siempre y cuando el recibo cuenta con folios fiscal y qr( el analisis de la carta de pension se tiene que hacer con la edad que nos indica tener el cliente</t>
  </si>
  <si>
    <t>*Si envia recibos de comisiones y no cumple con folio fiscal y qr y el sustento el deposito venga a nombre de un tercero no se considera para el calculo de ingresos</t>
  </si>
  <si>
    <t>*Sumar a los ingresos conceptos: AFORE, FONAC,FORTE, HIPOTECAS y prestamos duplicados en rec nomina y BC
*Si en los rec nomina trae un crédito hipotecario que no esta reflejado en el BC es necesario enviar el tramite a UW para limitar el crédito</t>
  </si>
  <si>
    <t>*Si no cubre el ingreso mínimo se solicita otra forma de comprobar</t>
  </si>
  <si>
    <t>*Para todos los comprobantes es necesario revisar: Nombre, RFC y periodicidad</t>
  </si>
  <si>
    <t>*Los empleados EVENTUALES pasan no hay restricción en el manual de crédito. Solo debe cumplir con la antigüedad mínima del empleo.</t>
  </si>
  <si>
    <t>*Si están casados por bienes mancomunados y viene la figura de coacreditado ya no es necesario pedir las firmas del garante</t>
  </si>
  <si>
    <t>*es importante antes de liberar la evaluación integral validar que el SCORE no se modifique</t>
  </si>
  <si>
    <t xml:space="preserve">*ECONOMIA AMERICANA validar que la pension sea valida </t>
  </si>
  <si>
    <t>*Cuando el tramite presente coacreditado hay que validar la edad maxima cuando sea mayor a 60 años (menor a 70 años o que la edad mas el plazo sea menor a 80años) y si es necesario modificar el plazo el folio debera ser enviado a zona gris para modificar</t>
  </si>
  <si>
    <t>FECHA DE UNIFICACION</t>
  </si>
  <si>
    <t>Evidencia</t>
  </si>
  <si>
    <t>HIPOTECARIO Coacreditado DECLARACION ANUAL PM</t>
  </si>
  <si>
    <t>El Detalle de las Actualizaciones y Cambio solicitados deberan ser consultados en el Archivo:</t>
  </si>
  <si>
    <t>Antigüedad de los 6 meses</t>
  </si>
  <si>
    <t>v. 2021.6</t>
  </si>
  <si>
    <t>Asalariado (Empleavit)</t>
  </si>
  <si>
    <t>Asalariado (Empleavit).</t>
  </si>
  <si>
    <t>Asalariado (Empleavit):</t>
  </si>
  <si>
    <t>Asalariado (Empleavit):.</t>
  </si>
  <si>
    <t>No Aplica</t>
  </si>
  <si>
    <t>Validacion de Pemex 09/06/2021</t>
  </si>
  <si>
    <t>Pago de Hipotecas</t>
  </si>
  <si>
    <t>Pago de Hipotecas + Liquidez</t>
  </si>
  <si>
    <t>Construcción</t>
  </si>
  <si>
    <t xml:space="preserve">No Asalariado </t>
  </si>
  <si>
    <t>No Asalariado:.</t>
  </si>
  <si>
    <t xml:space="preserve">PJ </t>
  </si>
  <si>
    <t xml:space="preserve">Asalariado (Empleavit) </t>
  </si>
  <si>
    <t xml:space="preserve">Asalariado (Estándar) </t>
  </si>
  <si>
    <t xml:space="preserve">Asalariado (Con Nomina HSBC) </t>
  </si>
  <si>
    <t xml:space="preserve">Asalariado </t>
  </si>
  <si>
    <t>Construcción / Construcción más Terreno</t>
  </si>
  <si>
    <t>Valor Proyecto obra</t>
  </si>
  <si>
    <t>Valor Terreno</t>
  </si>
  <si>
    <t>Lin_max_Construcción</t>
  </si>
  <si>
    <t>Valor proyectado</t>
  </si>
  <si>
    <t>Montos de crédito</t>
  </si>
  <si>
    <t>Mínimo</t>
  </si>
  <si>
    <t>Máximo</t>
  </si>
  <si>
    <t xml:space="preserve">Remodelación </t>
  </si>
  <si>
    <t>El Monto Maximo autorizado para el producto de Remodelación  es de: $ 1,000,000.00</t>
  </si>
  <si>
    <t>Segundo Hogar</t>
  </si>
  <si>
    <t>No Asalariado:..</t>
  </si>
  <si>
    <t>Asalariado:</t>
  </si>
  <si>
    <t>Asalariado:.</t>
  </si>
  <si>
    <t>No Asalariado::.</t>
  </si>
  <si>
    <t>CI + CB</t>
  </si>
  <si>
    <t>Folio No...</t>
  </si>
  <si>
    <t>Clientes ESPECIALES (INFONAVIT NOMINA Y NO NOMINA )</t>
  </si>
  <si>
    <t>Tradicional</t>
  </si>
  <si>
    <t>COFINANCIAMIENTO/APOYO INFONAVIT</t>
  </si>
  <si>
    <t>FPT + MA  / Conyuge</t>
  </si>
  <si>
    <t>$AB$957&lt;100000</t>
  </si>
  <si>
    <t>$AC$957&lt;200000</t>
  </si>
  <si>
    <t>Profesionista Independiente (Contador/Abogado)</t>
  </si>
  <si>
    <t>Profesionista Independiente (Médicos/Dentistas/Veterinarios/Consultorías TOP)</t>
  </si>
  <si>
    <t>17-agosto-2022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</si>
</sst>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_);[Red]\(&quot;$&quot;#,##0.00\)"/>
    <numFmt numFmtId="167" formatCode="dd/mmmm/yyyy"/>
    <numFmt numFmtId="168" formatCode="_-* #,##0.00000000_-;\-* #,##0.00000000_-;_-* &quot;-&quot;??_-;_-@_-"/>
    <numFmt numFmtId="169" formatCode="0.000000"/>
    <numFmt numFmtId="170" formatCode="0.000"/>
    <numFmt numFmtId="171" formatCode="[$-F800]dddd\,\ mmmm\ dd\,\ yyyy"/>
    <numFmt numFmtId="172" formatCode="&quot;$&quot;#,##0.00"/>
    <numFmt numFmtId="173" formatCode="_(* #,##0.000_);_(* \(#,##0.000\);_(* &quot;-&quot;??_);_(@_)"/>
    <numFmt numFmtId="174" formatCode="_(* #,##0.0000_);_(* \(#,##0.0000\);_(* &quot;-&quot;??_);_(@_)"/>
    <numFmt numFmtId="175" formatCode="hh:mm:ss;@"/>
    <numFmt numFmtId="176" formatCode="_(&quot;$&quot;* #,##0.000_);_(&quot;$&quot;* \(#,##0.000\);_(&quot;$&quot;* &quot;-&quot;??_);_(@_)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8"/>
      <color theme="0"/>
      <name val="Consolas"/>
      <family val="3"/>
    </font>
    <font>
      <sz val="8"/>
      <name val="Consolas"/>
      <family val="3"/>
    </font>
    <font>
      <sz val="8"/>
      <color rgb="FF000000"/>
      <name val="Consolas"/>
      <family val="3"/>
    </font>
    <font>
      <b/>
      <sz val="10"/>
      <color rgb="FFFFFFFF"/>
      <name val="Consolas"/>
      <family val="3"/>
    </font>
    <font>
      <b/>
      <sz val="8"/>
      <color rgb="FFFFFFFF"/>
      <name val="Consolas"/>
      <family val="3"/>
    </font>
    <font>
      <b/>
      <sz val="8"/>
      <name val="Consolas"/>
      <family val="3"/>
    </font>
    <font>
      <sz val="8"/>
      <color theme="1"/>
      <name val="Consolas"/>
      <family val="3"/>
    </font>
    <font>
      <b/>
      <sz val="8"/>
      <color theme="2" tint="-0.249977111117893"/>
      <name val="Consolas"/>
      <family val="3"/>
    </font>
    <font>
      <sz val="8"/>
      <color rgb="FFC00000"/>
      <name val="Consolas"/>
      <family val="3"/>
    </font>
    <font>
      <sz val="10"/>
      <name val="Consolas"/>
      <family val="3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sz val="10"/>
      <color theme="1"/>
      <name val="Consolas"/>
      <family val="3"/>
    </font>
    <font>
      <sz val="8"/>
      <color theme="2" tint="-0.249977111117893"/>
      <name val="Consolas"/>
      <family val="3"/>
    </font>
    <font>
      <sz val="11"/>
      <color rgb="FF000000"/>
      <name val="Courier New"/>
      <family val="3"/>
    </font>
    <font>
      <sz val="18"/>
      <color theme="4" tint="-0.499984740745262"/>
      <name val="Calibri"/>
      <family val="2"/>
      <scheme val="minor"/>
    </font>
    <font>
      <sz val="9"/>
      <color theme="1"/>
      <name val="Consolas"/>
      <family val="3"/>
    </font>
    <font>
      <sz val="9"/>
      <color theme="1"/>
      <name val="Calibri"/>
      <family val="2"/>
      <scheme val="minor"/>
    </font>
    <font>
      <b/>
      <sz val="9"/>
      <color theme="1"/>
      <name val="Consolas"/>
      <family val="3"/>
    </font>
    <font>
      <sz val="9"/>
      <name val="Consolas"/>
      <family val="3"/>
    </font>
    <font>
      <sz val="9"/>
      <name val="Calibri"/>
      <family val="2"/>
      <scheme val="minor"/>
    </font>
    <font>
      <b/>
      <sz val="8"/>
      <color theme="0"/>
      <name val="Consolas"/>
      <family val="3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8"/>
      <color rgb="FF993366"/>
      <name val="Consolas"/>
      <family val="3"/>
    </font>
    <font>
      <i/>
      <sz val="9"/>
      <color theme="0" tint="-0.249977111117893"/>
      <name val="Consolas"/>
      <family val="3"/>
    </font>
    <font>
      <b/>
      <sz val="8"/>
      <color indexed="23"/>
      <name val="Arial"/>
      <family val="2"/>
    </font>
    <font>
      <b/>
      <sz val="10"/>
      <name val="Consolas"/>
      <family val="3"/>
    </font>
    <font>
      <b/>
      <sz val="10"/>
      <color indexed="23"/>
      <name val="Consolas"/>
      <family val="3"/>
    </font>
    <font>
      <i/>
      <sz val="8"/>
      <color theme="0" tint="-0.14999847407452621"/>
      <name val="Consolas"/>
      <family val="3"/>
    </font>
    <font>
      <i/>
      <sz val="8"/>
      <color theme="0" tint="-0.249977111117893"/>
      <name val="Consolas"/>
      <family val="3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8"/>
      <color theme="1"/>
      <name val="Arial"/>
      <family val="2"/>
    </font>
    <font>
      <b/>
      <i/>
      <sz val="8"/>
      <name val="Consolas"/>
      <family val="3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rgb="FF2D3E50"/>
      <name val="Courier New"/>
      <family val="3"/>
    </font>
    <font>
      <sz val="8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1F497D"/>
      <name val="Courier New"/>
      <family val="3"/>
    </font>
    <font>
      <sz val="7"/>
      <color rgb="FF1F497D"/>
      <name val="Times New Roman"/>
      <family val="1"/>
    </font>
    <font>
      <sz val="11"/>
      <color theme="0"/>
      <name val="Calibri"/>
      <family val="2"/>
      <scheme val="minor"/>
    </font>
    <font>
      <sz val="10"/>
      <color theme="1"/>
      <name val="Courier New"/>
      <family val="3"/>
    </font>
    <font>
      <b/>
      <sz val="10"/>
      <color rgb="FFFFFFFF"/>
      <name val="Courier New"/>
      <family val="3"/>
    </font>
    <font>
      <sz val="11"/>
      <color rgb="FF1F497D"/>
      <name val="Symbol"/>
      <family val="1"/>
      <charset val="2"/>
    </font>
    <font>
      <b/>
      <sz val="8"/>
      <color theme="1"/>
      <name val="Consolas"/>
      <family val="3"/>
    </font>
    <font>
      <sz val="11"/>
      <color theme="0"/>
      <name val="Consolas"/>
      <family val="3"/>
    </font>
    <font>
      <sz val="12"/>
      <color theme="1"/>
      <name val="Calibri"/>
      <family val="2"/>
      <scheme val="minor"/>
    </font>
    <font>
      <sz val="8"/>
      <color rgb="FFFF0000"/>
      <name val="Consolas"/>
      <family val="3"/>
    </font>
    <font>
      <sz val="8"/>
      <color rgb="FFFFFFFF"/>
      <name val="Consolas"/>
      <family val="3"/>
    </font>
    <font>
      <sz val="8"/>
      <color theme="0"/>
      <name val="Calibri"/>
      <family val="2"/>
      <scheme val="minor"/>
    </font>
    <font>
      <sz val="8"/>
      <color rgb="FF000000"/>
      <name val="Arial"/>
      <family val="2"/>
    </font>
    <font>
      <sz val="12"/>
      <name val="Consolas"/>
      <family val="3"/>
    </font>
    <font>
      <b/>
      <sz val="11"/>
      <color rgb="FFFF0000"/>
      <name val="Calibri"/>
      <family val="2"/>
      <scheme val="minor"/>
    </font>
    <font>
      <b/>
      <sz val="10"/>
      <color rgb="FFFFFFFF"/>
      <name val="Calibri"/>
      <family val="2"/>
    </font>
    <font>
      <sz val="11"/>
      <color rgb="FF9C650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8"/>
      <color theme="1" tint="0.34998626667073579"/>
      <name val="Consolas"/>
      <family val="3"/>
    </font>
    <font>
      <b/>
      <sz val="14"/>
      <color theme="1"/>
      <name val="Consolas"/>
      <family val="3"/>
    </font>
    <font>
      <b/>
      <sz val="8"/>
      <color rgb="FFFF0000"/>
      <name val="Consolas"/>
      <family val="3"/>
    </font>
  </fonts>
  <fills count="4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00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double">
        <color rgb="FFFF0000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double">
        <color rgb="FFFF0000"/>
      </left>
      <right style="medium">
        <color indexed="64"/>
      </right>
      <top style="double">
        <color rgb="FFFF0000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rgb="FFFF0000"/>
      </right>
      <top/>
      <bottom/>
      <diagonal/>
    </border>
    <border>
      <left/>
      <right style="double">
        <color rgb="FFFF0000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rgb="FFFF0000"/>
      </left>
      <right style="double">
        <color rgb="FFFF0000"/>
      </right>
      <top/>
      <bottom style="double">
        <color rgb="FFFF0000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38" fillId="0" borderId="0"/>
    <xf numFmtId="0" fontId="1" fillId="0" borderId="0"/>
    <xf numFmtId="0" fontId="38" fillId="0" borderId="0"/>
    <xf numFmtId="0" fontId="38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38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60" fillId="0" borderId="0"/>
    <xf numFmtId="0" fontId="68" fillId="37" borderId="0" applyNumberFormat="0" applyBorder="0" applyAlignment="0" applyProtection="0"/>
    <xf numFmtId="0" fontId="54" fillId="38" borderId="0" applyNumberFormat="0" applyBorder="0" applyAlignment="0" applyProtection="0"/>
    <xf numFmtId="165" fontId="1" fillId="0" borderId="0" applyFont="0" applyFill="0" applyBorder="0" applyAlignment="0" applyProtection="0"/>
  </cellStyleXfs>
  <cellXfs count="660">
    <xf numFmtId="0" fontId="0" fillId="0" borderId="0" xfId="0"/>
    <xf numFmtId="0" fontId="2" fillId="0" borderId="1" xfId="0" applyFont="1" applyBorder="1" applyAlignment="1" applyProtection="1">
      <alignment horizontal="center" vertical="center"/>
      <protection hidden="1"/>
    </xf>
    <xf numFmtId="164" fontId="3" fillId="2" borderId="2" xfId="2" applyFont="1" applyFill="1" applyBorder="1" applyAlignment="1">
      <alignment horizontal="right" vertical="center"/>
    </xf>
    <xf numFmtId="164" fontId="4" fillId="0" borderId="3" xfId="2" applyNumberFormat="1" applyFont="1" applyBorder="1" applyAlignment="1" applyProtection="1">
      <alignment horizontal="center" vertical="center"/>
      <protection hidden="1"/>
    </xf>
    <xf numFmtId="0" fontId="5" fillId="3" borderId="4" xfId="0" applyFont="1" applyFill="1" applyBorder="1" applyAlignment="1">
      <alignment vertical="center"/>
    </xf>
    <xf numFmtId="164" fontId="4" fillId="0" borderId="3" xfId="2" applyFont="1" applyBorder="1" applyAlignment="1" applyProtection="1">
      <alignment horizontal="center" vertical="center"/>
      <protection hidden="1"/>
    </xf>
    <xf numFmtId="166" fontId="2" fillId="0" borderId="8" xfId="1" applyNumberFormat="1" applyFont="1" applyBorder="1" applyAlignment="1" applyProtection="1">
      <alignment horizontal="center" vertical="center"/>
      <protection hidden="1"/>
    </xf>
    <xf numFmtId="164" fontId="5" fillId="5" borderId="9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vertical="center"/>
      <protection hidden="1"/>
    </xf>
    <xf numFmtId="164" fontId="4" fillId="0" borderId="3" xfId="1" applyNumberFormat="1" applyFont="1" applyBorder="1" applyAlignment="1" applyProtection="1">
      <alignment horizontal="center" vertical="center"/>
      <protection hidden="1"/>
    </xf>
    <xf numFmtId="165" fontId="0" fillId="0" borderId="0" xfId="1" applyFont="1"/>
    <xf numFmtId="164" fontId="3" fillId="2" borderId="16" xfId="2" applyFont="1" applyFill="1" applyBorder="1" applyAlignment="1">
      <alignment horizontal="center" vertical="center"/>
    </xf>
    <xf numFmtId="0" fontId="8" fillId="0" borderId="20" xfId="0" applyFont="1" applyFill="1" applyBorder="1" applyAlignment="1" applyProtection="1">
      <alignment horizontal="left" vertical="center"/>
      <protection hidden="1"/>
    </xf>
    <xf numFmtId="166" fontId="9" fillId="6" borderId="21" xfId="1" applyNumberFormat="1" applyFont="1" applyFill="1" applyBorder="1"/>
    <xf numFmtId="165" fontId="4" fillId="0" borderId="21" xfId="1" applyFont="1" applyBorder="1" applyAlignment="1" applyProtection="1">
      <alignment horizontal="center" vertical="center"/>
      <protection hidden="1"/>
    </xf>
    <xf numFmtId="9" fontId="4" fillId="5" borderId="2" xfId="3" applyFont="1" applyFill="1" applyBorder="1" applyAlignment="1" applyProtection="1">
      <alignment horizontal="center" vertical="center"/>
      <protection hidden="1"/>
    </xf>
    <xf numFmtId="0" fontId="0" fillId="0" borderId="21" xfId="0" applyNumberFormat="1" applyBorder="1" applyAlignment="1">
      <alignment horizontal="center"/>
    </xf>
    <xf numFmtId="164" fontId="4" fillId="0" borderId="22" xfId="2" applyFont="1" applyBorder="1" applyAlignment="1" applyProtection="1">
      <alignment horizontal="center" vertical="center"/>
      <protection hidden="1"/>
    </xf>
    <xf numFmtId="165" fontId="9" fillId="6" borderId="21" xfId="1" applyFont="1" applyFill="1" applyBorder="1"/>
    <xf numFmtId="0" fontId="7" fillId="4" borderId="10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vertical="center"/>
    </xf>
    <xf numFmtId="9" fontId="5" fillId="6" borderId="27" xfId="0" applyNumberFormat="1" applyFont="1" applyFill="1" applyBorder="1" applyAlignment="1">
      <alignment horizontal="center" vertical="center"/>
    </xf>
    <xf numFmtId="0" fontId="8" fillId="6" borderId="20" xfId="0" applyFont="1" applyFill="1" applyBorder="1" applyAlignment="1" applyProtection="1">
      <alignment horizontal="left" vertical="center"/>
      <protection hidden="1"/>
    </xf>
    <xf numFmtId="165" fontId="4" fillId="0" borderId="28" xfId="1" applyFont="1" applyBorder="1" applyAlignment="1" applyProtection="1">
      <alignment horizontal="center" vertical="center"/>
      <protection hidden="1"/>
    </xf>
    <xf numFmtId="0" fontId="8" fillId="8" borderId="29" xfId="0" applyFont="1" applyFill="1" applyBorder="1" applyAlignment="1" applyProtection="1">
      <alignment horizontal="right" vertical="center"/>
      <protection hidden="1"/>
    </xf>
    <xf numFmtId="165" fontId="8" fillId="8" borderId="21" xfId="1" applyFont="1" applyFill="1" applyBorder="1" applyAlignment="1" applyProtection="1">
      <alignment horizontal="center" vertical="center"/>
      <protection locked="0"/>
    </xf>
    <xf numFmtId="9" fontId="8" fillId="8" borderId="29" xfId="3" applyFont="1" applyFill="1" applyBorder="1" applyAlignment="1" applyProtection="1">
      <alignment horizontal="right" vertical="center"/>
      <protection hidden="1"/>
    </xf>
    <xf numFmtId="0" fontId="5" fillId="0" borderId="9" xfId="0" applyFont="1" applyBorder="1" applyAlignment="1">
      <alignment vertical="center"/>
    </xf>
    <xf numFmtId="9" fontId="5" fillId="5" borderId="27" xfId="0" applyNumberFormat="1" applyFont="1" applyFill="1" applyBorder="1" applyAlignment="1">
      <alignment horizontal="center" vertical="center"/>
    </xf>
    <xf numFmtId="0" fontId="8" fillId="8" borderId="30" xfId="0" applyFont="1" applyFill="1" applyBorder="1" applyAlignment="1" applyProtection="1">
      <alignment horizontal="right" vertical="center"/>
      <protection hidden="1"/>
    </xf>
    <xf numFmtId="165" fontId="8" fillId="8" borderId="31" xfId="1" applyFont="1" applyFill="1" applyBorder="1" applyAlignment="1" applyProtection="1">
      <alignment horizontal="center" vertical="center"/>
      <protection locked="0"/>
    </xf>
    <xf numFmtId="164" fontId="4" fillId="0" borderId="34" xfId="2" applyFont="1" applyBorder="1" applyAlignment="1" applyProtection="1">
      <alignment horizontal="center" vertical="center"/>
      <protection hidden="1"/>
    </xf>
    <xf numFmtId="0" fontId="5" fillId="0" borderId="21" xfId="0" applyFont="1" applyFill="1" applyBorder="1" applyAlignment="1">
      <alignment vertical="center"/>
    </xf>
    <xf numFmtId="9" fontId="5" fillId="5" borderId="21" xfId="0" applyNumberFormat="1" applyFont="1" applyFill="1" applyBorder="1" applyAlignment="1">
      <alignment horizontal="center" vertical="center"/>
    </xf>
    <xf numFmtId="165" fontId="8" fillId="5" borderId="21" xfId="1" applyFont="1" applyFill="1" applyBorder="1" applyAlignment="1" applyProtection="1">
      <alignment horizontal="center" vertical="center"/>
      <protection locked="0"/>
    </xf>
    <xf numFmtId="165" fontId="8" fillId="8" borderId="36" xfId="1" applyFont="1" applyFill="1" applyBorder="1" applyAlignment="1" applyProtection="1">
      <alignment horizontal="center" vertical="center"/>
      <protection locked="0"/>
    </xf>
    <xf numFmtId="0" fontId="10" fillId="8" borderId="29" xfId="0" applyFont="1" applyFill="1" applyBorder="1" applyAlignment="1" applyProtection="1">
      <alignment horizontal="right" vertical="center"/>
      <protection hidden="1"/>
    </xf>
    <xf numFmtId="0" fontId="11" fillId="0" borderId="0" xfId="0" applyFont="1" applyAlignment="1" applyProtection="1">
      <protection hidden="1"/>
    </xf>
    <xf numFmtId="0" fontId="8" fillId="5" borderId="20" xfId="0" applyFont="1" applyFill="1" applyBorder="1" applyAlignment="1" applyProtection="1">
      <alignment horizontal="left" vertical="center"/>
      <protection hidden="1"/>
    </xf>
    <xf numFmtId="9" fontId="4" fillId="5" borderId="1" xfId="3" applyFont="1" applyFill="1" applyBorder="1" applyAlignment="1" applyProtection="1">
      <alignment horizontal="center" vertical="center"/>
      <protection hidden="1"/>
    </xf>
    <xf numFmtId="164" fontId="3" fillId="2" borderId="37" xfId="2" applyFont="1" applyFill="1" applyBorder="1" applyAlignment="1">
      <alignment horizontal="right" vertical="center"/>
    </xf>
    <xf numFmtId="164" fontId="4" fillId="0" borderId="38" xfId="2" applyFont="1" applyBorder="1" applyAlignment="1" applyProtection="1">
      <alignment horizontal="center" vertical="center"/>
      <protection hidden="1"/>
    </xf>
    <xf numFmtId="165" fontId="8" fillId="8" borderId="39" xfId="1" applyFont="1" applyFill="1" applyBorder="1" applyAlignment="1" applyProtection="1">
      <alignment horizontal="center" vertical="center"/>
      <protection locked="0"/>
    </xf>
    <xf numFmtId="164" fontId="3" fillId="2" borderId="21" xfId="2" applyFont="1" applyFill="1" applyBorder="1" applyAlignment="1">
      <alignment horizontal="center" vertical="center"/>
    </xf>
    <xf numFmtId="0" fontId="8" fillId="8" borderId="21" xfId="0" applyFont="1" applyFill="1" applyBorder="1" applyAlignment="1" applyProtection="1">
      <alignment horizontal="right" vertical="center"/>
      <protection hidden="1"/>
    </xf>
    <xf numFmtId="9" fontId="8" fillId="8" borderId="21" xfId="3" applyFont="1" applyFill="1" applyBorder="1" applyAlignment="1" applyProtection="1">
      <alignment horizontal="right" vertical="center"/>
      <protection hidden="1"/>
    </xf>
    <xf numFmtId="1" fontId="10" fillId="8" borderId="1" xfId="1" applyNumberFormat="1" applyFont="1" applyFill="1" applyBorder="1" applyAlignment="1" applyProtection="1">
      <alignment horizontal="center" vertical="center"/>
      <protection locked="0"/>
    </xf>
    <xf numFmtId="0" fontId="8" fillId="8" borderId="42" xfId="0" applyFont="1" applyFill="1" applyBorder="1" applyAlignment="1" applyProtection="1">
      <alignment horizontal="right" vertical="center"/>
      <protection hidden="1"/>
    </xf>
    <xf numFmtId="165" fontId="8" fillId="8" borderId="43" xfId="1" applyFont="1" applyFill="1" applyBorder="1" applyAlignment="1" applyProtection="1">
      <alignment horizontal="center" vertical="center"/>
      <protection locked="0"/>
    </xf>
    <xf numFmtId="165" fontId="8" fillId="5" borderId="43" xfId="1" applyFont="1" applyFill="1" applyBorder="1" applyAlignment="1" applyProtection="1">
      <alignment horizontal="center" vertical="center"/>
      <protection locked="0"/>
    </xf>
    <xf numFmtId="165" fontId="8" fillId="5" borderId="16" xfId="1" applyFont="1" applyFill="1" applyBorder="1" applyAlignment="1" applyProtection="1">
      <alignment horizontal="center" vertical="center"/>
      <protection locked="0"/>
    </xf>
    <xf numFmtId="165" fontId="9" fillId="6" borderId="36" xfId="1" applyFont="1" applyFill="1" applyBorder="1"/>
    <xf numFmtId="164" fontId="3" fillId="2" borderId="20" xfId="2" applyFont="1" applyFill="1" applyBorder="1" applyAlignment="1">
      <alignment horizontal="right" vertical="center"/>
    </xf>
    <xf numFmtId="165" fontId="10" fillId="8" borderId="21" xfId="1" applyFont="1" applyFill="1" applyBorder="1" applyAlignment="1" applyProtection="1">
      <alignment horizontal="center" vertical="center"/>
      <protection locked="0"/>
    </xf>
    <xf numFmtId="165" fontId="8" fillId="8" borderId="44" xfId="1" applyFont="1" applyFill="1" applyBorder="1" applyAlignment="1" applyProtection="1">
      <alignment horizontal="center" vertical="center"/>
      <protection locked="0"/>
    </xf>
    <xf numFmtId="165" fontId="9" fillId="6" borderId="44" xfId="1" applyFont="1" applyFill="1" applyBorder="1"/>
    <xf numFmtId="167" fontId="12" fillId="6" borderId="21" xfId="0" applyNumberFormat="1" applyFont="1" applyFill="1" applyBorder="1" applyAlignment="1" applyProtection="1">
      <alignment horizontal="center" vertical="center"/>
      <protection hidden="1"/>
    </xf>
    <xf numFmtId="0" fontId="12" fillId="6" borderId="21" xfId="0" applyNumberFormat="1" applyFont="1" applyFill="1" applyBorder="1" applyAlignment="1" applyProtection="1">
      <alignment horizontal="center" vertical="center"/>
      <protection hidden="1"/>
    </xf>
    <xf numFmtId="167" fontId="13" fillId="5" borderId="21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65" fontId="8" fillId="3" borderId="21" xfId="1" applyFont="1" applyFill="1" applyBorder="1" applyAlignment="1" applyProtection="1">
      <alignment horizontal="center" vertical="center"/>
      <protection locked="0"/>
    </xf>
    <xf numFmtId="165" fontId="8" fillId="8" borderId="1" xfId="1" applyFont="1" applyFill="1" applyBorder="1" applyAlignment="1" applyProtection="1">
      <alignment horizontal="center" vertical="center"/>
      <protection locked="0"/>
    </xf>
    <xf numFmtId="165" fontId="9" fillId="6" borderId="28" xfId="1" applyFont="1" applyFill="1" applyBorder="1"/>
    <xf numFmtId="9" fontId="4" fillId="5" borderId="21" xfId="3" applyNumberFormat="1" applyFont="1" applyFill="1" applyBorder="1" applyAlignment="1" applyProtection="1">
      <alignment horizontal="center" vertical="center"/>
      <protection hidden="1"/>
    </xf>
    <xf numFmtId="0" fontId="9" fillId="6" borderId="21" xfId="1" applyNumberFormat="1" applyFont="1" applyFill="1" applyBorder="1"/>
    <xf numFmtId="0" fontId="5" fillId="3" borderId="21" xfId="1" applyNumberFormat="1" applyFont="1" applyFill="1" applyBorder="1" applyAlignment="1">
      <alignment horizontal="center" vertical="center"/>
    </xf>
    <xf numFmtId="164" fontId="3" fillId="2" borderId="2" xfId="2" applyFont="1" applyFill="1" applyBorder="1" applyAlignment="1">
      <alignment horizontal="right" vertical="center"/>
    </xf>
    <xf numFmtId="9" fontId="10" fillId="8" borderId="29" xfId="3" applyFont="1" applyFill="1" applyBorder="1" applyAlignment="1" applyProtection="1">
      <alignment horizontal="right" vertical="center"/>
      <protection hidden="1"/>
    </xf>
    <xf numFmtId="165" fontId="8" fillId="8" borderId="16" xfId="1" applyFont="1" applyFill="1" applyBorder="1" applyAlignment="1" applyProtection="1">
      <alignment horizontal="center" vertical="center"/>
      <protection locked="0"/>
    </xf>
    <xf numFmtId="4" fontId="0" fillId="0" borderId="0" xfId="0" applyNumberFormat="1"/>
    <xf numFmtId="0" fontId="16" fillId="0" borderId="0" xfId="0" applyFont="1" applyAlignment="1">
      <alignment horizontal="right" vertical="center" wrapText="1"/>
    </xf>
    <xf numFmtId="0" fontId="15" fillId="0" borderId="0" xfId="0" applyFont="1" applyAlignment="1">
      <alignment horizontal="left" vertical="center" wrapText="1"/>
    </xf>
    <xf numFmtId="165" fontId="0" fillId="0" borderId="0" xfId="0" applyNumberFormat="1"/>
    <xf numFmtId="9" fontId="8" fillId="8" borderId="21" xfId="1" applyNumberFormat="1" applyFont="1" applyFill="1" applyBorder="1" applyAlignment="1" applyProtection="1">
      <alignment horizontal="center" vertical="center"/>
      <protection locked="0"/>
    </xf>
    <xf numFmtId="164" fontId="4" fillId="5" borderId="21" xfId="2" applyFont="1" applyFill="1" applyBorder="1" applyAlignment="1" applyProtection="1">
      <alignment horizontal="center" vertical="center"/>
      <protection locked="0"/>
    </xf>
    <xf numFmtId="0" fontId="18" fillId="0" borderId="0" xfId="0" applyFont="1"/>
    <xf numFmtId="0" fontId="17" fillId="8" borderId="29" xfId="0" applyFont="1" applyFill="1" applyBorder="1" applyAlignment="1" applyProtection="1">
      <alignment horizontal="right" vertical="center"/>
      <protection hidden="1"/>
    </xf>
    <xf numFmtId="0" fontId="4" fillId="5" borderId="21" xfId="1" applyNumberFormat="1" applyFont="1" applyFill="1" applyBorder="1" applyAlignment="1" applyProtection="1">
      <alignment horizontal="center" vertical="center"/>
      <protection hidden="1"/>
    </xf>
    <xf numFmtId="165" fontId="4" fillId="5" borderId="21" xfId="1" applyFont="1" applyFill="1" applyBorder="1" applyAlignment="1" applyProtection="1">
      <alignment horizontal="center" vertical="center"/>
      <protection hidden="1"/>
    </xf>
    <xf numFmtId="165" fontId="19" fillId="8" borderId="21" xfId="1" applyFont="1" applyFill="1" applyBorder="1" applyAlignment="1" applyProtection="1">
      <alignment horizontal="center" vertical="center"/>
      <protection locked="0"/>
    </xf>
    <xf numFmtId="165" fontId="10" fillId="8" borderId="21" xfId="1" applyNumberFormat="1" applyFont="1" applyFill="1" applyBorder="1" applyAlignment="1" applyProtection="1">
      <alignment horizontal="center" vertical="center"/>
      <protection locked="0"/>
    </xf>
    <xf numFmtId="9" fontId="0" fillId="0" borderId="0" xfId="3" applyFont="1"/>
    <xf numFmtId="1" fontId="4" fillId="5" borderId="21" xfId="1" applyNumberFormat="1" applyFont="1" applyFill="1" applyBorder="1" applyAlignment="1" applyProtection="1">
      <alignment horizontal="center" vertical="center"/>
      <protection hidden="1"/>
    </xf>
    <xf numFmtId="166" fontId="4" fillId="0" borderId="38" xfId="2" applyNumberFormat="1" applyFont="1" applyBorder="1" applyAlignment="1" applyProtection="1">
      <alignment horizontal="center" vertical="center"/>
      <protection hidden="1"/>
    </xf>
    <xf numFmtId="170" fontId="10" fillId="8" borderId="21" xfId="1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/>
    <xf numFmtId="164" fontId="4" fillId="5" borderId="31" xfId="2" applyFont="1" applyFill="1" applyBorder="1" applyAlignment="1" applyProtection="1">
      <alignment horizontal="center" vertical="center"/>
      <protection locked="0"/>
    </xf>
    <xf numFmtId="164" fontId="3" fillId="2" borderId="47" xfId="2" applyFont="1" applyFill="1" applyBorder="1" applyAlignment="1">
      <alignment horizontal="right" vertical="center"/>
    </xf>
    <xf numFmtId="164" fontId="4" fillId="0" borderId="48" xfId="2" applyFont="1" applyBorder="1" applyAlignment="1" applyProtection="1">
      <alignment horizontal="center" vertical="center"/>
      <protection hidden="1"/>
    </xf>
    <xf numFmtId="164" fontId="3" fillId="2" borderId="2" xfId="2" applyFont="1" applyFill="1" applyBorder="1" applyAlignment="1">
      <alignment horizontal="right" vertical="center"/>
    </xf>
    <xf numFmtId="164" fontId="19" fillId="8" borderId="16" xfId="2" applyFont="1" applyFill="1" applyBorder="1" applyAlignment="1">
      <alignment horizontal="center" vertical="center"/>
    </xf>
    <xf numFmtId="165" fontId="8" fillId="5" borderId="36" xfId="1" applyFont="1" applyFill="1" applyBorder="1" applyAlignment="1" applyProtection="1">
      <alignment horizontal="center" vertical="center"/>
      <protection locked="0"/>
    </xf>
    <xf numFmtId="0" fontId="0" fillId="0" borderId="28" xfId="0" applyNumberFormat="1" applyBorder="1" applyAlignment="1">
      <alignment horizontal="center"/>
    </xf>
    <xf numFmtId="165" fontId="8" fillId="8" borderId="2" xfId="1" applyFont="1" applyFill="1" applyBorder="1" applyAlignment="1" applyProtection="1">
      <alignment horizontal="center" vertical="center"/>
      <protection locked="0"/>
    </xf>
    <xf numFmtId="165" fontId="8" fillId="8" borderId="49" xfId="1" applyFont="1" applyFill="1" applyBorder="1" applyAlignment="1" applyProtection="1">
      <alignment horizontal="center" vertical="center"/>
      <protection locked="0"/>
    </xf>
    <xf numFmtId="165" fontId="8" fillId="8" borderId="50" xfId="1" applyFont="1" applyFill="1" applyBorder="1" applyAlignment="1" applyProtection="1">
      <alignment horizontal="center" vertical="center"/>
      <protection locked="0"/>
    </xf>
    <xf numFmtId="165" fontId="8" fillId="8" borderId="51" xfId="1" applyFont="1" applyFill="1" applyBorder="1" applyAlignment="1" applyProtection="1">
      <alignment horizontal="center" vertical="center"/>
      <protection locked="0"/>
    </xf>
    <xf numFmtId="0" fontId="5" fillId="6" borderId="9" xfId="0" applyFont="1" applyFill="1" applyBorder="1" applyAlignment="1">
      <alignment vertical="center"/>
    </xf>
    <xf numFmtId="0" fontId="10" fillId="8" borderId="30" xfId="0" applyFont="1" applyFill="1" applyBorder="1" applyAlignment="1" applyProtection="1">
      <alignment horizontal="right" vertical="center"/>
      <protection hidden="1"/>
    </xf>
    <xf numFmtId="165" fontId="8" fillId="8" borderId="52" xfId="1" applyFont="1" applyFill="1" applyBorder="1" applyAlignment="1" applyProtection="1">
      <alignment horizontal="center" vertical="center"/>
      <protection locked="0"/>
    </xf>
    <xf numFmtId="165" fontId="8" fillId="8" borderId="29" xfId="1" applyFont="1" applyFill="1" applyBorder="1" applyAlignment="1" applyProtection="1">
      <alignment horizontal="center" vertical="center"/>
      <protection locked="0"/>
    </xf>
    <xf numFmtId="165" fontId="8" fillId="8" borderId="54" xfId="1" applyFont="1" applyFill="1" applyBorder="1" applyAlignment="1" applyProtection="1">
      <alignment horizontal="center" vertical="center"/>
      <protection locked="0"/>
    </xf>
    <xf numFmtId="0" fontId="5" fillId="3" borderId="53" xfId="0" applyFont="1" applyFill="1" applyBorder="1" applyAlignment="1">
      <alignment vertical="center"/>
    </xf>
    <xf numFmtId="0" fontId="9" fillId="0" borderId="21" xfId="0" applyNumberFormat="1" applyFont="1" applyBorder="1" applyAlignment="1">
      <alignment horizontal="center"/>
    </xf>
    <xf numFmtId="0" fontId="9" fillId="0" borderId="2" xfId="0" applyNumberFormat="1" applyFont="1" applyBorder="1" applyAlignment="1">
      <alignment horizontal="center"/>
    </xf>
    <xf numFmtId="164" fontId="3" fillId="2" borderId="36" xfId="2" applyFont="1" applyFill="1" applyBorder="1" applyAlignment="1">
      <alignment horizontal="center" vertical="center"/>
    </xf>
    <xf numFmtId="165" fontId="8" fillId="5" borderId="55" xfId="1" applyFont="1" applyFill="1" applyBorder="1" applyAlignment="1" applyProtection="1">
      <alignment horizontal="center" vertical="center"/>
    </xf>
    <xf numFmtId="0" fontId="10" fillId="8" borderId="20" xfId="0" applyFont="1" applyFill="1" applyBorder="1" applyAlignment="1" applyProtection="1">
      <alignment horizontal="right" vertical="center"/>
      <protection hidden="1"/>
    </xf>
    <xf numFmtId="165" fontId="9" fillId="6" borderId="56" xfId="1" applyFont="1" applyFill="1" applyBorder="1"/>
    <xf numFmtId="1" fontId="10" fillId="8" borderId="56" xfId="1" applyNumberFormat="1" applyFont="1" applyFill="1" applyBorder="1" applyAlignment="1" applyProtection="1">
      <alignment horizontal="center" vertical="center"/>
      <protection locked="0"/>
    </xf>
    <xf numFmtId="0" fontId="12" fillId="6" borderId="21" xfId="0" applyFont="1" applyFill="1" applyBorder="1" applyAlignment="1" applyProtection="1">
      <alignment horizontal="center" vertical="center"/>
      <protection hidden="1"/>
    </xf>
    <xf numFmtId="9" fontId="12" fillId="6" borderId="21" xfId="3" applyFont="1" applyFill="1" applyBorder="1" applyAlignment="1" applyProtection="1">
      <alignment horizontal="center" vertical="center"/>
      <protection hidden="1"/>
    </xf>
    <xf numFmtId="9" fontId="12" fillId="6" borderId="21" xfId="0" applyNumberFormat="1" applyFont="1" applyFill="1" applyBorder="1" applyAlignment="1" applyProtection="1">
      <alignment horizontal="center" vertical="center"/>
      <protection hidden="1"/>
    </xf>
    <xf numFmtId="168" fontId="12" fillId="6" borderId="21" xfId="1" applyNumberFormat="1" applyFont="1" applyFill="1" applyBorder="1" applyAlignment="1" applyProtection="1">
      <alignment horizontal="center" vertical="center"/>
      <protection hidden="1"/>
    </xf>
    <xf numFmtId="169" fontId="12" fillId="6" borderId="21" xfId="0" applyNumberFormat="1" applyFont="1" applyFill="1" applyBorder="1" applyAlignment="1" applyProtection="1">
      <alignment horizontal="center"/>
      <protection hidden="1"/>
    </xf>
    <xf numFmtId="9" fontId="12" fillId="3" borderId="21" xfId="0" applyNumberFormat="1" applyFont="1" applyFill="1" applyBorder="1" applyAlignment="1" applyProtection="1">
      <alignment horizontal="center" vertical="center"/>
      <protection hidden="1"/>
    </xf>
    <xf numFmtId="169" fontId="12" fillId="3" borderId="21" xfId="0" applyNumberFormat="1" applyFont="1" applyFill="1" applyBorder="1" applyAlignment="1" applyProtection="1">
      <alignment horizontal="center"/>
      <protection hidden="1"/>
    </xf>
    <xf numFmtId="164" fontId="3" fillId="2" borderId="37" xfId="2" applyFont="1" applyFill="1" applyBorder="1" applyAlignment="1">
      <alignment horizontal="center" vertical="center"/>
    </xf>
    <xf numFmtId="9" fontId="10" fillId="8" borderId="29" xfId="3" applyFont="1" applyFill="1" applyBorder="1" applyAlignment="1" applyProtection="1">
      <alignment horizontal="center" vertical="center"/>
      <protection hidden="1"/>
    </xf>
    <xf numFmtId="0" fontId="3" fillId="2" borderId="37" xfId="2" applyNumberFormat="1" applyFont="1" applyFill="1" applyBorder="1" applyAlignment="1">
      <alignment horizontal="center" vertical="center"/>
    </xf>
    <xf numFmtId="0" fontId="9" fillId="6" borderId="21" xfId="1" applyNumberFormat="1" applyFont="1" applyFill="1" applyBorder="1" applyAlignment="1">
      <alignment horizontal="center" vertical="center"/>
    </xf>
    <xf numFmtId="0" fontId="10" fillId="8" borderId="29" xfId="3" applyNumberFormat="1" applyFont="1" applyFill="1" applyBorder="1" applyAlignment="1" applyProtection="1">
      <alignment horizontal="center" vertical="center"/>
      <protection hidden="1"/>
    </xf>
    <xf numFmtId="0" fontId="8" fillId="8" borderId="2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/>
    <xf numFmtId="171" fontId="0" fillId="0" borderId="0" xfId="0" applyNumberFormat="1" applyAlignment="1">
      <alignment wrapText="1"/>
    </xf>
    <xf numFmtId="0" fontId="22" fillId="0" borderId="0" xfId="0" applyFont="1"/>
    <xf numFmtId="0" fontId="22" fillId="0" borderId="0" xfId="0" applyFont="1" applyAlignment="1">
      <alignment vertical="top"/>
    </xf>
    <xf numFmtId="0" fontId="23" fillId="0" borderId="0" xfId="0" applyFont="1"/>
    <xf numFmtId="171" fontId="23" fillId="0" borderId="0" xfId="0" applyNumberFormat="1" applyFont="1" applyAlignment="1"/>
    <xf numFmtId="171" fontId="23" fillId="0" borderId="0" xfId="0" applyNumberFormat="1" applyFont="1" applyAlignment="1">
      <alignment horizontal="right"/>
    </xf>
    <xf numFmtId="0" fontId="24" fillId="0" borderId="0" xfId="0" applyFont="1"/>
    <xf numFmtId="0" fontId="0" fillId="3" borderId="0" xfId="0" applyFill="1" applyAlignment="1">
      <alignment horizontal="center"/>
    </xf>
    <xf numFmtId="9" fontId="4" fillId="5" borderId="21" xfId="3" applyFont="1" applyFill="1" applyBorder="1" applyAlignment="1" applyProtection="1">
      <alignment horizontal="center" vertical="center"/>
      <protection locked="0"/>
    </xf>
    <xf numFmtId="0" fontId="28" fillId="0" borderId="0" xfId="0" applyFont="1" applyAlignment="1">
      <alignment vertical="center"/>
    </xf>
    <xf numFmtId="0" fontId="0" fillId="0" borderId="0" xfId="0" applyBorder="1"/>
    <xf numFmtId="0" fontId="0" fillId="0" borderId="0" xfId="0" applyFill="1" applyBorder="1"/>
    <xf numFmtId="0" fontId="0" fillId="9" borderId="0" xfId="0" applyFill="1"/>
    <xf numFmtId="0" fontId="28" fillId="10" borderId="0" xfId="0" applyFont="1" applyFill="1" applyAlignment="1">
      <alignment vertical="center"/>
    </xf>
    <xf numFmtId="0" fontId="29" fillId="0" borderId="0" xfId="0" applyFont="1"/>
    <xf numFmtId="0" fontId="0" fillId="0" borderId="0" xfId="0" applyAlignment="1">
      <alignment horizontal="center"/>
    </xf>
    <xf numFmtId="16" fontId="31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33" fillId="0" borderId="0" xfId="0" applyFont="1"/>
    <xf numFmtId="0" fontId="34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0" fontId="36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12" borderId="0" xfId="0" applyFill="1" applyAlignment="1">
      <alignment horizontal="center"/>
    </xf>
    <xf numFmtId="164" fontId="3" fillId="2" borderId="16" xfId="2" applyFont="1" applyFill="1" applyBorder="1" applyAlignment="1">
      <alignment vertical="center"/>
    </xf>
    <xf numFmtId="10" fontId="8" fillId="8" borderId="21" xfId="0" applyNumberFormat="1" applyFont="1" applyFill="1" applyBorder="1" applyAlignment="1" applyProtection="1">
      <alignment horizontal="center" vertical="center"/>
      <protection hidden="1"/>
    </xf>
    <xf numFmtId="9" fontId="10" fillId="3" borderId="29" xfId="3" applyFont="1" applyFill="1" applyBorder="1" applyAlignment="1" applyProtection="1">
      <alignment horizontal="center" vertical="center"/>
      <protection hidden="1"/>
    </xf>
    <xf numFmtId="165" fontId="8" fillId="6" borderId="21" xfId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164" fontId="3" fillId="2" borderId="31" xfId="2" applyFont="1" applyFill="1" applyBorder="1" applyAlignment="1">
      <alignment horizontal="center" vertical="center"/>
    </xf>
    <xf numFmtId="0" fontId="8" fillId="6" borderId="21" xfId="1" applyNumberFormat="1" applyFont="1" applyFill="1" applyBorder="1" applyAlignment="1" applyProtection="1">
      <alignment horizontal="center" vertical="center"/>
      <protection locked="0"/>
    </xf>
    <xf numFmtId="0" fontId="10" fillId="8" borderId="21" xfId="3" applyNumberFormat="1" applyFont="1" applyFill="1" applyBorder="1" applyAlignment="1" applyProtection="1">
      <alignment horizontal="center" vertical="center"/>
      <protection hidden="1"/>
    </xf>
    <xf numFmtId="165" fontId="8" fillId="14" borderId="21" xfId="1" applyFont="1" applyFill="1" applyBorder="1" applyAlignment="1" applyProtection="1">
      <alignment horizontal="center" vertical="center"/>
      <protection locked="0"/>
    </xf>
    <xf numFmtId="10" fontId="8" fillId="8" borderId="21" xfId="1" applyNumberFormat="1" applyFont="1" applyFill="1" applyBorder="1" applyAlignment="1" applyProtection="1">
      <alignment horizontal="center" vertical="center"/>
      <protection locked="0"/>
    </xf>
    <xf numFmtId="164" fontId="8" fillId="8" borderId="21" xfId="1" applyNumberFormat="1" applyFont="1" applyFill="1" applyBorder="1" applyAlignment="1" applyProtection="1">
      <alignment horizontal="center" vertical="center"/>
      <protection locked="0"/>
    </xf>
    <xf numFmtId="10" fontId="8" fillId="5" borderId="21" xfId="3" applyNumberFormat="1" applyFont="1" applyFill="1" applyBorder="1" applyAlignment="1" applyProtection="1">
      <alignment horizontal="center" vertical="center"/>
      <protection locked="0"/>
    </xf>
    <xf numFmtId="164" fontId="10" fillId="8" borderId="29" xfId="2" applyFont="1" applyFill="1" applyBorder="1" applyAlignment="1" applyProtection="1">
      <alignment horizontal="center" vertical="center"/>
      <protection hidden="1"/>
    </xf>
    <xf numFmtId="0" fontId="0" fillId="0" borderId="0" xfId="0"/>
    <xf numFmtId="172" fontId="0" fillId="0" borderId="0" xfId="0" applyNumberFormat="1" applyBorder="1" applyAlignment="1" applyProtection="1">
      <alignment horizontal="center" vertical="center"/>
      <protection hidden="1"/>
    </xf>
    <xf numFmtId="0" fontId="39" fillId="0" borderId="0" xfId="0" applyFont="1"/>
    <xf numFmtId="0" fontId="8" fillId="15" borderId="21" xfId="1" applyNumberFormat="1" applyFont="1" applyFill="1" applyBorder="1" applyAlignment="1" applyProtection="1">
      <alignment horizontal="center" vertical="center"/>
      <protection locked="0"/>
    </xf>
    <xf numFmtId="167" fontId="12" fillId="3" borderId="21" xfId="0" applyNumberFormat="1" applyFont="1" applyFill="1" applyBorder="1" applyAlignment="1" applyProtection="1">
      <alignment horizontal="center" vertical="center"/>
      <protection hidden="1"/>
    </xf>
    <xf numFmtId="9" fontId="5" fillId="13" borderId="27" xfId="0" applyNumberFormat="1" applyFont="1" applyFill="1" applyBorder="1" applyAlignment="1">
      <alignment horizontal="center" vertical="center"/>
    </xf>
    <xf numFmtId="165" fontId="8" fillId="3" borderId="21" xfId="1" applyFont="1" applyFill="1" applyBorder="1" applyAlignment="1" applyProtection="1">
      <alignment horizontal="center" vertical="center"/>
      <protection hidden="1"/>
    </xf>
    <xf numFmtId="0" fontId="0" fillId="9" borderId="0" xfId="0" applyFill="1" applyBorder="1"/>
    <xf numFmtId="165" fontId="8" fillId="15" borderId="21" xfId="1" applyFont="1" applyFill="1" applyBorder="1" applyAlignment="1" applyProtection="1">
      <alignment horizontal="center" vertical="center"/>
      <protection locked="0"/>
    </xf>
    <xf numFmtId="14" fontId="0" fillId="0" borderId="0" xfId="0" applyNumberFormat="1"/>
    <xf numFmtId="0" fontId="40" fillId="8" borderId="29" xfId="0" applyFont="1" applyFill="1" applyBorder="1" applyAlignment="1" applyProtection="1">
      <alignment horizontal="right" vertical="center"/>
      <protection hidden="1"/>
    </xf>
    <xf numFmtId="166" fontId="0" fillId="0" borderId="0" xfId="0" applyNumberFormat="1"/>
    <xf numFmtId="165" fontId="10" fillId="8" borderId="1" xfId="1" applyFont="1" applyFill="1" applyBorder="1" applyAlignment="1" applyProtection="1">
      <alignment horizontal="center" vertical="center"/>
      <protection locked="0"/>
    </xf>
    <xf numFmtId="164" fontId="4" fillId="5" borderId="3" xfId="2" applyFont="1" applyFill="1" applyBorder="1" applyAlignment="1" applyProtection="1">
      <alignment horizontal="center" vertical="center"/>
      <protection hidden="1"/>
    </xf>
    <xf numFmtId="164" fontId="4" fillId="0" borderId="3" xfId="2" applyFont="1" applyFill="1" applyBorder="1" applyAlignment="1" applyProtection="1">
      <alignment horizontal="center" vertical="center"/>
      <protection hidden="1"/>
    </xf>
    <xf numFmtId="165" fontId="8" fillId="8" borderId="28" xfId="1" applyFont="1" applyFill="1" applyBorder="1" applyAlignment="1" applyProtection="1">
      <alignment horizontal="center" vertical="center"/>
      <protection locked="0"/>
    </xf>
    <xf numFmtId="164" fontId="4" fillId="5" borderId="21" xfId="2" applyFont="1" applyFill="1" applyBorder="1" applyAlignment="1" applyProtection="1">
      <alignment horizontal="center" vertical="center"/>
      <protection hidden="1"/>
    </xf>
    <xf numFmtId="165" fontId="4" fillId="0" borderId="3" xfId="1" applyFont="1" applyFill="1" applyBorder="1" applyAlignment="1" applyProtection="1">
      <alignment horizontal="center" vertical="center"/>
      <protection hidden="1"/>
    </xf>
    <xf numFmtId="0" fontId="8" fillId="6" borderId="20" xfId="0" applyFont="1" applyFill="1" applyBorder="1" applyAlignment="1" applyProtection="1">
      <alignment horizontal="right" vertical="center"/>
      <protection hidden="1"/>
    </xf>
    <xf numFmtId="164" fontId="4" fillId="5" borderId="38" xfId="2" applyFont="1" applyFill="1" applyBorder="1" applyAlignment="1" applyProtection="1">
      <alignment horizontal="center" vertical="center"/>
      <protection hidden="1"/>
    </xf>
    <xf numFmtId="0" fontId="8" fillId="6" borderId="37" xfId="0" applyFont="1" applyFill="1" applyBorder="1" applyAlignment="1" applyProtection="1">
      <alignment horizontal="right" vertical="center"/>
      <protection hidden="1"/>
    </xf>
    <xf numFmtId="164" fontId="3" fillId="2" borderId="68" xfId="2" applyFont="1" applyFill="1" applyBorder="1" applyAlignment="1">
      <alignment horizontal="center" vertical="center"/>
    </xf>
    <xf numFmtId="0" fontId="8" fillId="8" borderId="1" xfId="1" applyNumberFormat="1" applyFont="1" applyFill="1" applyBorder="1" applyAlignment="1" applyProtection="1">
      <alignment horizontal="center" vertical="center"/>
      <protection locked="0"/>
    </xf>
    <xf numFmtId="173" fontId="8" fillId="8" borderId="1" xfId="1" applyNumberFormat="1" applyFont="1" applyFill="1" applyBorder="1" applyAlignment="1" applyProtection="1">
      <alignment horizontal="center" vertical="center"/>
      <protection locked="0"/>
    </xf>
    <xf numFmtId="174" fontId="8" fillId="8" borderId="1" xfId="1" applyNumberFormat="1" applyFont="1" applyFill="1" applyBorder="1" applyAlignment="1" applyProtection="1">
      <alignment horizontal="center" vertical="center"/>
      <protection locked="0"/>
    </xf>
    <xf numFmtId="164" fontId="4" fillId="0" borderId="38" xfId="2" applyFont="1" applyBorder="1" applyAlignment="1" applyProtection="1">
      <alignment horizontal="left" vertical="center"/>
      <protection hidden="1"/>
    </xf>
    <xf numFmtId="164" fontId="3" fillId="2" borderId="2" xfId="2" applyFont="1" applyFill="1" applyBorder="1" applyAlignment="1">
      <alignment horizontal="right" vertical="center"/>
    </xf>
    <xf numFmtId="164" fontId="4" fillId="0" borderId="3" xfId="2" applyNumberFormat="1" applyFont="1" applyBorder="1" applyAlignment="1" applyProtection="1">
      <alignment horizontal="center" vertical="center"/>
      <protection hidden="1"/>
    </xf>
    <xf numFmtId="165" fontId="8" fillId="8" borderId="56" xfId="1" applyFont="1" applyFill="1" applyBorder="1" applyAlignment="1" applyProtection="1">
      <alignment horizontal="center" vertical="center"/>
      <protection locked="0"/>
    </xf>
    <xf numFmtId="165" fontId="8" fillId="3" borderId="39" xfId="1" applyFont="1" applyFill="1" applyBorder="1" applyAlignment="1" applyProtection="1">
      <alignment horizontal="left" vertical="center"/>
      <protection locked="0"/>
    </xf>
    <xf numFmtId="0" fontId="0" fillId="0" borderId="0" xfId="0"/>
    <xf numFmtId="164" fontId="3" fillId="2" borderId="2" xfId="2" applyFont="1" applyFill="1" applyBorder="1" applyAlignment="1">
      <alignment horizontal="right" vertical="center"/>
    </xf>
    <xf numFmtId="0" fontId="0" fillId="0" borderId="0" xfId="0"/>
    <xf numFmtId="9" fontId="12" fillId="7" borderId="21" xfId="3" applyFont="1" applyFill="1" applyBorder="1" applyAlignment="1" applyProtection="1">
      <alignment horizontal="center" vertical="center"/>
      <protection hidden="1"/>
    </xf>
    <xf numFmtId="9" fontId="5" fillId="14" borderId="27" xfId="0" applyNumberFormat="1" applyFont="1" applyFill="1" applyBorder="1" applyAlignment="1">
      <alignment horizontal="center" vertical="center"/>
    </xf>
    <xf numFmtId="164" fontId="0" fillId="0" borderId="0" xfId="0" applyNumberFormat="1"/>
    <xf numFmtId="164" fontId="3" fillId="2" borderId="5" xfId="2" applyFont="1" applyFill="1" applyBorder="1" applyAlignment="1">
      <alignment vertical="center"/>
    </xf>
    <xf numFmtId="164" fontId="3" fillId="2" borderId="73" xfId="2" applyFont="1" applyFill="1" applyBorder="1" applyAlignment="1">
      <alignment horizontal="center" vertical="center"/>
    </xf>
    <xf numFmtId="164" fontId="3" fillId="2" borderId="14" xfId="2" applyFont="1" applyFill="1" applyBorder="1" applyAlignment="1">
      <alignment horizontal="center" vertical="center"/>
    </xf>
    <xf numFmtId="165" fontId="8" fillId="5" borderId="44" xfId="1" applyFont="1" applyFill="1" applyBorder="1" applyAlignment="1" applyProtection="1">
      <alignment horizontal="center" vertical="center"/>
      <protection locked="0"/>
    </xf>
    <xf numFmtId="175" fontId="37" fillId="17" borderId="57" xfId="0" applyNumberFormat="1" applyFont="1" applyFill="1" applyBorder="1" applyAlignment="1" applyProtection="1">
      <alignment horizontal="center" vertical="center"/>
      <protection hidden="1"/>
    </xf>
    <xf numFmtId="175" fontId="37" fillId="18" borderId="57" xfId="0" applyNumberFormat="1" applyFont="1" applyFill="1" applyBorder="1" applyAlignment="1" applyProtection="1">
      <alignment horizontal="center" vertical="center"/>
      <protection hidden="1"/>
    </xf>
    <xf numFmtId="175" fontId="37" fillId="17" borderId="58" xfId="0" applyNumberFormat="1" applyFont="1" applyFill="1" applyBorder="1" applyAlignment="1" applyProtection="1">
      <alignment horizontal="center" vertical="center"/>
      <protection hidden="1"/>
    </xf>
    <xf numFmtId="175" fontId="37" fillId="17" borderId="60" xfId="0" applyNumberFormat="1" applyFont="1" applyFill="1" applyBorder="1" applyAlignment="1" applyProtection="1">
      <alignment horizontal="center" vertical="center"/>
      <protection hidden="1"/>
    </xf>
    <xf numFmtId="175" fontId="41" fillId="6" borderId="9" xfId="0" applyNumberFormat="1" applyFont="1" applyFill="1" applyBorder="1" applyAlignment="1" applyProtection="1">
      <alignment horizontal="center" vertical="center"/>
      <protection hidden="1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center" vertical="top"/>
    </xf>
    <xf numFmtId="164" fontId="3" fillId="2" borderId="2" xfId="2" applyFont="1" applyFill="1" applyBorder="1" applyAlignment="1">
      <alignment horizontal="right" vertical="center"/>
    </xf>
    <xf numFmtId="174" fontId="8" fillId="8" borderId="21" xfId="1" applyNumberFormat="1" applyFont="1" applyFill="1" applyBorder="1" applyAlignment="1" applyProtection="1">
      <alignment horizontal="center" vertical="center"/>
      <protection locked="0"/>
    </xf>
    <xf numFmtId="0" fontId="6" fillId="4" borderId="9" xfId="0" applyFont="1" applyFill="1" applyBorder="1" applyAlignment="1">
      <alignment horizontal="center" vertical="center"/>
    </xf>
    <xf numFmtId="0" fontId="0" fillId="11" borderId="32" xfId="0" applyFill="1" applyBorder="1" applyAlignment="1">
      <alignment vertical="center"/>
    </xf>
    <xf numFmtId="0" fontId="14" fillId="11" borderId="32" xfId="0" applyFont="1" applyFill="1" applyBorder="1" applyAlignment="1">
      <alignment vertical="center"/>
    </xf>
    <xf numFmtId="0" fontId="5" fillId="3" borderId="75" xfId="0" applyFont="1" applyFill="1" applyBorder="1" applyAlignment="1">
      <alignment horizontal="left" vertical="center"/>
    </xf>
    <xf numFmtId="173" fontId="5" fillId="3" borderId="21" xfId="1" applyNumberFormat="1" applyFont="1" applyFill="1" applyBorder="1" applyAlignment="1">
      <alignment horizontal="center" vertical="center"/>
    </xf>
    <xf numFmtId="165" fontId="8" fillId="8" borderId="21" xfId="1" applyFont="1" applyFill="1" applyBorder="1" applyAlignment="1" applyProtection="1">
      <alignment horizontal="left" vertical="center"/>
      <protection locked="0"/>
    </xf>
    <xf numFmtId="165" fontId="8" fillId="5" borderId="21" xfId="3" applyNumberFormat="1" applyFont="1" applyFill="1" applyBorder="1" applyAlignment="1" applyProtection="1">
      <alignment horizontal="center" vertical="center"/>
      <protection locked="0"/>
    </xf>
    <xf numFmtId="0" fontId="8" fillId="5" borderId="21" xfId="3" applyNumberFormat="1" applyFont="1" applyFill="1" applyBorder="1" applyAlignment="1" applyProtection="1">
      <alignment horizontal="center" vertical="center"/>
      <protection locked="0"/>
    </xf>
    <xf numFmtId="165" fontId="4" fillId="0" borderId="22" xfId="1" applyFont="1" applyBorder="1" applyAlignment="1" applyProtection="1">
      <alignment horizontal="center" vertical="center"/>
      <protection hidden="1"/>
    </xf>
    <xf numFmtId="164" fontId="3" fillId="2" borderId="16" xfId="2" applyFont="1" applyFill="1" applyBorder="1" applyAlignment="1">
      <alignment horizontal="left" vertical="center"/>
    </xf>
    <xf numFmtId="164" fontId="4" fillId="3" borderId="34" xfId="2" applyFont="1" applyFill="1" applyBorder="1" applyAlignment="1" applyProtection="1">
      <alignment horizontal="center" vertical="center"/>
      <protection hidden="1"/>
    </xf>
    <xf numFmtId="0" fontId="0" fillId="19" borderId="0" xfId="0" applyFill="1"/>
    <xf numFmtId="0" fontId="42" fillId="0" borderId="0" xfId="0" applyFont="1"/>
    <xf numFmtId="0" fontId="43" fillId="0" borderId="0" xfId="0" applyFont="1"/>
    <xf numFmtId="164" fontId="4" fillId="5" borderId="3" xfId="2" applyFont="1" applyFill="1" applyBorder="1" applyAlignment="1" applyProtection="1">
      <alignment horizontal="left" vertical="center"/>
      <protection hidden="1"/>
    </xf>
    <xf numFmtId="165" fontId="10" fillId="8" borderId="29" xfId="1" applyFont="1" applyFill="1" applyBorder="1" applyAlignment="1" applyProtection="1">
      <alignment horizontal="right" vertical="center"/>
      <protection hidden="1"/>
    </xf>
    <xf numFmtId="164" fontId="3" fillId="2" borderId="2" xfId="2" applyFont="1" applyFill="1" applyBorder="1" applyAlignment="1">
      <alignment horizontal="right" vertical="center"/>
    </xf>
    <xf numFmtId="164" fontId="4" fillId="16" borderId="21" xfId="2" applyFont="1" applyFill="1" applyBorder="1" applyAlignment="1">
      <alignment horizontal="center" vertical="center"/>
    </xf>
    <xf numFmtId="164" fontId="4" fillId="20" borderId="21" xfId="2" applyFont="1" applyFill="1" applyBorder="1" applyAlignment="1">
      <alignment horizontal="center" vertical="center"/>
    </xf>
    <xf numFmtId="164" fontId="3" fillId="2" borderId="29" xfId="2" applyFont="1" applyFill="1" applyBorder="1" applyAlignment="1">
      <alignment horizontal="center" vertical="center"/>
    </xf>
    <xf numFmtId="165" fontId="0" fillId="13" borderId="70" xfId="1" applyFont="1" applyFill="1" applyBorder="1"/>
    <xf numFmtId="165" fontId="0" fillId="13" borderId="72" xfId="1" applyFont="1" applyFill="1" applyBorder="1"/>
    <xf numFmtId="164" fontId="4" fillId="16" borderId="29" xfId="2" applyFont="1" applyFill="1" applyBorder="1" applyAlignment="1">
      <alignment horizontal="center" vertical="center"/>
    </xf>
    <xf numFmtId="164" fontId="4" fillId="16" borderId="36" xfId="2" applyFont="1" applyFill="1" applyBorder="1" applyAlignment="1">
      <alignment horizontal="center" vertical="center"/>
    </xf>
    <xf numFmtId="165" fontId="41" fillId="0" borderId="70" xfId="1" quotePrefix="1" applyFont="1" applyBorder="1" applyAlignment="1">
      <alignment horizontal="center" vertical="center"/>
    </xf>
    <xf numFmtId="165" fontId="41" fillId="13" borderId="70" xfId="1" applyFont="1" applyFill="1" applyBorder="1"/>
    <xf numFmtId="165" fontId="41" fillId="13" borderId="72" xfId="1" applyFont="1" applyFill="1" applyBorder="1"/>
    <xf numFmtId="164" fontId="4" fillId="20" borderId="29" xfId="2" applyFont="1" applyFill="1" applyBorder="1" applyAlignment="1">
      <alignment horizontal="center" vertical="center"/>
    </xf>
    <xf numFmtId="164" fontId="4" fillId="20" borderId="36" xfId="2" applyFont="1" applyFill="1" applyBorder="1" applyAlignment="1">
      <alignment horizontal="center" vertical="center"/>
    </xf>
    <xf numFmtId="165" fontId="0" fillId="6" borderId="70" xfId="1" applyFont="1" applyFill="1" applyBorder="1"/>
    <xf numFmtId="165" fontId="0" fillId="6" borderId="72" xfId="1" applyFont="1" applyFill="1" applyBorder="1"/>
    <xf numFmtId="165" fontId="0" fillId="0" borderId="69" xfId="1" applyFont="1" applyFill="1" applyBorder="1"/>
    <xf numFmtId="165" fontId="0" fillId="0" borderId="71" xfId="1" applyFont="1" applyFill="1" applyBorder="1"/>
    <xf numFmtId="165" fontId="41" fillId="0" borderId="69" xfId="1" applyFont="1" applyFill="1" applyBorder="1"/>
    <xf numFmtId="165" fontId="41" fillId="0" borderId="71" xfId="1" applyFont="1" applyFill="1" applyBorder="1"/>
    <xf numFmtId="165" fontId="41" fillId="6" borderId="57" xfId="1" applyFont="1" applyFill="1" applyBorder="1"/>
    <xf numFmtId="165" fontId="41" fillId="6" borderId="76" xfId="1" applyFont="1" applyFill="1" applyBorder="1"/>
    <xf numFmtId="165" fontId="0" fillId="6" borderId="57" xfId="1" applyFont="1" applyFill="1" applyBorder="1"/>
    <xf numFmtId="165" fontId="0" fillId="6" borderId="76" xfId="1" applyFont="1" applyFill="1" applyBorder="1"/>
    <xf numFmtId="0" fontId="9" fillId="0" borderId="0" xfId="0" applyFont="1"/>
    <xf numFmtId="165" fontId="8" fillId="7" borderId="21" xfId="1" applyFont="1" applyFill="1" applyBorder="1" applyAlignment="1" applyProtection="1">
      <alignment horizontal="center" vertical="center"/>
      <protection hidden="1"/>
    </xf>
    <xf numFmtId="165" fontId="8" fillId="6" borderId="21" xfId="1" applyFont="1" applyFill="1" applyBorder="1" applyAlignment="1" applyProtection="1">
      <alignment horizontal="center" vertical="center"/>
      <protection hidden="1"/>
    </xf>
    <xf numFmtId="164" fontId="3" fillId="2" borderId="2" xfId="2" applyFont="1" applyFill="1" applyBorder="1" applyAlignment="1">
      <alignment horizontal="center" vertical="center"/>
    </xf>
    <xf numFmtId="0" fontId="8" fillId="21" borderId="29" xfId="0" applyFont="1" applyFill="1" applyBorder="1" applyAlignment="1" applyProtection="1">
      <alignment horizontal="right" vertical="center"/>
      <protection hidden="1"/>
    </xf>
    <xf numFmtId="165" fontId="8" fillId="21" borderId="21" xfId="1" applyFont="1" applyFill="1" applyBorder="1" applyAlignment="1" applyProtection="1">
      <alignment horizontal="center" vertical="center"/>
      <protection locked="0"/>
    </xf>
    <xf numFmtId="0" fontId="0" fillId="13" borderId="0" xfId="0" applyFill="1" applyAlignment="1">
      <alignment horizontal="center"/>
    </xf>
    <xf numFmtId="0" fontId="0" fillId="5" borderId="0" xfId="0" applyFill="1"/>
    <xf numFmtId="166" fontId="0" fillId="5" borderId="0" xfId="0" applyNumberFormat="1" applyFill="1"/>
    <xf numFmtId="165" fontId="0" fillId="11" borderId="0" xfId="0" applyNumberFormat="1" applyFill="1"/>
    <xf numFmtId="0" fontId="0" fillId="6" borderId="0" xfId="0" applyFill="1" applyAlignment="1">
      <alignment horizontal="center"/>
    </xf>
    <xf numFmtId="0" fontId="9" fillId="0" borderId="0" xfId="0" applyFont="1" applyAlignment="1">
      <alignment horizontal="center"/>
    </xf>
    <xf numFmtId="0" fontId="18" fillId="3" borderId="57" xfId="0" applyFont="1" applyFill="1" applyBorder="1" applyAlignment="1">
      <alignment horizontal="center" vertical="center"/>
    </xf>
    <xf numFmtId="164" fontId="3" fillId="2" borderId="16" xfId="2" applyFont="1" applyFill="1" applyBorder="1" applyAlignment="1">
      <alignment horizontal="center" vertical="center"/>
    </xf>
    <xf numFmtId="165" fontId="44" fillId="0" borderId="0" xfId="1" applyFont="1"/>
    <xf numFmtId="9" fontId="4" fillId="5" borderId="2" xfId="3" applyNumberFormat="1" applyFont="1" applyFill="1" applyBorder="1" applyAlignment="1" applyProtection="1">
      <alignment horizontal="center" vertical="center"/>
      <protection hidden="1"/>
    </xf>
    <xf numFmtId="0" fontId="5" fillId="3" borderId="28" xfId="1" applyNumberFormat="1" applyFont="1" applyFill="1" applyBorder="1" applyAlignment="1">
      <alignment horizontal="center" vertical="center"/>
    </xf>
    <xf numFmtId="0" fontId="9" fillId="6" borderId="57" xfId="1" applyNumberFormat="1" applyFont="1" applyFill="1" applyBorder="1"/>
    <xf numFmtId="164" fontId="3" fillId="2" borderId="21" xfId="2" applyFont="1" applyFill="1" applyBorder="1" applyAlignment="1">
      <alignment horizontal="right" vertical="center"/>
    </xf>
    <xf numFmtId="0" fontId="0" fillId="3" borderId="0" xfId="0" applyFill="1"/>
    <xf numFmtId="164" fontId="0" fillId="0" borderId="0" xfId="0" applyNumberFormat="1"/>
    <xf numFmtId="164" fontId="4" fillId="3" borderId="3" xfId="2" applyFont="1" applyFill="1" applyBorder="1" applyAlignment="1" applyProtection="1">
      <alignment horizontal="center" vertical="center"/>
      <protection hidden="1"/>
    </xf>
    <xf numFmtId="0" fontId="5" fillId="3" borderId="21" xfId="0" applyFont="1" applyFill="1" applyBorder="1" applyAlignment="1">
      <alignment vertical="center"/>
    </xf>
    <xf numFmtId="9" fontId="5" fillId="3" borderId="21" xfId="0" applyNumberFormat="1" applyFont="1" applyFill="1" applyBorder="1" applyAlignment="1">
      <alignment horizontal="center" vertical="center"/>
    </xf>
    <xf numFmtId="164" fontId="4" fillId="5" borderId="21" xfId="2" applyFont="1" applyFill="1" applyBorder="1" applyAlignment="1">
      <alignment horizontal="right" vertical="center"/>
    </xf>
    <xf numFmtId="9" fontId="8" fillId="23" borderId="29" xfId="3" applyFont="1" applyFill="1" applyBorder="1" applyAlignment="1" applyProtection="1">
      <alignment horizontal="right" vertical="center"/>
      <protection hidden="1"/>
    </xf>
    <xf numFmtId="165" fontId="8" fillId="23" borderId="21" xfId="1" applyFont="1" applyFill="1" applyBorder="1" applyAlignment="1" applyProtection="1">
      <alignment horizontal="center" vertical="center"/>
      <protection locked="0"/>
    </xf>
    <xf numFmtId="0" fontId="49" fillId="0" borderId="7" xfId="0" applyFont="1" applyBorder="1" applyAlignment="1">
      <alignment horizontal="center" vertical="center" wrapText="1"/>
    </xf>
    <xf numFmtId="0" fontId="49" fillId="0" borderId="7" xfId="0" applyFont="1" applyBorder="1" applyAlignment="1">
      <alignment vertical="center" wrapText="1"/>
    </xf>
    <xf numFmtId="0" fontId="49" fillId="0" borderId="27" xfId="0" applyFont="1" applyBorder="1" applyAlignment="1">
      <alignment vertical="center" wrapText="1"/>
    </xf>
    <xf numFmtId="0" fontId="49" fillId="0" borderId="78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48" fillId="4" borderId="5" xfId="0" applyFont="1" applyFill="1" applyBorder="1" applyAlignment="1">
      <alignment horizontal="center" vertical="center" wrapText="1"/>
    </xf>
    <xf numFmtId="0" fontId="48" fillId="4" borderId="7" xfId="0" applyFont="1" applyFill="1" applyBorder="1" applyAlignment="1">
      <alignment horizontal="center" vertical="center" wrapText="1"/>
    </xf>
    <xf numFmtId="0" fontId="48" fillId="4" borderId="9" xfId="0" applyFont="1" applyFill="1" applyBorder="1" applyAlignment="1">
      <alignment horizontal="center" vertical="center" wrapText="1"/>
    </xf>
    <xf numFmtId="165" fontId="9" fillId="3" borderId="21" xfId="1" applyFont="1" applyFill="1" applyBorder="1"/>
    <xf numFmtId="165" fontId="9" fillId="2" borderId="21" xfId="1" applyFont="1" applyFill="1" applyBorder="1"/>
    <xf numFmtId="4" fontId="9" fillId="6" borderId="60" xfId="1" applyNumberFormat="1" applyFont="1" applyFill="1" applyBorder="1" applyAlignment="1">
      <alignment horizontal="center" vertical="center"/>
    </xf>
    <xf numFmtId="165" fontId="8" fillId="5" borderId="40" xfId="1" applyFont="1" applyFill="1" applyBorder="1" applyAlignment="1" applyProtection="1">
      <alignment horizontal="center" vertical="center"/>
      <protection locked="0"/>
    </xf>
    <xf numFmtId="2" fontId="5" fillId="22" borderId="28" xfId="1" applyNumberFormat="1" applyFont="1" applyFill="1" applyBorder="1" applyAlignment="1">
      <alignment horizontal="center" vertical="center"/>
    </xf>
    <xf numFmtId="0" fontId="10" fillId="8" borderId="21" xfId="3" applyNumberFormat="1" applyFont="1" applyFill="1" applyBorder="1" applyAlignment="1" applyProtection="1">
      <alignment horizontal="center" vertical="center"/>
      <protection locked="0"/>
    </xf>
    <xf numFmtId="9" fontId="10" fillId="8" borderId="21" xfId="3" applyNumberFormat="1" applyFont="1" applyFill="1" applyBorder="1" applyAlignment="1" applyProtection="1">
      <alignment horizontal="center" vertical="center"/>
      <protection locked="0"/>
    </xf>
    <xf numFmtId="0" fontId="49" fillId="0" borderId="78" xfId="0" applyFont="1" applyBorder="1" applyAlignment="1">
      <alignment horizontal="center" vertical="center" wrapText="1"/>
    </xf>
    <xf numFmtId="0" fontId="49" fillId="0" borderId="27" xfId="0" applyFont="1" applyBorder="1" applyAlignment="1">
      <alignment horizontal="center" vertical="center" wrapText="1"/>
    </xf>
    <xf numFmtId="0" fontId="51" fillId="0" borderId="27" xfId="18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50" fillId="0" borderId="0" xfId="0" applyFont="1" applyAlignment="1">
      <alignment vertical="center"/>
    </xf>
    <xf numFmtId="0" fontId="51" fillId="0" borderId="0" xfId="18"/>
    <xf numFmtId="9" fontId="8" fillId="13" borderId="21" xfId="3" applyFont="1" applyFill="1" applyBorder="1" applyAlignment="1" applyProtection="1">
      <alignment horizontal="center" vertical="center"/>
      <protection hidden="1"/>
    </xf>
    <xf numFmtId="0" fontId="8" fillId="8" borderId="21" xfId="3" applyNumberFormat="1" applyFont="1" applyFill="1" applyBorder="1" applyAlignment="1" applyProtection="1">
      <alignment horizontal="center" vertical="center"/>
      <protection hidden="1"/>
    </xf>
    <xf numFmtId="9" fontId="8" fillId="25" borderId="21" xfId="3" applyFont="1" applyFill="1" applyBorder="1" applyAlignment="1" applyProtection="1">
      <alignment horizontal="center" vertical="center"/>
      <protection hidden="1"/>
    </xf>
    <xf numFmtId="164" fontId="3" fillId="7" borderId="21" xfId="2" applyFont="1" applyFill="1" applyBorder="1" applyAlignment="1">
      <alignment horizontal="left" vertical="center"/>
    </xf>
    <xf numFmtId="164" fontId="3" fillId="2" borderId="37" xfId="2" applyFont="1" applyFill="1" applyBorder="1" applyAlignment="1">
      <alignment horizontal="left" vertical="center"/>
    </xf>
    <xf numFmtId="164" fontId="4" fillId="24" borderId="21" xfId="2" applyFont="1" applyFill="1" applyBorder="1" applyAlignment="1">
      <alignment horizontal="left" vertical="center"/>
    </xf>
    <xf numFmtId="165" fontId="9" fillId="6" borderId="21" xfId="1" applyFont="1" applyFill="1" applyBorder="1" applyAlignment="1"/>
    <xf numFmtId="164" fontId="3" fillId="2" borderId="21" xfId="2" applyFont="1" applyFill="1" applyBorder="1" applyAlignment="1">
      <alignment horizontal="center" vertical="center" wrapText="1"/>
    </xf>
    <xf numFmtId="0" fontId="8" fillId="8" borderId="31" xfId="3" applyNumberFormat="1" applyFont="1" applyFill="1" applyBorder="1" applyAlignment="1" applyProtection="1">
      <alignment horizontal="center" vertical="center"/>
      <protection hidden="1"/>
    </xf>
    <xf numFmtId="0" fontId="8" fillId="8" borderId="43" xfId="3" applyNumberFormat="1" applyFont="1" applyFill="1" applyBorder="1" applyAlignment="1" applyProtection="1">
      <alignment horizontal="center" vertical="center"/>
      <protection hidden="1"/>
    </xf>
    <xf numFmtId="164" fontId="3" fillId="7" borderId="21" xfId="2" applyFont="1" applyFill="1" applyBorder="1" applyAlignment="1">
      <alignment horizontal="center" vertical="center"/>
    </xf>
    <xf numFmtId="165" fontId="9" fillId="3" borderId="21" xfId="1" applyFont="1" applyFill="1" applyBorder="1" applyAlignment="1">
      <alignment horizontal="center" vertical="center"/>
    </xf>
    <xf numFmtId="0" fontId="9" fillId="3" borderId="21" xfId="1" quotePrefix="1" applyNumberFormat="1" applyFont="1" applyFill="1" applyBorder="1" applyAlignment="1">
      <alignment horizontal="center"/>
    </xf>
    <xf numFmtId="165" fontId="4" fillId="3" borderId="21" xfId="1" applyFont="1" applyFill="1" applyBorder="1" applyAlignment="1" applyProtection="1">
      <alignment horizontal="center" vertical="center"/>
      <protection hidden="1"/>
    </xf>
    <xf numFmtId="164" fontId="4" fillId="21" borderId="37" xfId="2" applyFont="1" applyFill="1" applyBorder="1" applyAlignment="1">
      <alignment horizontal="right" vertical="center"/>
    </xf>
    <xf numFmtId="0" fontId="52" fillId="0" borderId="0" xfId="0" applyFont="1" applyAlignment="1">
      <alignment horizontal="left" vertical="center" indent="10"/>
    </xf>
    <xf numFmtId="165" fontId="3" fillId="7" borderId="21" xfId="1" applyFont="1" applyFill="1" applyBorder="1" applyAlignment="1">
      <alignment horizontal="center" vertical="center"/>
    </xf>
    <xf numFmtId="0" fontId="48" fillId="4" borderId="9" xfId="0" applyFont="1" applyFill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9" fontId="8" fillId="3" borderId="29" xfId="3" applyFont="1" applyFill="1" applyBorder="1" applyAlignment="1" applyProtection="1">
      <alignment horizontal="right" vertical="center"/>
      <protection hidden="1"/>
    </xf>
    <xf numFmtId="164" fontId="3" fillId="2" borderId="73" xfId="2" applyFont="1" applyFill="1" applyBorder="1" applyAlignment="1">
      <alignment horizontal="center" vertical="center"/>
    </xf>
    <xf numFmtId="164" fontId="3" fillId="2" borderId="14" xfId="2" applyFont="1" applyFill="1" applyBorder="1" applyAlignment="1">
      <alignment horizontal="center" vertical="center"/>
    </xf>
    <xf numFmtId="164" fontId="3" fillId="2" borderId="2" xfId="2" applyFont="1" applyFill="1" applyBorder="1" applyAlignment="1">
      <alignment horizontal="right" vertical="center"/>
    </xf>
    <xf numFmtId="164" fontId="3" fillId="2" borderId="16" xfId="2" applyFont="1" applyFill="1" applyBorder="1" applyAlignment="1">
      <alignment horizontal="center" vertical="center"/>
    </xf>
    <xf numFmtId="165" fontId="4" fillId="3" borderId="3" xfId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/>
    <xf numFmtId="9" fontId="8" fillId="13" borderId="21" xfId="3" applyFont="1" applyFill="1" applyBorder="1" applyAlignment="1" applyProtection="1">
      <alignment horizontal="left" vertical="center"/>
      <protection hidden="1"/>
    </xf>
    <xf numFmtId="0" fontId="9" fillId="3" borderId="21" xfId="1" quotePrefix="1" applyNumberFormat="1" applyFont="1" applyFill="1" applyBorder="1" applyAlignment="1">
      <alignment horizontal="left"/>
    </xf>
    <xf numFmtId="0" fontId="54" fillId="26" borderId="0" xfId="0" applyFont="1" applyFill="1" applyAlignment="1">
      <alignment horizontal="center"/>
    </xf>
    <xf numFmtId="165" fontId="4" fillId="5" borderId="21" xfId="1" applyFont="1" applyFill="1" applyBorder="1" applyAlignment="1" applyProtection="1">
      <alignment horizontal="left" vertical="center"/>
      <protection hidden="1"/>
    </xf>
    <xf numFmtId="0" fontId="0" fillId="0" borderId="21" xfId="0" applyBorder="1"/>
    <xf numFmtId="0" fontId="49" fillId="0" borderId="57" xfId="0" applyFont="1" applyBorder="1" applyAlignment="1">
      <alignment horizontal="center" vertical="center" wrapText="1"/>
    </xf>
    <xf numFmtId="0" fontId="49" fillId="0" borderId="57" xfId="0" applyFont="1" applyBorder="1" applyAlignment="1">
      <alignment vertical="center" wrapText="1"/>
    </xf>
    <xf numFmtId="0" fontId="0" fillId="0" borderId="57" xfId="0" applyBorder="1" applyAlignment="1">
      <alignment wrapText="1"/>
    </xf>
    <xf numFmtId="0" fontId="28" fillId="0" borderId="57" xfId="0" applyFont="1" applyBorder="1" applyAlignment="1">
      <alignment horizontal="left" vertical="center" wrapText="1"/>
    </xf>
    <xf numFmtId="0" fontId="28" fillId="0" borderId="76" xfId="0" applyFont="1" applyBorder="1" applyAlignment="1">
      <alignment horizontal="center" wrapText="1"/>
    </xf>
    <xf numFmtId="1" fontId="55" fillId="0" borderId="0" xfId="0" applyNumberFormat="1" applyFont="1"/>
    <xf numFmtId="0" fontId="56" fillId="27" borderId="95" xfId="0" applyFont="1" applyFill="1" applyBorder="1" applyAlignment="1">
      <alignment horizontal="center" vertical="center"/>
    </xf>
    <xf numFmtId="0" fontId="56" fillId="27" borderId="96" xfId="0" applyFont="1" applyFill="1" applyBorder="1" applyAlignment="1">
      <alignment horizontal="center" vertical="center"/>
    </xf>
    <xf numFmtId="164" fontId="3" fillId="2" borderId="2" xfId="2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57" fillId="0" borderId="0" xfId="0" applyFont="1" applyAlignment="1">
      <alignment horizontal="left" vertical="center" indent="5"/>
    </xf>
    <xf numFmtId="164" fontId="4" fillId="3" borderId="42" xfId="2" applyFont="1" applyFill="1" applyBorder="1" applyAlignment="1" applyProtection="1">
      <alignment horizontal="center" vertical="center"/>
      <protection hidden="1"/>
    </xf>
    <xf numFmtId="0" fontId="7" fillId="4" borderId="43" xfId="0" applyFont="1" applyFill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9" fontId="8" fillId="8" borderId="29" xfId="0" applyNumberFormat="1" applyFont="1" applyFill="1" applyBorder="1" applyAlignment="1" applyProtection="1">
      <alignment horizontal="right" vertical="center"/>
      <protection hidden="1"/>
    </xf>
    <xf numFmtId="9" fontId="8" fillId="8" borderId="36" xfId="3" applyFont="1" applyFill="1" applyBorder="1" applyAlignment="1" applyProtection="1">
      <alignment horizontal="right" vertical="center"/>
      <protection hidden="1"/>
    </xf>
    <xf numFmtId="0" fontId="4" fillId="3" borderId="21" xfId="1" applyNumberFormat="1" applyFont="1" applyFill="1" applyBorder="1" applyAlignment="1" applyProtection="1">
      <alignment horizontal="center" vertical="center"/>
      <protection hidden="1"/>
    </xf>
    <xf numFmtId="164" fontId="3" fillId="2" borderId="29" xfId="2" applyFont="1" applyFill="1" applyBorder="1" applyAlignment="1">
      <alignment horizontal="right" vertical="center"/>
    </xf>
    <xf numFmtId="165" fontId="9" fillId="5" borderId="21" xfId="1" applyFont="1" applyFill="1" applyBorder="1"/>
    <xf numFmtId="164" fontId="3" fillId="2" borderId="30" xfId="2" applyFont="1" applyFill="1" applyBorder="1" applyAlignment="1">
      <alignment horizontal="right" vertical="center"/>
    </xf>
    <xf numFmtId="165" fontId="9" fillId="6" borderId="31" xfId="1" applyFont="1" applyFill="1" applyBorder="1"/>
    <xf numFmtId="9" fontId="8" fillId="8" borderId="42" xfId="3" applyFont="1" applyFill="1" applyBorder="1" applyAlignment="1" applyProtection="1">
      <alignment horizontal="right" vertical="center"/>
      <protection hidden="1"/>
    </xf>
    <xf numFmtId="9" fontId="8" fillId="8" borderId="43" xfId="3" applyFont="1" applyFill="1" applyBorder="1" applyAlignment="1" applyProtection="1">
      <alignment horizontal="right" vertical="center"/>
      <protection hidden="1"/>
    </xf>
    <xf numFmtId="0" fontId="8" fillId="3" borderId="97" xfId="0" applyFont="1" applyFill="1" applyBorder="1" applyAlignment="1">
      <alignment horizontal="center" vertical="center" wrapText="1"/>
    </xf>
    <xf numFmtId="1" fontId="8" fillId="8" borderId="21" xfId="1" applyNumberFormat="1" applyFont="1" applyFill="1" applyBorder="1" applyAlignment="1" applyProtection="1">
      <alignment horizontal="center" vertical="center"/>
      <protection locked="0"/>
    </xf>
    <xf numFmtId="9" fontId="8" fillId="5" borderId="57" xfId="3" applyFont="1" applyFill="1" applyBorder="1" applyAlignment="1">
      <alignment horizontal="center" vertical="center" wrapText="1"/>
    </xf>
    <xf numFmtId="165" fontId="4" fillId="8" borderId="21" xfId="1" applyFont="1" applyFill="1" applyBorder="1" applyAlignment="1" applyProtection="1">
      <alignment horizontal="center" vertical="center"/>
      <protection locked="0"/>
    </xf>
    <xf numFmtId="9" fontId="4" fillId="8" borderId="21" xfId="3" applyFont="1" applyFill="1" applyBorder="1" applyAlignment="1" applyProtection="1">
      <alignment horizontal="center" vertical="center"/>
      <protection locked="0"/>
    </xf>
    <xf numFmtId="0" fontId="8" fillId="3" borderId="57" xfId="0" applyFont="1" applyFill="1" applyBorder="1" applyAlignment="1">
      <alignment horizontal="center" vertical="center" wrapText="1"/>
    </xf>
    <xf numFmtId="164" fontId="3" fillId="28" borderId="57" xfId="0" applyNumberFormat="1" applyFont="1" applyFill="1" applyBorder="1"/>
    <xf numFmtId="165" fontId="3" fillId="28" borderId="57" xfId="1" applyFont="1" applyFill="1" applyBorder="1" applyAlignment="1">
      <alignment horizontal="center" vertical="center"/>
    </xf>
    <xf numFmtId="0" fontId="58" fillId="3" borderId="69" xfId="0" applyFont="1" applyFill="1" applyBorder="1" applyAlignment="1">
      <alignment vertical="center" wrapText="1"/>
    </xf>
    <xf numFmtId="165" fontId="4" fillId="5" borderId="57" xfId="1" applyFont="1" applyFill="1" applyBorder="1" applyAlignment="1" applyProtection="1">
      <alignment horizontal="center" vertical="center"/>
      <protection locked="0"/>
    </xf>
    <xf numFmtId="0" fontId="58" fillId="5" borderId="69" xfId="0" applyFont="1" applyFill="1" applyBorder="1" applyAlignment="1">
      <alignment vertical="center"/>
    </xf>
    <xf numFmtId="164" fontId="3" fillId="2" borderId="71" xfId="2" applyFont="1" applyFill="1" applyBorder="1" applyAlignment="1">
      <alignment horizontal="right" vertical="center"/>
    </xf>
    <xf numFmtId="9" fontId="8" fillId="8" borderId="31" xfId="3" applyFont="1" applyFill="1" applyBorder="1" applyAlignment="1" applyProtection="1">
      <alignment horizontal="right" vertical="center"/>
      <protection hidden="1"/>
    </xf>
    <xf numFmtId="9" fontId="8" fillId="8" borderId="39" xfId="3" applyFont="1" applyFill="1" applyBorder="1" applyAlignment="1" applyProtection="1">
      <alignment horizontal="right" vertical="center"/>
      <protection hidden="1"/>
    </xf>
    <xf numFmtId="0" fontId="9" fillId="0" borderId="0" xfId="0" applyFont="1" applyAlignment="1">
      <alignment horizontal="center" vertical="center"/>
    </xf>
    <xf numFmtId="0" fontId="9" fillId="0" borderId="0" xfId="0" applyFont="1" applyFill="1"/>
    <xf numFmtId="0" fontId="0" fillId="5" borderId="57" xfId="0" applyFill="1" applyBorder="1"/>
    <xf numFmtId="0" fontId="54" fillId="29" borderId="57" xfId="0" applyFont="1" applyFill="1" applyBorder="1" applyAlignment="1">
      <alignment horizontal="center" vertical="center"/>
    </xf>
    <xf numFmtId="165" fontId="8" fillId="29" borderId="21" xfId="1" applyFont="1" applyFill="1" applyBorder="1" applyAlignment="1" applyProtection="1">
      <alignment horizontal="center" vertical="center"/>
      <protection locked="0"/>
    </xf>
    <xf numFmtId="164" fontId="3" fillId="2" borderId="16" xfId="2" applyFont="1" applyFill="1" applyBorder="1" applyAlignment="1">
      <alignment horizontal="center" vertical="center"/>
    </xf>
    <xf numFmtId="9" fontId="8" fillId="21" borderId="21" xfId="3" applyFont="1" applyFill="1" applyBorder="1" applyAlignment="1" applyProtection="1">
      <alignment horizontal="center" vertical="center"/>
      <protection hidden="1"/>
    </xf>
    <xf numFmtId="9" fontId="8" fillId="31" borderId="21" xfId="3" applyFont="1" applyFill="1" applyBorder="1" applyAlignment="1" applyProtection="1">
      <alignment horizontal="center" vertical="center"/>
      <protection hidden="1"/>
    </xf>
    <xf numFmtId="9" fontId="8" fillId="3" borderId="21" xfId="3" applyFont="1" applyFill="1" applyBorder="1" applyAlignment="1" applyProtection="1">
      <alignment horizontal="center" vertical="center"/>
      <protection hidden="1"/>
    </xf>
    <xf numFmtId="164" fontId="3" fillId="2" borderId="2" xfId="2" applyFont="1" applyFill="1" applyBorder="1" applyAlignment="1">
      <alignment horizontal="right" vertical="center"/>
    </xf>
    <xf numFmtId="164" fontId="4" fillId="16" borderId="37" xfId="2" applyFont="1" applyFill="1" applyBorder="1" applyAlignment="1">
      <alignment horizontal="right" vertical="center"/>
    </xf>
    <xf numFmtId="2" fontId="4" fillId="16" borderId="21" xfId="1" applyNumberFormat="1" applyFont="1" applyFill="1" applyBorder="1" applyAlignment="1" applyProtection="1">
      <alignment horizontal="center" vertical="center"/>
      <protection locked="0"/>
    </xf>
    <xf numFmtId="164" fontId="3" fillId="32" borderId="1" xfId="2" applyFont="1" applyFill="1" applyBorder="1" applyAlignment="1">
      <alignment horizontal="center" vertical="center" wrapText="1"/>
    </xf>
    <xf numFmtId="1" fontId="55" fillId="0" borderId="0" xfId="19" applyNumberFormat="1" applyFont="1"/>
    <xf numFmtId="0" fontId="4" fillId="8" borderId="21" xfId="3" applyNumberFormat="1" applyFont="1" applyFill="1" applyBorder="1" applyAlignment="1" applyProtection="1">
      <alignment horizontal="left" vertical="center"/>
      <protection hidden="1"/>
    </xf>
    <xf numFmtId="0" fontId="4" fillId="8" borderId="43" xfId="3" applyNumberFormat="1" applyFont="1" applyFill="1" applyBorder="1" applyAlignment="1" applyProtection="1">
      <alignment horizontal="left" vertical="center"/>
      <protection hidden="1"/>
    </xf>
    <xf numFmtId="0" fontId="8" fillId="3" borderId="21" xfId="3" applyNumberFormat="1" applyFont="1" applyFill="1" applyBorder="1" applyAlignment="1" applyProtection="1">
      <alignment horizontal="center" vertical="center"/>
      <protection hidden="1"/>
    </xf>
    <xf numFmtId="0" fontId="9" fillId="6" borderId="21" xfId="1" applyNumberFormat="1" applyFont="1" applyFill="1" applyBorder="1" applyAlignment="1">
      <alignment horizontal="center"/>
    </xf>
    <xf numFmtId="0" fontId="4" fillId="8" borderId="44" xfId="3" applyNumberFormat="1" applyFont="1" applyFill="1" applyBorder="1" applyAlignment="1" applyProtection="1">
      <alignment horizontal="left" vertical="center"/>
      <protection hidden="1"/>
    </xf>
    <xf numFmtId="164" fontId="3" fillId="2" borderId="35" xfId="2" applyFont="1" applyFill="1" applyBorder="1" applyAlignment="1">
      <alignment horizontal="center" vertical="center" wrapText="1"/>
    </xf>
    <xf numFmtId="164" fontId="0" fillId="33" borderId="21" xfId="0" applyNumberFormat="1" applyFill="1" applyBorder="1" applyAlignment="1">
      <alignment horizontal="center"/>
    </xf>
    <xf numFmtId="164" fontId="4" fillId="6" borderId="21" xfId="2" applyFont="1" applyFill="1" applyBorder="1" applyAlignment="1">
      <alignment horizontal="center" vertical="center" wrapText="1"/>
    </xf>
    <xf numFmtId="9" fontId="4" fillId="8" borderId="29" xfId="3" applyFont="1" applyFill="1" applyBorder="1" applyAlignment="1" applyProtection="1">
      <alignment horizontal="right" vertical="center"/>
      <protection hidden="1"/>
    </xf>
    <xf numFmtId="0" fontId="41" fillId="8" borderId="29" xfId="0" applyFont="1" applyFill="1" applyBorder="1" applyAlignment="1" applyProtection="1">
      <alignment horizontal="right" vertical="center"/>
      <protection hidden="1"/>
    </xf>
    <xf numFmtId="165" fontId="4" fillId="5" borderId="21" xfId="1" applyNumberFormat="1" applyFont="1" applyFill="1" applyBorder="1" applyAlignment="1" applyProtection="1">
      <alignment horizontal="center" vertical="center"/>
      <protection hidden="1"/>
    </xf>
    <xf numFmtId="9" fontId="9" fillId="6" borderId="21" xfId="3" applyFont="1" applyFill="1" applyBorder="1" applyAlignment="1">
      <alignment horizontal="center"/>
    </xf>
    <xf numFmtId="0" fontId="4" fillId="8" borderId="21" xfId="3" applyNumberFormat="1" applyFont="1" applyFill="1" applyBorder="1" applyAlignment="1" applyProtection="1">
      <alignment horizontal="center" vertical="center"/>
      <protection hidden="1"/>
    </xf>
    <xf numFmtId="9" fontId="64" fillId="0" borderId="21" xfId="0" applyNumberFormat="1" applyFont="1" applyBorder="1" applyAlignment="1">
      <alignment horizontal="center" wrapText="1"/>
    </xf>
    <xf numFmtId="0" fontId="4" fillId="8" borderId="1" xfId="3" applyNumberFormat="1" applyFont="1" applyFill="1" applyBorder="1" applyAlignment="1" applyProtection="1">
      <alignment horizontal="center" vertical="center"/>
      <protection hidden="1"/>
    </xf>
    <xf numFmtId="0" fontId="4" fillId="8" borderId="43" xfId="3" applyNumberFormat="1" applyFont="1" applyFill="1" applyBorder="1" applyAlignment="1" applyProtection="1">
      <alignment horizontal="center" vertical="center"/>
      <protection hidden="1"/>
    </xf>
    <xf numFmtId="9" fontId="64" fillId="0" borderId="43" xfId="0" applyNumberFormat="1" applyFont="1" applyBorder="1" applyAlignment="1">
      <alignment horizontal="center" wrapText="1"/>
    </xf>
    <xf numFmtId="9" fontId="64" fillId="0" borderId="16" xfId="0" applyNumberFormat="1" applyFont="1" applyBorder="1" applyAlignment="1">
      <alignment horizontal="center" wrapText="1"/>
    </xf>
    <xf numFmtId="9" fontId="64" fillId="0" borderId="36" xfId="0" applyNumberFormat="1" applyFont="1" applyBorder="1" applyAlignment="1">
      <alignment horizontal="center" wrapText="1"/>
    </xf>
    <xf numFmtId="0" fontId="4" fillId="8" borderId="31" xfId="3" applyNumberFormat="1" applyFont="1" applyFill="1" applyBorder="1" applyAlignment="1" applyProtection="1">
      <alignment horizontal="center" vertical="center"/>
      <protection hidden="1"/>
    </xf>
    <xf numFmtId="0" fontId="62" fillId="4" borderId="1" xfId="0" applyFont="1" applyFill="1" applyBorder="1" applyAlignment="1">
      <alignment horizontal="center" vertical="center" wrapText="1"/>
    </xf>
    <xf numFmtId="0" fontId="62" fillId="4" borderId="1" xfId="0" applyFont="1" applyFill="1" applyBorder="1" applyAlignment="1">
      <alignment horizontal="center" vertical="center"/>
    </xf>
    <xf numFmtId="0" fontId="4" fillId="35" borderId="43" xfId="3" applyNumberFormat="1" applyFont="1" applyFill="1" applyBorder="1" applyAlignment="1" applyProtection="1">
      <alignment horizontal="center" vertical="center"/>
      <protection hidden="1"/>
    </xf>
    <xf numFmtId="9" fontId="64" fillId="35" borderId="43" xfId="0" applyNumberFormat="1" applyFont="1" applyFill="1" applyBorder="1" applyAlignment="1">
      <alignment horizontal="center" wrapText="1"/>
    </xf>
    <xf numFmtId="9" fontId="64" fillId="35" borderId="16" xfId="0" applyNumberFormat="1" applyFont="1" applyFill="1" applyBorder="1" applyAlignment="1">
      <alignment horizontal="center" wrapText="1"/>
    </xf>
    <xf numFmtId="0" fontId="4" fillId="35" borderId="21" xfId="3" applyNumberFormat="1" applyFont="1" applyFill="1" applyBorder="1" applyAlignment="1" applyProtection="1">
      <alignment horizontal="center" vertical="center"/>
      <protection hidden="1"/>
    </xf>
    <xf numFmtId="9" fontId="64" fillId="35" borderId="21" xfId="0" applyNumberFormat="1" applyFont="1" applyFill="1" applyBorder="1" applyAlignment="1">
      <alignment horizontal="center" wrapText="1"/>
    </xf>
    <xf numFmtId="9" fontId="64" fillId="35" borderId="36" xfId="0" applyNumberFormat="1" applyFont="1" applyFill="1" applyBorder="1" applyAlignment="1">
      <alignment horizontal="center" wrapText="1"/>
    </xf>
    <xf numFmtId="0" fontId="4" fillId="35" borderId="31" xfId="3" applyNumberFormat="1" applyFont="1" applyFill="1" applyBorder="1" applyAlignment="1" applyProtection="1">
      <alignment horizontal="center" vertical="center"/>
      <protection hidden="1"/>
    </xf>
    <xf numFmtId="0" fontId="3" fillId="32" borderId="21" xfId="0" applyFont="1" applyFill="1" applyBorder="1" applyAlignment="1">
      <alignment vertical="center" wrapText="1"/>
    </xf>
    <xf numFmtId="0" fontId="63" fillId="32" borderId="21" xfId="0" applyFont="1" applyFill="1" applyBorder="1" applyAlignment="1">
      <alignment vertical="center"/>
    </xf>
    <xf numFmtId="21" fontId="0" fillId="0" borderId="0" xfId="0" applyNumberFormat="1"/>
    <xf numFmtId="164" fontId="3" fillId="32" borderId="56" xfId="2" applyFont="1" applyFill="1" applyBorder="1" applyAlignment="1">
      <alignment horizontal="center" vertical="center"/>
    </xf>
    <xf numFmtId="9" fontId="9" fillId="5" borderId="44" xfId="3" applyFont="1" applyFill="1" applyBorder="1" applyAlignment="1">
      <alignment horizontal="center"/>
    </xf>
    <xf numFmtId="9" fontId="8" fillId="3" borderId="57" xfId="3" applyFont="1" applyFill="1" applyBorder="1" applyAlignment="1">
      <alignment horizontal="center" vertical="center" wrapText="1"/>
    </xf>
    <xf numFmtId="165" fontId="0" fillId="0" borderId="0" xfId="0" applyNumberFormat="1"/>
    <xf numFmtId="0" fontId="0" fillId="4" borderId="0" xfId="0" applyFill="1"/>
    <xf numFmtId="0" fontId="18" fillId="0" borderId="0" xfId="0" applyFont="1" applyAlignment="1">
      <alignment horizontal="left" vertical="center"/>
    </xf>
    <xf numFmtId="0" fontId="0" fillId="0" borderId="57" xfId="0" applyBorder="1"/>
    <xf numFmtId="0" fontId="0" fillId="0" borderId="57" xfId="0" applyFill="1" applyBorder="1" applyAlignment="1">
      <alignment wrapText="1"/>
    </xf>
    <xf numFmtId="0" fontId="0" fillId="0" borderId="57" xfId="0" applyFill="1" applyBorder="1" applyAlignment="1">
      <alignment vertical="center" wrapText="1"/>
    </xf>
    <xf numFmtId="0" fontId="0" fillId="0" borderId="76" xfId="0" applyFill="1" applyBorder="1" applyAlignment="1">
      <alignment wrapText="1"/>
    </xf>
    <xf numFmtId="0" fontId="0" fillId="0" borderId="70" xfId="0" applyBorder="1"/>
    <xf numFmtId="14" fontId="0" fillId="0" borderId="57" xfId="0" applyNumberFormat="1" applyBorder="1" applyAlignment="1">
      <alignment horizontal="center" vertical="center" wrapText="1"/>
    </xf>
    <xf numFmtId="14" fontId="0" fillId="0" borderId="57" xfId="0" applyNumberFormat="1" applyBorder="1" applyAlignment="1">
      <alignment horizontal="center" vertical="center"/>
    </xf>
    <xf numFmtId="0" fontId="0" fillId="0" borderId="72" xfId="0" applyBorder="1"/>
    <xf numFmtId="14" fontId="0" fillId="0" borderId="91" xfId="0" applyNumberFormat="1" applyBorder="1"/>
    <xf numFmtId="0" fontId="0" fillId="0" borderId="99" xfId="0" applyBorder="1"/>
    <xf numFmtId="0" fontId="67" fillId="4" borderId="5" xfId="0" applyFont="1" applyFill="1" applyBorder="1" applyAlignment="1">
      <alignment horizontal="center" vertical="center" wrapText="1"/>
    </xf>
    <xf numFmtId="0" fontId="67" fillId="4" borderId="9" xfId="0" applyFont="1" applyFill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 textRotation="90"/>
    </xf>
    <xf numFmtId="0" fontId="47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0" fillId="0" borderId="0" xfId="0" applyBorder="1" applyAlignment="1">
      <alignment horizontal="center" vertical="center"/>
    </xf>
    <xf numFmtId="165" fontId="9" fillId="6" borderId="21" xfId="1" applyFont="1" applyFill="1" applyBorder="1" applyAlignment="1">
      <alignment horizontal="center" vertical="center"/>
    </xf>
    <xf numFmtId="0" fontId="8" fillId="8" borderId="44" xfId="3" applyNumberFormat="1" applyFont="1" applyFill="1" applyBorder="1" applyAlignment="1" applyProtection="1">
      <alignment horizontal="center" vertical="center"/>
      <protection hidden="1"/>
    </xf>
    <xf numFmtId="9" fontId="8" fillId="21" borderId="44" xfId="3" applyFont="1" applyFill="1" applyBorder="1" applyAlignment="1" applyProtection="1">
      <alignment horizontal="center" vertical="center"/>
      <protection hidden="1"/>
    </xf>
    <xf numFmtId="9" fontId="8" fillId="25" borderId="44" xfId="3" applyFont="1" applyFill="1" applyBorder="1" applyAlignment="1" applyProtection="1">
      <alignment horizontal="center" vertical="center"/>
      <protection hidden="1"/>
    </xf>
    <xf numFmtId="164" fontId="3" fillId="6" borderId="21" xfId="2" applyFont="1" applyFill="1" applyBorder="1" applyAlignment="1">
      <alignment horizontal="center" vertical="center" wrapText="1"/>
    </xf>
    <xf numFmtId="164" fontId="61" fillId="3" borderId="21" xfId="2" applyFont="1" applyFill="1" applyBorder="1" applyAlignment="1">
      <alignment horizontal="center" vertical="center" wrapText="1"/>
    </xf>
    <xf numFmtId="0" fontId="68" fillId="37" borderId="0" xfId="20" applyAlignment="1">
      <alignment horizontal="right"/>
    </xf>
    <xf numFmtId="0" fontId="69" fillId="38" borderId="0" xfId="21" applyFont="1" applyAlignment="1">
      <alignment horizontal="right"/>
    </xf>
    <xf numFmtId="164" fontId="3" fillId="32" borderId="21" xfId="2" applyFont="1" applyFill="1" applyBorder="1" applyAlignment="1">
      <alignment horizontal="center" vertical="center" wrapText="1"/>
    </xf>
    <xf numFmtId="164" fontId="3" fillId="2" borderId="2" xfId="2" applyFont="1" applyFill="1" applyBorder="1" applyAlignment="1">
      <alignment vertical="center"/>
    </xf>
    <xf numFmtId="164" fontId="3" fillId="2" borderId="40" xfId="2" applyFont="1" applyFill="1" applyBorder="1" applyAlignment="1">
      <alignment vertical="center"/>
    </xf>
    <xf numFmtId="0" fontId="0" fillId="20" borderId="21" xfId="0" applyFill="1" applyBorder="1"/>
    <xf numFmtId="0" fontId="37" fillId="34" borderId="21" xfId="0" applyFont="1" applyFill="1" applyBorder="1"/>
    <xf numFmtId="0" fontId="0" fillId="39" borderId="21" xfId="0" applyFill="1" applyBorder="1" applyAlignment="1">
      <alignment horizontal="right"/>
    </xf>
    <xf numFmtId="164" fontId="3" fillId="27" borderId="21" xfId="2" applyFont="1" applyFill="1" applyBorder="1" applyAlignment="1">
      <alignment horizontal="center" vertical="center" wrapText="1"/>
    </xf>
    <xf numFmtId="164" fontId="4" fillId="15" borderId="21" xfId="2" applyFont="1" applyFill="1" applyBorder="1" applyAlignment="1">
      <alignment horizontal="left" vertical="center"/>
    </xf>
    <xf numFmtId="0" fontId="0" fillId="6" borderId="0" xfId="0" applyFill="1" applyAlignment="1">
      <alignment horizontal="right"/>
    </xf>
    <xf numFmtId="164" fontId="4" fillId="33" borderId="21" xfId="2" applyFont="1" applyFill="1" applyBorder="1" applyAlignment="1">
      <alignment horizontal="left" vertical="center"/>
    </xf>
    <xf numFmtId="165" fontId="0" fillId="0" borderId="0" xfId="0" applyNumberFormat="1"/>
    <xf numFmtId="0" fontId="28" fillId="0" borderId="0" xfId="0" applyFont="1"/>
    <xf numFmtId="0" fontId="49" fillId="0" borderId="0" xfId="0" applyFont="1" applyAlignment="1">
      <alignment horizontal="right" vertical="center"/>
    </xf>
    <xf numFmtId="0" fontId="68" fillId="37" borderId="0" xfId="20"/>
    <xf numFmtId="176" fontId="0" fillId="0" borderId="0" xfId="0" applyNumberFormat="1"/>
    <xf numFmtId="165" fontId="8" fillId="8" borderId="36" xfId="1" applyFont="1" applyFill="1" applyBorder="1" applyAlignment="1" applyProtection="1">
      <alignment horizontal="right" vertical="center"/>
      <protection hidden="1"/>
    </xf>
    <xf numFmtId="165" fontId="4" fillId="35" borderId="21" xfId="1" applyFont="1" applyFill="1" applyBorder="1" applyAlignment="1" applyProtection="1">
      <alignment horizontal="center" vertical="center"/>
      <protection locked="0"/>
    </xf>
    <xf numFmtId="165" fontId="8" fillId="35" borderId="21" xfId="3" applyNumberFormat="1" applyFont="1" applyFill="1" applyBorder="1" applyAlignment="1" applyProtection="1">
      <alignment horizontal="right" vertical="center"/>
      <protection hidden="1"/>
    </xf>
    <xf numFmtId="165" fontId="8" fillId="35" borderId="21" xfId="1" applyFont="1" applyFill="1" applyBorder="1" applyAlignment="1" applyProtection="1">
      <alignment horizontal="center" vertical="center"/>
      <protection locked="0"/>
    </xf>
    <xf numFmtId="9" fontId="8" fillId="35" borderId="21" xfId="3" applyFont="1" applyFill="1" applyBorder="1" applyAlignment="1" applyProtection="1">
      <alignment horizontal="center" vertical="center"/>
      <protection locked="0"/>
    </xf>
    <xf numFmtId="9" fontId="4" fillId="16" borderId="21" xfId="3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164" fontId="3" fillId="32" borderId="21" xfId="2" applyFont="1" applyFill="1" applyBorder="1" applyAlignment="1">
      <alignment horizontal="center" vertical="center" wrapText="1"/>
    </xf>
    <xf numFmtId="164" fontId="3" fillId="32" borderId="21" xfId="2" applyFont="1" applyFill="1" applyBorder="1" applyAlignment="1">
      <alignment horizontal="center" vertical="center" wrapText="1"/>
    </xf>
    <xf numFmtId="164" fontId="3" fillId="32" borderId="21" xfId="2" applyFont="1" applyFill="1" applyBorder="1" applyAlignment="1">
      <alignment horizontal="center" vertical="center" wrapText="1"/>
    </xf>
    <xf numFmtId="164" fontId="70" fillId="40" borderId="0" xfId="2" applyFont="1" applyFill="1" applyBorder="1" applyAlignment="1">
      <alignment vertical="center"/>
    </xf>
    <xf numFmtId="19" fontId="9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4" fontId="9" fillId="0" borderId="0" xfId="0" applyNumberFormat="1" applyFont="1" applyAlignment="1">
      <alignment horizontal="center" vertical="center"/>
    </xf>
    <xf numFmtId="164" fontId="3" fillId="2" borderId="35" xfId="2" applyFont="1" applyFill="1" applyBorder="1" applyAlignment="1">
      <alignment horizontal="center" vertical="center"/>
    </xf>
    <xf numFmtId="9" fontId="12" fillId="3" borderId="21" xfId="3" applyFont="1" applyFill="1" applyBorder="1" applyAlignment="1" applyProtection="1">
      <alignment horizontal="center" vertical="center"/>
      <protection hidden="1"/>
    </xf>
    <xf numFmtId="9" fontId="3" fillId="2" borderId="37" xfId="3" applyFont="1" applyFill="1" applyBorder="1" applyAlignment="1">
      <alignment horizontal="center" vertical="center"/>
    </xf>
    <xf numFmtId="19" fontId="9" fillId="0" borderId="0" xfId="0" applyNumberFormat="1" applyFont="1"/>
    <xf numFmtId="14" fontId="18" fillId="0" borderId="0" xfId="0" applyNumberFormat="1" applyFont="1"/>
    <xf numFmtId="165" fontId="9" fillId="33" borderId="21" xfId="1" applyFont="1" applyFill="1" applyBorder="1" applyAlignment="1"/>
    <xf numFmtId="165" fontId="8" fillId="33" borderId="21" xfId="1" applyFont="1" applyFill="1" applyBorder="1" applyAlignment="1" applyProtection="1">
      <alignment horizontal="center" vertical="center"/>
      <protection locked="0"/>
    </xf>
    <xf numFmtId="0" fontId="10" fillId="4" borderId="29" xfId="0" applyFont="1" applyFill="1" applyBorder="1" applyAlignment="1" applyProtection="1">
      <alignment horizontal="right" vertical="center"/>
      <protection hidden="1"/>
    </xf>
    <xf numFmtId="164" fontId="3" fillId="4" borderId="57" xfId="0" applyNumberFormat="1" applyFont="1" applyFill="1" applyBorder="1"/>
    <xf numFmtId="164" fontId="3" fillId="4" borderId="37" xfId="2" applyFont="1" applyFill="1" applyBorder="1" applyAlignment="1">
      <alignment horizontal="right" vertical="center"/>
    </xf>
    <xf numFmtId="164" fontId="4" fillId="4" borderId="38" xfId="2" applyFont="1" applyFill="1" applyBorder="1" applyAlignment="1" applyProtection="1">
      <alignment horizontal="center" vertical="center"/>
      <protection hidden="1"/>
    </xf>
    <xf numFmtId="164" fontId="0" fillId="0" borderId="0" xfId="0" applyNumberFormat="1"/>
    <xf numFmtId="165" fontId="0" fillId="0" borderId="0" xfId="0" applyNumberFormat="1"/>
    <xf numFmtId="164" fontId="3" fillId="13" borderId="16" xfId="2" applyFont="1" applyFill="1" applyBorder="1" applyAlignment="1">
      <alignment horizontal="center" vertical="center"/>
    </xf>
    <xf numFmtId="165" fontId="4" fillId="13" borderId="22" xfId="1" applyFont="1" applyFill="1" applyBorder="1" applyAlignment="1" applyProtection="1">
      <alignment horizontal="center" vertical="center"/>
      <protection hidden="1"/>
    </xf>
    <xf numFmtId="0" fontId="0" fillId="13" borderId="0" xfId="0" applyFill="1"/>
    <xf numFmtId="0" fontId="0" fillId="6" borderId="0" xfId="0" applyFill="1"/>
    <xf numFmtId="1" fontId="4" fillId="27" borderId="21" xfId="1" applyNumberFormat="1" applyFont="1" applyFill="1" applyBorder="1" applyAlignment="1" applyProtection="1">
      <alignment horizontal="center" vertical="center"/>
      <protection locked="0"/>
    </xf>
    <xf numFmtId="9" fontId="8" fillId="19" borderId="44" xfId="3" applyFont="1" applyFill="1" applyBorder="1" applyAlignment="1" applyProtection="1">
      <alignment horizontal="center" vertical="center"/>
      <protection hidden="1"/>
    </xf>
    <xf numFmtId="0" fontId="71" fillId="3" borderId="78" xfId="0" applyFont="1" applyFill="1" applyBorder="1" applyAlignment="1">
      <alignment horizontal="center" vertical="center" textRotation="255"/>
    </xf>
    <xf numFmtId="0" fontId="42" fillId="3" borderId="84" xfId="0" applyFont="1" applyFill="1" applyBorder="1" applyAlignment="1">
      <alignment horizontal="center" vertical="center" textRotation="90"/>
    </xf>
    <xf numFmtId="0" fontId="42" fillId="3" borderId="85" xfId="0" applyFont="1" applyFill="1" applyBorder="1" applyAlignment="1">
      <alignment horizontal="center" vertical="center" textRotation="90"/>
    </xf>
    <xf numFmtId="0" fontId="42" fillId="3" borderId="86" xfId="0" applyFont="1" applyFill="1" applyBorder="1" applyAlignment="1">
      <alignment horizontal="center" vertical="center" textRotation="90"/>
    </xf>
    <xf numFmtId="0" fontId="7" fillId="4" borderId="13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164" fontId="3" fillId="2" borderId="32" xfId="2" applyFont="1" applyFill="1" applyBorder="1" applyAlignment="1">
      <alignment horizontal="right" vertical="center"/>
    </xf>
    <xf numFmtId="164" fontId="3" fillId="2" borderId="46" xfId="2" applyFont="1" applyFill="1" applyBorder="1" applyAlignment="1">
      <alignment horizontal="right" vertical="center"/>
    </xf>
    <xf numFmtId="164" fontId="3" fillId="2" borderId="2" xfId="2" applyFont="1" applyFill="1" applyBorder="1" applyAlignment="1">
      <alignment horizontal="right" vertical="center"/>
    </xf>
    <xf numFmtId="164" fontId="3" fillId="2" borderId="40" xfId="2" applyFont="1" applyFill="1" applyBorder="1" applyAlignment="1">
      <alignment horizontal="right" vertical="center"/>
    </xf>
    <xf numFmtId="164" fontId="61" fillId="7" borderId="21" xfId="2" applyFont="1" applyFill="1" applyBorder="1" applyAlignment="1">
      <alignment horizontal="center" vertical="center" wrapText="1"/>
    </xf>
    <xf numFmtId="164" fontId="3" fillId="4" borderId="21" xfId="2" applyFont="1" applyFill="1" applyBorder="1" applyAlignment="1">
      <alignment horizontal="center" vertical="center" wrapText="1"/>
    </xf>
    <xf numFmtId="164" fontId="3" fillId="32" borderId="21" xfId="2" applyFont="1" applyFill="1" applyBorder="1" applyAlignment="1">
      <alignment horizontal="center" vertical="center" wrapText="1"/>
    </xf>
    <xf numFmtId="164" fontId="3" fillId="32" borderId="2" xfId="2" applyFont="1" applyFill="1" applyBorder="1" applyAlignment="1">
      <alignment horizontal="center" vertical="center" wrapText="1"/>
    </xf>
    <xf numFmtId="164" fontId="3" fillId="32" borderId="40" xfId="2" applyFont="1" applyFill="1" applyBorder="1" applyAlignment="1">
      <alignment horizontal="center" vertical="center" wrapText="1"/>
    </xf>
    <xf numFmtId="164" fontId="3" fillId="32" borderId="28" xfId="2" applyFont="1" applyFill="1" applyBorder="1" applyAlignment="1">
      <alignment horizontal="center" vertical="center" wrapText="1"/>
    </xf>
    <xf numFmtId="164" fontId="3" fillId="4" borderId="2" xfId="2" applyFont="1" applyFill="1" applyBorder="1" applyAlignment="1">
      <alignment horizontal="center" vertical="center" wrapText="1"/>
    </xf>
    <xf numFmtId="164" fontId="3" fillId="4" borderId="40" xfId="2" applyFont="1" applyFill="1" applyBorder="1" applyAlignment="1">
      <alignment horizontal="center" vertical="center" wrapText="1"/>
    </xf>
    <xf numFmtId="164" fontId="3" fillId="4" borderId="28" xfId="2" applyFont="1" applyFill="1" applyBorder="1" applyAlignment="1">
      <alignment horizontal="center" vertical="center" wrapText="1"/>
    </xf>
    <xf numFmtId="0" fontId="59" fillId="30" borderId="2" xfId="0" applyFont="1" applyFill="1" applyBorder="1" applyAlignment="1">
      <alignment horizontal="center" vertical="center"/>
    </xf>
    <xf numFmtId="0" fontId="59" fillId="30" borderId="40" xfId="0" applyFont="1" applyFill="1" applyBorder="1" applyAlignment="1">
      <alignment horizontal="center" vertical="center"/>
    </xf>
    <xf numFmtId="0" fontId="59" fillId="30" borderId="28" xfId="0" applyFont="1" applyFill="1" applyBorder="1" applyAlignment="1">
      <alignment horizontal="center" vertical="center"/>
    </xf>
    <xf numFmtId="0" fontId="7" fillId="4" borderId="35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8" fillId="8" borderId="2" xfId="0" applyFont="1" applyFill="1" applyBorder="1" applyAlignment="1" applyProtection="1">
      <alignment horizontal="center" vertical="center"/>
      <protection hidden="1"/>
    </xf>
    <xf numFmtId="0" fontId="8" fillId="8" borderId="28" xfId="0" applyFont="1" applyFill="1" applyBorder="1" applyAlignment="1" applyProtection="1">
      <alignment horizontal="center" vertical="center"/>
      <protection hidden="1"/>
    </xf>
    <xf numFmtId="0" fontId="6" fillId="4" borderId="77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10" fillId="8" borderId="13" xfId="0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0" fontId="10" fillId="8" borderId="15" xfId="0" applyFont="1" applyFill="1" applyBorder="1" applyAlignment="1">
      <alignment horizontal="center" vertical="center"/>
    </xf>
    <xf numFmtId="0" fontId="30" fillId="4" borderId="10" xfId="0" applyFont="1" applyFill="1" applyBorder="1" applyAlignment="1">
      <alignment horizontal="center" vertical="center"/>
    </xf>
    <xf numFmtId="0" fontId="30" fillId="4" borderId="11" xfId="0" applyFont="1" applyFill="1" applyBorder="1" applyAlignment="1">
      <alignment horizontal="center" vertical="center"/>
    </xf>
    <xf numFmtId="0" fontId="30" fillId="4" borderId="12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 wrapText="1"/>
    </xf>
    <xf numFmtId="0" fontId="7" fillId="4" borderId="25" xfId="0" applyFont="1" applyFill="1" applyBorder="1" applyAlignment="1">
      <alignment horizontal="center" vertical="center" wrapText="1"/>
    </xf>
    <xf numFmtId="0" fontId="7" fillId="4" borderId="24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 wrapText="1"/>
    </xf>
    <xf numFmtId="0" fontId="7" fillId="4" borderId="26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164" fontId="3" fillId="2" borderId="0" xfId="2" applyFont="1" applyFill="1" applyBorder="1" applyAlignment="1">
      <alignment horizontal="center" vertical="center"/>
    </xf>
    <xf numFmtId="164" fontId="3" fillId="2" borderId="45" xfId="2" applyFont="1" applyFill="1" applyBorder="1" applyAlignment="1">
      <alignment horizontal="center" vertical="center"/>
    </xf>
    <xf numFmtId="164" fontId="3" fillId="2" borderId="33" xfId="2" applyFont="1" applyFill="1" applyBorder="1" applyAlignment="1">
      <alignment horizontal="right" vertical="center"/>
    </xf>
    <xf numFmtId="0" fontId="0" fillId="11" borderId="32" xfId="0" applyFill="1" applyBorder="1" applyAlignment="1">
      <alignment horizontal="center"/>
    </xf>
    <xf numFmtId="0" fontId="0" fillId="11" borderId="33" xfId="0" applyFill="1" applyBorder="1" applyAlignment="1">
      <alignment horizontal="center"/>
    </xf>
    <xf numFmtId="0" fontId="0" fillId="11" borderId="74" xfId="0" applyFill="1" applyBorder="1" applyAlignment="1">
      <alignment horizontal="center"/>
    </xf>
    <xf numFmtId="0" fontId="72" fillId="13" borderId="15" xfId="0" applyFont="1" applyFill="1" applyBorder="1" applyAlignment="1">
      <alignment horizontal="center" vertical="center"/>
    </xf>
    <xf numFmtId="164" fontId="3" fillId="2" borderId="42" xfId="2" applyFont="1" applyFill="1" applyBorder="1" applyAlignment="1">
      <alignment horizontal="center" vertical="center"/>
    </xf>
    <xf numFmtId="164" fontId="3" fillId="2" borderId="16" xfId="2" applyFont="1" applyFill="1" applyBorder="1" applyAlignment="1">
      <alignment horizontal="center" vertical="center"/>
    </xf>
    <xf numFmtId="164" fontId="4" fillId="16" borderId="42" xfId="2" applyFont="1" applyFill="1" applyBorder="1" applyAlignment="1">
      <alignment horizontal="center" vertical="center"/>
    </xf>
    <xf numFmtId="164" fontId="4" fillId="16" borderId="43" xfId="2" applyFont="1" applyFill="1" applyBorder="1" applyAlignment="1">
      <alignment horizontal="center" vertical="center"/>
    </xf>
    <xf numFmtId="164" fontId="4" fillId="16" borderId="16" xfId="2" applyFont="1" applyFill="1" applyBorder="1" applyAlignment="1">
      <alignment horizontal="center" vertical="center"/>
    </xf>
    <xf numFmtId="164" fontId="4" fillId="20" borderId="42" xfId="2" applyFont="1" applyFill="1" applyBorder="1" applyAlignment="1">
      <alignment horizontal="center" vertical="center"/>
    </xf>
    <xf numFmtId="164" fontId="4" fillId="20" borderId="43" xfId="2" applyFont="1" applyFill="1" applyBorder="1" applyAlignment="1">
      <alignment horizontal="center" vertical="center"/>
    </xf>
    <xf numFmtId="164" fontId="4" fillId="20" borderId="16" xfId="2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40" xfId="0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3" fillId="32" borderId="21" xfId="0" applyFont="1" applyFill="1" applyBorder="1" applyAlignment="1">
      <alignment horizontal="center" vertical="center" wrapText="1"/>
    </xf>
    <xf numFmtId="0" fontId="63" fillId="32" borderId="21" xfId="0" applyFont="1" applyFill="1" applyBorder="1" applyAlignment="1">
      <alignment horizontal="center" vertical="center"/>
    </xf>
    <xf numFmtId="164" fontId="65" fillId="3" borderId="84" xfId="2" applyFont="1" applyFill="1" applyBorder="1" applyAlignment="1">
      <alignment horizontal="center" vertical="center" textRotation="90" wrapText="1"/>
    </xf>
    <xf numFmtId="164" fontId="65" fillId="3" borderId="85" xfId="2" applyFont="1" applyFill="1" applyBorder="1" applyAlignment="1">
      <alignment horizontal="center" vertical="center" textRotation="90" wrapText="1"/>
    </xf>
    <xf numFmtId="164" fontId="65" fillId="3" borderId="86" xfId="2" applyFont="1" applyFill="1" applyBorder="1" applyAlignment="1">
      <alignment horizontal="center" vertical="center" textRotation="90" wrapText="1"/>
    </xf>
    <xf numFmtId="164" fontId="65" fillId="22" borderId="10" xfId="2" applyFont="1" applyFill="1" applyBorder="1" applyAlignment="1">
      <alignment horizontal="center" vertical="center" textRotation="90" wrapText="1"/>
    </xf>
    <xf numFmtId="164" fontId="65" fillId="22" borderId="35" xfId="2" applyFont="1" applyFill="1" applyBorder="1" applyAlignment="1">
      <alignment horizontal="center" vertical="center" textRotation="90" wrapText="1"/>
    </xf>
    <xf numFmtId="164" fontId="65" fillId="22" borderId="17" xfId="2" applyFont="1" applyFill="1" applyBorder="1" applyAlignment="1">
      <alignment horizontal="center" vertical="center" textRotation="90" wrapText="1"/>
    </xf>
    <xf numFmtId="164" fontId="65" fillId="3" borderId="10" xfId="2" applyFont="1" applyFill="1" applyBorder="1" applyAlignment="1">
      <alignment horizontal="center" vertical="center" textRotation="90" wrapText="1"/>
    </xf>
    <xf numFmtId="164" fontId="65" fillId="3" borderId="35" xfId="2" applyFont="1" applyFill="1" applyBorder="1" applyAlignment="1">
      <alignment horizontal="center" vertical="center" textRotation="90" wrapText="1"/>
    </xf>
    <xf numFmtId="164" fontId="65" fillId="3" borderId="17" xfId="2" applyFont="1" applyFill="1" applyBorder="1" applyAlignment="1">
      <alignment horizontal="center" vertical="center" textRotation="90" wrapText="1"/>
    </xf>
    <xf numFmtId="164" fontId="3" fillId="2" borderId="2" xfId="2" applyFont="1" applyFill="1" applyBorder="1" applyAlignment="1">
      <alignment horizontal="center" vertical="center"/>
    </xf>
    <xf numFmtId="164" fontId="3" fillId="2" borderId="40" xfId="2" applyFont="1" applyFill="1" applyBorder="1" applyAlignment="1">
      <alignment horizontal="center" vertical="center"/>
    </xf>
    <xf numFmtId="164" fontId="3" fillId="2" borderId="54" xfId="2" applyFont="1" applyFill="1" applyBorder="1" applyAlignment="1">
      <alignment horizontal="center" vertical="center"/>
    </xf>
    <xf numFmtId="164" fontId="3" fillId="36" borderId="2" xfId="2" applyFont="1" applyFill="1" applyBorder="1" applyAlignment="1">
      <alignment horizontal="center" vertical="center"/>
    </xf>
    <xf numFmtId="164" fontId="3" fillId="36" borderId="40" xfId="2" applyFont="1" applyFill="1" applyBorder="1" applyAlignment="1">
      <alignment horizontal="center" vertical="center"/>
    </xf>
    <xf numFmtId="164" fontId="3" fillId="36" borderId="54" xfId="2" applyFont="1" applyFill="1" applyBorder="1" applyAlignment="1">
      <alignment horizontal="center" vertical="center"/>
    </xf>
    <xf numFmtId="164" fontId="3" fillId="2" borderId="2" xfId="2" applyFont="1" applyFill="1" applyBorder="1" applyAlignment="1">
      <alignment horizontal="center" vertical="center" wrapText="1"/>
    </xf>
    <xf numFmtId="164" fontId="3" fillId="2" borderId="40" xfId="2" applyFont="1" applyFill="1" applyBorder="1" applyAlignment="1">
      <alignment horizontal="center" vertical="center" wrapText="1"/>
    </xf>
    <xf numFmtId="164" fontId="3" fillId="2" borderId="28" xfId="2" applyFont="1" applyFill="1" applyBorder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/>
    </xf>
    <xf numFmtId="0" fontId="49" fillId="0" borderId="24" xfId="0" applyFont="1" applyBorder="1" applyAlignment="1">
      <alignment horizontal="center" vertical="center" wrapText="1"/>
    </xf>
    <xf numFmtId="0" fontId="49" fillId="0" borderId="79" xfId="0" applyFont="1" applyBorder="1" applyAlignment="1">
      <alignment horizontal="center" vertical="center" wrapText="1"/>
    </xf>
    <xf numFmtId="0" fontId="49" fillId="0" borderId="80" xfId="0" applyFont="1" applyBorder="1" applyAlignment="1">
      <alignment horizontal="center" vertical="center" wrapText="1"/>
    </xf>
    <xf numFmtId="0" fontId="47" fillId="0" borderId="81" xfId="0" applyFont="1" applyBorder="1" applyAlignment="1">
      <alignment horizontal="center" vertical="center" wrapText="1"/>
    </xf>
    <xf numFmtId="0" fontId="47" fillId="0" borderId="82" xfId="0" applyFont="1" applyBorder="1" applyAlignment="1">
      <alignment horizontal="center" vertical="center" wrapText="1"/>
    </xf>
    <xf numFmtId="0" fontId="47" fillId="0" borderId="24" xfId="0" applyFont="1" applyBorder="1" applyAlignment="1">
      <alignment horizontal="center" vertical="center" textRotation="90" wrapText="1"/>
    </xf>
    <xf numFmtId="0" fontId="47" fillId="0" borderId="79" xfId="0" applyFont="1" applyBorder="1" applyAlignment="1">
      <alignment horizontal="center" vertical="center" textRotation="90" wrapText="1"/>
    </xf>
    <xf numFmtId="0" fontId="47" fillId="0" borderId="80" xfId="0" applyFont="1" applyBorder="1" applyAlignment="1">
      <alignment horizontal="center" vertical="center" textRotation="90" wrapText="1"/>
    </xf>
    <xf numFmtId="0" fontId="47" fillId="0" borderId="83" xfId="0" applyFont="1" applyBorder="1" applyAlignment="1">
      <alignment horizontal="center" vertical="center" wrapText="1"/>
    </xf>
    <xf numFmtId="0" fontId="47" fillId="0" borderId="78" xfId="0" applyFont="1" applyBorder="1" applyAlignment="1">
      <alignment horizontal="center" vertical="center" wrapText="1"/>
    </xf>
    <xf numFmtId="0" fontId="47" fillId="0" borderId="27" xfId="0" applyFont="1" applyBorder="1" applyAlignment="1">
      <alignment horizontal="center" vertical="center" wrapText="1"/>
    </xf>
    <xf numFmtId="0" fontId="47" fillId="0" borderId="26" xfId="0" applyFont="1" applyBorder="1" applyAlignment="1">
      <alignment horizontal="center" vertical="center" textRotation="90" wrapText="1"/>
    </xf>
    <xf numFmtId="0" fontId="47" fillId="0" borderId="24" xfId="0" applyFont="1" applyBorder="1" applyAlignment="1">
      <alignment horizontal="center" vertical="center" wrapText="1"/>
    </xf>
    <xf numFmtId="0" fontId="47" fillId="0" borderId="79" xfId="0" applyFont="1" applyBorder="1" applyAlignment="1">
      <alignment horizontal="center" vertical="center" wrapText="1"/>
    </xf>
    <xf numFmtId="0" fontId="47" fillId="0" borderId="26" xfId="0" applyFont="1" applyBorder="1" applyAlignment="1">
      <alignment horizontal="center" vertical="center" wrapText="1"/>
    </xf>
    <xf numFmtId="0" fontId="49" fillId="0" borderId="26" xfId="0" applyFont="1" applyBorder="1" applyAlignment="1">
      <alignment horizontal="center" vertical="center" wrapText="1"/>
    </xf>
    <xf numFmtId="0" fontId="49" fillId="0" borderId="24" xfId="0" applyFont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9" fillId="0" borderId="80" xfId="0" applyFont="1" applyBorder="1" applyAlignment="1">
      <alignment horizontal="center" vertical="center"/>
    </xf>
    <xf numFmtId="14" fontId="0" fillId="0" borderId="57" xfId="0" applyNumberFormat="1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47" fillId="0" borderId="24" xfId="0" applyFont="1" applyBorder="1" applyAlignment="1">
      <alignment horizontal="center" vertical="center" textRotation="90"/>
    </xf>
    <xf numFmtId="0" fontId="47" fillId="0" borderId="79" xfId="0" applyFont="1" applyBorder="1" applyAlignment="1">
      <alignment horizontal="center" vertical="center" textRotation="90"/>
    </xf>
    <xf numFmtId="0" fontId="47" fillId="0" borderId="80" xfId="0" applyFont="1" applyBorder="1" applyAlignment="1">
      <alignment horizontal="center" vertical="center" textRotation="90"/>
    </xf>
    <xf numFmtId="0" fontId="47" fillId="0" borderId="24" xfId="0" applyFont="1" applyBorder="1" applyAlignment="1">
      <alignment horizontal="center" vertical="center"/>
    </xf>
    <xf numFmtId="0" fontId="47" fillId="0" borderId="79" xfId="0" applyFont="1" applyBorder="1" applyAlignment="1">
      <alignment horizontal="center" vertical="center"/>
    </xf>
    <xf numFmtId="0" fontId="47" fillId="0" borderId="80" xfId="0" applyFont="1" applyBorder="1" applyAlignment="1">
      <alignment horizontal="center" vertical="center"/>
    </xf>
    <xf numFmtId="14" fontId="49" fillId="0" borderId="24" xfId="0" applyNumberFormat="1" applyFont="1" applyBorder="1" applyAlignment="1">
      <alignment horizontal="center" vertical="center"/>
    </xf>
    <xf numFmtId="0" fontId="47" fillId="0" borderId="87" xfId="0" applyFont="1" applyBorder="1" applyAlignment="1">
      <alignment horizontal="center" vertical="center" textRotation="90"/>
    </xf>
    <xf numFmtId="0" fontId="47" fillId="0" borderId="35" xfId="0" applyFont="1" applyBorder="1" applyAlignment="1">
      <alignment horizontal="center" vertical="center" textRotation="90"/>
    </xf>
    <xf numFmtId="0" fontId="47" fillId="0" borderId="17" xfId="0" applyFont="1" applyBorder="1" applyAlignment="1">
      <alignment horizontal="center" vertical="center" textRotation="90"/>
    </xf>
    <xf numFmtId="0" fontId="47" fillId="0" borderId="57" xfId="0" applyFont="1" applyBorder="1" applyAlignment="1">
      <alignment horizontal="center" vertical="center" wrapText="1"/>
    </xf>
    <xf numFmtId="14" fontId="49" fillId="0" borderId="88" xfId="0" applyNumberFormat="1" applyFont="1" applyBorder="1" applyAlignment="1">
      <alignment horizontal="center" vertical="center" wrapText="1"/>
    </xf>
    <xf numFmtId="14" fontId="49" fillId="0" borderId="90" xfId="0" applyNumberFormat="1" applyFont="1" applyBorder="1" applyAlignment="1">
      <alignment horizontal="center" vertical="center" wrapText="1"/>
    </xf>
    <xf numFmtId="14" fontId="49" fillId="0" borderId="94" xfId="0" applyNumberFormat="1" applyFont="1" applyBorder="1" applyAlignment="1">
      <alignment horizontal="center" vertical="center" wrapText="1"/>
    </xf>
    <xf numFmtId="0" fontId="49" fillId="0" borderId="57" xfId="0" applyFont="1" applyBorder="1" applyAlignment="1">
      <alignment horizontal="center" vertical="center" wrapText="1"/>
    </xf>
    <xf numFmtId="0" fontId="49" fillId="0" borderId="89" xfId="0" applyFont="1" applyBorder="1" applyAlignment="1">
      <alignment horizontal="left" vertical="center" wrapText="1"/>
    </xf>
    <xf numFmtId="0" fontId="49" fillId="0" borderId="91" xfId="0" applyFont="1" applyBorder="1" applyAlignment="1">
      <alignment horizontal="left" vertical="center" wrapText="1"/>
    </xf>
    <xf numFmtId="0" fontId="47" fillId="0" borderId="67" xfId="0" applyFont="1" applyBorder="1" applyAlignment="1">
      <alignment horizontal="center" vertical="center" wrapText="1"/>
    </xf>
    <xf numFmtId="0" fontId="47" fillId="0" borderId="65" xfId="0" applyFont="1" applyBorder="1" applyAlignment="1">
      <alignment horizontal="center" vertical="center" wrapText="1"/>
    </xf>
    <xf numFmtId="0" fontId="47" fillId="0" borderId="77" xfId="0" applyFont="1" applyBorder="1" applyAlignment="1">
      <alignment horizontal="center" vertical="center" wrapText="1"/>
    </xf>
    <xf numFmtId="0" fontId="47" fillId="0" borderId="63" xfId="0" applyFont="1" applyBorder="1" applyAlignment="1">
      <alignment horizontal="center" vertical="center" wrapText="1"/>
    </xf>
    <xf numFmtId="0" fontId="47" fillId="0" borderId="92" xfId="0" applyFont="1" applyBorder="1" applyAlignment="1">
      <alignment horizontal="center" vertical="center" wrapText="1"/>
    </xf>
    <xf numFmtId="0" fontId="47" fillId="0" borderId="93" xfId="0" applyFont="1" applyBorder="1" applyAlignment="1">
      <alignment horizontal="center" vertical="center" wrapText="1"/>
    </xf>
    <xf numFmtId="0" fontId="47" fillId="0" borderId="69" xfId="0" applyFont="1" applyBorder="1" applyAlignment="1">
      <alignment horizontal="center" vertical="center" textRotation="90"/>
    </xf>
    <xf numFmtId="0" fontId="47" fillId="0" borderId="71" xfId="0" applyFont="1" applyBorder="1" applyAlignment="1">
      <alignment horizontal="center" vertical="center" textRotation="90"/>
    </xf>
    <xf numFmtId="0" fontId="47" fillId="0" borderId="89" xfId="0" applyFont="1" applyBorder="1" applyAlignment="1">
      <alignment horizontal="center" vertical="center" wrapText="1"/>
    </xf>
    <xf numFmtId="0" fontId="47" fillId="0" borderId="98" xfId="0" applyFont="1" applyBorder="1" applyAlignment="1">
      <alignment horizontal="center" vertical="center" wrapText="1"/>
    </xf>
    <xf numFmtId="0" fontId="47" fillId="0" borderId="91" xfId="0" applyFont="1" applyBorder="1" applyAlignment="1">
      <alignment horizontal="center" vertical="center" wrapText="1"/>
    </xf>
    <xf numFmtId="0" fontId="47" fillId="0" borderId="76" xfId="0" applyFont="1" applyBorder="1" applyAlignment="1">
      <alignment horizontal="center" vertical="center" wrapText="1"/>
    </xf>
    <xf numFmtId="0" fontId="47" fillId="0" borderId="10" xfId="0" applyFont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0" fontId="47" fillId="0" borderId="81" xfId="0" applyFont="1" applyBorder="1" applyAlignment="1">
      <alignment horizontal="center" vertical="center"/>
    </xf>
    <xf numFmtId="14" fontId="0" fillId="0" borderId="91" xfId="0" applyNumberForma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165" fontId="26" fillId="0" borderId="58" xfId="1" applyFont="1" applyFill="1" applyBorder="1" applyAlignment="1">
      <alignment horizontal="center"/>
    </xf>
    <xf numFmtId="165" fontId="26" fillId="0" borderId="59" xfId="1" applyFont="1" applyFill="1" applyBorder="1" applyAlignment="1">
      <alignment horizontal="center"/>
    </xf>
    <xf numFmtId="165" fontId="26" fillId="0" borderId="60" xfId="1" applyFont="1" applyFill="1" applyBorder="1" applyAlignment="1">
      <alignment horizontal="center"/>
    </xf>
    <xf numFmtId="0" fontId="22" fillId="0" borderId="0" xfId="0" applyFont="1" applyAlignment="1">
      <alignment horizontal="right" vertical="center"/>
    </xf>
    <xf numFmtId="0" fontId="22" fillId="0" borderId="63" xfId="0" applyFont="1" applyBorder="1" applyAlignment="1">
      <alignment horizontal="right" vertical="center"/>
    </xf>
    <xf numFmtId="171" fontId="22" fillId="0" borderId="0" xfId="0" applyNumberFormat="1" applyFont="1" applyAlignment="1">
      <alignment horizontal="right"/>
    </xf>
    <xf numFmtId="0" fontId="22" fillId="0" borderId="67" xfId="0" applyFont="1" applyBorder="1" applyAlignment="1">
      <alignment horizontal="center" vertical="center"/>
    </xf>
    <xf numFmtId="0" fontId="22" fillId="0" borderId="64" xfId="0" applyFont="1" applyBorder="1" applyAlignment="1">
      <alignment horizontal="center" vertical="center"/>
    </xf>
    <xf numFmtId="0" fontId="22" fillId="0" borderId="65" xfId="0" applyFont="1" applyBorder="1" applyAlignment="1">
      <alignment horizontal="center" vertical="center"/>
    </xf>
    <xf numFmtId="0" fontId="22" fillId="0" borderId="66" xfId="0" applyFont="1" applyBorder="1" applyAlignment="1">
      <alignment horizontal="center" vertical="center"/>
    </xf>
    <xf numFmtId="0" fontId="22" fillId="0" borderId="61" xfId="0" applyFont="1" applyBorder="1" applyAlignment="1">
      <alignment horizontal="center" vertical="center"/>
    </xf>
    <xf numFmtId="0" fontId="22" fillId="0" borderId="62" xfId="0" applyFont="1" applyBorder="1" applyAlignment="1">
      <alignment horizontal="center" vertical="center"/>
    </xf>
    <xf numFmtId="165" fontId="26" fillId="0" borderId="58" xfId="1" applyFont="1" applyFill="1" applyBorder="1" applyAlignment="1">
      <alignment horizontal="center" vertical="center"/>
    </xf>
    <xf numFmtId="165" fontId="26" fillId="0" borderId="59" xfId="1" applyFont="1" applyFill="1" applyBorder="1" applyAlignment="1">
      <alignment horizontal="center" vertical="center"/>
    </xf>
    <xf numFmtId="165" fontId="26" fillId="0" borderId="60" xfId="1" applyFont="1" applyFill="1" applyBorder="1" applyAlignment="1">
      <alignment horizontal="center" vertical="center"/>
    </xf>
    <xf numFmtId="0" fontId="22" fillId="0" borderId="57" xfId="0" applyFont="1" applyBorder="1" applyAlignment="1">
      <alignment horizontal="center"/>
    </xf>
    <xf numFmtId="0" fontId="22" fillId="0" borderId="60" xfId="0" applyFont="1" applyBorder="1" applyAlignment="1">
      <alignment horizontal="center"/>
    </xf>
    <xf numFmtId="165" fontId="25" fillId="0" borderId="58" xfId="1" applyFont="1" applyFill="1" applyBorder="1" applyAlignment="1">
      <alignment horizontal="left" vertical="center"/>
    </xf>
    <xf numFmtId="165" fontId="25" fillId="0" borderId="59" xfId="1" applyFont="1" applyFill="1" applyBorder="1" applyAlignment="1">
      <alignment horizontal="left" vertical="center"/>
    </xf>
    <xf numFmtId="165" fontId="25" fillId="0" borderId="60" xfId="1" applyFont="1" applyFill="1" applyBorder="1" applyAlignment="1">
      <alignment horizontal="left" vertical="center"/>
    </xf>
    <xf numFmtId="0" fontId="22" fillId="0" borderId="0" xfId="0" applyFont="1" applyAlignment="1">
      <alignment horizontal="center"/>
    </xf>
  </cellXfs>
  <cellStyles count="23">
    <cellStyle name="Comma_Sheet1" xfId="9"/>
    <cellStyle name="Énfasis5" xfId="21" builtinId="45"/>
    <cellStyle name="Hipervínculo" xfId="18" builtinId="8"/>
    <cellStyle name="Millares" xfId="1" builtinId="3"/>
    <cellStyle name="Millares 2" xfId="12"/>
    <cellStyle name="Millares 3" xfId="4"/>
    <cellStyle name="Millares 4" xfId="22"/>
    <cellStyle name="Moneda" xfId="2" builtinId="4"/>
    <cellStyle name="Moneda 2" xfId="11"/>
    <cellStyle name="Moneda 2 2" xfId="14"/>
    <cellStyle name="Moneda 3" xfId="15"/>
    <cellStyle name="Moneda 4" xfId="16"/>
    <cellStyle name="Moneda 5" xfId="17"/>
    <cellStyle name="Moneda 6" xfId="10"/>
    <cellStyle name="Neutral" xfId="20" builtinId="28"/>
    <cellStyle name="Normal" xfId="0" builtinId="0"/>
    <cellStyle name="Normal 184" xfId="19"/>
    <cellStyle name="Normal 2" xfId="5"/>
    <cellStyle name="Normal 2 2" xfId="6"/>
    <cellStyle name="Normal 2 3" xfId="7"/>
    <cellStyle name="Normal 3" xfId="8"/>
    <cellStyle name="Normal 3 2" xfId="13"/>
    <cellStyle name="Porcentaje" xfId="3" builtinId="5"/>
  </cellStyles>
  <dxfs count="3">
    <dxf>
      <fill>
        <patternFill>
          <bgColor theme="0"/>
        </patternFill>
      </fill>
      <border>
        <left/>
        <right style="thin">
          <color indexed="64"/>
        </right>
        <top/>
        <bottom/>
      </border>
    </dxf>
    <dxf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0"/>
        </patternFill>
      </fill>
      <border>
        <right/>
        <top/>
        <bottom/>
      </border>
    </dxf>
  </dxfs>
  <tableStyles count="0" defaultTableStyle="TableStyleMedium2" defaultPivotStyle="PivotStyleLight16"/>
  <colors>
    <mruColors>
      <color rgb="FF99FF99"/>
      <color rgb="FFFFFFCC"/>
      <color rgb="FFFF66FF"/>
      <color rgb="FF9933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1</xdr:col>
          <xdr:colOff>819150</xdr:colOff>
          <xdr:row>1</xdr:row>
          <xdr:rowOff>142875</xdr:rowOff>
        </xdr:to>
        <xdr:sp macro="" textlink="">
          <xdr:nvSpPr>
            <xdr:cNvPr id="6145" name="BTT_Inicio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66675</xdr:rowOff>
    </xdr:from>
    <xdr:to>
      <xdr:col>3</xdr:col>
      <xdr:colOff>276225</xdr:colOff>
      <xdr:row>3</xdr:row>
      <xdr:rowOff>66675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1299" b="9375"/>
        <a:stretch>
          <a:fillRect/>
        </a:stretch>
      </xdr:blipFill>
      <xdr:spPr bwMode="auto">
        <a:xfrm>
          <a:off x="342900" y="209550"/>
          <a:ext cx="14859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47625</xdr:rowOff>
        </xdr:from>
        <xdr:to>
          <xdr:col>2</xdr:col>
          <xdr:colOff>400050</xdr:colOff>
          <xdr:row>7</xdr:row>
          <xdr:rowOff>76200</xdr:rowOff>
        </xdr:to>
        <xdr:sp macro="" textlink="">
          <xdr:nvSpPr>
            <xdr:cNvPr id="12289" name="BTT_Regresar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4162426</xdr:colOff>
      <xdr:row>61</xdr:row>
      <xdr:rowOff>75410</xdr:rowOff>
    </xdr:from>
    <xdr:to>
      <xdr:col>5</xdr:col>
      <xdr:colOff>4914900</xdr:colOff>
      <xdr:row>61</xdr:row>
      <xdr:rowOff>761999</xdr:rowOff>
    </xdr:to>
    <xdr:pic>
      <xdr:nvPicPr>
        <xdr:cNvPr id="6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24851" y="6352385"/>
          <a:ext cx="752474" cy="6865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2200275</xdr:colOff>
      <xdr:row>61</xdr:row>
      <xdr:rowOff>68620</xdr:rowOff>
    </xdr:from>
    <xdr:to>
      <xdr:col>5</xdr:col>
      <xdr:colOff>3924354</xdr:colOff>
      <xdr:row>61</xdr:row>
      <xdr:rowOff>762000</xdr:rowOff>
    </xdr:to>
    <xdr:pic>
      <xdr:nvPicPr>
        <xdr:cNvPr id="7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2700" y="6345595"/>
          <a:ext cx="1724079" cy="693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</xdr:row>
          <xdr:rowOff>123825</xdr:rowOff>
        </xdr:from>
        <xdr:to>
          <xdr:col>2</xdr:col>
          <xdr:colOff>400050</xdr:colOff>
          <xdr:row>8</xdr:row>
          <xdr:rowOff>152400</xdr:rowOff>
        </xdr:to>
        <xdr:sp macro="" textlink="">
          <xdr:nvSpPr>
            <xdr:cNvPr id="12294" name="BTT_Achtung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314325</xdr:colOff>
      <xdr:row>14</xdr:row>
      <xdr:rowOff>409576</xdr:rowOff>
    </xdr:from>
    <xdr:to>
      <xdr:col>7</xdr:col>
      <xdr:colOff>1743558</xdr:colOff>
      <xdr:row>14</xdr:row>
      <xdr:rowOff>971210</xdr:rowOff>
    </xdr:to>
    <xdr:pic>
      <xdr:nvPicPr>
        <xdr:cNvPr id="8" name="Imagen 7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48925" y="3000376"/>
          <a:ext cx="1429233" cy="561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85725</xdr:colOff>
      <xdr:row>14</xdr:row>
      <xdr:rowOff>1209676</xdr:rowOff>
    </xdr:from>
    <xdr:to>
      <xdr:col>7</xdr:col>
      <xdr:colOff>2209800</xdr:colOff>
      <xdr:row>14</xdr:row>
      <xdr:rowOff>1354642</xdr:rowOff>
    </xdr:to>
    <xdr:pic>
      <xdr:nvPicPr>
        <xdr:cNvPr id="9" name="Imagen 8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20325" y="3800476"/>
          <a:ext cx="2124075" cy="1449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85726</xdr:colOff>
      <xdr:row>20</xdr:row>
      <xdr:rowOff>247651</xdr:rowOff>
    </xdr:from>
    <xdr:to>
      <xdr:col>7</xdr:col>
      <xdr:colOff>2162176</xdr:colOff>
      <xdr:row>20</xdr:row>
      <xdr:rowOff>424241</xdr:rowOff>
    </xdr:to>
    <xdr:pic>
      <xdr:nvPicPr>
        <xdr:cNvPr id="10" name="Imagen 9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20326" y="7410451"/>
          <a:ext cx="2076450" cy="1765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171451</xdr:colOff>
      <xdr:row>27</xdr:row>
      <xdr:rowOff>123825</xdr:rowOff>
    </xdr:from>
    <xdr:to>
      <xdr:col>7</xdr:col>
      <xdr:colOff>2209801</xdr:colOff>
      <xdr:row>27</xdr:row>
      <xdr:rowOff>488606</xdr:rowOff>
    </xdr:to>
    <xdr:pic>
      <xdr:nvPicPr>
        <xdr:cNvPr id="11" name="Imagen 10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1" y="9763125"/>
          <a:ext cx="2038350" cy="364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66675</xdr:rowOff>
    </xdr:from>
    <xdr:to>
      <xdr:col>1</xdr:col>
      <xdr:colOff>1514475</xdr:colOff>
      <xdr:row>3</xdr:row>
      <xdr:rowOff>66675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1299" b="9375"/>
        <a:stretch>
          <a:fillRect/>
        </a:stretch>
      </xdr:blipFill>
      <xdr:spPr bwMode="auto">
        <a:xfrm>
          <a:off x="28575" y="66675"/>
          <a:ext cx="14859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9525</xdr:rowOff>
        </xdr:from>
        <xdr:to>
          <xdr:col>2</xdr:col>
          <xdr:colOff>676275</xdr:colOff>
          <xdr:row>3</xdr:row>
          <xdr:rowOff>0</xdr:rowOff>
        </xdr:to>
        <xdr:sp macro="" textlink="">
          <xdr:nvSpPr>
            <xdr:cNvPr id="4097" name="BTT_Regres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104775</xdr:rowOff>
    </xdr:from>
    <xdr:to>
      <xdr:col>7</xdr:col>
      <xdr:colOff>76200</xdr:colOff>
      <xdr:row>2</xdr:row>
      <xdr:rowOff>47991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-1299" b="9375"/>
        <a:stretch>
          <a:fillRect/>
        </a:stretch>
      </xdr:blipFill>
      <xdr:spPr bwMode="auto">
        <a:xfrm>
          <a:off x="104775" y="104775"/>
          <a:ext cx="1800225" cy="3242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\\hlah.adroot.hsbc\MX\Retail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CURED"/>
  <dimension ref="A1"/>
  <sheetViews>
    <sheetView showGridLines="0" showRowColHeaders="0" tabSelected="1" zoomScaleNormal="100" workbookViewId="0"/>
  </sheetViews>
  <sheetFormatPr baseColWidth="10" defaultColWidth="3.7109375" defaultRowHeight="16.5" customHeight="1" x14ac:dyDescent="0.25"/>
  <sheetData/>
  <sheetProtection selectLockedCells="1" selectUnlockedCells="1"/>
  <pageMargins left="0.7" right="0.7" top="0.75" bottom="0.75" header="0.3" footer="0.3"/>
  <pageSetup orientation="portrait" r:id="rId1"/>
  <headerFooter>
    <oddFooter>&amp;C&amp;1#&amp;"Calibri"&amp;10&amp;K000000PUBLIC</oddFooter>
    <evenFooter>RESTRICTED&amp;LRESTRICTED&amp;LRESTRICTED</evenFooter>
    <firstFooter>RESTRICTED&amp;LRESTRICTED&amp;LRESTRICTED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CENTRADO"/>
  <dimension ref="A1:J5"/>
  <sheetViews>
    <sheetView zoomScaleNormal="100" workbookViewId="0">
      <pane ySplit="3" topLeftCell="A5" activePane="bottomLeft" state="frozen"/>
      <selection pane="bottomLeft" activeCell="E15" sqref="E15"/>
    </sheetView>
  </sheetViews>
  <sheetFormatPr baseColWidth="10" defaultColWidth="11.42578125" defaultRowHeight="11.25" x14ac:dyDescent="0.2"/>
  <cols>
    <col min="1" max="1" width="9.5703125" style="263" bestFit="1" customWidth="1"/>
    <col min="2" max="2" width="13" style="263" customWidth="1"/>
    <col min="3" max="3" width="10.42578125" style="263" bestFit="1" customWidth="1"/>
    <col min="4" max="4" width="7.85546875" style="263" bestFit="1" customWidth="1"/>
    <col min="5" max="5" width="24" style="252" customWidth="1"/>
    <col min="6" max="6" width="10.42578125" style="263" bestFit="1" customWidth="1"/>
    <col min="7" max="16384" width="11.42578125" style="252"/>
  </cols>
  <sheetData>
    <row r="1" spans="1:10" customFormat="1" ht="15" customHeight="1" x14ac:dyDescent="0.25">
      <c r="A1" s="263"/>
      <c r="B1" s="263"/>
      <c r="C1" s="465"/>
      <c r="D1" s="465"/>
      <c r="E1" s="465"/>
      <c r="F1" s="465"/>
      <c r="G1" s="465"/>
    </row>
    <row r="2" spans="1:10" customFormat="1" ht="15" customHeight="1" x14ac:dyDescent="0.25">
      <c r="A2" s="263"/>
      <c r="B2" s="263"/>
      <c r="C2" s="465"/>
      <c r="D2" s="465"/>
      <c r="E2" s="465"/>
      <c r="F2" s="465"/>
      <c r="G2" s="465"/>
    </row>
    <row r="3" spans="1:10" s="76" customFormat="1" ht="12.75" x14ac:dyDescent="0.2">
      <c r="A3" s="264" t="s">
        <v>312</v>
      </c>
      <c r="B3" s="264" t="s">
        <v>313</v>
      </c>
      <c r="C3" s="264" t="s">
        <v>317</v>
      </c>
      <c r="D3" s="264" t="s">
        <v>314</v>
      </c>
      <c r="E3" s="264" t="s">
        <v>315</v>
      </c>
      <c r="F3" s="264" t="s">
        <v>316</v>
      </c>
      <c r="J3" s="478"/>
    </row>
    <row r="4" spans="1:10" ht="11.25" customHeight="1" x14ac:dyDescent="0.2">
      <c r="A4" s="473"/>
      <c r="B4" s="470"/>
      <c r="C4" s="368"/>
      <c r="D4" s="471"/>
      <c r="E4" s="472"/>
      <c r="F4" s="368"/>
    </row>
    <row r="5" spans="1:10" ht="11.25" customHeight="1" x14ac:dyDescent="0.2">
      <c r="A5" s="473"/>
      <c r="B5" s="470"/>
      <c r="C5" s="368"/>
      <c r="D5" s="471"/>
      <c r="E5" s="472"/>
      <c r="F5" s="368"/>
      <c r="G5" s="477"/>
    </row>
  </sheetData>
  <pageMargins left="0.7" right="0.7" top="0.75" bottom="0.75" header="0.3" footer="0.3"/>
  <pageSetup orientation="portrait" r:id="rId1"/>
  <headerFooter>
    <oddFooter>&amp;C&amp;1#&amp;"Calibri"&amp;10&amp;K000000PUBLIC</oddFooter>
    <evenFooter>RESTRICTED&amp;LRESTRICTED&amp;LRESTRICTED</evenFooter>
    <firstFooter>RESTRICTED&amp;LRESTRICTED&amp;LRESTRICTED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BTT_Inicio">
          <controlPr defaultSize="0" autoLine="0" r:id="rId5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1</xdr:col>
                <xdr:colOff>819150</xdr:colOff>
                <xdr:row>1</xdr:row>
                <xdr:rowOff>142875</xdr:rowOff>
              </to>
            </anchor>
          </controlPr>
        </control>
      </mc:Choice>
      <mc:Fallback>
        <control shapeId="6145" r:id="rId4" name="BTT_Inici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RMULAS"/>
  <dimension ref="A1:EM1243"/>
  <sheetViews>
    <sheetView showGridLines="0" topLeftCell="A8" zoomScaleNormal="100" workbookViewId="0">
      <selection activeCell="B61" sqref="B61"/>
    </sheetView>
  </sheetViews>
  <sheetFormatPr baseColWidth="10" defaultRowHeight="15" x14ac:dyDescent="0.25"/>
  <cols>
    <col min="1" max="1" width="47.42578125" bestFit="1" customWidth="1"/>
    <col min="2" max="2" width="9.140625" customWidth="1"/>
    <col min="3" max="16" width="11.42578125" customWidth="1"/>
    <col min="17" max="21" width="11.5703125" customWidth="1"/>
    <col min="22" max="22" width="9" customWidth="1"/>
    <col min="23" max="26" width="11.42578125" customWidth="1"/>
    <col min="27" max="27" width="32.42578125" customWidth="1"/>
    <col min="28" max="28" width="18.140625" customWidth="1"/>
    <col min="29" max="29" width="19.42578125" customWidth="1"/>
    <col min="30" max="30" width="15.85546875" customWidth="1"/>
    <col min="31" max="31" width="19.42578125" customWidth="1"/>
    <col min="32" max="32" width="18.7109375" customWidth="1"/>
    <col min="33" max="33" width="35.28515625" customWidth="1"/>
    <col min="34" max="34" width="15.7109375" customWidth="1"/>
    <col min="35" max="35" width="17.85546875" customWidth="1"/>
    <col min="36" max="38" width="10.85546875" customWidth="1"/>
    <col min="39" max="39" width="8.85546875" bestFit="1" customWidth="1"/>
    <col min="40" max="40" width="41" customWidth="1"/>
    <col min="41" max="42" width="12.85546875" customWidth="1"/>
    <col min="43" max="43" width="10.85546875" customWidth="1"/>
    <col min="44" max="52" width="8.85546875" customWidth="1"/>
    <col min="53" max="53" width="45.42578125" customWidth="1"/>
    <col min="54" max="55" width="13" customWidth="1"/>
    <col min="56" max="56" width="19.5703125" customWidth="1"/>
    <col min="57" max="57" width="13" customWidth="1"/>
    <col min="58" max="58" width="25.28515625" bestFit="1" customWidth="1"/>
    <col min="59" max="60" width="13" customWidth="1"/>
    <col min="61" max="61" width="16.5703125" bestFit="1" customWidth="1"/>
    <col min="62" max="62" width="11.28515625" customWidth="1"/>
    <col min="63" max="63" width="12.140625" bestFit="1" customWidth="1"/>
    <col min="64" max="78" width="1.140625" customWidth="1"/>
    <col min="79" max="79" width="43" bestFit="1" customWidth="1"/>
    <col min="80" max="80" width="13.85546875" bestFit="1" customWidth="1"/>
    <col min="81" max="81" width="12.85546875" customWidth="1"/>
    <col min="82" max="82" width="14.42578125" customWidth="1"/>
    <col min="83" max="83" width="12.85546875" customWidth="1"/>
    <col min="84" max="84" width="25.28515625" bestFit="1" customWidth="1"/>
    <col min="85" max="85" width="12.85546875" customWidth="1"/>
    <col min="86" max="86" width="15" customWidth="1"/>
    <col min="87" max="88" width="7.42578125" customWidth="1"/>
    <col min="89" max="104" width="0.7109375" customWidth="1"/>
    <col min="105" max="105" width="43" bestFit="1" customWidth="1"/>
    <col min="106" max="109" width="12.85546875" customWidth="1"/>
    <col min="110" max="110" width="25.28515625" bestFit="1" customWidth="1"/>
    <col min="111" max="112" width="12.85546875" customWidth="1"/>
    <col min="113" max="114" width="7.140625" customWidth="1"/>
    <col min="115" max="130" width="0.85546875" customWidth="1"/>
    <col min="131" max="131" width="43" bestFit="1" customWidth="1"/>
    <col min="132" max="139" width="15.7109375" customWidth="1"/>
    <col min="141" max="141" width="25.28515625" bestFit="1" customWidth="1"/>
  </cols>
  <sheetData>
    <row r="1" spans="1:140" ht="15.75" thickBot="1" x14ac:dyDescent="0.3">
      <c r="G1" s="148">
        <v>1</v>
      </c>
      <c r="H1" t="s">
        <v>201</v>
      </c>
      <c r="I1" t="s">
        <v>203</v>
      </c>
      <c r="J1" t="s">
        <v>203</v>
      </c>
      <c r="K1" t="s">
        <v>214</v>
      </c>
      <c r="M1" t="s">
        <v>286</v>
      </c>
      <c r="N1" s="134" t="s">
        <v>249</v>
      </c>
      <c r="O1" t="s">
        <v>244</v>
      </c>
      <c r="P1" t="s">
        <v>245</v>
      </c>
      <c r="Q1" t="s">
        <v>246</v>
      </c>
      <c r="R1" t="s">
        <v>247</v>
      </c>
      <c r="S1" t="s">
        <v>248</v>
      </c>
      <c r="T1" t="s">
        <v>243</v>
      </c>
      <c r="U1" s="196" t="s">
        <v>253</v>
      </c>
      <c r="V1" t="s">
        <v>306</v>
      </c>
      <c r="W1" t="s">
        <v>310</v>
      </c>
      <c r="X1" t="s">
        <v>338</v>
      </c>
      <c r="AA1" s="196"/>
      <c r="AB1" s="150">
        <f>COUNT($AB$2:$AB$7)</f>
        <v>0</v>
      </c>
      <c r="AC1" s="196"/>
      <c r="AD1" s="196"/>
      <c r="AE1" s="196"/>
      <c r="AF1" s="196"/>
      <c r="AG1" s="196"/>
      <c r="AH1" s="196"/>
      <c r="BB1" s="150">
        <f>COUNT($BB$2:$BB$7)</f>
        <v>0</v>
      </c>
      <c r="BX1" s="196"/>
      <c r="BY1" s="196"/>
      <c r="BZ1" s="196"/>
      <c r="CA1" s="196"/>
      <c r="CB1" s="150">
        <f>COUNT($CB$2:$CB$7)</f>
        <v>0</v>
      </c>
      <c r="CC1" s="196"/>
      <c r="CD1" s="196"/>
      <c r="CE1" s="196"/>
      <c r="CF1" s="196"/>
      <c r="CG1" s="196"/>
      <c r="CH1" s="196"/>
      <c r="CI1" s="196"/>
      <c r="CJ1" s="196"/>
      <c r="CK1" s="196"/>
      <c r="CL1" s="196"/>
      <c r="CM1" s="196"/>
      <c r="CN1" s="196"/>
      <c r="CO1" s="196"/>
      <c r="CP1" s="196"/>
      <c r="CQ1" s="196"/>
      <c r="CR1" s="196"/>
      <c r="CS1" s="196"/>
      <c r="CT1" s="196"/>
      <c r="CU1" s="196"/>
      <c r="CV1" s="196"/>
      <c r="CW1" s="196"/>
      <c r="CX1" s="196"/>
      <c r="CY1" s="196"/>
      <c r="CZ1" s="196"/>
      <c r="DA1" s="196"/>
      <c r="DB1" s="150">
        <f>COUNT($DB$2:$DB$7)</f>
        <v>0</v>
      </c>
      <c r="DC1" s="196"/>
      <c r="DD1" s="196"/>
      <c r="DE1" s="196"/>
      <c r="DF1" s="196"/>
      <c r="DG1" s="196"/>
      <c r="DH1" s="196"/>
      <c r="DI1" s="196"/>
      <c r="DJ1" s="196"/>
      <c r="DK1" s="196"/>
      <c r="DL1" s="196"/>
      <c r="DM1" s="196"/>
      <c r="DN1" s="196"/>
      <c r="DO1" s="196"/>
      <c r="DP1" s="196"/>
      <c r="DQ1" s="196"/>
      <c r="DR1" s="196"/>
      <c r="DS1" s="196"/>
      <c r="DT1" s="196"/>
      <c r="EI1" t="s">
        <v>354</v>
      </c>
    </row>
    <row r="2" spans="1:140" ht="16.5" thickTop="1" thickBot="1" x14ac:dyDescent="0.3">
      <c r="A2" s="1" t="s">
        <v>0</v>
      </c>
      <c r="C2" s="1" t="s">
        <v>1</v>
      </c>
      <c r="D2" s="1" t="s">
        <v>1</v>
      </c>
      <c r="E2" s="1" t="s">
        <v>1</v>
      </c>
      <c r="G2" s="148">
        <v>2</v>
      </c>
      <c r="H2" t="s">
        <v>207</v>
      </c>
      <c r="I2" t="s">
        <v>209</v>
      </c>
      <c r="J2" t="s">
        <v>220</v>
      </c>
      <c r="K2" t="s">
        <v>215</v>
      </c>
      <c r="M2" t="s">
        <v>293</v>
      </c>
      <c r="N2" s="134" t="s">
        <v>255</v>
      </c>
      <c r="O2" t="s">
        <v>251</v>
      </c>
      <c r="P2" t="s">
        <v>14</v>
      </c>
      <c r="Q2" t="s">
        <v>252</v>
      </c>
      <c r="R2" t="s">
        <v>253</v>
      </c>
      <c r="S2" t="s">
        <v>254</v>
      </c>
      <c r="T2" t="s">
        <v>250</v>
      </c>
      <c r="U2" s="136" t="s">
        <v>259</v>
      </c>
      <c r="V2" t="s">
        <v>307</v>
      </c>
      <c r="W2" t="s">
        <v>311</v>
      </c>
      <c r="X2" t="s">
        <v>339</v>
      </c>
      <c r="AA2" s="339" t="s">
        <v>2</v>
      </c>
      <c r="AB2" s="191"/>
      <c r="AC2" s="4" t="str">
        <f>$AD$2&amp;" "&amp;$AG$23</f>
        <v xml:space="preserve"> </v>
      </c>
      <c r="AD2" s="196" t="str">
        <f>IF($AH$10&gt;=$C$3,"","Con Declaración no cubre el ingreso minimo para continuar.")</f>
        <v/>
      </c>
      <c r="AE2" s="541" t="s">
        <v>3</v>
      </c>
      <c r="AF2" s="542"/>
      <c r="AG2" s="542"/>
      <c r="AH2" s="543"/>
      <c r="BA2" s="90" t="s">
        <v>2</v>
      </c>
      <c r="BB2" s="3"/>
      <c r="BC2" s="4" t="str">
        <f>$BD$2&amp;" "&amp;$BG$23</f>
        <v xml:space="preserve"> </v>
      </c>
      <c r="BD2" t="str">
        <f>IF($BH$10&gt;=$C$6,"","Con Declaración no cubre el ingreso minimo para continuar")</f>
        <v/>
      </c>
      <c r="BE2" s="541" t="s">
        <v>4</v>
      </c>
      <c r="BF2" s="542"/>
      <c r="BG2" s="542"/>
      <c r="BH2" s="543"/>
      <c r="BX2" s="196"/>
      <c r="BY2" s="196"/>
      <c r="BZ2" s="196"/>
      <c r="CA2" s="322" t="s">
        <v>2</v>
      </c>
      <c r="CB2" s="191"/>
      <c r="CC2" s="4" t="str">
        <f>$CD$2&amp;" "&amp;$CG$23</f>
        <v xml:space="preserve"> </v>
      </c>
      <c r="CD2" s="196" t="str">
        <f>IF($CH$10&gt;=$E$3,"","Con Declaración no cubre el ingreso minimo para continuar")</f>
        <v/>
      </c>
      <c r="CE2" s="541" t="s">
        <v>5</v>
      </c>
      <c r="CF2" s="542"/>
      <c r="CG2" s="542"/>
      <c r="CH2" s="543"/>
      <c r="CI2" s="196"/>
      <c r="CJ2" s="196"/>
      <c r="CK2" s="196"/>
      <c r="CL2" s="196"/>
      <c r="CM2" s="196"/>
      <c r="CN2" s="196"/>
      <c r="CO2" s="196"/>
      <c r="CP2" s="196"/>
      <c r="CQ2" s="196"/>
      <c r="CR2" s="196"/>
      <c r="CS2" s="196"/>
      <c r="CT2" s="196"/>
      <c r="CU2" s="196"/>
      <c r="CV2" s="196"/>
      <c r="CW2" s="196"/>
      <c r="CX2" s="196"/>
      <c r="CY2" s="196"/>
      <c r="CZ2" s="196"/>
      <c r="DA2" s="322" t="s">
        <v>2</v>
      </c>
      <c r="DB2" s="191" t="str">
        <f>$DH$10</f>
        <v>0</v>
      </c>
      <c r="DC2" s="4" t="str">
        <f>$DD$2&amp;" "&amp;$DG$23</f>
        <v xml:space="preserve"> </v>
      </c>
      <c r="DD2" s="196" t="str">
        <f>IF($DH$10&gt;=$E$6,"","Con Declaración no cubre el ingreso minimo para continuar")</f>
        <v/>
      </c>
      <c r="DE2" s="541" t="s">
        <v>6</v>
      </c>
      <c r="DF2" s="542"/>
      <c r="DG2" s="542"/>
      <c r="DH2" s="543"/>
      <c r="DI2" s="196"/>
      <c r="DJ2" s="196"/>
      <c r="DK2" s="196"/>
      <c r="DL2" s="196"/>
      <c r="DM2" s="196"/>
      <c r="DN2" s="196"/>
      <c r="DO2" s="196"/>
      <c r="DP2" s="196"/>
      <c r="DQ2" s="196"/>
      <c r="DR2" s="196"/>
      <c r="DS2" s="196"/>
      <c r="DT2" s="196"/>
    </row>
    <row r="3" spans="1:140" ht="16.5" thickTop="1" thickBot="1" x14ac:dyDescent="0.3">
      <c r="A3" s="6">
        <v>0</v>
      </c>
      <c r="C3" s="6">
        <v>8500</v>
      </c>
      <c r="D3" s="6">
        <v>8500</v>
      </c>
      <c r="E3" s="6">
        <v>7000</v>
      </c>
      <c r="G3" s="148">
        <v>3</v>
      </c>
      <c r="H3" t="s">
        <v>208</v>
      </c>
      <c r="I3" t="s">
        <v>210</v>
      </c>
      <c r="J3" t="s">
        <v>204</v>
      </c>
      <c r="K3" t="s">
        <v>216</v>
      </c>
      <c r="M3" s="135" t="s">
        <v>294</v>
      </c>
      <c r="N3" s="134" t="s">
        <v>261</v>
      </c>
      <c r="O3" s="135" t="s">
        <v>257</v>
      </c>
      <c r="Q3" s="135" t="s">
        <v>258</v>
      </c>
      <c r="R3" s="136" t="s">
        <v>259</v>
      </c>
      <c r="S3" s="136" t="s">
        <v>260</v>
      </c>
      <c r="T3" s="135" t="s">
        <v>256</v>
      </c>
      <c r="U3" s="137"/>
      <c r="V3" t="s">
        <v>308</v>
      </c>
      <c r="W3" s="135"/>
      <c r="X3" s="136" t="s">
        <v>340</v>
      </c>
      <c r="AA3" s="339" t="s">
        <v>7</v>
      </c>
      <c r="AB3" s="191"/>
      <c r="AC3" s="4" t="str">
        <f>$AD$3&amp;" "&amp;$AH$106</f>
        <v xml:space="preserve"> </v>
      </c>
      <c r="AD3" s="196" t="str">
        <f>IF($AH$100&gt;=$C$3,"","Con Estado de Cuenta Depositos en Efectivo no cubre el ingreso minimo para continuar")</f>
        <v/>
      </c>
      <c r="AE3" s="196"/>
      <c r="AF3" s="196"/>
      <c r="AG3" s="140" t="str">
        <f>IF($AB$1&gt;=2,"Ingreso Total Calculado del Titular: ","Ingreso del Titular")</f>
        <v>Ingreso del Titular</v>
      </c>
      <c r="AH3" s="7">
        <f>SUM($AB$2:$AB$8)</f>
        <v>0</v>
      </c>
      <c r="AI3" s="196" t="str">
        <f>IF(OR($A$3=0,$A$3="",SUM($AB$2:$AB$7)=0),"",IF(SUM($AB$2:$AB$7)&gt;$A$3,$A$3,SUM($AB$2:$AB$7)))</f>
        <v/>
      </c>
      <c r="BA3" s="90" t="s">
        <v>7</v>
      </c>
      <c r="BB3" s="3"/>
      <c r="BC3" s="4" t="str">
        <f>$BD$3&amp;" "&amp;$BH$106</f>
        <v xml:space="preserve"> </v>
      </c>
      <c r="BD3" t="str">
        <f>IF($BH$100&gt;=$C$6,"","Con Estado de Cuenta Depositos en Efectivo no cubre el ingreso minimo para continuar")</f>
        <v/>
      </c>
      <c r="BG3" s="140" t="str">
        <f>IF($BB$1&gt;=2,"Ingreso Total Calculado del Cacreditado: ","Ingreso del Cacreditado")</f>
        <v>Ingreso del Cacreditado</v>
      </c>
      <c r="BH3" s="7">
        <f>SUM($BB$2:$BB$8)</f>
        <v>0</v>
      </c>
      <c r="BI3" s="196" t="str">
        <f>IF(OR($A$6=0,$A$6="",SUM($BB$2:$BB$7)=0),"",IF(SUM($BB$2:$BB$7)&gt;$A$6,$A$6,SUM($BB$2:$BB$7)))</f>
        <v/>
      </c>
      <c r="BX3" s="196"/>
      <c r="BY3" s="196"/>
      <c r="BZ3" s="196"/>
      <c r="CA3" s="322" t="s">
        <v>7</v>
      </c>
      <c r="CB3" s="191"/>
      <c r="CC3" s="4" t="str">
        <f>$CD$3&amp;" "&amp;$CH$106</f>
        <v xml:space="preserve"> </v>
      </c>
      <c r="CD3" s="196" t="str">
        <f>IF($CH$100&gt;=$E$3,"","Con Estado de Cuenta Depositos en Efectivo no cubre el ingreso minimo para continuar")</f>
        <v/>
      </c>
      <c r="CE3" s="196"/>
      <c r="CF3" s="196"/>
      <c r="CG3" s="147" t="str">
        <f>IF($CB$1&gt;=2,"Ingreso Total Calculado del Titular: ","Ingreso del Titular")</f>
        <v>Ingreso del Titular</v>
      </c>
      <c r="CH3" s="7" t="str">
        <f>IF(OR($A$3=0,$A$3="",SUM($CB$2:$CB$7)=0),"",IF(SUM($CB$2:$CB$7)&gt;$A$3,$A$3,SUM($CB$2:$CB$7)))</f>
        <v/>
      </c>
      <c r="CI3" s="196"/>
      <c r="CJ3" s="196"/>
      <c r="CK3" s="196"/>
      <c r="CL3" s="196"/>
      <c r="CM3" s="196"/>
      <c r="CN3" s="196"/>
      <c r="CO3" s="196"/>
      <c r="CP3" s="196"/>
      <c r="CQ3" s="196"/>
      <c r="CR3" s="196"/>
      <c r="CS3" s="196"/>
      <c r="CT3" s="196"/>
      <c r="CU3" s="196"/>
      <c r="CV3" s="196"/>
      <c r="CW3" s="196"/>
      <c r="CX3" s="196"/>
      <c r="CY3" s="196"/>
      <c r="CZ3" s="196"/>
      <c r="DA3" s="322" t="s">
        <v>7</v>
      </c>
      <c r="DB3" s="191"/>
      <c r="DC3" s="4" t="str">
        <f>$DD$3&amp;" "&amp;$DH$106</f>
        <v xml:space="preserve"> </v>
      </c>
      <c r="DD3" s="196" t="str">
        <f>IF($DH$100&gt;=$E$6,"","Con Estado de Cuenta Depositos en Efectivo no cubre el ingreso minimo para continuar")</f>
        <v/>
      </c>
      <c r="DE3" s="196"/>
      <c r="DF3" s="196"/>
      <c r="DG3" s="140" t="str">
        <f>IF($DB$1&gt;=2,"Ingreso Total Calculado del Cacreditado: ","Ingreso del Cacreditado")</f>
        <v>Ingreso del Cacreditado</v>
      </c>
      <c r="DH3" s="7" t="str">
        <f>IF(OR($A$6=0,$A$6="",SUM($DB$2:$DB$7)=0),"",IF(SUM($DB$2:$DB$7)&gt;$A$6,$A$6,SUM($DB$2:$DB$7)))</f>
        <v/>
      </c>
      <c r="DI3" s="196"/>
      <c r="DJ3" s="196"/>
      <c r="DK3" s="196"/>
      <c r="DL3" s="196"/>
      <c r="DM3" s="196"/>
      <c r="DN3" s="196"/>
      <c r="DO3" s="196"/>
      <c r="DP3" s="196"/>
      <c r="DQ3" s="196"/>
      <c r="DR3" s="196"/>
      <c r="DS3" s="196"/>
      <c r="DT3" s="196"/>
    </row>
    <row r="4" spans="1:140" ht="16.5" thickTop="1" thickBot="1" x14ac:dyDescent="0.3">
      <c r="G4" s="148">
        <v>4</v>
      </c>
      <c r="H4" t="s">
        <v>202</v>
      </c>
      <c r="J4" t="s">
        <v>211</v>
      </c>
      <c r="K4" t="s">
        <v>217</v>
      </c>
      <c r="N4" s="134" t="s">
        <v>266</v>
      </c>
      <c r="O4" s="135" t="s">
        <v>263</v>
      </c>
      <c r="P4" s="137"/>
      <c r="Q4" s="137" t="s">
        <v>264</v>
      </c>
      <c r="R4" s="137"/>
      <c r="S4" s="137" t="s">
        <v>265</v>
      </c>
      <c r="T4" s="137" t="s">
        <v>262</v>
      </c>
      <c r="U4" s="137"/>
      <c r="V4" t="s">
        <v>309</v>
      </c>
      <c r="W4" s="137"/>
      <c r="X4" s="171" t="s">
        <v>341</v>
      </c>
      <c r="AA4" s="339" t="s">
        <v>8</v>
      </c>
      <c r="AB4" s="191"/>
      <c r="AC4" s="4" t="str">
        <f>$AD$4&amp;" "&amp;$AB$217</f>
        <v xml:space="preserve">Con Declaración Persona Moral no cubre el ingreso minimo para continuar </v>
      </c>
      <c r="AD4" s="196" t="str">
        <f>IF($AH$210&gt;=$C$3,"","Con Declaración Persona Moral no cubre el ingreso minimo para continuar")</f>
        <v>Con Declaración Persona Moral no cubre el ingreso minimo para continuar</v>
      </c>
      <c r="AE4" s="196"/>
      <c r="AF4" s="196"/>
      <c r="AG4" s="8"/>
      <c r="AH4" s="196"/>
      <c r="BA4" s="90" t="s">
        <v>8</v>
      </c>
      <c r="BB4" s="3"/>
      <c r="BC4" s="4" t="str">
        <f>$BD$4&amp;" "&amp;$BB$217</f>
        <v xml:space="preserve">Con Declaración Persona Moral no cubre el ingreso minimo para continuar </v>
      </c>
      <c r="BD4" t="str">
        <f>IF($BH$210&gt;=$C$6,"","Con Declaración Persona Moral no cubre el ingreso minimo para continuar")</f>
        <v>Con Declaración Persona Moral no cubre el ingreso minimo para continuar</v>
      </c>
      <c r="BG4" s="8"/>
      <c r="BH4" s="196"/>
      <c r="BX4" s="196"/>
      <c r="BY4" s="196"/>
      <c r="BZ4" s="196"/>
      <c r="CA4" s="322" t="s">
        <v>8</v>
      </c>
      <c r="CB4" s="191"/>
      <c r="CC4" s="4" t="str">
        <f>$CD$4&amp;" "&amp;$CB$217</f>
        <v xml:space="preserve"> </v>
      </c>
      <c r="CD4" s="196" t="str">
        <f>IF($CH$210&gt;=$E$3,"","Con Declaración Persona Moral no cubre el ingreso minimo para continuar")</f>
        <v/>
      </c>
      <c r="CE4" s="196"/>
      <c r="CF4" s="196"/>
      <c r="CG4" s="8"/>
      <c r="CH4" s="196"/>
      <c r="CI4" s="196"/>
      <c r="CJ4" s="196"/>
      <c r="CK4" s="196"/>
      <c r="CL4" s="196"/>
      <c r="CM4" s="196"/>
      <c r="CN4" s="196"/>
      <c r="CO4" s="196"/>
      <c r="CP4" s="196"/>
      <c r="CQ4" s="196"/>
      <c r="CR4" s="196"/>
      <c r="CS4" s="196"/>
      <c r="CT4" s="196"/>
      <c r="CU4" s="196"/>
      <c r="CV4" s="196"/>
      <c r="CW4" s="196"/>
      <c r="CX4" s="196"/>
      <c r="CY4" s="196"/>
      <c r="CZ4" s="196"/>
      <c r="DA4" s="322" t="s">
        <v>8</v>
      </c>
      <c r="DB4" s="191"/>
      <c r="DC4" s="4" t="str">
        <f>$DD$4&amp;" "&amp;$DB$217</f>
        <v xml:space="preserve"> </v>
      </c>
      <c r="DD4" s="196" t="str">
        <f>IF($DH$210&gt;=$E$6,"","Con Declaración Persona Moral no cubre el ingreso minimo para continuar")</f>
        <v/>
      </c>
      <c r="DE4" s="196"/>
      <c r="DF4" s="196"/>
      <c r="DG4" s="8"/>
      <c r="DH4" s="196"/>
      <c r="DI4" s="196"/>
      <c r="DJ4" s="196"/>
      <c r="DK4" s="196"/>
      <c r="DL4" s="196"/>
      <c r="DM4" s="196"/>
      <c r="DN4" s="196"/>
      <c r="DO4" s="196"/>
      <c r="DP4" s="196"/>
      <c r="DQ4" s="196"/>
      <c r="DR4" s="196"/>
      <c r="DS4" s="196"/>
      <c r="DT4" s="196"/>
    </row>
    <row r="5" spans="1:140" ht="16.5" thickTop="1" thickBot="1" x14ac:dyDescent="0.3">
      <c r="A5" s="1" t="s">
        <v>353</v>
      </c>
      <c r="C5" s="1" t="s">
        <v>9</v>
      </c>
      <c r="E5" s="1" t="s">
        <v>9</v>
      </c>
      <c r="G5" s="148">
        <v>5</v>
      </c>
      <c r="J5" t="s">
        <v>212</v>
      </c>
      <c r="K5" t="s">
        <v>218</v>
      </c>
      <c r="N5" s="138" t="s">
        <v>269</v>
      </c>
      <c r="O5" s="136" t="s">
        <v>292</v>
      </c>
      <c r="Q5" s="135" t="s">
        <v>268</v>
      </c>
      <c r="T5" s="137" t="s">
        <v>267</v>
      </c>
      <c r="X5" s="136" t="s">
        <v>342</v>
      </c>
      <c r="AA5" s="339" t="s">
        <v>10</v>
      </c>
      <c r="AB5" s="191"/>
      <c r="AC5" s="4" t="str">
        <f>$AD$5&amp;" "&amp;$AG$311</f>
        <v xml:space="preserve">Con Estado de Cuenta Depositos de Nomina no cubre el ingreso minimo para continuar </v>
      </c>
      <c r="AD5" s="196" t="str">
        <f>IF($AH$310&gt;=$C$3,"","Con Estado de Cuenta Depositos de Nomina no cubre el ingreso minimo para continuar")</f>
        <v>Con Estado de Cuenta Depositos de Nomina no cubre el ingreso minimo para continuar</v>
      </c>
      <c r="AE5" s="196"/>
      <c r="AF5" s="196"/>
      <c r="AG5" s="8"/>
      <c r="AH5" s="196"/>
      <c r="BA5" s="90" t="s">
        <v>10</v>
      </c>
      <c r="BB5" s="3"/>
      <c r="BC5" s="4" t="str">
        <f>$BD$5&amp;" "&amp;$BG$311</f>
        <v xml:space="preserve">Con Estado de Cuenta Depositos de Nomina no cubre el ingreso minimo para continuar </v>
      </c>
      <c r="BD5" t="str">
        <f>IF($BH$310&gt;=$C$6,"","Con Estado de Cuenta Depositos de Nomina no cubre el ingreso minimo para continuar")</f>
        <v>Con Estado de Cuenta Depositos de Nomina no cubre el ingreso minimo para continuar</v>
      </c>
      <c r="BG5" s="8"/>
      <c r="BH5" s="196"/>
      <c r="BX5" s="196"/>
      <c r="BY5" s="196"/>
      <c r="BZ5" s="196"/>
      <c r="CA5" s="322" t="s">
        <v>10</v>
      </c>
      <c r="CB5" s="191"/>
      <c r="CC5" s="4" t="str">
        <f>$CD$5&amp;" "&amp;$CG$311</f>
        <v xml:space="preserve"> El Ingreso se esta topando en base a la cantidad capturada en solicitud</v>
      </c>
      <c r="CD5" s="196" t="str">
        <f>IF($CH$310&gt;=$E$3,"","Con Estado de Cuenta Depositos de Nomina no cubre el ingreso minimo para continuar")</f>
        <v/>
      </c>
      <c r="CE5" s="196"/>
      <c r="CF5" s="196"/>
      <c r="CG5" s="8"/>
      <c r="CH5" s="196"/>
      <c r="CI5" s="196"/>
      <c r="CJ5" s="196"/>
      <c r="CK5" s="196"/>
      <c r="CL5" s="196"/>
      <c r="CM5" s="196"/>
      <c r="CN5" s="196"/>
      <c r="CO5" s="196"/>
      <c r="CP5" s="196"/>
      <c r="CQ5" s="196"/>
      <c r="CR5" s="196"/>
      <c r="CS5" s="196"/>
      <c r="CT5" s="196"/>
      <c r="CU5" s="196"/>
      <c r="CV5" s="196"/>
      <c r="CW5" s="196"/>
      <c r="CX5" s="196"/>
      <c r="CY5" s="196"/>
      <c r="CZ5" s="196"/>
      <c r="DA5" s="322" t="s">
        <v>10</v>
      </c>
      <c r="DB5" s="191"/>
      <c r="DC5" s="4" t="str">
        <f>$DD$5&amp;" "&amp;$DG$311</f>
        <v xml:space="preserve"> El Ingreso se esta topando en base a la cantidad capturada en solicitud</v>
      </c>
      <c r="DD5" s="196" t="str">
        <f>IF($DH$310&gt;=$E$6,"","Con Estado de Cuenta Depositos de Nomina no cubre el ingreso minimo para continuar")</f>
        <v/>
      </c>
      <c r="DE5" s="196"/>
      <c r="DF5" s="196"/>
      <c r="DG5" s="8"/>
      <c r="DH5" s="196"/>
      <c r="DI5" s="196"/>
      <c r="DJ5" s="196"/>
      <c r="DK5" s="196"/>
      <c r="DL5" s="196"/>
      <c r="DM5" s="196"/>
      <c r="DN5" s="196"/>
      <c r="DO5" s="196"/>
      <c r="DP5" s="196"/>
      <c r="DQ5" s="196"/>
      <c r="DR5" s="196"/>
      <c r="DS5" s="196"/>
      <c r="DT5" s="196"/>
    </row>
    <row r="6" spans="1:140" ht="16.5" thickTop="1" thickBot="1" x14ac:dyDescent="0.3">
      <c r="A6" s="6">
        <v>0</v>
      </c>
      <c r="C6" s="6">
        <v>8000</v>
      </c>
      <c r="E6" s="6">
        <v>7000</v>
      </c>
      <c r="G6" s="148">
        <v>6</v>
      </c>
      <c r="J6" t="s">
        <v>213</v>
      </c>
      <c r="K6" t="s">
        <v>219</v>
      </c>
      <c r="N6" s="138" t="s">
        <v>271</v>
      </c>
      <c r="P6" s="135"/>
      <c r="Q6" s="136" t="s">
        <v>270</v>
      </c>
      <c r="R6" s="135"/>
      <c r="T6" s="136" t="s">
        <v>265</v>
      </c>
      <c r="U6" s="135"/>
      <c r="V6" s="135"/>
      <c r="W6" s="135"/>
      <c r="X6" s="136" t="s">
        <v>157</v>
      </c>
      <c r="AA6" s="339" t="s">
        <v>11</v>
      </c>
      <c r="AB6" s="191"/>
      <c r="AC6" s="4" t="str">
        <f>$AD$6&amp;" "&amp;$AH$404</f>
        <v xml:space="preserve"> </v>
      </c>
      <c r="AD6" s="196" t="str">
        <f>IF($AH$400&gt;=$C$3,"","Con Recibos de Nomina no cubre el ingreso minimo para continuar")</f>
        <v/>
      </c>
      <c r="AE6" s="544" t="s">
        <v>12</v>
      </c>
      <c r="AF6" s="544"/>
      <c r="AG6" s="545"/>
      <c r="AH6" s="9">
        <f>SUM($AB$2:$AB$8)</f>
        <v>0</v>
      </c>
      <c r="BA6" s="90" t="s">
        <v>11</v>
      </c>
      <c r="BB6" s="3"/>
      <c r="BC6" s="4" t="str">
        <f>$BD$6&amp;" "&amp;$BH$404</f>
        <v xml:space="preserve"> </v>
      </c>
      <c r="BD6" t="str">
        <f>IF($BH$400&gt;=$C$6,"","Con Recibos de Nomina no cubre el ingreso minimo para continuar")</f>
        <v/>
      </c>
      <c r="BE6" s="544" t="s">
        <v>13</v>
      </c>
      <c r="BF6" s="544"/>
      <c r="BG6" s="545"/>
      <c r="BH6" s="9">
        <f>SUM($BB$2:$BB$8)</f>
        <v>0</v>
      </c>
      <c r="BX6" s="196"/>
      <c r="BY6" s="196"/>
      <c r="BZ6" s="196"/>
      <c r="CA6" s="322" t="s">
        <v>11</v>
      </c>
      <c r="CB6" s="191"/>
      <c r="CC6" s="4" t="str">
        <f>$CD$6&amp;" "&amp;$CH$404</f>
        <v xml:space="preserve"> </v>
      </c>
      <c r="CD6" s="196" t="str">
        <f>IF($CH$400&gt;=$E$3,"","Con Recibos de Nomina no cubre el ingreso minimo para continuar")</f>
        <v/>
      </c>
      <c r="CE6" s="544" t="s">
        <v>12</v>
      </c>
      <c r="CF6" s="544"/>
      <c r="CG6" s="545"/>
      <c r="CH6" s="9">
        <f>SUM($CB$2:$CB$7)</f>
        <v>0</v>
      </c>
      <c r="CI6" s="196"/>
      <c r="CJ6" s="196"/>
      <c r="CK6" s="196"/>
      <c r="CL6" s="196"/>
      <c r="CM6" s="196"/>
      <c r="CN6" s="196"/>
      <c r="CO6" s="196"/>
      <c r="CP6" s="196"/>
      <c r="CQ6" s="196"/>
      <c r="CR6" s="196"/>
      <c r="CS6" s="196"/>
      <c r="CT6" s="196"/>
      <c r="CU6" s="196"/>
      <c r="CV6" s="196"/>
      <c r="CW6" s="196"/>
      <c r="CX6" s="196"/>
      <c r="CY6" s="196"/>
      <c r="CZ6" s="196"/>
      <c r="DA6" s="322" t="s">
        <v>11</v>
      </c>
      <c r="DB6" s="191"/>
      <c r="DC6" s="4" t="str">
        <f>$DD$6&amp;" "&amp;$DH$404</f>
        <v xml:space="preserve"> </v>
      </c>
      <c r="DD6" s="196" t="str">
        <f>IF($DH$400&gt;=$E$6,"","Con Recibos de Nomina no cubre el ingreso minimo para continuar")</f>
        <v/>
      </c>
      <c r="DE6" s="544" t="s">
        <v>13</v>
      </c>
      <c r="DF6" s="544"/>
      <c r="DG6" s="545"/>
      <c r="DH6" s="9">
        <f>SUM($DB$2:$DB$7)</f>
        <v>0</v>
      </c>
      <c r="DI6" s="196"/>
      <c r="DJ6" s="196"/>
      <c r="DK6" s="196"/>
      <c r="DL6" s="196"/>
      <c r="DM6" s="196"/>
      <c r="DN6" s="196"/>
      <c r="DO6" s="196"/>
      <c r="DP6" s="196"/>
      <c r="DQ6" s="196"/>
      <c r="DR6" s="196"/>
      <c r="DS6" s="196"/>
      <c r="DT6" s="196"/>
    </row>
    <row r="7" spans="1:140" ht="16.5" thickTop="1" thickBot="1" x14ac:dyDescent="0.3">
      <c r="G7" s="148">
        <v>7</v>
      </c>
      <c r="K7" t="s">
        <v>298</v>
      </c>
      <c r="N7" s="134" t="s">
        <v>273</v>
      </c>
      <c r="Q7" s="136" t="s">
        <v>206</v>
      </c>
      <c r="T7" s="136" t="s">
        <v>272</v>
      </c>
      <c r="AA7" s="339" t="s">
        <v>95</v>
      </c>
      <c r="AB7" s="191"/>
      <c r="AC7" s="4" t="str">
        <f>$AD$7&amp;" "&amp;$AG$502</f>
        <v xml:space="preserve">Con Economina Americana no cubre el ingreso minimo para continuar </v>
      </c>
      <c r="AD7" s="196" t="str">
        <f>IF($AH$500&gt;=$C$3,"","Con Economina Americana no cubre el ingreso minimo para continuar")</f>
        <v>Con Economina Americana no cubre el ingreso minimo para continuar</v>
      </c>
      <c r="AE7" s="196"/>
      <c r="AF7" s="196"/>
      <c r="AG7" s="196"/>
      <c r="AH7" s="196"/>
      <c r="BA7" s="90" t="s">
        <v>95</v>
      </c>
      <c r="BB7" s="3"/>
      <c r="BC7" s="4" t="str">
        <f>$BD$7&amp;" "&amp;$BG$502</f>
        <v xml:space="preserve">Con Economina Americana no cubre el ingreso minimo para continuar </v>
      </c>
      <c r="BD7" t="str">
        <f>IF($BH$500&gt;=$C$6,"","Con Economina Americana no cubre el ingreso minimo para continuar")</f>
        <v>Con Economina Americana no cubre el ingreso minimo para continuar</v>
      </c>
      <c r="BG7" s="8"/>
      <c r="BX7" s="196"/>
      <c r="BY7" s="196"/>
      <c r="BZ7" s="196"/>
      <c r="CA7" s="37" t="s">
        <v>95</v>
      </c>
      <c r="CB7" s="26"/>
      <c r="CC7" s="26"/>
      <c r="CD7" s="196"/>
      <c r="CE7" s="196"/>
      <c r="CF7" s="196"/>
      <c r="CG7" s="8"/>
      <c r="CH7" s="196"/>
      <c r="CI7" s="196"/>
      <c r="CJ7" s="196"/>
      <c r="CK7" s="196"/>
      <c r="CL7" s="196"/>
      <c r="CM7" s="196"/>
      <c r="CN7" s="196"/>
      <c r="CO7" s="196"/>
      <c r="CP7" s="196"/>
      <c r="CQ7" s="196"/>
      <c r="CR7" s="196"/>
      <c r="CS7" s="196"/>
      <c r="CT7" s="196"/>
      <c r="CU7" s="196"/>
      <c r="CV7" s="196"/>
      <c r="CW7" s="196"/>
      <c r="CX7" s="196"/>
      <c r="CY7" s="196"/>
      <c r="CZ7" s="196"/>
      <c r="DA7" s="37" t="s">
        <v>95</v>
      </c>
      <c r="DB7" s="26"/>
      <c r="DC7" s="26"/>
      <c r="DD7" s="196"/>
      <c r="DE7" s="196"/>
      <c r="DF7" s="196"/>
      <c r="DG7" s="8"/>
      <c r="DH7" s="196"/>
      <c r="DI7" s="196"/>
      <c r="DJ7" s="196"/>
      <c r="DK7" s="196"/>
      <c r="DL7" s="196"/>
      <c r="DM7" s="196"/>
      <c r="DN7" s="196"/>
      <c r="DO7" s="196"/>
      <c r="DP7" s="196"/>
      <c r="DQ7" s="196"/>
      <c r="DR7" s="196"/>
      <c r="DS7" s="196"/>
      <c r="DT7" s="196"/>
    </row>
    <row r="8" spans="1:140" ht="16.5" thickTop="1" thickBot="1" x14ac:dyDescent="0.3">
      <c r="A8" s="121" t="s">
        <v>730</v>
      </c>
      <c r="G8" s="148">
        <v>8</v>
      </c>
      <c r="K8" t="s">
        <v>295</v>
      </c>
      <c r="N8" s="134" t="s">
        <v>274</v>
      </c>
      <c r="O8" s="136"/>
      <c r="Q8" s="136"/>
      <c r="AA8" s="339" t="s">
        <v>476</v>
      </c>
      <c r="AB8" s="191"/>
      <c r="AC8" s="4" t="str">
        <f>$AD$8&amp;" "&amp;$AG$502</f>
        <v xml:space="preserve"> </v>
      </c>
      <c r="AD8" s="196"/>
      <c r="AE8" s="196"/>
      <c r="AF8" s="196"/>
      <c r="AG8" s="8"/>
      <c r="AH8" s="196"/>
      <c r="BA8" s="377" t="s">
        <v>476</v>
      </c>
      <c r="BB8" s="191"/>
      <c r="BC8" s="4" t="str">
        <f>$BD$8&amp;" "&amp;$BG$502</f>
        <v xml:space="preserve"> </v>
      </c>
      <c r="BG8" s="8"/>
      <c r="BX8" s="196"/>
      <c r="BY8" s="196"/>
      <c r="BZ8" s="196"/>
      <c r="CA8" s="196"/>
      <c r="CB8" s="196"/>
      <c r="CC8" s="10"/>
      <c r="CD8" s="196"/>
      <c r="CE8" s="196"/>
      <c r="CF8" s="196"/>
      <c r="CG8" s="8"/>
      <c r="CH8" s="196"/>
      <c r="CI8" s="196"/>
      <c r="CJ8" s="196"/>
      <c r="CK8" s="196"/>
      <c r="CL8" s="196"/>
      <c r="CM8" s="196"/>
      <c r="CN8" s="196"/>
      <c r="CO8" s="196"/>
      <c r="CP8" s="196"/>
      <c r="CQ8" s="196"/>
      <c r="CR8" s="196"/>
      <c r="CS8" s="196"/>
      <c r="CT8" s="196"/>
      <c r="CU8" s="196"/>
      <c r="CV8" s="196"/>
      <c r="CW8" s="196"/>
      <c r="CX8" s="196"/>
      <c r="CY8" s="196"/>
      <c r="CZ8" s="196"/>
      <c r="DA8" s="196"/>
      <c r="DB8" s="196"/>
      <c r="DC8" s="196"/>
      <c r="DD8" s="196"/>
      <c r="DE8" s="196"/>
      <c r="DF8" s="196"/>
      <c r="DG8" s="8"/>
      <c r="DH8" s="196"/>
      <c r="DI8" s="196"/>
      <c r="DJ8" s="196"/>
      <c r="DK8" s="196"/>
      <c r="DL8" s="196"/>
      <c r="DM8" s="196"/>
      <c r="DN8" s="196"/>
      <c r="DO8" s="196"/>
      <c r="DP8" s="196"/>
      <c r="DQ8" s="196"/>
      <c r="DR8" s="196"/>
      <c r="DS8" s="196"/>
      <c r="DT8" s="196"/>
    </row>
    <row r="9" spans="1:140" ht="16.5" thickTop="1" thickBot="1" x14ac:dyDescent="0.3">
      <c r="G9" s="148">
        <v>9</v>
      </c>
      <c r="N9" s="134" t="s">
        <v>277</v>
      </c>
      <c r="Q9" s="136" t="s">
        <v>276</v>
      </c>
      <c r="T9" s="136" t="s">
        <v>275</v>
      </c>
      <c r="AG9" s="8"/>
      <c r="BG9" s="8"/>
      <c r="BX9" s="196"/>
      <c r="BY9" s="196"/>
      <c r="BZ9" s="196"/>
      <c r="CA9" s="196"/>
      <c r="CB9" s="196"/>
      <c r="CC9" s="196"/>
      <c r="CD9" s="196"/>
      <c r="CE9" s="196"/>
      <c r="CF9" s="196"/>
      <c r="CG9" s="8"/>
      <c r="CH9" s="196"/>
      <c r="CI9" s="196"/>
      <c r="CJ9" s="196"/>
      <c r="CK9" s="196"/>
      <c r="CL9" s="196"/>
      <c r="CM9" s="196"/>
      <c r="CN9" s="196"/>
      <c r="CO9" s="196"/>
      <c r="CP9" s="196"/>
      <c r="CQ9" s="196"/>
      <c r="CR9" s="196"/>
      <c r="CS9" s="196"/>
      <c r="CT9" s="196"/>
      <c r="CU9" s="196"/>
      <c r="CV9" s="196"/>
      <c r="CW9" s="196"/>
      <c r="CX9" s="196"/>
      <c r="CY9" s="196"/>
      <c r="CZ9" s="196"/>
      <c r="DA9" s="196"/>
      <c r="DB9" s="196"/>
      <c r="DC9" s="196"/>
      <c r="DD9" s="196"/>
      <c r="DE9" s="196"/>
      <c r="DF9" s="196"/>
      <c r="DG9" s="8"/>
      <c r="DH9" s="196"/>
      <c r="DI9" s="196"/>
      <c r="DJ9" s="196"/>
      <c r="DK9" s="196"/>
      <c r="DL9" s="196"/>
      <c r="DM9" s="196"/>
      <c r="DN9" s="196"/>
      <c r="DO9" s="196"/>
      <c r="DP9" s="196"/>
      <c r="DQ9" s="196"/>
      <c r="DR9" s="196"/>
      <c r="DS9" s="196"/>
      <c r="DT9" s="196"/>
      <c r="EA9" s="255" t="s">
        <v>358</v>
      </c>
      <c r="EB9" s="551" t="s">
        <v>388</v>
      </c>
      <c r="EC9" s="552"/>
      <c r="ED9" s="553" t="s">
        <v>358</v>
      </c>
      <c r="EE9" s="554"/>
      <c r="EF9" s="555"/>
      <c r="EG9" s="556" t="s">
        <v>425</v>
      </c>
      <c r="EH9" s="557"/>
      <c r="EI9" s="558"/>
    </row>
    <row r="10" spans="1:140" ht="15" customHeight="1" thickTop="1" thickBot="1" x14ac:dyDescent="0.3">
      <c r="A10" s="527" t="s">
        <v>14</v>
      </c>
      <c r="B10" s="528"/>
      <c r="C10" s="529"/>
      <c r="G10" s="148">
        <v>10</v>
      </c>
      <c r="K10" t="s">
        <v>349</v>
      </c>
      <c r="N10" s="134" t="s">
        <v>279</v>
      </c>
      <c r="Q10" s="136" t="s">
        <v>278</v>
      </c>
      <c r="AA10" s="497" t="s">
        <v>134</v>
      </c>
      <c r="AB10" s="498"/>
      <c r="AC10" s="498"/>
      <c r="AD10" s="498"/>
      <c r="AE10" s="498"/>
      <c r="AF10" s="498"/>
      <c r="AG10" s="499"/>
      <c r="AH10" s="265" t="str">
        <f>IF($AF$27=0,"",$AF$24)</f>
        <v/>
      </c>
      <c r="AI10" s="221">
        <v>0</v>
      </c>
      <c r="AJ10" s="196" t="str">
        <f>IF($AF$27=0,"0",IF(OR($A$3=0,$A$3="0",$AF$24=0),"0",IF($AF$24&gt;$A$3,$A$3,$AF$24)))</f>
        <v>0</v>
      </c>
      <c r="BA10" s="497" t="s">
        <v>137</v>
      </c>
      <c r="BB10" s="498"/>
      <c r="BC10" s="498"/>
      <c r="BD10" s="498"/>
      <c r="BE10" s="498"/>
      <c r="BF10" s="498"/>
      <c r="BG10" s="550"/>
      <c r="BH10" s="487" t="str">
        <f>IF($BF$27=0,"",$BF$24)</f>
        <v/>
      </c>
      <c r="BI10" s="488">
        <v>0</v>
      </c>
      <c r="BJ10" s="489" t="str">
        <f>IF($BF$27=0,"0",IF(OR($A$6=0,$A$6="0",$BF$24=0),"0",IF($BF$24&gt;$A$6,$A$6,$BF$24)))</f>
        <v>0</v>
      </c>
      <c r="BK10" s="489"/>
      <c r="BN10" s="489"/>
      <c r="BO10" s="489"/>
      <c r="BP10" s="489"/>
      <c r="BQ10" s="489"/>
      <c r="BR10" s="489"/>
      <c r="BX10" s="196"/>
      <c r="BY10" s="196"/>
      <c r="BZ10" s="196"/>
      <c r="CA10" s="497" t="s">
        <v>130</v>
      </c>
      <c r="CB10" s="498"/>
      <c r="CC10" s="498"/>
      <c r="CD10" s="498"/>
      <c r="CE10" s="498"/>
      <c r="CF10" s="498"/>
      <c r="CG10" s="499"/>
      <c r="CH10" s="323" t="str">
        <f>IF($CF$27=0,"0",IF(OR($A$3=0,$A$3="0",$CF$24=0),"0",IF($CF$24&gt;$A$3,$A$3,$CF$24)))</f>
        <v>0</v>
      </c>
      <c r="CI10" s="221">
        <v>0</v>
      </c>
      <c r="CJ10" s="196"/>
      <c r="CK10" s="196"/>
      <c r="CL10" s="196"/>
      <c r="CM10" s="196"/>
      <c r="CN10" s="196"/>
      <c r="CO10" s="196"/>
      <c r="CP10" s="196"/>
      <c r="CQ10" s="196"/>
      <c r="CR10" s="196"/>
      <c r="CS10" s="196"/>
      <c r="CT10" s="196"/>
      <c r="CU10" s="196"/>
      <c r="CV10" s="196"/>
      <c r="CW10" s="196"/>
      <c r="CX10" s="196"/>
      <c r="CY10" s="196"/>
      <c r="CZ10" s="196"/>
      <c r="DA10" s="497" t="s">
        <v>132</v>
      </c>
      <c r="DB10" s="498"/>
      <c r="DC10" s="498"/>
      <c r="DD10" s="498"/>
      <c r="DE10" s="498"/>
      <c r="DF10" s="498"/>
      <c r="DG10" s="499"/>
      <c r="DH10" s="323" t="str">
        <f>IF($DF$27=0,"0",IF(OR($A$6=0,$A$6="0",$DF$24=0),"0",IF($DF$24&gt;$A$6,$A$6,$DF$24)))</f>
        <v>0</v>
      </c>
      <c r="DI10" s="221">
        <v>0</v>
      </c>
      <c r="DJ10" s="196"/>
      <c r="DK10" s="196"/>
      <c r="DL10" s="196"/>
      <c r="DM10" s="196"/>
      <c r="DN10" s="196"/>
      <c r="DO10" s="196"/>
      <c r="DP10" s="196"/>
      <c r="DQ10" s="196"/>
      <c r="DR10" s="196"/>
      <c r="DS10" s="196"/>
      <c r="DT10" s="196"/>
      <c r="EB10" s="232" t="s">
        <v>421</v>
      </c>
      <c r="EC10" s="106" t="s">
        <v>422</v>
      </c>
      <c r="ED10" s="235" t="s">
        <v>389</v>
      </c>
      <c r="EE10" s="230" t="s">
        <v>422</v>
      </c>
      <c r="EF10" s="236" t="s">
        <v>423</v>
      </c>
      <c r="EG10" s="240" t="s">
        <v>389</v>
      </c>
      <c r="EH10" s="231" t="s">
        <v>422</v>
      </c>
      <c r="EI10" s="241" t="s">
        <v>423</v>
      </c>
    </row>
    <row r="11" spans="1:140" ht="16.5" thickTop="1" thickBot="1" x14ac:dyDescent="0.3">
      <c r="A11" s="530" t="s">
        <v>16</v>
      </c>
      <c r="B11" s="531"/>
      <c r="C11" s="518"/>
      <c r="G11" s="148">
        <v>11</v>
      </c>
      <c r="K11" t="s">
        <v>205</v>
      </c>
      <c r="N11" s="134" t="s">
        <v>281</v>
      </c>
      <c r="Q11" s="136" t="s">
        <v>280</v>
      </c>
      <c r="AA11" s="12" t="s">
        <v>17</v>
      </c>
      <c r="AB11" s="18">
        <v>0</v>
      </c>
      <c r="AC11" s="26"/>
      <c r="AD11" s="14">
        <f>$AB$11/12</f>
        <v>0</v>
      </c>
      <c r="AE11" s="15">
        <f>$B$18</f>
        <v>0.8</v>
      </c>
      <c r="AF11" s="16">
        <f>$AE$11*100</f>
        <v>80</v>
      </c>
      <c r="AG11" s="94">
        <f>$AD$11*$AE$11</f>
        <v>0</v>
      </c>
      <c r="AH11" s="17">
        <f>($AD$11*$AE$11)</f>
        <v>0</v>
      </c>
      <c r="BA11" s="12" t="s">
        <v>17</v>
      </c>
      <c r="BB11" s="18">
        <v>0</v>
      </c>
      <c r="BC11" s="26"/>
      <c r="BD11" s="14">
        <f>$BB$11/12</f>
        <v>0</v>
      </c>
      <c r="BE11" s="15">
        <f>$B$18</f>
        <v>0.8</v>
      </c>
      <c r="BF11" s="16">
        <f>$BE$11*100</f>
        <v>80</v>
      </c>
      <c r="BG11" s="94">
        <f>$BD$11*$BE$11</f>
        <v>0</v>
      </c>
      <c r="BH11" s="17">
        <f>($BD$11*$BE$11)</f>
        <v>0</v>
      </c>
      <c r="BX11" s="196"/>
      <c r="BY11" s="196"/>
      <c r="BZ11" s="196"/>
      <c r="CA11" s="12" t="s">
        <v>17</v>
      </c>
      <c r="CB11" s="13">
        <v>0</v>
      </c>
      <c r="CC11" s="26"/>
      <c r="CD11" s="14">
        <f>$CB$11/12</f>
        <v>0</v>
      </c>
      <c r="CE11" s="15">
        <f>$B$44</f>
        <v>0.8</v>
      </c>
      <c r="CF11" s="16">
        <f>$CE$11*100</f>
        <v>80</v>
      </c>
      <c r="CG11" s="94"/>
      <c r="CH11" s="17">
        <f>$CD$11*$CE$11</f>
        <v>0</v>
      </c>
      <c r="CI11" s="196"/>
      <c r="CJ11" s="196"/>
      <c r="CK11" s="196"/>
      <c r="CL11" s="196"/>
      <c r="CM11" s="196"/>
      <c r="CN11" s="196"/>
      <c r="CO11" s="196"/>
      <c r="CP11" s="196"/>
      <c r="CQ11" s="196"/>
      <c r="CR11" s="196"/>
      <c r="CS11" s="196"/>
      <c r="CT11" s="196"/>
      <c r="CU11" s="196"/>
      <c r="CV11" s="196"/>
      <c r="CW11" s="196"/>
      <c r="CX11" s="196"/>
      <c r="CY11" s="196"/>
      <c r="CZ11" s="196"/>
      <c r="DA11" s="12" t="s">
        <v>17</v>
      </c>
      <c r="DB11" s="13">
        <v>0</v>
      </c>
      <c r="DC11" s="26"/>
      <c r="DD11" s="14">
        <f>$DB$11/12</f>
        <v>0</v>
      </c>
      <c r="DE11" s="15">
        <f>$B$44</f>
        <v>0.8</v>
      </c>
      <c r="DF11" s="16">
        <f>$DE$11*100</f>
        <v>80</v>
      </c>
      <c r="DG11" s="94"/>
      <c r="DH11" s="17">
        <f>$DD$11*$DE$11</f>
        <v>0</v>
      </c>
      <c r="DI11" s="196"/>
      <c r="DJ11" s="196"/>
      <c r="DK11" s="196"/>
      <c r="DL11" s="196"/>
      <c r="DM11" s="196"/>
      <c r="DN11" s="196"/>
      <c r="DO11" s="196"/>
      <c r="DP11" s="196"/>
      <c r="DQ11" s="196"/>
      <c r="DR11" s="196"/>
      <c r="DS11" s="196"/>
      <c r="DT11" s="196"/>
      <c r="EA11" s="190" t="s">
        <v>410</v>
      </c>
      <c r="EB11" s="244">
        <v>2000</v>
      </c>
      <c r="EC11" s="242">
        <v>80000</v>
      </c>
      <c r="ED11" s="246">
        <v>5000</v>
      </c>
      <c r="EE11" s="248">
        <v>30000</v>
      </c>
      <c r="EF11" s="237" t="s">
        <v>424</v>
      </c>
      <c r="EG11" s="246">
        <v>5000</v>
      </c>
      <c r="EH11" s="248">
        <v>80000</v>
      </c>
      <c r="EI11" s="237" t="s">
        <v>424</v>
      </c>
    </row>
    <row r="12" spans="1:140" ht="16.5" thickTop="1" thickBot="1" x14ac:dyDescent="0.3">
      <c r="A12" s="19" t="s">
        <v>18</v>
      </c>
      <c r="B12" s="532" t="s">
        <v>15</v>
      </c>
      <c r="C12" s="534" t="s">
        <v>19</v>
      </c>
      <c r="D12" s="536" t="s">
        <v>95</v>
      </c>
      <c r="G12" s="148">
        <v>12</v>
      </c>
      <c r="K12" t="s">
        <v>206</v>
      </c>
      <c r="N12" s="134" t="s">
        <v>282</v>
      </c>
      <c r="V12" s="139"/>
      <c r="AA12" s="12" t="s">
        <v>20</v>
      </c>
      <c r="AB12" s="18">
        <v>0</v>
      </c>
      <c r="AC12" s="26"/>
      <c r="AD12" s="14">
        <f>$AB$12/12</f>
        <v>0</v>
      </c>
      <c r="AE12" s="393">
        <v>0.8</v>
      </c>
      <c r="AF12" s="16">
        <f>$AE$12*100</f>
        <v>80</v>
      </c>
      <c r="AG12" s="94">
        <f>$AD$12*$AE$12</f>
        <v>0</v>
      </c>
      <c r="AH12" s="17">
        <f>($AD$12*$AE$12)</f>
        <v>0</v>
      </c>
      <c r="BA12" s="12" t="s">
        <v>20</v>
      </c>
      <c r="BB12" s="18">
        <v>0</v>
      </c>
      <c r="BC12" s="26"/>
      <c r="BD12" s="14">
        <f>$BB$12/12</f>
        <v>0</v>
      </c>
      <c r="BE12" s="393">
        <v>0.8</v>
      </c>
      <c r="BF12" s="16">
        <f>$BE$12*100</f>
        <v>80</v>
      </c>
      <c r="BG12" s="94"/>
      <c r="BH12" s="17">
        <f>($BD$12*$BE$12)</f>
        <v>0</v>
      </c>
      <c r="BX12" s="196"/>
      <c r="BY12" s="196"/>
      <c r="BZ12" s="196"/>
      <c r="CA12" s="12" t="s">
        <v>20</v>
      </c>
      <c r="CB12" s="18">
        <v>0</v>
      </c>
      <c r="CC12" s="26"/>
      <c r="CD12" s="14">
        <f>$CB$12/12</f>
        <v>0</v>
      </c>
      <c r="CE12" s="15">
        <f>$B$41</f>
        <v>0.8</v>
      </c>
      <c r="CF12" s="16">
        <f>$CE$12*100</f>
        <v>80</v>
      </c>
      <c r="CG12" s="94"/>
      <c r="CH12" s="17">
        <f>$CD$12*$CE$12</f>
        <v>0</v>
      </c>
      <c r="CI12" s="196"/>
      <c r="CJ12" s="196"/>
      <c r="CK12" s="196"/>
      <c r="CL12" s="196"/>
      <c r="CM12" s="196"/>
      <c r="CN12" s="196"/>
      <c r="CO12" s="196"/>
      <c r="CP12" s="196"/>
      <c r="CQ12" s="196"/>
      <c r="CR12" s="196"/>
      <c r="CS12" s="196"/>
      <c r="CT12" s="196"/>
      <c r="CU12" s="196"/>
      <c r="CV12" s="196"/>
      <c r="CW12" s="196"/>
      <c r="CX12" s="196"/>
      <c r="CY12" s="196"/>
      <c r="CZ12" s="196"/>
      <c r="DA12" s="12" t="s">
        <v>20</v>
      </c>
      <c r="DB12" s="18">
        <v>0</v>
      </c>
      <c r="DC12" s="26"/>
      <c r="DD12" s="14">
        <f>$DB$12/12</f>
        <v>0</v>
      </c>
      <c r="DE12" s="15">
        <f>$B$41</f>
        <v>0.8</v>
      </c>
      <c r="DF12" s="16">
        <f>$DE$12*100</f>
        <v>80</v>
      </c>
      <c r="DG12" s="94"/>
      <c r="DH12" s="17">
        <f>$DD$12*$DE$12</f>
        <v>0</v>
      </c>
      <c r="DI12" s="196"/>
      <c r="DJ12" s="196"/>
      <c r="DK12" s="196"/>
      <c r="DL12" s="196"/>
      <c r="DM12" s="196"/>
      <c r="DN12" s="196"/>
      <c r="DO12" s="196"/>
      <c r="DP12" s="196"/>
      <c r="DQ12" s="196"/>
      <c r="DR12" s="196"/>
      <c r="DS12" s="196"/>
      <c r="DT12" s="196"/>
      <c r="EA12" s="190" t="s">
        <v>253</v>
      </c>
      <c r="EB12" s="244">
        <v>35000</v>
      </c>
      <c r="EC12" s="242">
        <v>150000</v>
      </c>
      <c r="ED12" s="246">
        <v>25000</v>
      </c>
      <c r="EE12" s="248">
        <v>80000</v>
      </c>
      <c r="EF12" s="238">
        <v>50000</v>
      </c>
      <c r="EG12" s="246">
        <v>25000</v>
      </c>
      <c r="EH12" s="250">
        <v>150000</v>
      </c>
      <c r="EI12" s="233">
        <v>360000</v>
      </c>
      <c r="EJ12" s="140"/>
    </row>
    <row r="13" spans="1:140" ht="16.5" thickTop="1" thickBot="1" x14ac:dyDescent="0.3">
      <c r="A13" s="20" t="s">
        <v>21</v>
      </c>
      <c r="B13" s="533"/>
      <c r="C13" s="535"/>
      <c r="D13" s="537"/>
      <c r="G13" s="148">
        <v>13</v>
      </c>
      <c r="N13" s="134" t="s">
        <v>283</v>
      </c>
      <c r="V13" s="139"/>
      <c r="AA13" s="12" t="s">
        <v>22</v>
      </c>
      <c r="AB13" s="18">
        <v>0</v>
      </c>
      <c r="AC13" s="26"/>
      <c r="AD13" s="14">
        <f>$AB$13/12</f>
        <v>0</v>
      </c>
      <c r="AE13" s="15">
        <f>$B$19</f>
        <v>0.9</v>
      </c>
      <c r="AF13" s="16">
        <f>$AE$13*100</f>
        <v>90</v>
      </c>
      <c r="AG13" s="94">
        <f>$AD$13*$AE$13</f>
        <v>0</v>
      </c>
      <c r="AH13" s="17">
        <f>($AD$13*$AE$13)</f>
        <v>0</v>
      </c>
      <c r="BA13" s="12" t="s">
        <v>22</v>
      </c>
      <c r="BB13" s="18">
        <v>0</v>
      </c>
      <c r="BC13" s="26"/>
      <c r="BD13" s="14">
        <f>$BB$13/12</f>
        <v>0</v>
      </c>
      <c r="BE13" s="15">
        <f>$B$19</f>
        <v>0.9</v>
      </c>
      <c r="BF13" s="16">
        <f>$BE$13*100</f>
        <v>90</v>
      </c>
      <c r="BG13" s="94">
        <f>$BD$13*$BE$13</f>
        <v>0</v>
      </c>
      <c r="BH13" s="17">
        <f>($BD$13*$BE$13)</f>
        <v>0</v>
      </c>
      <c r="BX13" s="196"/>
      <c r="BY13" s="196"/>
      <c r="BZ13" s="196"/>
      <c r="CA13" s="12" t="s">
        <v>22</v>
      </c>
      <c r="CB13" s="18">
        <v>0</v>
      </c>
      <c r="CC13" s="26"/>
      <c r="CD13" s="14">
        <f>$CB$13/12</f>
        <v>0</v>
      </c>
      <c r="CE13" s="15">
        <f>$B$45</f>
        <v>0.9</v>
      </c>
      <c r="CF13" s="16">
        <f>$CE$13*100</f>
        <v>90</v>
      </c>
      <c r="CG13" s="94"/>
      <c r="CH13" s="17">
        <f>$CD$13*$CE$13</f>
        <v>0</v>
      </c>
      <c r="CI13" s="196"/>
      <c r="CJ13" s="196"/>
      <c r="CK13" s="196"/>
      <c r="CL13" s="196"/>
      <c r="CM13" s="196"/>
      <c r="CN13" s="196"/>
      <c r="CO13" s="196"/>
      <c r="CP13" s="196"/>
      <c r="CQ13" s="196"/>
      <c r="CR13" s="196"/>
      <c r="CS13" s="196"/>
      <c r="CT13" s="196"/>
      <c r="CU13" s="196"/>
      <c r="CV13" s="196"/>
      <c r="CW13" s="196"/>
      <c r="CX13" s="196"/>
      <c r="CY13" s="196"/>
      <c r="CZ13" s="196"/>
      <c r="DA13" s="12" t="s">
        <v>22</v>
      </c>
      <c r="DB13" s="18">
        <v>0</v>
      </c>
      <c r="DC13" s="26"/>
      <c r="DD13" s="14">
        <f>$DB$13/12</f>
        <v>0</v>
      </c>
      <c r="DE13" s="15">
        <f>$B$45</f>
        <v>0.9</v>
      </c>
      <c r="DF13" s="16">
        <f>$DE$13*100</f>
        <v>90</v>
      </c>
      <c r="DG13" s="94"/>
      <c r="DH13" s="17">
        <f>$DD$13*$DE$13</f>
        <v>0</v>
      </c>
      <c r="DI13" s="196"/>
      <c r="DJ13" s="196"/>
      <c r="DK13" s="196"/>
      <c r="DL13" s="196"/>
      <c r="DM13" s="196"/>
      <c r="DN13" s="196"/>
      <c r="DO13" s="196"/>
      <c r="DP13" s="196"/>
      <c r="DQ13" s="196"/>
      <c r="DR13" s="196"/>
      <c r="DS13" s="196"/>
      <c r="DT13" s="196"/>
      <c r="EA13" s="190" t="s">
        <v>259</v>
      </c>
      <c r="EB13" s="245">
        <v>56000</v>
      </c>
      <c r="EC13" s="243">
        <v>300000</v>
      </c>
      <c r="ED13" s="247">
        <v>56000</v>
      </c>
      <c r="EE13" s="249">
        <v>120000</v>
      </c>
      <c r="EF13" s="239">
        <v>80000</v>
      </c>
      <c r="EG13" s="247">
        <v>56000</v>
      </c>
      <c r="EH13" s="251">
        <v>300000</v>
      </c>
      <c r="EI13" s="234">
        <v>700000</v>
      </c>
      <c r="EJ13" s="140"/>
    </row>
    <row r="14" spans="1:140" ht="16.5" thickTop="1" thickBot="1" x14ac:dyDescent="0.3">
      <c r="A14" s="21" t="s">
        <v>23</v>
      </c>
      <c r="B14" s="169">
        <v>0.8</v>
      </c>
      <c r="C14" s="169">
        <v>0.8</v>
      </c>
      <c r="D14" s="22">
        <v>0.8</v>
      </c>
      <c r="G14" s="148">
        <v>14</v>
      </c>
      <c r="N14" s="134" t="s">
        <v>284</v>
      </c>
      <c r="AA14" s="12" t="s">
        <v>24</v>
      </c>
      <c r="AB14" s="18">
        <v>0</v>
      </c>
      <c r="AC14" s="26"/>
      <c r="AD14" s="26">
        <f>IF(OR($AB$14="",$AB$15=""),0,(IF(OR($AB$14&gt;(AVERAGE($AB$14:$AB$15))*1.3,$AB$15&gt;(AVERAGE($AB$14:$AB$15))*1.3),MIN($AB$14:$AB$15),AVERAGE($AB$14:$AB$15)))/12)</f>
        <v>0</v>
      </c>
      <c r="AE14" s="26"/>
      <c r="AF14" s="26"/>
      <c r="AG14" s="26"/>
      <c r="AH14" s="96"/>
      <c r="BA14" s="12" t="s">
        <v>24</v>
      </c>
      <c r="BB14" s="18">
        <v>0</v>
      </c>
      <c r="BC14" s="26"/>
      <c r="BD14" s="26">
        <f>IF(OR($BB$14="",$BB$15=""),0,(IF(OR($BB$14&gt;(AVERAGE($BB$14:$BB$15))*1.3,$BB$15&gt;(AVERAGE($BB$14:$BB$15))*1.3),MIN($BB$14:$BB$15),AVERAGE($BB$14:$BB$15)))/12)</f>
        <v>0</v>
      </c>
      <c r="BE14" s="26"/>
      <c r="BF14" s="26"/>
      <c r="BG14" s="26"/>
      <c r="BH14" s="96"/>
      <c r="BK14" s="454"/>
      <c r="BX14" s="196"/>
      <c r="BY14" s="196"/>
      <c r="BZ14" s="196"/>
      <c r="CA14" s="12" t="s">
        <v>24</v>
      </c>
      <c r="CB14" s="18">
        <v>0</v>
      </c>
      <c r="CC14" s="26"/>
      <c r="CD14" s="26"/>
      <c r="CE14" s="26"/>
      <c r="CF14" s="26"/>
      <c r="CG14" s="26"/>
      <c r="CH14" s="96"/>
      <c r="CI14" s="196"/>
      <c r="CJ14" s="196"/>
      <c r="CK14" s="196"/>
      <c r="CL14" s="196"/>
      <c r="CM14" s="196"/>
      <c r="CN14" s="196"/>
      <c r="CO14" s="196"/>
      <c r="CP14" s="196"/>
      <c r="CQ14" s="196"/>
      <c r="CR14" s="196"/>
      <c r="CS14" s="196"/>
      <c r="CT14" s="196"/>
      <c r="CU14" s="196"/>
      <c r="CV14" s="196"/>
      <c r="CW14" s="196"/>
      <c r="CX14" s="196"/>
      <c r="CY14" s="196"/>
      <c r="CZ14" s="196"/>
      <c r="DA14" s="12" t="s">
        <v>24</v>
      </c>
      <c r="DB14" s="18">
        <v>0</v>
      </c>
      <c r="DC14" s="26"/>
      <c r="DD14" s="26"/>
      <c r="DE14" s="26"/>
      <c r="DF14" s="26"/>
      <c r="DG14" s="26"/>
      <c r="DH14" s="96"/>
      <c r="DI14" s="196"/>
      <c r="DJ14" s="196"/>
      <c r="DK14" s="196"/>
      <c r="DL14" s="196"/>
      <c r="DM14" s="196"/>
      <c r="DN14" s="196"/>
      <c r="DO14" s="196"/>
      <c r="DP14" s="196"/>
      <c r="DQ14" s="196"/>
      <c r="DR14" s="196"/>
      <c r="DS14" s="196"/>
      <c r="DT14" s="196"/>
    </row>
    <row r="15" spans="1:140" ht="16.5" customHeight="1" thickTop="1" thickBot="1" x14ac:dyDescent="0.3">
      <c r="A15" s="21" t="s">
        <v>738</v>
      </c>
      <c r="B15" s="169">
        <v>1</v>
      </c>
      <c r="C15" s="169">
        <v>1</v>
      </c>
      <c r="D15" s="22">
        <v>1</v>
      </c>
      <c r="F15" s="70"/>
      <c r="G15" s="148">
        <v>15</v>
      </c>
      <c r="N15" s="134" t="s">
        <v>285</v>
      </c>
      <c r="AA15" s="12" t="s">
        <v>26</v>
      </c>
      <c r="AB15" s="18">
        <v>0</v>
      </c>
      <c r="AC15" s="26"/>
      <c r="AD15" s="14">
        <f>$AC$22/12</f>
        <v>0</v>
      </c>
      <c r="AE15" s="15">
        <f>$B$22</f>
        <v>0.8</v>
      </c>
      <c r="AF15" s="16">
        <f>$AE$15*100</f>
        <v>80</v>
      </c>
      <c r="AG15" s="94">
        <f>$AD$15*$AE$15</f>
        <v>0</v>
      </c>
      <c r="AH15" s="17">
        <f>($AD$15*$AE$15)</f>
        <v>0</v>
      </c>
      <c r="BA15" s="12" t="s">
        <v>26</v>
      </c>
      <c r="BB15" s="18">
        <v>0</v>
      </c>
      <c r="BC15" s="26"/>
      <c r="BD15" s="14">
        <f>$BC$22/12</f>
        <v>0</v>
      </c>
      <c r="BE15" s="15">
        <f>$B$22</f>
        <v>0.8</v>
      </c>
      <c r="BF15" s="16">
        <f>$BE$15*100</f>
        <v>80</v>
      </c>
      <c r="BG15" s="94">
        <f>$BD$15*$BE$15</f>
        <v>0</v>
      </c>
      <c r="BH15" s="17">
        <f>($BD$15*$BE$15)</f>
        <v>0</v>
      </c>
      <c r="BK15" s="454"/>
      <c r="BX15" s="196"/>
      <c r="BY15" s="196"/>
      <c r="BZ15" s="196"/>
      <c r="CA15" s="12" t="s">
        <v>26</v>
      </c>
      <c r="CB15" s="18">
        <v>0</v>
      </c>
      <c r="CC15" s="26"/>
      <c r="CD15" s="14">
        <f>IF(OR($CB$14="",$CB$15=""),0,(IF(OR($CB$14&gt;(AVERAGE($CB$14:$CB$15))*1.3,$CB$15&gt;(AVERAGE($CB$14:$CB$15))*1.3),MIN($CB$14:$CB$15),AVERAGE($CB$14:$CB$15)))/12)</f>
        <v>0</v>
      </c>
      <c r="CE15" s="15">
        <f>$B$48</f>
        <v>0.8</v>
      </c>
      <c r="CF15" s="16">
        <f>$CE$15*100</f>
        <v>80</v>
      </c>
      <c r="CG15" s="94"/>
      <c r="CH15" s="17">
        <f>$CD$15*$CE$15</f>
        <v>0</v>
      </c>
      <c r="CI15" s="196"/>
      <c r="CJ15" s="196"/>
      <c r="CK15" s="196"/>
      <c r="CL15" s="196"/>
      <c r="CM15" s="196"/>
      <c r="CN15" s="196"/>
      <c r="CO15" s="196"/>
      <c r="CP15" s="196"/>
      <c r="CQ15" s="196"/>
      <c r="CR15" s="196"/>
      <c r="CS15" s="196"/>
      <c r="CT15" s="196"/>
      <c r="CU15" s="196"/>
      <c r="CV15" s="196"/>
      <c r="CW15" s="196"/>
      <c r="CX15" s="196"/>
      <c r="CY15" s="196"/>
      <c r="CZ15" s="196"/>
      <c r="DA15" s="12" t="s">
        <v>26</v>
      </c>
      <c r="DB15" s="18">
        <v>0</v>
      </c>
      <c r="DC15" s="26"/>
      <c r="DD15" s="14">
        <f>IF(OR($DB$14="",$DB$15=""),0,(IF(OR($DB$14&gt;(AVERAGE($DB$14:$DB$15))*1.3,$DB$15&gt;(AVERAGE($DB$14:$DB$15))*1.3),MIN($DB$14:$DB$15),AVERAGE($DB$14:$DB$15)))/12)</f>
        <v>0</v>
      </c>
      <c r="DE15" s="15">
        <f>$B$48</f>
        <v>0.8</v>
      </c>
      <c r="DF15" s="16">
        <f>$DE$15*100</f>
        <v>80</v>
      </c>
      <c r="DG15" s="94"/>
      <c r="DH15" s="17">
        <f>$DD$15*$DE$15</f>
        <v>0</v>
      </c>
      <c r="DI15" s="196"/>
      <c r="DJ15" s="196"/>
      <c r="DK15" s="196"/>
      <c r="DL15" s="196"/>
      <c r="DM15" s="196"/>
      <c r="DN15" s="196"/>
      <c r="DO15" s="196"/>
      <c r="DP15" s="196"/>
      <c r="DQ15" s="196"/>
      <c r="DR15" s="196"/>
      <c r="DS15" s="196"/>
      <c r="DT15" s="196"/>
      <c r="EA15" s="196"/>
      <c r="EE15" s="196"/>
    </row>
    <row r="16" spans="1:140" ht="16.5" thickTop="1" thickBot="1" x14ac:dyDescent="0.3">
      <c r="A16" s="21" t="s">
        <v>737</v>
      </c>
      <c r="B16" s="169">
        <v>0.85</v>
      </c>
      <c r="C16" s="169">
        <v>0.85</v>
      </c>
      <c r="D16" s="22">
        <v>0.85</v>
      </c>
      <c r="G16" s="148">
        <v>16</v>
      </c>
      <c r="N16" s="134" t="s">
        <v>286</v>
      </c>
      <c r="AA16" s="98" t="s">
        <v>149</v>
      </c>
      <c r="AB16" s="18">
        <v>0</v>
      </c>
      <c r="AC16" s="26"/>
      <c r="AD16" s="14">
        <f>$AB$16/12</f>
        <v>0</v>
      </c>
      <c r="AE16" s="15">
        <f>VLOOKUP($AA$16,$A$14:$D$25,2,0)</f>
        <v>0.6</v>
      </c>
      <c r="AF16" s="16">
        <f>$AE$16*100</f>
        <v>60</v>
      </c>
      <c r="AG16" s="94">
        <f>$AD$16*$AE$16</f>
        <v>0</v>
      </c>
      <c r="AH16" s="17">
        <f>($AD$16*$AE$16)</f>
        <v>0</v>
      </c>
      <c r="AI16" s="196"/>
      <c r="BA16" s="98" t="s">
        <v>149</v>
      </c>
      <c r="BB16" s="18">
        <v>0</v>
      </c>
      <c r="BC16" s="26"/>
      <c r="BD16" s="14">
        <f>$BB$16/12</f>
        <v>0</v>
      </c>
      <c r="BE16" s="15">
        <f>VLOOKUP($BA$16,$A$14:$D$25,2,0)</f>
        <v>0.6</v>
      </c>
      <c r="BF16" s="16">
        <f>$BE$16*100</f>
        <v>60</v>
      </c>
      <c r="BG16" s="94">
        <f>$BD$16*$BE$16</f>
        <v>0</v>
      </c>
      <c r="BH16" s="17">
        <f>($BD$16*$BE$16)</f>
        <v>0</v>
      </c>
      <c r="BK16" s="454"/>
      <c r="BX16" s="196"/>
      <c r="BY16" s="196"/>
      <c r="BZ16" s="196"/>
      <c r="CA16" s="98" t="s">
        <v>149</v>
      </c>
      <c r="CB16" s="18">
        <v>0</v>
      </c>
      <c r="CC16" s="26">
        <v>0</v>
      </c>
      <c r="CD16" s="14">
        <f>$CB$16/12</f>
        <v>0</v>
      </c>
      <c r="CE16" s="15">
        <f>VLOOKUP($CA$16,$A$41:$C$51,2,0)</f>
        <v>0.6</v>
      </c>
      <c r="CF16" s="16">
        <f>$CE$16*100</f>
        <v>60</v>
      </c>
      <c r="CG16" s="94"/>
      <c r="CH16" s="17">
        <f>$CD$16*$CE$16</f>
        <v>0</v>
      </c>
      <c r="CI16" s="196"/>
      <c r="CJ16" s="196"/>
      <c r="CK16" s="196"/>
      <c r="CL16" s="196"/>
      <c r="CM16" s="196"/>
      <c r="CN16" s="196"/>
      <c r="CO16" s="196"/>
      <c r="CP16" s="196"/>
      <c r="CQ16" s="196"/>
      <c r="CR16" s="196"/>
      <c r="CS16" s="196"/>
      <c r="CT16" s="196"/>
      <c r="CU16" s="196"/>
      <c r="CV16" s="196"/>
      <c r="CW16" s="196"/>
      <c r="CX16" s="196"/>
      <c r="CY16" s="196"/>
      <c r="CZ16" s="196"/>
      <c r="DA16" s="98" t="s">
        <v>149</v>
      </c>
      <c r="DB16" s="18">
        <v>0</v>
      </c>
      <c r="DC16" s="26"/>
      <c r="DD16" s="14">
        <f>$DB$16/12</f>
        <v>0</v>
      </c>
      <c r="DE16" s="15">
        <f>VLOOKUP($DA$16,$A$41:$C$51,2,0)</f>
        <v>0.6</v>
      </c>
      <c r="DF16" s="16">
        <f>$DE$16*100</f>
        <v>60</v>
      </c>
      <c r="DG16" s="94"/>
      <c r="DH16" s="17">
        <f>$DD$16*$DE$16</f>
        <v>0</v>
      </c>
      <c r="DI16" s="196"/>
      <c r="DJ16" s="196"/>
      <c r="DK16" s="196"/>
      <c r="DL16" s="196"/>
      <c r="DM16" s="196"/>
      <c r="DN16" s="196"/>
      <c r="DO16" s="196"/>
      <c r="DP16" s="196"/>
      <c r="DQ16" s="196"/>
      <c r="DR16" s="196"/>
      <c r="DS16" s="196"/>
      <c r="DT16" s="196"/>
      <c r="EA16" s="196"/>
    </row>
    <row r="17" spans="1:137" ht="16.5" thickTop="1" thickBot="1" x14ac:dyDescent="0.3">
      <c r="A17" s="21" t="s">
        <v>149</v>
      </c>
      <c r="B17" s="198">
        <v>0.6</v>
      </c>
      <c r="C17" s="198">
        <v>0.6</v>
      </c>
      <c r="D17" s="22">
        <v>0.6</v>
      </c>
      <c r="G17" s="148">
        <v>17</v>
      </c>
      <c r="N17" s="134" t="s">
        <v>287</v>
      </c>
      <c r="AA17" s="98" t="s">
        <v>150</v>
      </c>
      <c r="AB17" s="18">
        <v>0</v>
      </c>
      <c r="AC17" s="18">
        <v>0</v>
      </c>
      <c r="AD17" s="24">
        <f>$AB$22/2</f>
        <v>0</v>
      </c>
      <c r="AE17" s="15">
        <f>VLOOKUP($AA$17,$A$14:$D$25,2,0)</f>
        <v>0.6</v>
      </c>
      <c r="AF17" s="16">
        <f>$AE$17*100</f>
        <v>60</v>
      </c>
      <c r="AG17" s="94">
        <f>$AD$17*$AE$17</f>
        <v>0</v>
      </c>
      <c r="AH17" s="17">
        <f>($AD$17*$AE$17)</f>
        <v>0</v>
      </c>
      <c r="BA17" s="98" t="s">
        <v>150</v>
      </c>
      <c r="BB17" s="18">
        <v>0</v>
      </c>
      <c r="BC17" s="18">
        <v>0</v>
      </c>
      <c r="BD17" s="24">
        <f>$BB$22/2</f>
        <v>0</v>
      </c>
      <c r="BE17" s="15">
        <f>VLOOKUP($BA$17,$A$14:$D$25,2,0)</f>
        <v>0.6</v>
      </c>
      <c r="BF17" s="16">
        <f>$BE$17*100</f>
        <v>60</v>
      </c>
      <c r="BG17" s="94">
        <f>$BD$17*$BE$17</f>
        <v>0</v>
      </c>
      <c r="BH17" s="17">
        <f>($BD$17*$BE$17)</f>
        <v>0</v>
      </c>
      <c r="BK17" s="10"/>
      <c r="BX17" s="196"/>
      <c r="BY17" s="196"/>
      <c r="BZ17" s="196"/>
      <c r="CA17" s="98" t="s">
        <v>150</v>
      </c>
      <c r="CB17" s="18">
        <v>0</v>
      </c>
      <c r="CC17" s="18">
        <v>0</v>
      </c>
      <c r="CD17" s="24">
        <f>$CB$22/2</f>
        <v>0</v>
      </c>
      <c r="CE17" s="15">
        <f>VLOOKUP($CA$17,$A$41:$C$51,2,0)</f>
        <v>0.6</v>
      </c>
      <c r="CF17" s="16">
        <f>$CE$17*100</f>
        <v>60</v>
      </c>
      <c r="CG17" s="94"/>
      <c r="CH17" s="17">
        <f>$CD$17*$CE$17</f>
        <v>0</v>
      </c>
      <c r="CI17" s="196"/>
      <c r="CJ17" s="196"/>
      <c r="CK17" s="196"/>
      <c r="CL17" s="196"/>
      <c r="CM17" s="196"/>
      <c r="CN17" s="196"/>
      <c r="CO17" s="196"/>
      <c r="CP17" s="196"/>
      <c r="CQ17" s="196"/>
      <c r="CR17" s="196"/>
      <c r="CS17" s="196"/>
      <c r="CT17" s="196"/>
      <c r="CU17" s="196"/>
      <c r="CV17" s="196"/>
      <c r="CW17" s="196"/>
      <c r="CX17" s="196"/>
      <c r="CY17" s="196"/>
      <c r="CZ17" s="196"/>
      <c r="DA17" s="98" t="s">
        <v>150</v>
      </c>
      <c r="DB17" s="18">
        <v>0</v>
      </c>
      <c r="DC17" s="18">
        <v>0</v>
      </c>
      <c r="DD17" s="24">
        <f>$DB$22/2</f>
        <v>0</v>
      </c>
      <c r="DE17" s="15">
        <f>VLOOKUP($DA$17,$A$41:$C$51,2,0)</f>
        <v>0.6</v>
      </c>
      <c r="DF17" s="16">
        <f>$DE$17*100</f>
        <v>60</v>
      </c>
      <c r="DG17" s="94"/>
      <c r="DH17" s="17">
        <f>$DD$17*$DE$17</f>
        <v>0</v>
      </c>
      <c r="DI17" s="196"/>
      <c r="DJ17" s="196"/>
      <c r="DK17" s="196"/>
      <c r="DL17" s="196"/>
      <c r="DM17" s="196"/>
      <c r="DN17" s="196"/>
      <c r="DO17" s="196"/>
      <c r="DP17" s="196"/>
      <c r="DQ17" s="196"/>
      <c r="DR17" s="196"/>
      <c r="DS17" s="196"/>
      <c r="DT17" s="196"/>
      <c r="EA17" s="196"/>
    </row>
    <row r="18" spans="1:137" ht="16.5" thickTop="1" thickBot="1" x14ac:dyDescent="0.3">
      <c r="A18" s="21" t="s">
        <v>28</v>
      </c>
      <c r="B18" s="169">
        <v>0.8</v>
      </c>
      <c r="C18" s="169">
        <v>0.8</v>
      </c>
      <c r="D18" s="22">
        <v>0</v>
      </c>
      <c r="G18" s="148">
        <v>18</v>
      </c>
      <c r="N18" s="134" t="s">
        <v>288</v>
      </c>
      <c r="P18" s="135"/>
      <c r="Q18" s="135"/>
      <c r="R18" s="135"/>
      <c r="T18" s="135"/>
      <c r="U18" s="135"/>
      <c r="V18" s="135"/>
      <c r="W18" s="135"/>
      <c r="AA18" s="25" t="s">
        <v>31</v>
      </c>
      <c r="AB18" s="26">
        <f>AVERAGE($AB$17:$AC$17)</f>
        <v>0</v>
      </c>
      <c r="AC18" s="26">
        <f>AVERAGE($AB$14:$AB$15)</f>
        <v>0</v>
      </c>
      <c r="AD18" s="26"/>
      <c r="AE18" s="26"/>
      <c r="AF18" s="26"/>
      <c r="AG18" s="26"/>
      <c r="AH18" s="97"/>
      <c r="BA18" s="25" t="s">
        <v>31</v>
      </c>
      <c r="BB18" s="26">
        <f>AVERAGE($BB$17:$BC$17)</f>
        <v>0</v>
      </c>
      <c r="BC18" s="26">
        <f>AVERAGE($BB$14:$BB$15)</f>
        <v>0</v>
      </c>
      <c r="BD18" s="26"/>
      <c r="BE18" s="26"/>
      <c r="BF18" s="26"/>
      <c r="BG18" s="26"/>
      <c r="BH18" s="97"/>
      <c r="BX18" s="196"/>
      <c r="BY18" s="196"/>
      <c r="BZ18" s="196"/>
      <c r="CA18" s="25" t="s">
        <v>31</v>
      </c>
      <c r="CB18" s="26">
        <f>AVERAGE($CB$17:$CC$17)</f>
        <v>0</v>
      </c>
      <c r="CC18" s="26"/>
      <c r="CD18" s="26"/>
      <c r="CE18" s="26"/>
      <c r="CF18" s="26"/>
      <c r="CG18" s="26"/>
      <c r="CH18" s="97"/>
      <c r="CI18" s="196"/>
      <c r="CJ18" s="196"/>
      <c r="CK18" s="196"/>
      <c r="CL18" s="196"/>
      <c r="CM18" s="196"/>
      <c r="CN18" s="196"/>
      <c r="CO18" s="196"/>
      <c r="CP18" s="196"/>
      <c r="CQ18" s="196"/>
      <c r="CR18" s="196"/>
      <c r="CS18" s="196"/>
      <c r="CT18" s="196"/>
      <c r="CU18" s="196"/>
      <c r="CV18" s="196"/>
      <c r="CW18" s="196"/>
      <c r="CX18" s="196"/>
      <c r="CY18" s="196"/>
      <c r="CZ18" s="196"/>
      <c r="DA18" s="25" t="s">
        <v>31</v>
      </c>
      <c r="DB18" s="26">
        <f>AVERAGE($DB$17:$DC$17)</f>
        <v>0</v>
      </c>
      <c r="DC18" s="26"/>
      <c r="DD18" s="26"/>
      <c r="DE18" s="26"/>
      <c r="DF18" s="26"/>
      <c r="DG18" s="26"/>
      <c r="DH18" s="97"/>
      <c r="DI18" s="196"/>
      <c r="DJ18" s="196"/>
      <c r="DK18" s="196"/>
      <c r="DL18" s="196"/>
      <c r="DM18" s="196"/>
      <c r="DN18" s="196"/>
      <c r="DO18" s="196"/>
      <c r="DP18" s="196"/>
      <c r="DQ18" s="196"/>
      <c r="DR18" s="196"/>
      <c r="DS18" s="196"/>
      <c r="DT18" s="196"/>
      <c r="EA18" s="196"/>
    </row>
    <row r="19" spans="1:137" ht="16.5" thickTop="1" thickBot="1" x14ac:dyDescent="0.3">
      <c r="A19" s="21" t="s">
        <v>30</v>
      </c>
      <c r="B19" s="169">
        <v>0.9</v>
      </c>
      <c r="C19" s="169">
        <v>0.9</v>
      </c>
      <c r="D19" s="22">
        <v>0</v>
      </c>
      <c r="G19" s="148">
        <v>19</v>
      </c>
      <c r="N19" s="134" t="s">
        <v>289</v>
      </c>
      <c r="O19" s="135"/>
      <c r="S19" s="135"/>
      <c r="AA19" s="277">
        <f>$B$27</f>
        <v>0.3</v>
      </c>
      <c r="AB19" s="26">
        <f>($AB$18*$AA$19)+$AB$18</f>
        <v>0</v>
      </c>
      <c r="AC19" s="26">
        <f>($AC$18*$AA$19)+$AC$18</f>
        <v>0</v>
      </c>
      <c r="AD19" s="26"/>
      <c r="AE19" s="26"/>
      <c r="AF19" s="26"/>
      <c r="AG19" s="26"/>
      <c r="AH19" s="36"/>
      <c r="BA19" s="27">
        <f>$B$27</f>
        <v>0.3</v>
      </c>
      <c r="BB19" s="26">
        <f>($BB$18*$BA$19)+$BB$18</f>
        <v>0</v>
      </c>
      <c r="BC19" s="26">
        <f>($BC$18*$BA$19)+$BC$18</f>
        <v>0</v>
      </c>
      <c r="BD19" s="26"/>
      <c r="BE19" s="26"/>
      <c r="BF19" s="26"/>
      <c r="BG19" s="26"/>
      <c r="BH19" s="36"/>
      <c r="BK19" s="454"/>
      <c r="BX19" s="196"/>
      <c r="BY19" s="196"/>
      <c r="BZ19" s="196"/>
      <c r="CA19" s="27">
        <f>$B$27</f>
        <v>0.3</v>
      </c>
      <c r="CB19" s="26">
        <f>($CB$18*$CA$19)+$CB$18</f>
        <v>0</v>
      </c>
      <c r="CC19" s="26"/>
      <c r="CD19" s="26"/>
      <c r="CE19" s="26"/>
      <c r="CF19" s="26"/>
      <c r="CG19" s="26"/>
      <c r="CH19" s="36"/>
      <c r="CI19" s="196"/>
      <c r="CJ19" s="196"/>
      <c r="CK19" s="196"/>
      <c r="CL19" s="196"/>
      <c r="CM19" s="196"/>
      <c r="CN19" s="196"/>
      <c r="CO19" s="196"/>
      <c r="CP19" s="196"/>
      <c r="CQ19" s="196"/>
      <c r="CR19" s="196"/>
      <c r="CS19" s="196"/>
      <c r="CT19" s="196"/>
      <c r="CU19" s="196"/>
      <c r="CV19" s="196"/>
      <c r="CW19" s="196"/>
      <c r="CX19" s="196"/>
      <c r="CY19" s="196"/>
      <c r="CZ19" s="196"/>
      <c r="DA19" s="27">
        <f>$B$27</f>
        <v>0.3</v>
      </c>
      <c r="DB19" s="26">
        <f>($DB$18*$DA$19)+$DB$18</f>
        <v>0</v>
      </c>
      <c r="DC19" s="26"/>
      <c r="DD19" s="26"/>
      <c r="DE19" s="26"/>
      <c r="DF19" s="26"/>
      <c r="DG19" s="26"/>
      <c r="DH19" s="36"/>
      <c r="DI19" s="196"/>
      <c r="DJ19" s="196"/>
      <c r="DK19" s="196"/>
      <c r="DL19" s="196"/>
      <c r="DM19" s="196"/>
      <c r="DN19" s="196"/>
      <c r="DO19" s="196"/>
      <c r="DP19" s="196"/>
      <c r="DQ19" s="196"/>
      <c r="DR19" s="196"/>
      <c r="DS19" s="196"/>
      <c r="DT19" s="196"/>
      <c r="EA19" s="196"/>
    </row>
    <row r="20" spans="1:137" ht="16.5" thickTop="1" thickBot="1" x14ac:dyDescent="0.3">
      <c r="A20" s="21" t="s">
        <v>29</v>
      </c>
      <c r="B20" s="198">
        <v>0.6</v>
      </c>
      <c r="C20" s="198">
        <v>0.6</v>
      </c>
      <c r="D20" s="22">
        <v>0</v>
      </c>
      <c r="G20" s="148">
        <v>20</v>
      </c>
      <c r="N20" s="134" t="s">
        <v>290</v>
      </c>
      <c r="AA20" s="25" t="s">
        <v>32</v>
      </c>
      <c r="AB20" s="26">
        <f>IF($AB$17&lt;$AB$19,$AB$17,$AB$19)</f>
        <v>0</v>
      </c>
      <c r="AC20" s="278">
        <f>IF($AB$14&lt;$AC$19,$AB$14,$AC$19)</f>
        <v>0</v>
      </c>
      <c r="AD20" s="218" t="s">
        <v>434</v>
      </c>
      <c r="AE20" s="26"/>
      <c r="AF20" s="26"/>
      <c r="AG20" s="26"/>
      <c r="AH20" s="36"/>
      <c r="BA20" s="25" t="s">
        <v>32</v>
      </c>
      <c r="BB20" s="26">
        <f>IF($BB$17&lt;$BB$19,$BB$17,$BB$19)</f>
        <v>0</v>
      </c>
      <c r="BC20" s="278">
        <f>IF($BB$14&lt;$BC$19,$BB$14,$BC$19)</f>
        <v>0</v>
      </c>
      <c r="BD20" s="218" t="s">
        <v>434</v>
      </c>
      <c r="BE20" s="26"/>
      <c r="BF20" s="26"/>
      <c r="BG20" s="26"/>
      <c r="BH20" s="36"/>
      <c r="BK20" s="454"/>
      <c r="BX20" s="196"/>
      <c r="BY20" s="196"/>
      <c r="BZ20" s="196"/>
      <c r="CA20" s="25" t="s">
        <v>32</v>
      </c>
      <c r="CB20" s="26" t="str">
        <f>IF($CB$17&lt;$CB$19,$CB$17,"")</f>
        <v/>
      </c>
      <c r="CC20" s="26"/>
      <c r="CD20" s="26"/>
      <c r="CE20" s="26"/>
      <c r="CF20" s="26"/>
      <c r="CG20" s="26"/>
      <c r="CH20" s="36"/>
      <c r="CI20" s="196"/>
      <c r="CJ20" s="196"/>
      <c r="CK20" s="196"/>
      <c r="CL20" s="196"/>
      <c r="CM20" s="196"/>
      <c r="CN20" s="196"/>
      <c r="CO20" s="196"/>
      <c r="CP20" s="196"/>
      <c r="CQ20" s="196"/>
      <c r="CR20" s="196"/>
      <c r="CS20" s="196"/>
      <c r="CT20" s="196"/>
      <c r="CU20" s="196"/>
      <c r="CV20" s="196"/>
      <c r="CW20" s="196"/>
      <c r="CX20" s="196"/>
      <c r="CY20" s="196"/>
      <c r="CZ20" s="196"/>
      <c r="DA20" s="25" t="s">
        <v>32</v>
      </c>
      <c r="DB20" s="26" t="str">
        <f>IF($DB$17&lt;$DB$19,$DB$17,"")</f>
        <v/>
      </c>
      <c r="DC20" s="26"/>
      <c r="DD20" s="26"/>
      <c r="DE20" s="26"/>
      <c r="DF20" s="26"/>
      <c r="DG20" s="26"/>
      <c r="DH20" s="36"/>
      <c r="DI20" s="196"/>
      <c r="DJ20" s="196"/>
      <c r="DK20" s="196"/>
      <c r="DL20" s="196"/>
      <c r="DM20" s="196"/>
      <c r="DN20" s="196"/>
      <c r="DO20" s="196"/>
      <c r="DP20" s="196"/>
      <c r="DQ20" s="196"/>
      <c r="DR20" s="196"/>
      <c r="DS20" s="196"/>
      <c r="DT20" s="196"/>
      <c r="EA20" s="196"/>
    </row>
    <row r="21" spans="1:137" ht="16.5" thickTop="1" thickBot="1" x14ac:dyDescent="0.3">
      <c r="A21" s="21" t="s">
        <v>150</v>
      </c>
      <c r="B21" s="198">
        <v>0.6</v>
      </c>
      <c r="C21" s="198">
        <v>0.6</v>
      </c>
      <c r="D21" s="22">
        <v>0</v>
      </c>
      <c r="G21" s="148">
        <v>21</v>
      </c>
      <c r="N21" s="134" t="s">
        <v>291</v>
      </c>
      <c r="AA21" s="25" t="s">
        <v>34</v>
      </c>
      <c r="AB21" s="26">
        <f>IF($AC$17&lt;$AB$19,$AC$17,$AB$19)</f>
        <v>0</v>
      </c>
      <c r="AC21" s="278">
        <f>IF($AB$15&lt;$AC$19,$AB$15,$AC$19)</f>
        <v>0</v>
      </c>
      <c r="AD21" s="218" t="s">
        <v>435</v>
      </c>
      <c r="AE21" s="26"/>
      <c r="AF21" s="26"/>
      <c r="AG21" s="26"/>
      <c r="AH21" s="95"/>
      <c r="BA21" s="25" t="s">
        <v>34</v>
      </c>
      <c r="BB21" s="26">
        <f>IF($BC$17&lt;$BB$19,$BC$17,$BB$19)</f>
        <v>0</v>
      </c>
      <c r="BC21" s="278">
        <f>IF($BB$15&lt;$BC$19,$BB$15,$BC$19)</f>
        <v>0</v>
      </c>
      <c r="BD21" s="218" t="s">
        <v>435</v>
      </c>
      <c r="BE21" s="26"/>
      <c r="BF21" s="26"/>
      <c r="BG21" s="26"/>
      <c r="BH21" s="95"/>
      <c r="BK21" s="486"/>
      <c r="BX21" s="196"/>
      <c r="BY21" s="196"/>
      <c r="BZ21" s="196"/>
      <c r="CA21" s="25" t="s">
        <v>34</v>
      </c>
      <c r="CB21" s="26" t="str">
        <f>IF($CC$17&lt;$CB$19,$CC$17,"")</f>
        <v/>
      </c>
      <c r="CC21" s="26"/>
      <c r="CD21" s="26"/>
      <c r="CE21" s="26"/>
      <c r="CF21" s="26"/>
      <c r="CG21" s="26"/>
      <c r="CH21" s="95"/>
      <c r="CI21" s="196"/>
      <c r="CJ21" s="196"/>
      <c r="CK21" s="196"/>
      <c r="CL21" s="196"/>
      <c r="CM21" s="196"/>
      <c r="CN21" s="196"/>
      <c r="CO21" s="196"/>
      <c r="CP21" s="196"/>
      <c r="CQ21" s="196"/>
      <c r="CR21" s="196"/>
      <c r="CS21" s="196"/>
      <c r="CT21" s="196"/>
      <c r="CU21" s="196"/>
      <c r="CV21" s="196"/>
      <c r="CW21" s="196"/>
      <c r="CX21" s="196"/>
      <c r="CY21" s="196"/>
      <c r="CZ21" s="196"/>
      <c r="DA21" s="25" t="s">
        <v>34</v>
      </c>
      <c r="DB21" s="26" t="str">
        <f>IF($DC$17&lt;$DB$19,$DC$17,"")</f>
        <v/>
      </c>
      <c r="DC21" s="26"/>
      <c r="DD21" s="26"/>
      <c r="DE21" s="26"/>
      <c r="DF21" s="26"/>
      <c r="DG21" s="26"/>
      <c r="DH21" s="95"/>
      <c r="DI21" s="196"/>
      <c r="DJ21" s="196"/>
      <c r="DK21" s="196"/>
      <c r="DL21" s="196"/>
      <c r="DM21" s="196"/>
      <c r="DN21" s="196"/>
      <c r="DO21" s="196"/>
      <c r="DP21" s="196"/>
      <c r="DQ21" s="196"/>
      <c r="DR21" s="196"/>
      <c r="DS21" s="196"/>
      <c r="DT21" s="196"/>
      <c r="EA21" s="196"/>
    </row>
    <row r="22" spans="1:137" ht="16.5" thickTop="1" thickBot="1" x14ac:dyDescent="0.3">
      <c r="A22" s="21" t="s">
        <v>33</v>
      </c>
      <c r="B22" s="169">
        <v>0.8</v>
      </c>
      <c r="C22" s="169">
        <v>0.8</v>
      </c>
      <c r="G22" s="148">
        <v>22</v>
      </c>
      <c r="AA22" s="30" t="s">
        <v>35</v>
      </c>
      <c r="AB22" s="31">
        <f>IF($AB$20&amp;$AB$21="","0",AVERAGE($AB$20:$AB$21))</f>
        <v>0</v>
      </c>
      <c r="AC22" s="31">
        <f>IF($AC$20&amp;$AC$21="","0",AVERAGE($AC$20:$AC$21))</f>
        <v>0</v>
      </c>
      <c r="AD22" s="31"/>
      <c r="AE22" s="31"/>
      <c r="AF22" s="500" t="s">
        <v>15</v>
      </c>
      <c r="AG22" s="546"/>
      <c r="AH22" s="5">
        <f>SUM($AH$11:$AH$17)</f>
        <v>0</v>
      </c>
      <c r="BA22" s="30" t="s">
        <v>35</v>
      </c>
      <c r="BB22" s="31">
        <f>IF($BB$20&amp;$BB$21="","0",AVERAGE($BB$20:$BB$21))</f>
        <v>0</v>
      </c>
      <c r="BC22" s="31">
        <f>IF($BC$20&amp;$BC$21="","0",AVERAGE($BC$20:$BC$21))</f>
        <v>0</v>
      </c>
      <c r="BD22" s="31"/>
      <c r="BE22" s="31"/>
      <c r="BF22" s="500" t="s">
        <v>15</v>
      </c>
      <c r="BG22" s="546"/>
      <c r="BH22" s="5">
        <f>SUM($BH$11:$BH$17)</f>
        <v>0</v>
      </c>
      <c r="BX22" s="196"/>
      <c r="BY22" s="196"/>
      <c r="BZ22" s="196"/>
      <c r="CA22" s="30" t="s">
        <v>35</v>
      </c>
      <c r="CB22" s="31" t="str">
        <f>IF($CB$20&amp;$CB$21="","0",AVERAGE($CB$20:$CB$21))</f>
        <v>0</v>
      </c>
      <c r="CC22" s="31"/>
      <c r="CD22" s="31"/>
      <c r="CE22" s="31"/>
      <c r="CF22" s="500" t="s">
        <v>15</v>
      </c>
      <c r="CG22" s="546"/>
      <c r="CH22" s="5">
        <f>SUM($CH$11:$CH$17)</f>
        <v>0</v>
      </c>
      <c r="CI22" s="196"/>
      <c r="CJ22" s="196"/>
      <c r="CK22" s="196"/>
      <c r="CL22" s="196"/>
      <c r="CM22" s="196"/>
      <c r="CN22" s="196"/>
      <c r="CO22" s="196"/>
      <c r="CP22" s="196"/>
      <c r="CQ22" s="196"/>
      <c r="CR22" s="196"/>
      <c r="CS22" s="196"/>
      <c r="CT22" s="196"/>
      <c r="CU22" s="196"/>
      <c r="CV22" s="196"/>
      <c r="CW22" s="196"/>
      <c r="CX22" s="196"/>
      <c r="CY22" s="196"/>
      <c r="CZ22" s="196"/>
      <c r="DA22" s="30" t="s">
        <v>35</v>
      </c>
      <c r="DB22" s="31" t="str">
        <f>IF($DB$20&amp;$DB$21="","0",AVERAGE($DB$20:$DB$21))</f>
        <v>0</v>
      </c>
      <c r="DC22" s="31"/>
      <c r="DD22" s="31"/>
      <c r="DE22" s="31"/>
      <c r="DF22" s="500" t="s">
        <v>15</v>
      </c>
      <c r="DG22" s="546"/>
      <c r="DH22" s="5">
        <f>SUM($DH$11:$DH$17)</f>
        <v>0</v>
      </c>
      <c r="DI22" s="196"/>
      <c r="DJ22" s="196"/>
      <c r="DK22" s="196"/>
      <c r="DL22" s="196"/>
      <c r="DM22" s="196"/>
      <c r="DN22" s="196"/>
      <c r="DO22" s="196"/>
      <c r="DP22" s="196"/>
      <c r="DQ22" s="196"/>
      <c r="DR22" s="196"/>
      <c r="DS22" s="196"/>
      <c r="DT22" s="196"/>
      <c r="EA22" s="196"/>
    </row>
    <row r="23" spans="1:137" ht="16.5" customHeight="1" thickBot="1" x14ac:dyDescent="0.3">
      <c r="A23" s="28" t="s">
        <v>27</v>
      </c>
      <c r="B23" s="29">
        <v>0</v>
      </c>
      <c r="C23" s="29">
        <v>0</v>
      </c>
      <c r="G23" s="148">
        <v>23</v>
      </c>
      <c r="AG23" s="149" t="str">
        <f>IF($AH$22&lt;=$AH$10,"","")</f>
        <v/>
      </c>
      <c r="BG23" s="149" t="str">
        <f>IF($BF$24&lt;=$BH$10,"","")</f>
        <v/>
      </c>
      <c r="BX23" s="196"/>
      <c r="BY23" s="196"/>
      <c r="BZ23" s="196"/>
      <c r="CA23" s="196"/>
      <c r="CB23" s="196"/>
      <c r="CC23" s="196"/>
      <c r="CD23" s="196"/>
      <c r="CE23" s="196"/>
      <c r="CF23" s="196"/>
      <c r="CG23" s="149" t="str">
        <f>IF($CF$24&lt;=$CH$10,"","El Ingreso se esta topando en base a la cantidad capturada en solicitud")</f>
        <v/>
      </c>
      <c r="CH23" s="196"/>
      <c r="CI23" s="196"/>
      <c r="CJ23" s="196"/>
      <c r="CK23" s="196"/>
      <c r="CL23" s="196"/>
      <c r="CM23" s="196"/>
      <c r="CN23" s="196"/>
      <c r="CO23" s="196"/>
      <c r="CP23" s="196"/>
      <c r="CQ23" s="196"/>
      <c r="CR23" s="196"/>
      <c r="CS23" s="196"/>
      <c r="CT23" s="196"/>
      <c r="CU23" s="196"/>
      <c r="CV23" s="196"/>
      <c r="CW23" s="196"/>
      <c r="CX23" s="196"/>
      <c r="CY23" s="196"/>
      <c r="CZ23" s="196"/>
      <c r="DA23" s="196"/>
      <c r="DB23" s="196"/>
      <c r="DC23" s="196"/>
      <c r="DD23" s="196"/>
      <c r="DE23" s="196"/>
      <c r="DF23" s="196"/>
      <c r="DG23" s="149" t="str">
        <f>IF($DF$24&lt;=$DH$10,"","El Ingreso se esta topando en base a la cantidad capturada en solicitud")</f>
        <v/>
      </c>
      <c r="DH23" s="196"/>
      <c r="DI23" s="196"/>
      <c r="DJ23" s="196"/>
      <c r="DK23" s="196"/>
      <c r="DL23" s="196"/>
      <c r="DM23" s="196"/>
      <c r="DN23" s="196"/>
      <c r="DO23" s="196"/>
      <c r="DP23" s="196"/>
      <c r="DQ23" s="196"/>
      <c r="DR23" s="196"/>
      <c r="DS23" s="196"/>
      <c r="DT23" s="196"/>
    </row>
    <row r="24" spans="1:137" ht="16.5" customHeight="1" thickTop="1" thickBot="1" x14ac:dyDescent="0.3">
      <c r="A24" s="28" t="s">
        <v>36</v>
      </c>
      <c r="B24" s="29">
        <v>0.2</v>
      </c>
      <c r="C24" s="29"/>
      <c r="E24" s="71"/>
      <c r="F24" s="72"/>
      <c r="G24" s="148">
        <v>24</v>
      </c>
      <c r="AA24" s="200" t="s">
        <v>395</v>
      </c>
      <c r="AB24" s="5">
        <f>$AF$24*0.7</f>
        <v>0</v>
      </c>
      <c r="AC24" s="202" t="s">
        <v>65</v>
      </c>
      <c r="AD24" s="201" t="s">
        <v>67</v>
      </c>
      <c r="AE24" s="11" t="s">
        <v>69</v>
      </c>
      <c r="AF24" s="223">
        <f>SUM($AH$11:$AH$17)</f>
        <v>0</v>
      </c>
      <c r="AG24" s="10" t="str">
        <f>IF(OR($A$3=0,$A$3="0",SUM($AH$11:$AH$17)=0),"0",IF(SUM($AH$11:$AH$17)&gt;$A$3,$A$3,SUM($AH$11:$AH$17)))</f>
        <v>0</v>
      </c>
      <c r="BA24" s="200" t="s">
        <v>395</v>
      </c>
      <c r="BB24" s="5">
        <f>$BF$24*0.7</f>
        <v>0</v>
      </c>
      <c r="BC24" s="202" t="s">
        <v>65</v>
      </c>
      <c r="BD24" s="201" t="s">
        <v>67</v>
      </c>
      <c r="BE24" s="11" t="s">
        <v>69</v>
      </c>
      <c r="BF24" s="223">
        <f>SUM($BH$11:$BH$17)</f>
        <v>0</v>
      </c>
      <c r="BG24" s="196" t="str">
        <f>IF(OR($A$6=0,$A$6="0",SUM($BH$11:$BH$17)=0),"0",IF(SUM($BH$11:$BH$17)&gt;$A$6,$A$6,SUM($BH$11:$BH$17)))</f>
        <v>0</v>
      </c>
      <c r="BX24" s="196"/>
      <c r="BY24" s="196"/>
      <c r="BZ24" s="196"/>
      <c r="CA24" s="200" t="s">
        <v>395</v>
      </c>
      <c r="CB24" s="5">
        <f>$CF$24*0.7</f>
        <v>0</v>
      </c>
      <c r="CC24" s="321" t="s">
        <v>65</v>
      </c>
      <c r="CD24" s="320" t="s">
        <v>67</v>
      </c>
      <c r="CE24" s="323" t="s">
        <v>69</v>
      </c>
      <c r="CF24" s="223" t="str">
        <f>IF(OR($A$3=0,$A$3="0",SUM($CH$11:$CH$17)=0),"0",IF(SUM($CH$11:$CH$17)&gt;$A$3,$A$3,SUM($CH$11:$CH$17)))</f>
        <v>0</v>
      </c>
      <c r="CG24" s="196"/>
      <c r="CH24" s="196"/>
      <c r="CI24" s="196"/>
      <c r="CJ24" s="196"/>
      <c r="CK24" s="196"/>
      <c r="CL24" s="196"/>
      <c r="CM24" s="196"/>
      <c r="CN24" s="196"/>
      <c r="CO24" s="196"/>
      <c r="CP24" s="196"/>
      <c r="CQ24" s="196"/>
      <c r="CR24" s="196"/>
      <c r="CS24" s="196"/>
      <c r="CT24" s="196"/>
      <c r="CU24" s="196"/>
      <c r="CV24" s="196"/>
      <c r="CW24" s="196"/>
      <c r="CX24" s="196"/>
      <c r="CY24" s="196"/>
      <c r="CZ24" s="196"/>
      <c r="DA24" s="200" t="s">
        <v>395</v>
      </c>
      <c r="DB24" s="5">
        <f>$DF$24*0.7</f>
        <v>0</v>
      </c>
      <c r="DC24" s="321" t="s">
        <v>65</v>
      </c>
      <c r="DD24" s="320" t="s">
        <v>67</v>
      </c>
      <c r="DE24" s="323" t="s">
        <v>69</v>
      </c>
      <c r="DF24" s="223" t="str">
        <f>IF(OR($A$6=0,$A$6="0",SUM($DH$11:$DH$17)=0),"0",IF(SUM($DH$11:$DH$17)&gt;$A$6,$A$6,SUM($DH$11:$DH$17)))</f>
        <v>0</v>
      </c>
      <c r="DG24" s="196"/>
      <c r="DH24" s="196"/>
      <c r="DI24" s="196"/>
      <c r="DJ24" s="196"/>
      <c r="DK24" s="196"/>
      <c r="DL24" s="196"/>
      <c r="DM24" s="196"/>
      <c r="DN24" s="196"/>
      <c r="DO24" s="196"/>
      <c r="DP24" s="196"/>
      <c r="DQ24" s="196"/>
      <c r="DR24" s="196"/>
      <c r="DS24" s="196"/>
      <c r="DT24" s="196"/>
    </row>
    <row r="25" spans="1:137" ht="16.5" thickTop="1" thickBot="1" x14ac:dyDescent="0.3">
      <c r="A25" s="28" t="s">
        <v>37</v>
      </c>
      <c r="B25" s="29">
        <v>0.15</v>
      </c>
      <c r="C25" s="29"/>
      <c r="G25" s="148">
        <v>25</v>
      </c>
      <c r="I25" s="465"/>
      <c r="AA25" s="25" t="s">
        <v>396</v>
      </c>
      <c r="AB25" s="203">
        <f>SUM($AC$25:$AE$25)</f>
        <v>0</v>
      </c>
      <c r="AC25" s="18">
        <v>0</v>
      </c>
      <c r="AD25" s="18">
        <v>0</v>
      </c>
      <c r="AE25" s="52">
        <v>0</v>
      </c>
      <c r="AF25" s="196"/>
      <c r="BA25" s="25" t="s">
        <v>396</v>
      </c>
      <c r="BB25" s="203">
        <f>SUM($BC$25:$BE$25)</f>
        <v>0</v>
      </c>
      <c r="BC25" s="13">
        <v>0</v>
      </c>
      <c r="BD25" s="18">
        <v>0</v>
      </c>
      <c r="BE25" s="52">
        <v>0</v>
      </c>
      <c r="BH25" s="199"/>
      <c r="BX25" s="196"/>
      <c r="BY25" s="196"/>
      <c r="BZ25" s="196"/>
      <c r="CA25" s="25" t="s">
        <v>396</v>
      </c>
      <c r="CB25" s="203">
        <f>SUM($CC$25:$CE$25)</f>
        <v>0</v>
      </c>
      <c r="CC25" s="18">
        <v>0</v>
      </c>
      <c r="CD25" s="18">
        <v>0</v>
      </c>
      <c r="CE25" s="52">
        <v>0</v>
      </c>
      <c r="CF25" s="196"/>
      <c r="CG25" s="196"/>
      <c r="CH25" s="196"/>
      <c r="CI25" s="196"/>
      <c r="CJ25" s="196"/>
      <c r="CK25" s="196"/>
      <c r="CL25" s="196"/>
      <c r="CM25" s="196"/>
      <c r="CN25" s="196"/>
      <c r="CO25" s="196"/>
      <c r="CP25" s="196"/>
      <c r="CQ25" s="196"/>
      <c r="CR25" s="196"/>
      <c r="CS25" s="196"/>
      <c r="CT25" s="196"/>
      <c r="CU25" s="196"/>
      <c r="CV25" s="196"/>
      <c r="CW25" s="196"/>
      <c r="CX25" s="196"/>
      <c r="CY25" s="196"/>
      <c r="CZ25" s="196"/>
      <c r="DA25" s="25" t="s">
        <v>396</v>
      </c>
      <c r="DB25" s="203">
        <f>SUM($DC$25:$DE$25)</f>
        <v>0</v>
      </c>
      <c r="DC25" s="18">
        <v>0</v>
      </c>
      <c r="DD25" s="18">
        <v>0</v>
      </c>
      <c r="DE25" s="18">
        <v>0</v>
      </c>
      <c r="DF25" s="196"/>
      <c r="DG25" s="196"/>
      <c r="DH25" s="196"/>
      <c r="DI25" s="196"/>
      <c r="DJ25" s="196"/>
      <c r="DK25" s="196"/>
      <c r="DL25" s="196"/>
      <c r="DM25" s="196"/>
      <c r="DN25" s="196"/>
      <c r="DO25" s="196"/>
      <c r="DP25" s="196"/>
      <c r="DQ25" s="196"/>
      <c r="DR25" s="196"/>
      <c r="DS25" s="196"/>
      <c r="DT25" s="196"/>
    </row>
    <row r="26" spans="1:137" ht="16.5" thickTop="1" thickBot="1" x14ac:dyDescent="0.3">
      <c r="A26" s="516" t="s">
        <v>38</v>
      </c>
      <c r="B26" s="517"/>
      <c r="C26" s="518"/>
      <c r="G26" s="148">
        <v>26</v>
      </c>
      <c r="T26" s="209"/>
      <c r="AA26" s="25" t="s">
        <v>397</v>
      </c>
      <c r="AB26" s="35">
        <f>SUM($AC$26:$AE$26)</f>
        <v>0</v>
      </c>
      <c r="AC26" s="18">
        <v>0</v>
      </c>
      <c r="AD26" s="18">
        <v>0</v>
      </c>
      <c r="AE26" s="52">
        <v>0</v>
      </c>
      <c r="AF26" s="73"/>
      <c r="BA26" s="25" t="s">
        <v>397</v>
      </c>
      <c r="BB26" s="35">
        <f>SUM($BC$26:$BE$26)</f>
        <v>0</v>
      </c>
      <c r="BC26" s="13">
        <v>0</v>
      </c>
      <c r="BD26" s="18">
        <v>0</v>
      </c>
      <c r="BE26" s="52">
        <v>0</v>
      </c>
      <c r="BX26" s="196"/>
      <c r="BY26" s="196"/>
      <c r="BZ26" s="196"/>
      <c r="CA26" s="25" t="s">
        <v>397</v>
      </c>
      <c r="CB26" s="35">
        <f>SUM($CC$26:$CE$26)</f>
        <v>0</v>
      </c>
      <c r="CC26" s="18">
        <v>0</v>
      </c>
      <c r="CD26" s="18">
        <v>0</v>
      </c>
      <c r="CE26" s="52">
        <v>0</v>
      </c>
      <c r="CF26" s="196"/>
      <c r="CG26" s="196"/>
      <c r="CH26" s="196"/>
      <c r="CI26" s="196"/>
      <c r="CJ26" s="196"/>
      <c r="CK26" s="196"/>
      <c r="CL26" s="196"/>
      <c r="CM26" s="196"/>
      <c r="CN26" s="196"/>
      <c r="CO26" s="196"/>
      <c r="CP26" s="196"/>
      <c r="CQ26" s="196"/>
      <c r="CR26" s="196"/>
      <c r="CS26" s="196"/>
      <c r="CT26" s="196"/>
      <c r="CU26" s="196"/>
      <c r="CV26" s="196"/>
      <c r="CW26" s="196"/>
      <c r="CX26" s="196"/>
      <c r="CY26" s="196"/>
      <c r="CZ26" s="196"/>
      <c r="DA26" s="25" t="s">
        <v>397</v>
      </c>
      <c r="DB26" s="35">
        <f>SUM($DC$26:$DE$26)</f>
        <v>0</v>
      </c>
      <c r="DC26" s="18">
        <v>0</v>
      </c>
      <c r="DD26" s="18">
        <v>0</v>
      </c>
      <c r="DE26" s="18">
        <v>0</v>
      </c>
      <c r="DF26" s="196"/>
      <c r="DG26" s="196"/>
      <c r="DH26" s="196"/>
      <c r="DI26" s="196"/>
      <c r="DJ26" s="196"/>
      <c r="DK26" s="196"/>
      <c r="DL26" s="196"/>
      <c r="DM26" s="196"/>
      <c r="DN26" s="196"/>
      <c r="DO26" s="196"/>
      <c r="DP26" s="196"/>
      <c r="DQ26" s="196"/>
      <c r="DR26" s="196"/>
      <c r="DS26" s="196"/>
      <c r="DT26" s="196"/>
    </row>
    <row r="27" spans="1:137" ht="16.5" thickTop="1" thickBot="1" x14ac:dyDescent="0.3">
      <c r="A27" s="33" t="s">
        <v>39</v>
      </c>
      <c r="B27" s="34">
        <v>0.3</v>
      </c>
      <c r="G27" s="148">
        <v>27</v>
      </c>
      <c r="T27" s="210"/>
      <c r="AA27" s="30" t="s">
        <v>398</v>
      </c>
      <c r="AB27" s="31">
        <f>_xlfn.NUMBERVALUE($AF$27)</f>
        <v>0</v>
      </c>
      <c r="AC27" s="547" t="str">
        <f>IF($AH$10="","",IF($AB$27&gt;=$AB$24,"FLUJO DE EFECTIVO OK:.","NO CUMPLE CON FLUJO DE EFECTIVO"))</f>
        <v/>
      </c>
      <c r="AD27" s="548"/>
      <c r="AE27" s="549"/>
      <c r="AF27" s="31">
        <f>IF($AB$25=0,0,IF($AB$26=0,0,AVERAGE($AB$25:$AB$26)))</f>
        <v>0</v>
      </c>
      <c r="AG27" s="196"/>
      <c r="BA27" s="30" t="s">
        <v>398</v>
      </c>
      <c r="BB27" s="31">
        <f>_xlfn.NUMBERVALUE($BF$27)</f>
        <v>0</v>
      </c>
      <c r="BC27" s="547" t="str">
        <f>IF($BH$10="","",IF($BB$27&gt;=$BB$24,"FLUJO DE EFECTIVO OK:.","NO CUMPLE CON FLUJO DE EFECTIVO"))</f>
        <v/>
      </c>
      <c r="BD27" s="548"/>
      <c r="BE27" s="549"/>
      <c r="BF27" s="31">
        <f>IF($BB$25=0,0,IF($BB$26=0,0,AVERAGE($BB$25:$BB$26)))</f>
        <v>0</v>
      </c>
      <c r="BX27" s="196"/>
      <c r="BY27" s="196"/>
      <c r="BZ27" s="196"/>
      <c r="CA27" s="30" t="s">
        <v>398</v>
      </c>
      <c r="CB27" s="31">
        <f>_xlfn.NUMBERVALUE($CF$27)</f>
        <v>0</v>
      </c>
      <c r="CC27" s="547" t="str">
        <f>IF($CH$10="0","",IF($CB$27&gt;=$CB$24,"FLUJO DE EFECTIVO OK:.","NO CUMPLE CON FLUJO DE EFECTIVO"))</f>
        <v/>
      </c>
      <c r="CD27" s="548"/>
      <c r="CE27" s="549"/>
      <c r="CF27" s="31">
        <f>IF($CB$25=0,0,IF($CB$26=0,0,AVERAGE($CB$25:$CB$26)))</f>
        <v>0</v>
      </c>
      <c r="CG27" s="196"/>
      <c r="CH27" s="196"/>
      <c r="CI27" s="196"/>
      <c r="CJ27" s="196"/>
      <c r="CK27" s="196"/>
      <c r="CL27" s="196"/>
      <c r="CM27" s="196"/>
      <c r="CN27" s="196"/>
      <c r="CO27" s="196"/>
      <c r="CP27" s="196"/>
      <c r="CQ27" s="196"/>
      <c r="CR27" s="196"/>
      <c r="CS27" s="196"/>
      <c r="CT27" s="196"/>
      <c r="CU27" s="196"/>
      <c r="CV27" s="196"/>
      <c r="CW27" s="196"/>
      <c r="CX27" s="196"/>
      <c r="CY27" s="196"/>
      <c r="CZ27" s="196"/>
      <c r="DA27" s="30" t="s">
        <v>398</v>
      </c>
      <c r="DB27" s="31">
        <f>_xlfn.NUMBERVALUE($DF$27)</f>
        <v>0</v>
      </c>
      <c r="DC27" s="547" t="str">
        <f>IF($DH$10="0","",IF($DB$27&gt;=$DB$24,"FLUJO DE EFECTIVO OK:.","NO CUMPLE CON FLUJO DE EFECTIVO"))</f>
        <v/>
      </c>
      <c r="DD27" s="548"/>
      <c r="DE27" s="549"/>
      <c r="DF27" s="31">
        <f>IF($DB$25=0,0,IF($DB$26=0,0,AVERAGE($DB$25:$DB$26)))</f>
        <v>0</v>
      </c>
      <c r="DG27" s="196"/>
      <c r="DH27" s="196"/>
      <c r="DI27" s="196"/>
      <c r="DJ27" s="196"/>
      <c r="DK27" s="196"/>
      <c r="DL27" s="196"/>
      <c r="DM27" s="196"/>
      <c r="DN27" s="196"/>
      <c r="DO27" s="196"/>
      <c r="DP27" s="196"/>
      <c r="DQ27" s="196"/>
      <c r="DR27" s="196"/>
      <c r="DS27" s="196"/>
      <c r="DT27" s="196"/>
    </row>
    <row r="28" spans="1:137" ht="16.5" thickTop="1" thickBot="1" x14ac:dyDescent="0.3">
      <c r="A28" s="33" t="s">
        <v>40</v>
      </c>
      <c r="B28" s="34">
        <v>0.3</v>
      </c>
      <c r="G28" s="148">
        <v>28</v>
      </c>
      <c r="AC28" s="196"/>
      <c r="AD28" s="196"/>
      <c r="AE28" s="196"/>
      <c r="AH28" s="10"/>
      <c r="BX28" s="196"/>
      <c r="BY28" s="196"/>
      <c r="BZ28" s="196"/>
      <c r="CA28" s="196"/>
      <c r="CB28" s="196"/>
      <c r="CC28" s="196"/>
      <c r="CD28" s="196"/>
      <c r="CE28" s="196"/>
      <c r="CF28" s="196"/>
      <c r="CG28" s="196"/>
      <c r="CH28" s="196"/>
      <c r="CI28" s="196"/>
      <c r="CJ28" s="196"/>
      <c r="CK28" s="196"/>
      <c r="CL28" s="196"/>
      <c r="CM28" s="196"/>
      <c r="CN28" s="196"/>
      <c r="CO28" s="196"/>
      <c r="CP28" s="196"/>
      <c r="CQ28" s="196"/>
      <c r="CR28" s="196"/>
      <c r="CS28" s="196"/>
      <c r="CT28" s="196"/>
      <c r="CU28" s="196"/>
      <c r="CV28" s="196"/>
      <c r="CW28" s="196"/>
      <c r="CX28" s="196"/>
      <c r="CY28" s="196"/>
      <c r="CZ28" s="196"/>
      <c r="DA28" s="196"/>
      <c r="DB28" s="196"/>
      <c r="DC28" s="196"/>
      <c r="DD28" s="196"/>
      <c r="DE28" s="196"/>
      <c r="DF28" s="196"/>
      <c r="DG28" s="196"/>
      <c r="DH28" s="196"/>
      <c r="DI28" s="196"/>
      <c r="DJ28" s="196"/>
      <c r="DK28" s="196"/>
      <c r="DL28" s="196"/>
      <c r="DM28" s="196"/>
      <c r="DN28" s="196"/>
      <c r="DO28" s="196"/>
      <c r="DP28" s="196"/>
      <c r="DQ28" s="196"/>
      <c r="DR28" s="196"/>
      <c r="DS28" s="196"/>
      <c r="DT28" s="196"/>
    </row>
    <row r="29" spans="1:137" ht="16.5" thickTop="1" thickBot="1" x14ac:dyDescent="0.3">
      <c r="A29" s="33" t="s">
        <v>41</v>
      </c>
      <c r="B29" s="34">
        <v>0.3</v>
      </c>
      <c r="G29" s="148">
        <v>29</v>
      </c>
      <c r="O29" s="196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96"/>
      <c r="AC29" s="196"/>
      <c r="AD29" s="196"/>
      <c r="AE29" s="196"/>
      <c r="AF29" s="196"/>
      <c r="AG29" s="196"/>
      <c r="AH29" s="196"/>
      <c r="AI29" s="196"/>
      <c r="AJ29" s="196"/>
      <c r="AK29" s="196"/>
      <c r="AL29" s="196"/>
      <c r="AM29" s="196"/>
      <c r="AN29" s="196"/>
      <c r="AO29" s="196"/>
      <c r="AP29" s="196"/>
      <c r="AQ29" s="196"/>
      <c r="AR29" s="196"/>
      <c r="AS29" s="196"/>
      <c r="AT29" s="196"/>
      <c r="AU29" s="196"/>
      <c r="AV29" s="196"/>
      <c r="AW29" s="196"/>
      <c r="AX29" s="196"/>
      <c r="AY29" s="196"/>
      <c r="AZ29" s="196"/>
      <c r="BA29" s="196"/>
      <c r="BB29" s="196"/>
      <c r="BC29" s="196"/>
      <c r="BD29" s="196"/>
      <c r="BE29" s="196"/>
      <c r="BK29" s="196"/>
      <c r="BL29" s="196"/>
      <c r="BM29" s="196"/>
      <c r="BN29" s="196"/>
      <c r="BO29" s="196"/>
      <c r="BP29" s="196"/>
      <c r="BQ29" s="196"/>
      <c r="BR29" s="196"/>
      <c r="BS29" s="196"/>
      <c r="BT29" s="196"/>
      <c r="BU29" s="196"/>
      <c r="BV29" s="196"/>
      <c r="BW29" s="196"/>
      <c r="BX29" s="196"/>
      <c r="BY29" s="196"/>
      <c r="BZ29" s="196"/>
      <c r="CA29" s="196"/>
      <c r="CB29" s="196"/>
      <c r="CC29" s="196"/>
      <c r="CD29" s="196"/>
      <c r="CE29" s="196"/>
      <c r="CF29" s="196"/>
      <c r="CG29" s="196"/>
      <c r="CH29" s="196"/>
      <c r="CI29" s="196"/>
      <c r="CJ29" s="196"/>
      <c r="CK29" s="196"/>
      <c r="CL29" s="196"/>
      <c r="CM29" s="196"/>
      <c r="CN29" s="196"/>
      <c r="CO29" s="196"/>
      <c r="CP29" s="196"/>
      <c r="CQ29" s="196"/>
      <c r="CR29" s="196"/>
      <c r="CS29" s="196"/>
      <c r="CT29" s="196"/>
      <c r="CU29" s="196"/>
      <c r="CV29" s="196"/>
      <c r="CW29" s="196"/>
      <c r="CX29" s="196"/>
      <c r="CY29" s="196"/>
      <c r="CZ29" s="196"/>
      <c r="DA29" s="196"/>
      <c r="DB29" s="196"/>
      <c r="DC29" s="196"/>
      <c r="DD29" s="196"/>
      <c r="DE29" s="196"/>
      <c r="DF29" s="196"/>
      <c r="DG29" s="196"/>
      <c r="DH29" s="196"/>
      <c r="DI29" s="196"/>
      <c r="DJ29" s="196"/>
      <c r="DK29" s="196"/>
      <c r="DL29" s="196"/>
      <c r="DM29" s="196"/>
      <c r="DN29" s="196"/>
      <c r="DO29" s="196"/>
      <c r="DP29" s="196"/>
      <c r="DQ29" s="196"/>
      <c r="DR29" s="196"/>
      <c r="DS29" s="196"/>
      <c r="DT29" s="196"/>
      <c r="DU29" s="196"/>
      <c r="DV29" s="196"/>
      <c r="DW29" s="196"/>
      <c r="DX29" s="196"/>
      <c r="DY29" s="196"/>
      <c r="DZ29" s="196"/>
      <c r="EA29" s="196"/>
      <c r="EB29" s="196"/>
      <c r="EC29" s="196"/>
      <c r="ED29" s="196"/>
      <c r="EE29" s="196"/>
      <c r="EF29" s="196"/>
      <c r="EG29" s="196"/>
    </row>
    <row r="30" spans="1:137" ht="16.5" thickTop="1" thickBot="1" x14ac:dyDescent="0.3">
      <c r="A30" s="33" t="s">
        <v>11</v>
      </c>
      <c r="B30" s="34">
        <v>0.2</v>
      </c>
      <c r="G30" s="148">
        <v>30</v>
      </c>
      <c r="AA30" s="213" t="s">
        <v>406</v>
      </c>
      <c r="AB30" s="216" t="str">
        <f>IF($AB$32="","",IF($AB$33="","",$AA$30))</f>
        <v/>
      </c>
      <c r="AC30" s="216"/>
      <c r="AD30" s="26"/>
      <c r="AE30" s="196" t="str">
        <f>IF($AB$32="0","",IF($AB$33="0","",$AA$30))</f>
        <v>Requerimiento CNBV</v>
      </c>
      <c r="AF30" s="521" t="s">
        <v>463</v>
      </c>
      <c r="AG30" s="522"/>
      <c r="AH30" s="522"/>
      <c r="AI30" s="522"/>
      <c r="AJ30" s="196"/>
      <c r="AK30" s="196"/>
      <c r="AL30" s="196"/>
      <c r="AM30" s="196"/>
      <c r="AN30" s="196"/>
      <c r="AO30" s="196"/>
      <c r="AP30" s="196"/>
      <c r="AQ30" s="196"/>
      <c r="AR30" s="196"/>
      <c r="AS30" s="196"/>
      <c r="AT30" s="196"/>
      <c r="AU30" s="196"/>
      <c r="AV30" s="196"/>
      <c r="AW30" s="196"/>
      <c r="AX30" s="196"/>
      <c r="AY30" s="196"/>
      <c r="AZ30" s="196"/>
      <c r="BA30" s="213" t="s">
        <v>406</v>
      </c>
      <c r="BB30" s="216" t="str">
        <f>IF($BB$32="","",IF($BB$33="","",$BA$30))</f>
        <v/>
      </c>
      <c r="BC30" s="216"/>
      <c r="BD30" s="26"/>
      <c r="BE30" s="196" t="str">
        <f>IF($AB$32="0","",IF($AB$33="0","",$AA$30))</f>
        <v>Requerimiento CNBV</v>
      </c>
      <c r="BF30" s="521" t="s">
        <v>463</v>
      </c>
      <c r="BG30" s="522"/>
      <c r="BH30" s="522"/>
      <c r="BI30" s="522"/>
      <c r="BJ30" s="196"/>
      <c r="BX30" s="196"/>
      <c r="BY30" s="196"/>
      <c r="BZ30" s="196"/>
      <c r="CA30" s="213" t="s">
        <v>406</v>
      </c>
      <c r="CB30" s="216" t="str">
        <f>IF($CB$32="0","",IF($CB$33="0","",$CA$30))</f>
        <v/>
      </c>
      <c r="CC30" s="216"/>
      <c r="CD30" s="26"/>
      <c r="CE30" s="196"/>
      <c r="CF30" s="196"/>
      <c r="CG30" s="196"/>
      <c r="CH30" s="196"/>
      <c r="CI30" s="196"/>
      <c r="CJ30" s="196"/>
      <c r="CK30" s="196"/>
      <c r="CL30" s="196"/>
      <c r="CM30" s="196"/>
      <c r="CN30" s="196"/>
      <c r="CO30" s="196"/>
      <c r="CP30" s="196"/>
      <c r="CQ30" s="196"/>
      <c r="CR30" s="196"/>
      <c r="CS30" s="196"/>
      <c r="CT30" s="196"/>
      <c r="CU30" s="196"/>
      <c r="CV30" s="196"/>
      <c r="CW30" s="196"/>
      <c r="CX30" s="196"/>
      <c r="CY30" s="196"/>
      <c r="CZ30" s="196"/>
      <c r="DA30" s="213" t="s">
        <v>406</v>
      </c>
      <c r="DB30" s="216" t="str">
        <f>IF($DB$32="0","",IF($DB$33="0","",$DA$30))</f>
        <v/>
      </c>
      <c r="DC30" s="216"/>
      <c r="DD30" s="26"/>
      <c r="DE30" s="196"/>
      <c r="DF30" s="196"/>
      <c r="DG30" s="196"/>
      <c r="DH30" s="196"/>
      <c r="DI30" s="196"/>
      <c r="DJ30" s="196"/>
      <c r="DK30" s="196"/>
      <c r="DL30" s="196"/>
      <c r="DM30" s="196"/>
      <c r="DN30" s="196"/>
      <c r="DO30" s="196"/>
      <c r="DP30" s="196"/>
      <c r="DQ30" s="196"/>
      <c r="DR30" s="196"/>
      <c r="DS30" s="196"/>
      <c r="DT30" s="196"/>
    </row>
    <row r="31" spans="1:137" ht="16.5" thickTop="1" thickBot="1" x14ac:dyDescent="0.3">
      <c r="A31" s="33" t="s">
        <v>42</v>
      </c>
      <c r="B31" s="34">
        <v>0.25</v>
      </c>
      <c r="G31" s="148">
        <v>31</v>
      </c>
      <c r="AA31" s="214" t="str">
        <f>"La Diferencia es del "&amp;LEFT($AD$37,2)&amp;"%"</f>
        <v>La Diferencia es del %</v>
      </c>
      <c r="AB31" s="215" t="str">
        <f>IF($AB$40=$AB$32,$AA$32,IF($AB$40=$AB$33,$AA$33,""))</f>
        <v/>
      </c>
      <c r="AC31" s="26"/>
      <c r="AD31" s="218"/>
      <c r="AE31" s="196"/>
      <c r="AF31" s="276" t="s">
        <v>431</v>
      </c>
      <c r="AG31" s="289">
        <v>0.7</v>
      </c>
      <c r="AH31" s="270" t="s">
        <v>460</v>
      </c>
      <c r="AI31" s="291">
        <v>0.6</v>
      </c>
      <c r="AJ31" s="196"/>
      <c r="AK31" s="196"/>
      <c r="AL31" s="196"/>
      <c r="AM31" s="196"/>
      <c r="AN31" s="196"/>
      <c r="AO31" s="196"/>
      <c r="AP31" s="196"/>
      <c r="AQ31" s="196"/>
      <c r="AR31" s="196"/>
      <c r="AS31" s="196"/>
      <c r="AT31" s="196"/>
      <c r="AU31" s="196"/>
      <c r="AV31" s="196"/>
      <c r="AW31" s="196"/>
      <c r="AX31" s="196"/>
      <c r="AY31" s="196"/>
      <c r="AZ31" s="196"/>
      <c r="BA31" s="214" t="str">
        <f>"La Diferencia es del "&amp;LEFT($BD$37,2)&amp;"%"</f>
        <v>La Diferencia es del %</v>
      </c>
      <c r="BB31" s="215" t="str">
        <f>IF($BB$40=$BB$32,$BA$32,IF($BB$40=$BB$33,$BA$33,""))</f>
        <v/>
      </c>
      <c r="BC31" s="26"/>
      <c r="BD31" s="218"/>
      <c r="BF31" s="276" t="s">
        <v>431</v>
      </c>
      <c r="BG31" s="289">
        <v>0.7</v>
      </c>
      <c r="BH31" s="196"/>
      <c r="BI31" s="272"/>
      <c r="BJ31" s="196"/>
      <c r="BX31" s="196"/>
      <c r="BY31" s="196"/>
      <c r="BZ31" s="196"/>
      <c r="CA31" s="214" t="str">
        <f>"La Diferencia es del "&amp;LEFT($CD$37,2)&amp;"%"</f>
        <v>La Diferencia es del %</v>
      </c>
      <c r="CB31" s="215" t="str">
        <f>IF($CB$40=$CB$32,$CA$32,IF($CB$40=$CB$33,$CA$33,""))</f>
        <v/>
      </c>
      <c r="CC31" s="26"/>
      <c r="CD31" s="218" t="str">
        <f>"La Diferencia es del "&amp;LEFT($CD$37,2)&amp;"%"&amp;", Selecciona "&amp;$CB$31</f>
        <v xml:space="preserve">La Diferencia es del %, Selecciona </v>
      </c>
      <c r="CE31" s="196"/>
      <c r="CF31" s="196">
        <v>0</v>
      </c>
      <c r="CG31" s="196"/>
      <c r="CH31" s="196"/>
      <c r="CI31" s="196"/>
      <c r="CJ31" s="196"/>
      <c r="CK31" s="196"/>
      <c r="CL31" s="196"/>
      <c r="CM31" s="196"/>
      <c r="CN31" s="196"/>
      <c r="CO31" s="196"/>
      <c r="CP31" s="196"/>
      <c r="CQ31" s="196"/>
      <c r="CR31" s="196"/>
      <c r="CS31" s="196"/>
      <c r="CT31" s="196"/>
      <c r="CU31" s="196"/>
      <c r="CV31" s="196"/>
      <c r="CW31" s="196"/>
      <c r="CX31" s="196"/>
      <c r="CY31" s="196"/>
      <c r="CZ31" s="196"/>
      <c r="DA31" s="214" t="str">
        <f>"La Diferencia es del "&amp;LEFT($DD$37,2)&amp;"%"</f>
        <v>La Diferencia es del %</v>
      </c>
      <c r="DB31" s="215" t="str">
        <f>IF($DB$40=$DB$32,$DA$32,IF($DB$40=$DB$33,$DA$33,""))</f>
        <v/>
      </c>
      <c r="DC31" s="26"/>
      <c r="DD31" s="218"/>
      <c r="DE31" s="196"/>
      <c r="DF31" s="196"/>
      <c r="DG31" s="196"/>
      <c r="DH31" s="196"/>
      <c r="DI31" s="196"/>
      <c r="DJ31" s="196"/>
      <c r="DK31" s="196"/>
      <c r="DL31" s="196"/>
      <c r="DM31" s="196"/>
      <c r="DN31" s="196"/>
      <c r="DO31" s="196"/>
      <c r="DP31" s="196"/>
      <c r="DQ31" s="196"/>
      <c r="DR31" s="196"/>
      <c r="DS31" s="196"/>
      <c r="DT31" s="196"/>
    </row>
    <row r="32" spans="1:137" ht="16.5" thickTop="1" thickBot="1" x14ac:dyDescent="0.3">
      <c r="A32" s="33" t="s">
        <v>352</v>
      </c>
      <c r="B32" s="34">
        <v>0.9</v>
      </c>
      <c r="AA32" s="211" t="s">
        <v>2</v>
      </c>
      <c r="AB32" s="191" t="str">
        <f>$AH$10</f>
        <v/>
      </c>
      <c r="AC32" s="26"/>
      <c r="AD32" s="26"/>
      <c r="AE32" s="196"/>
      <c r="AF32" s="270" t="s">
        <v>7</v>
      </c>
      <c r="AG32" s="289">
        <v>0.7</v>
      </c>
      <c r="AH32" s="270" t="s">
        <v>461</v>
      </c>
      <c r="AI32" s="291">
        <v>0.7</v>
      </c>
      <c r="AJ32" s="196"/>
      <c r="AK32" s="196"/>
      <c r="AL32" s="196"/>
      <c r="AM32" s="196"/>
      <c r="AN32" s="196"/>
      <c r="AO32" s="196"/>
      <c r="AP32" s="196"/>
      <c r="AQ32" s="196"/>
      <c r="AR32" s="196"/>
      <c r="AS32" s="196"/>
      <c r="AT32" s="196"/>
      <c r="AU32" s="196"/>
      <c r="AV32" s="196"/>
      <c r="AW32" s="196"/>
      <c r="AX32" s="196"/>
      <c r="AY32" s="196"/>
      <c r="AZ32" s="196"/>
      <c r="BA32" s="211" t="s">
        <v>219</v>
      </c>
      <c r="BB32" s="191" t="str">
        <f>$BH$10</f>
        <v/>
      </c>
      <c r="BC32" s="26"/>
      <c r="BD32" s="26"/>
      <c r="BF32" s="270" t="s">
        <v>7</v>
      </c>
      <c r="BG32" s="289">
        <v>0.7</v>
      </c>
      <c r="BH32" s="196"/>
      <c r="BI32" s="272"/>
      <c r="BJ32" s="196"/>
      <c r="BX32" s="196"/>
      <c r="BY32" s="196"/>
      <c r="BZ32" s="196"/>
      <c r="CA32" s="322" t="s">
        <v>2</v>
      </c>
      <c r="CB32" s="191" t="str">
        <f>$CH$10</f>
        <v>0</v>
      </c>
      <c r="CC32" s="26"/>
      <c r="CD32" s="26"/>
      <c r="CE32" s="196"/>
      <c r="CF32" s="196"/>
      <c r="CG32" s="196"/>
      <c r="CH32" s="196"/>
      <c r="CI32" s="196"/>
      <c r="CJ32" s="196"/>
      <c r="CK32" s="196"/>
      <c r="CL32" s="196"/>
      <c r="CM32" s="196"/>
      <c r="CN32" s="196"/>
      <c r="CO32" s="196"/>
      <c r="CP32" s="196"/>
      <c r="CQ32" s="196"/>
      <c r="CR32" s="196"/>
      <c r="CS32" s="196"/>
      <c r="CT32" s="196"/>
      <c r="CU32" s="196"/>
      <c r="CV32" s="196"/>
      <c r="CW32" s="196"/>
      <c r="CX32" s="196"/>
      <c r="CY32" s="196"/>
      <c r="CZ32" s="196"/>
      <c r="DA32" s="322" t="s">
        <v>219</v>
      </c>
      <c r="DB32" s="191" t="str">
        <f>$DH$10</f>
        <v>0</v>
      </c>
      <c r="DC32" s="26"/>
      <c r="DD32" s="26"/>
      <c r="DE32" s="196"/>
      <c r="DF32" s="196"/>
      <c r="DG32" s="196"/>
      <c r="DH32" s="196"/>
      <c r="DI32" s="196"/>
      <c r="DJ32" s="196"/>
      <c r="DK32" s="196"/>
      <c r="DL32" s="196"/>
      <c r="DM32" s="196"/>
      <c r="DN32" s="196"/>
      <c r="DO32" s="196"/>
      <c r="DP32" s="196"/>
      <c r="DQ32" s="196"/>
      <c r="DR32" s="196"/>
      <c r="DS32" s="196"/>
      <c r="DT32" s="196"/>
    </row>
    <row r="33" spans="1:124" ht="16.5" thickTop="1" thickBot="1" x14ac:dyDescent="0.3">
      <c r="A33" s="274" t="s">
        <v>433</v>
      </c>
      <c r="B33" s="275">
        <v>0.4</v>
      </c>
      <c r="C33" s="275">
        <v>0.2</v>
      </c>
      <c r="AA33" s="211" t="s">
        <v>7</v>
      </c>
      <c r="AB33" s="191" t="str">
        <f>$AH$100</f>
        <v/>
      </c>
      <c r="AC33" s="26"/>
      <c r="AD33" s="26"/>
      <c r="AE33" s="196"/>
      <c r="AF33" s="270" t="s">
        <v>51</v>
      </c>
      <c r="AG33" s="289">
        <v>0.7</v>
      </c>
      <c r="AH33" s="270" t="s">
        <v>462</v>
      </c>
      <c r="AI33" s="291">
        <v>1</v>
      </c>
      <c r="AJ33" s="196"/>
      <c r="AK33" s="196"/>
      <c r="AL33" s="196"/>
      <c r="AM33" s="196"/>
      <c r="AN33" s="196"/>
      <c r="AO33" s="196"/>
      <c r="AP33" s="196"/>
      <c r="AQ33" s="196"/>
      <c r="AR33" s="196"/>
      <c r="AS33" s="196"/>
      <c r="AT33" s="196"/>
      <c r="AU33" s="196"/>
      <c r="AV33" s="196"/>
      <c r="AW33" s="196"/>
      <c r="AX33" s="196"/>
      <c r="AY33" s="196"/>
      <c r="AZ33" s="196"/>
      <c r="BA33" s="211" t="s">
        <v>7</v>
      </c>
      <c r="BB33" s="191" t="str">
        <f>$BH$100</f>
        <v/>
      </c>
      <c r="BC33" s="26"/>
      <c r="BD33" s="26"/>
      <c r="BF33" s="270" t="s">
        <v>51</v>
      </c>
      <c r="BG33" s="289">
        <v>0.7</v>
      </c>
      <c r="BH33" s="196"/>
      <c r="BI33" s="272"/>
      <c r="BJ33" s="196"/>
      <c r="BX33" s="196"/>
      <c r="BY33" s="196"/>
      <c r="BZ33" s="196"/>
      <c r="CA33" s="322" t="s">
        <v>7</v>
      </c>
      <c r="CB33" s="191" t="str">
        <f>$CH$100</f>
        <v>0</v>
      </c>
      <c r="CC33" s="26"/>
      <c r="CD33" s="26"/>
      <c r="CE33" s="196"/>
      <c r="CF33" s="196"/>
      <c r="CG33" s="196"/>
      <c r="CH33" s="196"/>
      <c r="CI33" s="196"/>
      <c r="CJ33" s="196"/>
      <c r="CK33" s="196"/>
      <c r="CL33" s="196"/>
      <c r="CM33" s="196"/>
      <c r="CN33" s="196"/>
      <c r="CO33" s="196"/>
      <c r="CP33" s="196"/>
      <c r="CQ33" s="196"/>
      <c r="CR33" s="196"/>
      <c r="CS33" s="196"/>
      <c r="CT33" s="196"/>
      <c r="CU33" s="196"/>
      <c r="CV33" s="196"/>
      <c r="CW33" s="196"/>
      <c r="CX33" s="196"/>
      <c r="CY33" s="196"/>
      <c r="CZ33" s="196"/>
      <c r="DA33" s="322" t="s">
        <v>7</v>
      </c>
      <c r="DB33" s="191" t="str">
        <f>$DH$100</f>
        <v>0</v>
      </c>
      <c r="DC33" s="26"/>
      <c r="DD33" s="26"/>
      <c r="DE33" s="196"/>
      <c r="DF33" s="196"/>
      <c r="DG33" s="196"/>
      <c r="DH33" s="196"/>
      <c r="DI33" s="196"/>
      <c r="DJ33" s="196"/>
      <c r="DK33" s="196"/>
      <c r="DL33" s="196"/>
      <c r="DM33" s="196"/>
      <c r="DN33" s="196"/>
      <c r="DO33" s="196"/>
      <c r="DP33" s="196"/>
      <c r="DQ33" s="196"/>
      <c r="DR33" s="196"/>
      <c r="DS33" s="196"/>
      <c r="DT33" s="196"/>
    </row>
    <row r="34" spans="1:124" ht="16.5" thickTop="1" thickBot="1" x14ac:dyDescent="0.3">
      <c r="A34" s="274" t="s">
        <v>432</v>
      </c>
      <c r="B34" s="275">
        <v>0.6</v>
      </c>
      <c r="C34" s="275">
        <v>0.4</v>
      </c>
      <c r="AA34" s="211" t="s">
        <v>400</v>
      </c>
      <c r="AB34" s="35">
        <f>MAX($AB$32:$AB$33)</f>
        <v>0</v>
      </c>
      <c r="AC34" s="26"/>
      <c r="AD34" s="26"/>
      <c r="AE34" s="196"/>
      <c r="AF34" s="270" t="s">
        <v>453</v>
      </c>
      <c r="AG34" s="289">
        <v>0.7</v>
      </c>
      <c r="AI34" s="272"/>
      <c r="AJ34" s="196"/>
      <c r="AK34" s="196"/>
      <c r="AL34" s="196"/>
      <c r="AM34" s="196"/>
      <c r="AN34" s="196"/>
      <c r="AO34" s="196"/>
      <c r="AP34" s="196"/>
      <c r="AQ34" s="196"/>
      <c r="AR34" s="196"/>
      <c r="AS34" s="196"/>
      <c r="AT34" s="196"/>
      <c r="AU34" s="196"/>
      <c r="AV34" s="196"/>
      <c r="AW34" s="196"/>
      <c r="AX34" s="196"/>
      <c r="AY34" s="196"/>
      <c r="AZ34" s="196"/>
      <c r="BA34" s="211" t="s">
        <v>400</v>
      </c>
      <c r="BB34" s="35">
        <f>MAX($BB$32:$BB$33)</f>
        <v>0</v>
      </c>
      <c r="BC34" s="26"/>
      <c r="BD34" s="26"/>
      <c r="BF34" s="270" t="s">
        <v>453</v>
      </c>
      <c r="BG34" s="289">
        <v>0.7</v>
      </c>
      <c r="BH34" s="196"/>
      <c r="BI34" s="272"/>
      <c r="BJ34" s="196"/>
      <c r="BX34" s="196"/>
      <c r="BY34" s="196"/>
      <c r="BZ34" s="196"/>
      <c r="CA34" s="322" t="s">
        <v>400</v>
      </c>
      <c r="CB34" s="35">
        <f>MAX($CB$32:$CB$33)</f>
        <v>0</v>
      </c>
      <c r="CC34" s="26"/>
      <c r="CD34" s="26"/>
      <c r="CE34" s="196"/>
      <c r="CF34" s="196"/>
      <c r="CG34" s="196"/>
      <c r="CH34" s="196"/>
      <c r="CI34" s="196"/>
      <c r="CJ34" s="196"/>
      <c r="CK34" s="196"/>
      <c r="CL34" s="196"/>
      <c r="CM34" s="196"/>
      <c r="CN34" s="196"/>
      <c r="CO34" s="196"/>
      <c r="CP34" s="196"/>
      <c r="CQ34" s="196"/>
      <c r="CR34" s="196"/>
      <c r="CS34" s="196"/>
      <c r="CT34" s="196"/>
      <c r="CU34" s="196"/>
      <c r="CV34" s="196"/>
      <c r="CW34" s="196"/>
      <c r="CX34" s="196"/>
      <c r="CY34" s="196"/>
      <c r="CZ34" s="196"/>
      <c r="DA34" s="322" t="s">
        <v>400</v>
      </c>
      <c r="DB34" s="35">
        <f>MAX($DB$32:$DB$33)</f>
        <v>0</v>
      </c>
      <c r="DC34" s="26"/>
      <c r="DD34" s="26"/>
      <c r="DE34" s="196"/>
      <c r="DF34" s="196"/>
      <c r="DG34" s="196"/>
      <c r="DH34" s="196"/>
      <c r="DI34" s="196"/>
      <c r="DJ34" s="196"/>
      <c r="DK34" s="196"/>
      <c r="DL34" s="196"/>
      <c r="DM34" s="196"/>
      <c r="DN34" s="196"/>
      <c r="DO34" s="196"/>
      <c r="DP34" s="196"/>
      <c r="DQ34" s="196"/>
      <c r="DR34" s="196"/>
      <c r="DS34" s="196"/>
      <c r="DT34" s="196"/>
    </row>
    <row r="35" spans="1:124" ht="16.5" thickTop="1" thickBot="1" x14ac:dyDescent="0.3">
      <c r="AA35" s="211" t="s">
        <v>401</v>
      </c>
      <c r="AB35" s="35">
        <f>MIN($AB$32:$AB$33)</f>
        <v>0</v>
      </c>
      <c r="AC35" s="26"/>
      <c r="AD35" s="26"/>
      <c r="AE35" s="196"/>
      <c r="AF35" s="272"/>
      <c r="AG35" s="272"/>
      <c r="AH35" s="272"/>
      <c r="AI35" s="272"/>
      <c r="AJ35" s="196"/>
      <c r="AK35" s="196"/>
      <c r="AL35" s="196"/>
      <c r="AM35" s="196"/>
      <c r="AN35" s="196"/>
      <c r="AO35" s="196"/>
      <c r="AP35" s="196"/>
      <c r="AQ35" s="196"/>
      <c r="AR35" s="196"/>
      <c r="AS35" s="196"/>
      <c r="AT35" s="196"/>
      <c r="AU35" s="196"/>
      <c r="AV35" s="196"/>
      <c r="AW35" s="196"/>
      <c r="AX35" s="196"/>
      <c r="AY35" s="196"/>
      <c r="AZ35" s="196"/>
      <c r="BA35" s="211" t="s">
        <v>401</v>
      </c>
      <c r="BB35" s="35">
        <f>MIN($BB$32:$BB$33)</f>
        <v>0</v>
      </c>
      <c r="BC35" s="26"/>
      <c r="BD35" s="26"/>
      <c r="BF35" s="272"/>
      <c r="BG35" s="272"/>
      <c r="BH35" s="272"/>
      <c r="BI35" s="272"/>
      <c r="BJ35" s="196"/>
      <c r="BX35" s="196"/>
      <c r="BY35" s="196"/>
      <c r="BZ35" s="196"/>
      <c r="CA35" s="322" t="s">
        <v>401</v>
      </c>
      <c r="CB35" s="35">
        <f>MIN($CB$32:$CB$33)</f>
        <v>0</v>
      </c>
      <c r="CC35" s="26"/>
      <c r="CD35" s="26"/>
      <c r="CE35" s="196"/>
      <c r="CF35" s="196"/>
      <c r="CG35" s="196"/>
      <c r="CH35" s="196"/>
      <c r="CI35" s="196"/>
      <c r="CJ35" s="196"/>
      <c r="CK35" s="196"/>
      <c r="CL35" s="196"/>
      <c r="CM35" s="196"/>
      <c r="CN35" s="196"/>
      <c r="CO35" s="196"/>
      <c r="CP35" s="196"/>
      <c r="CQ35" s="196"/>
      <c r="CR35" s="196"/>
      <c r="CS35" s="196"/>
      <c r="CT35" s="196"/>
      <c r="CU35" s="196"/>
      <c r="CV35" s="196"/>
      <c r="CW35" s="196"/>
      <c r="CX35" s="196"/>
      <c r="CY35" s="196"/>
      <c r="CZ35" s="196"/>
      <c r="DA35" s="322" t="s">
        <v>401</v>
      </c>
      <c r="DB35" s="35">
        <f>MIN($DB$32:$DB$33)</f>
        <v>0</v>
      </c>
      <c r="DC35" s="26"/>
      <c r="DD35" s="26"/>
      <c r="DE35" s="196"/>
      <c r="DF35" s="196"/>
      <c r="DG35" s="196"/>
      <c r="DH35" s="196"/>
      <c r="DI35" s="196"/>
      <c r="DJ35" s="196"/>
      <c r="DK35" s="196"/>
      <c r="DL35" s="196"/>
      <c r="DM35" s="196"/>
      <c r="DN35" s="196"/>
      <c r="DO35" s="196"/>
      <c r="DP35" s="196"/>
      <c r="DQ35" s="196"/>
      <c r="DR35" s="196"/>
      <c r="DS35" s="196"/>
      <c r="DT35" s="196"/>
    </row>
    <row r="36" spans="1:124" ht="16.5" thickTop="1" thickBot="1" x14ac:dyDescent="0.3">
      <c r="AA36" s="211" t="s">
        <v>403</v>
      </c>
      <c r="AB36" s="26">
        <f>$AB$34-$AB$35</f>
        <v>0</v>
      </c>
      <c r="AC36" s="26"/>
      <c r="AD36" s="26"/>
      <c r="AE36" s="196"/>
      <c r="AF36" s="276" t="s">
        <v>431</v>
      </c>
      <c r="AG36" s="290">
        <f>$AD$12*$AG$31</f>
        <v>0</v>
      </c>
      <c r="AH36" s="177">
        <f>$AD$12*$AG$31</f>
        <v>0</v>
      </c>
      <c r="AI36" s="196"/>
      <c r="AJ36" s="196"/>
      <c r="AK36" s="196"/>
      <c r="AL36" s="196"/>
      <c r="AM36" s="196"/>
      <c r="AN36" s="196"/>
      <c r="AO36" s="196"/>
      <c r="AP36" s="196"/>
      <c r="AQ36" s="196"/>
      <c r="AR36" s="196"/>
      <c r="AS36" s="196"/>
      <c r="AT36" s="196"/>
      <c r="AU36" s="196"/>
      <c r="AV36" s="196"/>
      <c r="AW36" s="196"/>
      <c r="AX36" s="196"/>
      <c r="AY36" s="196"/>
      <c r="AZ36" s="196"/>
      <c r="BA36" s="211" t="s">
        <v>403</v>
      </c>
      <c r="BB36" s="26">
        <f>$BB$34-$BB$35</f>
        <v>0</v>
      </c>
      <c r="BC36" s="26"/>
      <c r="BD36" s="26"/>
      <c r="BF36" s="276" t="s">
        <v>431</v>
      </c>
      <c r="BG36" s="290">
        <f>$BD$16*$BE$16</f>
        <v>0</v>
      </c>
      <c r="BH36" s="177">
        <f>($BG$36*$BG$31)</f>
        <v>0</v>
      </c>
      <c r="BI36" s="196"/>
      <c r="BJ36" s="196"/>
      <c r="BX36" s="196"/>
      <c r="BY36" s="196"/>
      <c r="BZ36" s="196"/>
      <c r="CA36" s="322" t="s">
        <v>403</v>
      </c>
      <c r="CB36" s="26">
        <f>$CB$34-$CB$35</f>
        <v>0</v>
      </c>
      <c r="CC36" s="26"/>
      <c r="CD36" s="26"/>
      <c r="CE36" s="196"/>
      <c r="CF36" s="196"/>
      <c r="CG36" s="196"/>
      <c r="CH36" s="196"/>
      <c r="CI36" s="196"/>
      <c r="CJ36" s="196"/>
      <c r="CK36" s="196"/>
      <c r="CL36" s="196"/>
      <c r="CM36" s="196"/>
      <c r="CN36" s="196"/>
      <c r="CO36" s="196"/>
      <c r="CP36" s="196"/>
      <c r="CQ36" s="196"/>
      <c r="CR36" s="196"/>
      <c r="CS36" s="196"/>
      <c r="CT36" s="196"/>
      <c r="CU36" s="196"/>
      <c r="CV36" s="196"/>
      <c r="CW36" s="196"/>
      <c r="CX36" s="196"/>
      <c r="CY36" s="196"/>
      <c r="CZ36" s="196"/>
      <c r="DA36" s="322" t="s">
        <v>403</v>
      </c>
      <c r="DB36" s="26">
        <f>$DB$34-$DB$35</f>
        <v>0</v>
      </c>
      <c r="DC36" s="26"/>
      <c r="DD36" s="26"/>
      <c r="DE36" s="196"/>
      <c r="DF36" s="196"/>
      <c r="DG36" s="196"/>
      <c r="DH36" s="196"/>
      <c r="DI36" s="196"/>
      <c r="DJ36" s="196"/>
      <c r="DK36" s="196"/>
      <c r="DL36" s="196"/>
      <c r="DM36" s="196"/>
      <c r="DN36" s="196"/>
      <c r="DO36" s="196"/>
      <c r="DP36" s="196"/>
      <c r="DQ36" s="196"/>
      <c r="DR36" s="196"/>
      <c r="DS36" s="196"/>
      <c r="DT36" s="196"/>
    </row>
    <row r="37" spans="1:124" ht="16.5" thickTop="1" thickBot="1" x14ac:dyDescent="0.3">
      <c r="A37" s="538" t="s">
        <v>44</v>
      </c>
      <c r="B37" s="539"/>
      <c r="C37" s="540"/>
      <c r="AA37" s="211" t="s">
        <v>402</v>
      </c>
      <c r="AB37" s="212" t="str">
        <f>IFERROR($AC$37,"")</f>
        <v/>
      </c>
      <c r="AC37" s="219" t="e">
        <f>($AB$36*1)/$AB$34</f>
        <v>#DIV/0!</v>
      </c>
      <c r="AD37" s="217" t="str">
        <f>IFERROR($AB$37*100,"")</f>
        <v/>
      </c>
      <c r="AE37" s="70"/>
      <c r="AF37" s="270" t="s">
        <v>7</v>
      </c>
      <c r="AG37" s="179">
        <f>SUM($AB$101:$AB$103)</f>
        <v>0</v>
      </c>
      <c r="AH37" s="5">
        <f>($AG$37*$AG$32)</f>
        <v>0</v>
      </c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6"/>
      <c r="AU37" s="196"/>
      <c r="AV37" s="196"/>
      <c r="AW37" s="196"/>
      <c r="AX37" s="196"/>
      <c r="AY37" s="196"/>
      <c r="AZ37" s="196"/>
      <c r="BA37" s="211" t="s">
        <v>402</v>
      </c>
      <c r="BB37" s="212" t="str">
        <f>IFERROR($BC$37,"")</f>
        <v/>
      </c>
      <c r="BC37" s="219" t="e">
        <f>($BB$36*1)/$BB$34</f>
        <v>#DIV/0!</v>
      </c>
      <c r="BD37" s="217" t="str">
        <f>IFERROR($BB$37*100,"")</f>
        <v/>
      </c>
      <c r="BF37" s="270" t="s">
        <v>7</v>
      </c>
      <c r="BG37" s="179">
        <f>SUM($BB$101:$BB$103)</f>
        <v>0</v>
      </c>
      <c r="BH37" s="5">
        <f>($BG$37*$BG$32)</f>
        <v>0</v>
      </c>
      <c r="BI37" s="196"/>
      <c r="BJ37" s="196"/>
      <c r="BX37" s="196"/>
      <c r="BY37" s="196"/>
      <c r="BZ37" s="196"/>
      <c r="CA37" s="322" t="s">
        <v>402</v>
      </c>
      <c r="CB37" s="212" t="str">
        <f>IFERROR($CC$37,"")</f>
        <v/>
      </c>
      <c r="CC37" s="162" t="e">
        <f>($CB$36*1)/$CB$34</f>
        <v>#DIV/0!</v>
      </c>
      <c r="CD37" s="217" t="str">
        <f>IFERROR($CB$37*100,"")</f>
        <v/>
      </c>
      <c r="CE37" s="196"/>
      <c r="CF37" s="196"/>
      <c r="CG37" s="196"/>
      <c r="CH37" s="196"/>
      <c r="CI37" s="196"/>
      <c r="CJ37" s="196"/>
      <c r="CK37" s="196"/>
      <c r="CL37" s="196"/>
      <c r="CM37" s="196"/>
      <c r="CN37" s="196"/>
      <c r="CO37" s="196"/>
      <c r="CP37" s="196"/>
      <c r="CQ37" s="196"/>
      <c r="CR37" s="196"/>
      <c r="CS37" s="196"/>
      <c r="CT37" s="196"/>
      <c r="CU37" s="196"/>
      <c r="CV37" s="196"/>
      <c r="CW37" s="196"/>
      <c r="CX37" s="196"/>
      <c r="CY37" s="196"/>
      <c r="CZ37" s="196"/>
      <c r="DA37" s="322" t="s">
        <v>402</v>
      </c>
      <c r="DB37" s="212" t="str">
        <f>IFERROR($DC$37,"")</f>
        <v/>
      </c>
      <c r="DC37" s="220" t="e">
        <f>($DB$36*1)/$DB$34</f>
        <v>#DIV/0!</v>
      </c>
      <c r="DD37" s="217" t="str">
        <f>IFERROR($DB$37*100,"")</f>
        <v/>
      </c>
      <c r="DE37" s="196"/>
      <c r="DF37" s="196"/>
      <c r="DG37" s="196"/>
      <c r="DH37" s="196"/>
      <c r="DI37" s="196"/>
      <c r="DJ37" s="196"/>
      <c r="DK37" s="196"/>
      <c r="DL37" s="196"/>
      <c r="DM37" s="196"/>
      <c r="DN37" s="196"/>
      <c r="DO37" s="196"/>
      <c r="DP37" s="196"/>
      <c r="DQ37" s="196"/>
      <c r="DR37" s="196"/>
      <c r="DS37" s="196"/>
      <c r="DT37" s="196"/>
    </row>
    <row r="38" spans="1:124" ht="16.5" thickTop="1" thickBot="1" x14ac:dyDescent="0.3">
      <c r="A38" s="530" t="s">
        <v>16</v>
      </c>
      <c r="B38" s="531"/>
      <c r="C38" s="518"/>
      <c r="AA38" s="25" t="s">
        <v>404</v>
      </c>
      <c r="AB38" s="26" t="str">
        <f>IF($AB$37&lt;0.3,$AB$34,"")</f>
        <v/>
      </c>
      <c r="AC38" s="14">
        <f>_xlfn.NUMBERVALUE($AB$38)</f>
        <v>0</v>
      </c>
      <c r="AD38" s="26"/>
      <c r="AE38" s="70"/>
      <c r="AF38" s="276" t="s">
        <v>51</v>
      </c>
      <c r="AG38" s="290">
        <f>($AB$212*$AB$213)*$AB$214</f>
        <v>0</v>
      </c>
      <c r="AH38" s="177">
        <f>($AG$38*$AG$33)</f>
        <v>0</v>
      </c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196"/>
      <c r="AW38" s="196"/>
      <c r="AX38" s="196"/>
      <c r="AY38" s="196"/>
      <c r="AZ38" s="196"/>
      <c r="BA38" s="25" t="s">
        <v>404</v>
      </c>
      <c r="BB38" s="26" t="str">
        <f>IF($BB$37&lt;0.3,$BB$34,"")</f>
        <v/>
      </c>
      <c r="BC38" s="14">
        <f>_xlfn.NUMBERVALUE($BB$38)</f>
        <v>0</v>
      </c>
      <c r="BD38" s="26"/>
      <c r="BF38" s="276" t="s">
        <v>51</v>
      </c>
      <c r="BG38" s="290">
        <f>($BB$212*$BB$213)*$BB$214</f>
        <v>0</v>
      </c>
      <c r="BH38" s="177">
        <f>($BG$38*$BG$33)</f>
        <v>0</v>
      </c>
      <c r="BI38" s="196"/>
      <c r="BJ38" s="196"/>
      <c r="BX38" s="196"/>
      <c r="BY38" s="196"/>
      <c r="BZ38" s="196"/>
      <c r="CA38" s="25" t="s">
        <v>404</v>
      </c>
      <c r="CB38" s="26" t="str">
        <f>IF($CB$37&lt;0.3,$CB$34,"")</f>
        <v/>
      </c>
      <c r="CC38" s="14">
        <f>_xlfn.NUMBERVALUE($CB$38)</f>
        <v>0</v>
      </c>
      <c r="CD38" s="26"/>
      <c r="CE38" s="196"/>
      <c r="CF38" s="196"/>
      <c r="CG38" s="196"/>
      <c r="CH38" s="196"/>
      <c r="CI38" s="196"/>
      <c r="CJ38" s="196"/>
      <c r="CK38" s="196"/>
      <c r="CL38" s="196"/>
      <c r="CM38" s="196"/>
      <c r="CN38" s="196"/>
      <c r="CO38" s="196"/>
      <c r="CP38" s="196"/>
      <c r="CQ38" s="196"/>
      <c r="CR38" s="196"/>
      <c r="CS38" s="196"/>
      <c r="CT38" s="196"/>
      <c r="CU38" s="196"/>
      <c r="CV38" s="196"/>
      <c r="CW38" s="196"/>
      <c r="CX38" s="196"/>
      <c r="CY38" s="196"/>
      <c r="CZ38" s="196"/>
      <c r="DA38" s="25" t="s">
        <v>404</v>
      </c>
      <c r="DB38" s="26" t="str">
        <f>IF($DB$37&lt;0.3,$DB$34,"")</f>
        <v/>
      </c>
      <c r="DC38" s="14">
        <f>_xlfn.NUMBERVALUE($DB$38)</f>
        <v>0</v>
      </c>
      <c r="DD38" s="26"/>
      <c r="DE38" s="196"/>
      <c r="DF38" s="196"/>
      <c r="DG38" s="196"/>
      <c r="DH38" s="196"/>
      <c r="DI38" s="196"/>
      <c r="DJ38" s="196"/>
      <c r="DK38" s="196"/>
      <c r="DL38" s="196"/>
      <c r="DM38" s="196"/>
      <c r="DN38" s="196"/>
      <c r="DO38" s="196"/>
      <c r="DP38" s="196"/>
      <c r="DQ38" s="196"/>
      <c r="DR38" s="196"/>
      <c r="DS38" s="196"/>
      <c r="DT38" s="196"/>
    </row>
    <row r="39" spans="1:124" ht="16.5" thickTop="1" thickBot="1" x14ac:dyDescent="0.3">
      <c r="A39" s="19" t="s">
        <v>18</v>
      </c>
      <c r="B39" s="532" t="s">
        <v>47</v>
      </c>
      <c r="C39" s="534" t="s">
        <v>19</v>
      </c>
      <c r="AA39" s="25" t="s">
        <v>405</v>
      </c>
      <c r="AB39" s="26">
        <f>IF($AB$37&gt;=0.3,$AB$35,"")</f>
        <v>0</v>
      </c>
      <c r="AC39" s="24">
        <f>_xlfn.NUMBERVALUE($AB$39)</f>
        <v>0</v>
      </c>
      <c r="AD39" s="26"/>
      <c r="AE39" s="70"/>
      <c r="AF39" s="276" t="s">
        <v>453</v>
      </c>
      <c r="AG39" s="290">
        <f>$AH$589*$AB$518</f>
        <v>0</v>
      </c>
      <c r="AH39" s="177">
        <f>($AG$39*$AG$34)</f>
        <v>0</v>
      </c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6"/>
      <c r="AU39" s="196"/>
      <c r="AV39" s="196"/>
      <c r="AW39" s="196"/>
      <c r="AX39" s="196"/>
      <c r="AY39" s="196"/>
      <c r="AZ39" s="196"/>
      <c r="BA39" s="25" t="s">
        <v>405</v>
      </c>
      <c r="BB39" s="26">
        <f>IF($BB$37&gt;=0.3,$BB$35,"")</f>
        <v>0</v>
      </c>
      <c r="BC39" s="24">
        <f>_xlfn.NUMBERVALUE($BB$39)</f>
        <v>0</v>
      </c>
      <c r="BD39" s="26"/>
      <c r="BF39" s="276" t="s">
        <v>453</v>
      </c>
      <c r="BG39" s="290">
        <f>$BH$589*$BB$518</f>
        <v>0</v>
      </c>
      <c r="BH39" s="177">
        <f>($BG$39*$BG$34)</f>
        <v>0</v>
      </c>
      <c r="BI39" s="196"/>
      <c r="BJ39" s="196"/>
      <c r="BX39" s="196"/>
      <c r="BY39" s="196"/>
      <c r="BZ39" s="196"/>
      <c r="CA39" s="25" t="s">
        <v>405</v>
      </c>
      <c r="CB39" s="26">
        <f>IF($CB$37&gt;=0.3,$CB$35,"")</f>
        <v>0</v>
      </c>
      <c r="CC39" s="24">
        <f>_xlfn.NUMBERVALUE($CB$39)</f>
        <v>0</v>
      </c>
      <c r="CD39" s="26"/>
      <c r="CE39" s="196"/>
      <c r="CF39" s="196"/>
      <c r="CG39" s="196"/>
      <c r="CH39" s="196"/>
      <c r="CI39" s="196"/>
      <c r="CJ39" s="196"/>
      <c r="CK39" s="196"/>
      <c r="CL39" s="196"/>
      <c r="CM39" s="196"/>
      <c r="CN39" s="196"/>
      <c r="CO39" s="196"/>
      <c r="CP39" s="196"/>
      <c r="CQ39" s="196"/>
      <c r="CR39" s="196"/>
      <c r="CS39" s="196"/>
      <c r="CT39" s="196"/>
      <c r="CU39" s="196"/>
      <c r="CV39" s="196"/>
      <c r="CW39" s="196"/>
      <c r="CX39" s="196"/>
      <c r="CY39" s="196"/>
      <c r="CZ39" s="196"/>
      <c r="DA39" s="25" t="s">
        <v>405</v>
      </c>
      <c r="DB39" s="26">
        <f>IF($DB$37&gt;=0.3,$DB$35,"")</f>
        <v>0</v>
      </c>
      <c r="DC39" s="24">
        <f>_xlfn.NUMBERVALUE($DB$39)</f>
        <v>0</v>
      </c>
      <c r="DD39" s="26"/>
      <c r="DE39" s="196"/>
      <c r="DF39" s="196"/>
      <c r="DG39" s="196"/>
      <c r="DH39" s="196"/>
      <c r="DI39" s="196"/>
      <c r="DJ39" s="196"/>
      <c r="DK39" s="196"/>
      <c r="DL39" s="196"/>
      <c r="DM39" s="196"/>
      <c r="DN39" s="196"/>
      <c r="DO39" s="196"/>
      <c r="DP39" s="196"/>
      <c r="DQ39" s="196"/>
      <c r="DR39" s="196"/>
      <c r="DS39" s="196"/>
      <c r="DT39" s="196"/>
    </row>
    <row r="40" spans="1:124" ht="16.5" thickTop="1" thickBot="1" x14ac:dyDescent="0.3">
      <c r="A40" s="20" t="s">
        <v>21</v>
      </c>
      <c r="B40" s="533"/>
      <c r="C40" s="535"/>
      <c r="AA40" s="211" t="s">
        <v>407</v>
      </c>
      <c r="AB40" s="191">
        <f>$AC$38+$AC$39</f>
        <v>0</v>
      </c>
      <c r="AC40" s="26"/>
      <c r="AD40" s="26"/>
      <c r="AE40" s="196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/>
      <c r="BA40" s="211" t="s">
        <v>407</v>
      </c>
      <c r="BB40" s="191">
        <f>$BC$38+$BC$39</f>
        <v>0</v>
      </c>
      <c r="BC40" s="26"/>
      <c r="BD40" s="26"/>
      <c r="BX40" s="196"/>
      <c r="BY40" s="196"/>
      <c r="BZ40" s="196"/>
      <c r="CA40" s="322" t="s">
        <v>407</v>
      </c>
      <c r="CB40" s="191">
        <f>$CC$38+$CC$39</f>
        <v>0</v>
      </c>
      <c r="CC40" s="26"/>
      <c r="CD40" s="26"/>
      <c r="CE40" s="196"/>
      <c r="CF40" s="196"/>
      <c r="CG40" s="196"/>
      <c r="CH40" s="196"/>
      <c r="CI40" s="196"/>
      <c r="CJ40" s="196"/>
      <c r="CK40" s="196"/>
      <c r="CL40" s="196"/>
      <c r="CM40" s="196"/>
      <c r="CN40" s="196"/>
      <c r="CO40" s="196"/>
      <c r="CP40" s="196"/>
      <c r="CQ40" s="196"/>
      <c r="CR40" s="196"/>
      <c r="CS40" s="196"/>
      <c r="CT40" s="196"/>
      <c r="CU40" s="196"/>
      <c r="CV40" s="196"/>
      <c r="CW40" s="196"/>
      <c r="CX40" s="196"/>
      <c r="CY40" s="196"/>
      <c r="CZ40" s="196"/>
      <c r="DA40" s="322" t="s">
        <v>407</v>
      </c>
      <c r="DB40" s="191">
        <f>$DC$38+$DC$39</f>
        <v>0</v>
      </c>
      <c r="DC40" s="26"/>
      <c r="DD40" s="26"/>
      <c r="DE40" s="196"/>
      <c r="DF40" s="196"/>
      <c r="DG40" s="196"/>
      <c r="DH40" s="196"/>
      <c r="DI40" s="196"/>
      <c r="DJ40" s="196"/>
      <c r="DK40" s="196"/>
      <c r="DL40" s="196"/>
      <c r="DM40" s="196"/>
      <c r="DN40" s="196"/>
      <c r="DO40" s="196"/>
      <c r="DP40" s="196"/>
      <c r="DQ40" s="196"/>
      <c r="DR40" s="196"/>
      <c r="DS40" s="196"/>
      <c r="DT40" s="196"/>
    </row>
    <row r="41" spans="1:124" ht="15.75" thickBot="1" x14ac:dyDescent="0.3">
      <c r="A41" s="21" t="s">
        <v>23</v>
      </c>
      <c r="B41" s="169">
        <v>0.8</v>
      </c>
      <c r="C41" s="169">
        <v>0.8</v>
      </c>
      <c r="AF41" s="196"/>
      <c r="AG41" s="196"/>
      <c r="AK41" s="38"/>
      <c r="AL41" s="38"/>
      <c r="AM41" s="38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96"/>
      <c r="CM41" s="196"/>
      <c r="CN41" s="196"/>
      <c r="CO41" s="196"/>
      <c r="CP41" s="196"/>
      <c r="CQ41" s="196"/>
      <c r="CR41" s="196"/>
      <c r="CS41" s="196"/>
      <c r="CT41" s="196"/>
      <c r="CU41" s="196"/>
      <c r="CV41" s="196"/>
      <c r="CW41" s="196"/>
      <c r="CX41" s="196"/>
      <c r="CY41" s="196"/>
      <c r="CZ41" s="196"/>
      <c r="DA41" s="196"/>
      <c r="DB41" s="196"/>
      <c r="DC41" s="196"/>
      <c r="DD41" s="196"/>
      <c r="DE41" s="196"/>
      <c r="DF41" s="196"/>
      <c r="DG41" s="196"/>
      <c r="DH41" s="196"/>
      <c r="DI41" s="196"/>
      <c r="DJ41" s="196"/>
      <c r="DK41" s="196"/>
      <c r="DL41" s="196"/>
      <c r="DM41" s="196"/>
      <c r="DN41" s="196"/>
      <c r="DO41" s="196"/>
      <c r="DP41" s="196"/>
      <c r="DQ41" s="196"/>
      <c r="DR41" s="196"/>
      <c r="DS41" s="196"/>
      <c r="DT41" s="196"/>
    </row>
    <row r="42" spans="1:124" ht="15.75" thickBot="1" x14ac:dyDescent="0.3">
      <c r="A42" s="21" t="s">
        <v>25</v>
      </c>
      <c r="B42" s="198">
        <v>0.6</v>
      </c>
      <c r="C42" s="198">
        <v>0.6</v>
      </c>
      <c r="AK42" s="38"/>
      <c r="AL42" s="38"/>
      <c r="AM42" s="38"/>
      <c r="BX42" s="196"/>
      <c r="BY42" s="196"/>
      <c r="BZ42" s="196"/>
      <c r="CA42" s="196"/>
      <c r="CB42" s="196"/>
      <c r="CC42" s="196"/>
      <c r="CD42" s="196"/>
      <c r="CE42" s="196"/>
      <c r="CF42" s="196"/>
      <c r="CG42" s="196"/>
      <c r="CH42" s="196"/>
      <c r="CI42" s="196"/>
      <c r="CJ42" s="196"/>
      <c r="CK42" s="196"/>
      <c r="CL42" s="196"/>
      <c r="CM42" s="196"/>
      <c r="CN42" s="196"/>
      <c r="CO42" s="196"/>
      <c r="CP42" s="196"/>
      <c r="CQ42" s="196"/>
      <c r="CR42" s="196"/>
      <c r="CS42" s="196"/>
      <c r="CT42" s="196"/>
      <c r="CU42" s="196"/>
      <c r="CV42" s="196"/>
      <c r="CW42" s="196"/>
      <c r="CX42" s="196"/>
      <c r="CY42" s="196"/>
      <c r="CZ42" s="196"/>
      <c r="DA42" s="196"/>
      <c r="DB42" s="196"/>
      <c r="DC42" s="196"/>
      <c r="DD42" s="196"/>
      <c r="DE42" s="196"/>
      <c r="DF42" s="196"/>
      <c r="DG42" s="196"/>
      <c r="DH42" s="196"/>
      <c r="DI42" s="196"/>
      <c r="DJ42" s="196"/>
      <c r="DK42" s="196"/>
      <c r="DL42" s="196"/>
      <c r="DM42" s="196"/>
      <c r="DN42" s="196"/>
      <c r="DO42" s="196"/>
      <c r="DP42" s="196"/>
      <c r="DQ42" s="196"/>
      <c r="DR42" s="196"/>
      <c r="DS42" s="196"/>
      <c r="DT42" s="196"/>
    </row>
    <row r="43" spans="1:124" ht="15.75" thickBot="1" x14ac:dyDescent="0.3">
      <c r="A43" s="21" t="s">
        <v>149</v>
      </c>
      <c r="B43" s="198">
        <v>0.6</v>
      </c>
      <c r="C43" s="198">
        <v>0.6</v>
      </c>
      <c r="BX43" s="196"/>
      <c r="BY43" s="196"/>
      <c r="BZ43" s="196"/>
      <c r="CA43" s="196"/>
      <c r="CB43" s="196"/>
      <c r="CC43" s="196"/>
      <c r="CD43" s="196"/>
      <c r="CE43" s="196"/>
      <c r="CF43" s="196"/>
      <c r="CG43" s="196"/>
      <c r="CH43" s="196"/>
      <c r="CI43" s="196"/>
      <c r="CJ43" s="196"/>
      <c r="CK43" s="196"/>
      <c r="CL43" s="196"/>
      <c r="CM43" s="196"/>
      <c r="CN43" s="196"/>
      <c r="CO43" s="196"/>
      <c r="CP43" s="196"/>
      <c r="CQ43" s="196"/>
      <c r="CR43" s="196"/>
      <c r="CS43" s="196"/>
      <c r="CT43" s="196"/>
      <c r="CU43" s="196"/>
      <c r="CV43" s="196"/>
      <c r="CW43" s="196"/>
      <c r="CX43" s="196"/>
      <c r="CY43" s="196"/>
      <c r="CZ43" s="196"/>
      <c r="DA43" s="196"/>
      <c r="DB43" s="196"/>
      <c r="DC43" s="196"/>
      <c r="DD43" s="196"/>
      <c r="DE43" s="196"/>
      <c r="DF43" s="196"/>
      <c r="DG43" s="196"/>
      <c r="DH43" s="196"/>
      <c r="DI43" s="196"/>
      <c r="DJ43" s="196"/>
      <c r="DK43" s="196"/>
      <c r="DL43" s="196"/>
      <c r="DM43" s="196"/>
      <c r="DN43" s="196"/>
      <c r="DO43" s="196"/>
      <c r="DP43" s="196"/>
      <c r="DQ43" s="196"/>
      <c r="DR43" s="196"/>
      <c r="DS43" s="196"/>
      <c r="DT43" s="196"/>
    </row>
    <row r="44" spans="1:124" ht="15.75" thickBot="1" x14ac:dyDescent="0.3">
      <c r="A44" s="21" t="s">
        <v>28</v>
      </c>
      <c r="B44" s="169">
        <v>0.8</v>
      </c>
      <c r="C44" s="169">
        <v>0.8</v>
      </c>
      <c r="BX44" s="196"/>
      <c r="BY44" s="196"/>
      <c r="BZ44" s="196"/>
      <c r="CA44" s="196"/>
      <c r="CB44" s="196"/>
      <c r="CC44" s="196"/>
      <c r="CD44" s="196"/>
      <c r="CE44" s="196"/>
      <c r="CF44" s="196"/>
      <c r="CG44" s="196"/>
      <c r="CH44" s="196"/>
      <c r="CI44" s="196"/>
      <c r="CJ44" s="196"/>
      <c r="CK44" s="196"/>
      <c r="CL44" s="196"/>
      <c r="CM44" s="196"/>
      <c r="CN44" s="196"/>
      <c r="CO44" s="196"/>
      <c r="CP44" s="196"/>
      <c r="CQ44" s="196"/>
      <c r="CR44" s="196"/>
      <c r="CS44" s="196"/>
      <c r="CT44" s="196"/>
      <c r="CU44" s="196"/>
      <c r="CV44" s="196"/>
      <c r="CW44" s="196"/>
      <c r="CX44" s="196"/>
      <c r="CY44" s="196"/>
      <c r="CZ44" s="196"/>
      <c r="DA44" s="196"/>
      <c r="DB44" s="196"/>
      <c r="DC44" s="196"/>
      <c r="DD44" s="196"/>
      <c r="DE44" s="196"/>
      <c r="DF44" s="196"/>
      <c r="DG44" s="196"/>
      <c r="DH44" s="196"/>
      <c r="DI44" s="196"/>
      <c r="DJ44" s="196"/>
      <c r="DK44" s="196"/>
      <c r="DL44" s="196"/>
      <c r="DM44" s="196"/>
      <c r="DN44" s="196"/>
      <c r="DO44" s="196"/>
      <c r="DP44" s="196"/>
      <c r="DQ44" s="196"/>
      <c r="DR44" s="196"/>
      <c r="DS44" s="196"/>
      <c r="DT44" s="196"/>
    </row>
    <row r="45" spans="1:124" ht="15.75" thickBot="1" x14ac:dyDescent="0.3">
      <c r="A45" s="21" t="s">
        <v>30</v>
      </c>
      <c r="B45" s="169">
        <v>0.9</v>
      </c>
      <c r="C45" s="169">
        <v>0.9</v>
      </c>
      <c r="AG45" s="196"/>
      <c r="BX45" s="196"/>
      <c r="BY45" s="196"/>
      <c r="BZ45" s="196"/>
      <c r="CA45" s="196"/>
      <c r="CB45" s="196"/>
      <c r="CC45" s="196"/>
      <c r="CD45" s="196"/>
      <c r="CE45" s="196"/>
      <c r="CF45" s="196"/>
      <c r="CG45" s="196"/>
      <c r="CH45" s="196"/>
      <c r="CI45" s="196"/>
      <c r="CJ45" s="196"/>
      <c r="CK45" s="196"/>
      <c r="CL45" s="196"/>
      <c r="CM45" s="196"/>
      <c r="CN45" s="196"/>
      <c r="CO45" s="196"/>
      <c r="CP45" s="196"/>
      <c r="CQ45" s="196"/>
      <c r="CR45" s="196"/>
      <c r="CS45" s="196"/>
      <c r="CT45" s="196"/>
      <c r="CU45" s="196"/>
      <c r="CV45" s="196"/>
      <c r="CW45" s="196"/>
      <c r="CX45" s="196"/>
      <c r="CY45" s="196"/>
      <c r="CZ45" s="196"/>
      <c r="DA45" s="196"/>
      <c r="DB45" s="196"/>
      <c r="DC45" s="196"/>
      <c r="DD45" s="196"/>
      <c r="DE45" s="196"/>
      <c r="DF45" s="196"/>
      <c r="DG45" s="196"/>
      <c r="DH45" s="196"/>
      <c r="DI45" s="196"/>
      <c r="DJ45" s="196"/>
      <c r="DK45" s="196"/>
      <c r="DL45" s="196"/>
      <c r="DM45" s="196"/>
      <c r="DN45" s="196"/>
      <c r="DO45" s="196"/>
      <c r="DP45" s="196"/>
      <c r="DQ45" s="196"/>
      <c r="DR45" s="196"/>
      <c r="DS45" s="196"/>
      <c r="DT45" s="196"/>
    </row>
    <row r="46" spans="1:124" ht="15.75" thickBot="1" x14ac:dyDescent="0.3">
      <c r="A46" s="21" t="s">
        <v>29</v>
      </c>
      <c r="B46" s="198">
        <v>0.6</v>
      </c>
      <c r="C46" s="198">
        <v>0.6</v>
      </c>
      <c r="BX46" s="196"/>
      <c r="BY46" s="196"/>
      <c r="BZ46" s="196"/>
      <c r="CA46" s="196"/>
      <c r="CB46" s="196"/>
      <c r="CC46" s="196"/>
      <c r="CD46" s="196"/>
      <c r="CE46" s="196"/>
      <c r="CF46" s="196"/>
      <c r="CG46" s="196"/>
      <c r="CH46" s="196"/>
      <c r="CI46" s="196"/>
      <c r="CJ46" s="196"/>
      <c r="CK46" s="196"/>
      <c r="CL46" s="196"/>
      <c r="CM46" s="196"/>
      <c r="CN46" s="196"/>
      <c r="CO46" s="196"/>
      <c r="CP46" s="196"/>
      <c r="CQ46" s="196"/>
      <c r="CR46" s="196"/>
      <c r="CS46" s="196"/>
      <c r="CT46" s="196"/>
      <c r="CU46" s="196"/>
      <c r="CV46" s="196"/>
      <c r="CW46" s="196"/>
      <c r="CX46" s="196"/>
      <c r="CY46" s="196"/>
      <c r="CZ46" s="196"/>
      <c r="DA46" s="196"/>
      <c r="DB46" s="196"/>
      <c r="DC46" s="196"/>
      <c r="DD46" s="196"/>
      <c r="DE46" s="196"/>
      <c r="DF46" s="196"/>
      <c r="DG46" s="196"/>
      <c r="DH46" s="196"/>
      <c r="DI46" s="196"/>
      <c r="DJ46" s="196"/>
      <c r="DK46" s="196"/>
      <c r="DL46" s="196"/>
      <c r="DM46" s="196"/>
      <c r="DN46" s="196"/>
      <c r="DO46" s="196"/>
      <c r="DP46" s="196"/>
      <c r="DQ46" s="196"/>
      <c r="DR46" s="196"/>
      <c r="DS46" s="196"/>
      <c r="DT46" s="196"/>
    </row>
    <row r="47" spans="1:124" ht="15.75" thickBot="1" x14ac:dyDescent="0.3">
      <c r="A47" s="21" t="s">
        <v>150</v>
      </c>
      <c r="B47" s="198">
        <v>0.6</v>
      </c>
      <c r="C47" s="198">
        <v>0.6</v>
      </c>
      <c r="BM47" s="196"/>
      <c r="BN47" s="196"/>
      <c r="BO47" s="196"/>
      <c r="BR47" s="196"/>
      <c r="BS47" s="196"/>
      <c r="BT47" s="196"/>
      <c r="BU47" s="196"/>
      <c r="BV47" s="196"/>
      <c r="BW47" s="196"/>
      <c r="BX47" s="196"/>
      <c r="BY47" s="196"/>
      <c r="BZ47" s="196"/>
      <c r="CA47" s="196"/>
      <c r="CB47" s="196"/>
      <c r="CC47" s="196"/>
      <c r="CD47" s="196"/>
      <c r="CE47" s="196"/>
      <c r="CF47" s="196"/>
      <c r="CG47" s="196"/>
      <c r="CH47" s="196"/>
      <c r="CI47" s="196"/>
      <c r="CJ47" s="196"/>
      <c r="CK47" s="196"/>
      <c r="CL47" s="196"/>
      <c r="CM47" s="196"/>
      <c r="CN47" s="196"/>
      <c r="CO47" s="196"/>
      <c r="CP47" s="196"/>
      <c r="CQ47" s="196"/>
      <c r="CR47" s="196"/>
      <c r="CS47" s="196"/>
      <c r="CT47" s="196"/>
      <c r="CU47" s="196"/>
      <c r="CV47" s="196"/>
      <c r="CW47" s="196"/>
      <c r="CX47" s="196"/>
      <c r="CY47" s="196"/>
      <c r="CZ47" s="196"/>
      <c r="DA47" s="196"/>
      <c r="DB47" s="196"/>
      <c r="DC47" s="196"/>
      <c r="DD47" s="196"/>
      <c r="DE47" s="196"/>
      <c r="DF47" s="196"/>
      <c r="DG47" s="196"/>
      <c r="DH47" s="196"/>
      <c r="DI47" s="196"/>
      <c r="DJ47" s="196"/>
      <c r="DK47" s="196"/>
      <c r="DL47" s="196"/>
      <c r="DM47" s="196"/>
      <c r="DN47" s="196"/>
      <c r="DO47" s="196"/>
      <c r="DP47" s="196"/>
      <c r="DQ47" s="196"/>
      <c r="DR47" s="196"/>
      <c r="DS47" s="196"/>
      <c r="DT47" s="196"/>
    </row>
    <row r="48" spans="1:124" ht="15.75" thickBot="1" x14ac:dyDescent="0.3">
      <c r="A48" s="21" t="s">
        <v>33</v>
      </c>
      <c r="B48" s="169">
        <v>0.8</v>
      </c>
      <c r="C48" s="169">
        <v>0.8</v>
      </c>
      <c r="BM48" s="196"/>
      <c r="BN48" s="196"/>
      <c r="BO48" s="196"/>
      <c r="BR48" s="196"/>
      <c r="BS48" s="196"/>
      <c r="BT48" s="196"/>
      <c r="BU48" s="196"/>
      <c r="BV48" s="196"/>
      <c r="BW48" s="196"/>
      <c r="BX48" s="196"/>
      <c r="BY48" s="196"/>
      <c r="BZ48" s="196"/>
      <c r="CA48" s="196"/>
      <c r="CB48" s="196"/>
      <c r="CC48" s="196"/>
      <c r="CD48" s="196"/>
      <c r="CE48" s="196"/>
      <c r="CF48" s="196"/>
      <c r="CG48" s="196"/>
      <c r="CH48" s="196"/>
      <c r="CI48" s="196"/>
      <c r="CJ48" s="196"/>
      <c r="CK48" s="196"/>
      <c r="CL48" s="196"/>
      <c r="CM48" s="196"/>
      <c r="CN48" s="196"/>
      <c r="CO48" s="196"/>
      <c r="CP48" s="196"/>
      <c r="CQ48" s="196"/>
      <c r="CR48" s="196"/>
      <c r="CS48" s="196"/>
      <c r="CT48" s="196"/>
      <c r="CU48" s="196"/>
      <c r="CV48" s="196"/>
      <c r="CW48" s="196"/>
      <c r="CX48" s="196"/>
      <c r="CY48" s="196"/>
      <c r="CZ48" s="196"/>
      <c r="DA48" s="196"/>
      <c r="DB48" s="196"/>
      <c r="DC48" s="196"/>
      <c r="DD48" s="196"/>
      <c r="DE48" s="196"/>
      <c r="DF48" s="196"/>
      <c r="DG48" s="196"/>
      <c r="DH48" s="196"/>
      <c r="DI48" s="196"/>
      <c r="DJ48" s="196"/>
      <c r="DK48" s="196"/>
      <c r="DL48" s="196"/>
      <c r="DM48" s="196"/>
      <c r="DN48" s="196"/>
      <c r="DO48" s="196"/>
      <c r="DP48" s="196"/>
      <c r="DQ48" s="196"/>
      <c r="DR48" s="196"/>
      <c r="DS48" s="196"/>
      <c r="DT48" s="196"/>
    </row>
    <row r="49" spans="1:124" ht="15.75" thickBot="1" x14ac:dyDescent="0.3">
      <c r="A49" s="28" t="s">
        <v>27</v>
      </c>
      <c r="B49" s="29">
        <v>0</v>
      </c>
      <c r="C49" s="29">
        <v>0</v>
      </c>
      <c r="BM49" s="196"/>
      <c r="BN49" s="196"/>
      <c r="BO49" s="196"/>
      <c r="BR49" s="196"/>
      <c r="BS49" s="196"/>
      <c r="BT49" s="196"/>
      <c r="BU49" s="196"/>
      <c r="BV49" s="196"/>
      <c r="BW49" s="196"/>
      <c r="BX49" s="196"/>
      <c r="BY49" s="196"/>
      <c r="BZ49" s="196"/>
      <c r="CA49" s="196"/>
      <c r="CB49" s="196"/>
      <c r="CC49" s="196"/>
      <c r="CD49" s="196"/>
      <c r="CE49" s="196"/>
      <c r="CF49" s="196"/>
      <c r="CG49" s="196"/>
      <c r="CH49" s="196"/>
      <c r="CI49" s="196"/>
      <c r="CJ49" s="196"/>
      <c r="CK49" s="196"/>
      <c r="CL49" s="196"/>
      <c r="CM49" s="196"/>
      <c r="CN49" s="196"/>
      <c r="CO49" s="196"/>
      <c r="CP49" s="196"/>
      <c r="CQ49" s="196"/>
      <c r="CR49" s="196"/>
      <c r="CS49" s="196"/>
      <c r="CT49" s="196"/>
      <c r="CU49" s="196"/>
      <c r="CV49" s="196"/>
      <c r="CW49" s="196"/>
      <c r="CX49" s="196"/>
      <c r="CY49" s="196"/>
      <c r="CZ49" s="196"/>
      <c r="DA49" s="196"/>
      <c r="DB49" s="196"/>
      <c r="DC49" s="196"/>
      <c r="DD49" s="196"/>
      <c r="DE49" s="196"/>
      <c r="DF49" s="196"/>
      <c r="DG49" s="196"/>
      <c r="DH49" s="196"/>
      <c r="DI49" s="196"/>
      <c r="DJ49" s="196"/>
      <c r="DK49" s="196"/>
      <c r="DL49" s="196"/>
      <c r="DM49" s="196"/>
      <c r="DN49" s="196"/>
      <c r="DO49" s="196"/>
      <c r="DP49" s="196"/>
      <c r="DQ49" s="196"/>
      <c r="DR49" s="196"/>
      <c r="DS49" s="196"/>
      <c r="DT49" s="196"/>
    </row>
    <row r="50" spans="1:124" ht="15.75" thickBot="1" x14ac:dyDescent="0.3">
      <c r="A50" s="28" t="s">
        <v>36</v>
      </c>
      <c r="B50" s="29">
        <v>0.2</v>
      </c>
      <c r="C50" s="29"/>
      <c r="BM50" s="196"/>
      <c r="BN50" s="196"/>
      <c r="BO50" s="196"/>
      <c r="BR50" s="196"/>
      <c r="BS50" s="196"/>
      <c r="BT50" s="196"/>
      <c r="BU50" s="196"/>
      <c r="BV50" s="196"/>
      <c r="BW50" s="196"/>
      <c r="BX50" s="196"/>
      <c r="BY50" s="196"/>
      <c r="BZ50" s="196"/>
      <c r="CA50" s="196"/>
      <c r="CB50" s="196"/>
      <c r="CC50" s="196"/>
      <c r="CD50" s="196"/>
      <c r="CE50" s="196"/>
      <c r="CF50" s="196"/>
      <c r="CG50" s="196"/>
      <c r="CH50" s="196"/>
      <c r="CI50" s="196"/>
      <c r="CJ50" s="196"/>
      <c r="CK50" s="196"/>
      <c r="CL50" s="196"/>
      <c r="CM50" s="196"/>
      <c r="CN50" s="196"/>
      <c r="CO50" s="196"/>
      <c r="CP50" s="196"/>
      <c r="CQ50" s="196"/>
      <c r="CR50" s="196"/>
      <c r="CS50" s="196"/>
      <c r="CT50" s="196"/>
      <c r="CU50" s="196"/>
      <c r="CV50" s="196"/>
      <c r="CW50" s="196"/>
      <c r="CX50" s="196"/>
      <c r="CY50" s="196"/>
      <c r="CZ50" s="196"/>
      <c r="DA50" s="196"/>
      <c r="DB50" s="196"/>
      <c r="DC50" s="196"/>
      <c r="DD50" s="196"/>
      <c r="DE50" s="196"/>
      <c r="DF50" s="196"/>
      <c r="DG50" s="196"/>
      <c r="DH50" s="196"/>
      <c r="DI50" s="196"/>
      <c r="DJ50" s="196"/>
      <c r="DK50" s="196"/>
      <c r="DL50" s="196"/>
      <c r="DM50" s="196"/>
      <c r="DN50" s="196"/>
      <c r="DO50" s="196"/>
      <c r="DP50" s="196"/>
      <c r="DQ50" s="196"/>
      <c r="DR50" s="196"/>
      <c r="DS50" s="196"/>
      <c r="DT50" s="196"/>
    </row>
    <row r="51" spans="1:124" ht="15.75" thickBot="1" x14ac:dyDescent="0.3">
      <c r="A51" s="28" t="s">
        <v>37</v>
      </c>
      <c r="B51" s="29">
        <v>0.15</v>
      </c>
      <c r="C51" s="29"/>
      <c r="BM51" s="196"/>
      <c r="BN51" s="196"/>
      <c r="BO51" s="196"/>
      <c r="BR51" s="196"/>
      <c r="BS51" s="196"/>
      <c r="BT51" s="196"/>
      <c r="BU51" s="196"/>
      <c r="BV51" s="196"/>
      <c r="BW51" s="196"/>
      <c r="BX51" s="196"/>
      <c r="BY51" s="196"/>
      <c r="BZ51" s="196"/>
      <c r="CA51" s="196"/>
      <c r="CB51" s="196"/>
      <c r="CC51" s="196"/>
      <c r="CD51" s="196"/>
      <c r="CE51" s="196"/>
      <c r="CF51" s="196"/>
      <c r="CG51" s="196"/>
      <c r="CH51" s="196"/>
      <c r="CI51" s="196"/>
      <c r="CJ51" s="196"/>
      <c r="CK51" s="196"/>
      <c r="CL51" s="196"/>
      <c r="CM51" s="196"/>
      <c r="CN51" s="196"/>
      <c r="CO51" s="196"/>
      <c r="CP51" s="196"/>
      <c r="CQ51" s="196"/>
      <c r="CR51" s="196"/>
      <c r="CS51" s="196"/>
      <c r="CT51" s="196"/>
      <c r="CU51" s="196"/>
      <c r="CV51" s="196"/>
      <c r="CW51" s="196"/>
      <c r="CX51" s="196"/>
      <c r="CY51" s="196"/>
      <c r="CZ51" s="196"/>
      <c r="DA51" s="196"/>
      <c r="DB51" s="196"/>
      <c r="DC51" s="196"/>
      <c r="DD51" s="196"/>
      <c r="DE51" s="196"/>
      <c r="DF51" s="196"/>
      <c r="DG51" s="196"/>
      <c r="DH51" s="196"/>
      <c r="DI51" s="196"/>
      <c r="DJ51" s="196"/>
      <c r="DK51" s="196"/>
      <c r="DL51" s="196"/>
      <c r="DM51" s="196"/>
      <c r="DN51" s="196"/>
      <c r="DO51" s="196"/>
      <c r="DP51" s="196"/>
      <c r="DQ51" s="196"/>
      <c r="DR51" s="196"/>
      <c r="DS51" s="196"/>
      <c r="DT51" s="196"/>
    </row>
    <row r="52" spans="1:124" ht="15.75" thickBot="1" x14ac:dyDescent="0.3">
      <c r="A52" s="516" t="s">
        <v>38</v>
      </c>
      <c r="B52" s="517"/>
      <c r="C52" s="518"/>
      <c r="BM52" s="196"/>
      <c r="BN52" s="196"/>
      <c r="BO52" s="196"/>
      <c r="BR52" s="196"/>
      <c r="BS52" s="196"/>
      <c r="BT52" s="196"/>
      <c r="BU52" s="196"/>
      <c r="BV52" s="196"/>
      <c r="BW52" s="196"/>
      <c r="BX52" s="196"/>
      <c r="BY52" s="196"/>
      <c r="BZ52" s="196"/>
      <c r="CA52" s="196"/>
      <c r="CB52" s="196"/>
      <c r="CC52" s="196"/>
      <c r="CD52" s="196"/>
      <c r="CE52" s="196"/>
      <c r="CF52" s="196"/>
      <c r="CG52" s="196"/>
      <c r="CH52" s="196"/>
      <c r="CI52" s="196"/>
      <c r="CJ52" s="196"/>
      <c r="CK52" s="196"/>
      <c r="CL52" s="196"/>
      <c r="CM52" s="196"/>
      <c r="CN52" s="196"/>
      <c r="CO52" s="196"/>
      <c r="CP52" s="196"/>
      <c r="CQ52" s="196"/>
      <c r="CR52" s="196"/>
      <c r="CS52" s="196"/>
      <c r="CT52" s="196"/>
      <c r="CU52" s="196"/>
      <c r="CV52" s="196"/>
      <c r="CW52" s="196"/>
      <c r="CX52" s="196"/>
      <c r="CY52" s="196"/>
      <c r="CZ52" s="196"/>
      <c r="DA52" s="196"/>
      <c r="DB52" s="196"/>
      <c r="DC52" s="196"/>
      <c r="DD52" s="196"/>
      <c r="DE52" s="196"/>
      <c r="DF52" s="196"/>
      <c r="DG52" s="196"/>
      <c r="DH52" s="196"/>
      <c r="DI52" s="196"/>
      <c r="DJ52" s="196"/>
      <c r="DK52" s="196"/>
      <c r="DL52" s="196"/>
      <c r="DM52" s="196"/>
      <c r="DN52" s="196"/>
      <c r="DO52" s="196"/>
      <c r="DP52" s="196"/>
      <c r="DQ52" s="196"/>
      <c r="DR52" s="196"/>
      <c r="DS52" s="196"/>
      <c r="DT52" s="196"/>
    </row>
    <row r="53" spans="1:124" ht="16.5" thickTop="1" thickBot="1" x14ac:dyDescent="0.3">
      <c r="A53" s="33" t="s">
        <v>39</v>
      </c>
      <c r="B53" s="34">
        <v>0.3</v>
      </c>
      <c r="BM53" s="196"/>
      <c r="BN53" s="196"/>
      <c r="BO53" s="196"/>
      <c r="BR53" s="196"/>
      <c r="BS53" s="196"/>
      <c r="BT53" s="196"/>
      <c r="BU53" s="196"/>
      <c r="BV53" s="196"/>
      <c r="BW53" s="196"/>
      <c r="BX53" s="196"/>
      <c r="BY53" s="196"/>
      <c r="BZ53" s="196"/>
      <c r="CA53" s="196"/>
      <c r="CB53" s="196"/>
      <c r="CC53" s="196"/>
      <c r="CD53" s="196"/>
      <c r="CE53" s="196"/>
      <c r="CF53" s="196"/>
      <c r="CG53" s="196"/>
      <c r="CH53" s="196"/>
      <c r="CI53" s="196"/>
      <c r="CJ53" s="196"/>
      <c r="CK53" s="196"/>
      <c r="CL53" s="196"/>
      <c r="CM53" s="196"/>
      <c r="CN53" s="196"/>
      <c r="CO53" s="196"/>
      <c r="CP53" s="196"/>
      <c r="CQ53" s="196"/>
      <c r="CR53" s="196"/>
      <c r="CS53" s="196"/>
      <c r="CT53" s="196"/>
      <c r="CU53" s="196"/>
      <c r="CV53" s="196"/>
      <c r="CW53" s="196"/>
      <c r="CX53" s="196"/>
      <c r="CY53" s="196"/>
      <c r="CZ53" s="196"/>
      <c r="DA53" s="196"/>
      <c r="DB53" s="196"/>
      <c r="DC53" s="196"/>
      <c r="DD53" s="196"/>
      <c r="DE53" s="196"/>
      <c r="DF53" s="196"/>
      <c r="DG53" s="196"/>
      <c r="DH53" s="196"/>
      <c r="DI53" s="196"/>
      <c r="DJ53" s="196"/>
      <c r="DK53" s="196"/>
      <c r="DL53" s="196"/>
      <c r="DM53" s="196"/>
      <c r="DN53" s="196"/>
      <c r="DO53" s="196"/>
      <c r="DP53" s="196"/>
      <c r="DQ53" s="196"/>
      <c r="DR53" s="196"/>
      <c r="DS53" s="196"/>
      <c r="DT53" s="196"/>
    </row>
    <row r="54" spans="1:124" ht="16.5" thickTop="1" thickBot="1" x14ac:dyDescent="0.3">
      <c r="A54" s="33" t="s">
        <v>40</v>
      </c>
      <c r="B54" s="34">
        <v>0.3</v>
      </c>
      <c r="BM54" s="196"/>
      <c r="BN54" s="196"/>
      <c r="BO54" s="196"/>
      <c r="BR54" s="196"/>
      <c r="BS54" s="196"/>
      <c r="BT54" s="196"/>
      <c r="BU54" s="196"/>
      <c r="BV54" s="196"/>
      <c r="BW54" s="196"/>
      <c r="BX54" s="196"/>
      <c r="BY54" s="196"/>
      <c r="BZ54" s="196"/>
      <c r="CA54" s="196"/>
      <c r="CB54" s="196"/>
      <c r="CC54" s="196"/>
      <c r="CD54" s="196"/>
      <c r="CE54" s="196"/>
      <c r="CF54" s="196"/>
      <c r="CG54" s="196"/>
      <c r="CH54" s="196"/>
      <c r="CI54" s="196"/>
      <c r="CJ54" s="196"/>
      <c r="CK54" s="196"/>
      <c r="CL54" s="196"/>
      <c r="CM54" s="196"/>
      <c r="CN54" s="196"/>
      <c r="CO54" s="196"/>
      <c r="CP54" s="196"/>
      <c r="CQ54" s="196"/>
      <c r="CR54" s="196"/>
      <c r="CS54" s="196"/>
      <c r="CT54" s="196"/>
      <c r="CU54" s="196"/>
      <c r="CV54" s="196"/>
      <c r="CW54" s="196"/>
      <c r="CX54" s="196"/>
      <c r="CY54" s="196"/>
      <c r="CZ54" s="196"/>
      <c r="DA54" s="196"/>
      <c r="DB54" s="196"/>
      <c r="DC54" s="196"/>
      <c r="DD54" s="196"/>
      <c r="DE54" s="196"/>
      <c r="DF54" s="196"/>
      <c r="DG54" s="196"/>
      <c r="DH54" s="196"/>
      <c r="DI54" s="196"/>
      <c r="DJ54" s="196"/>
      <c r="DK54" s="196"/>
      <c r="DL54" s="196"/>
      <c r="DM54" s="196"/>
      <c r="DN54" s="196"/>
      <c r="DO54" s="196"/>
      <c r="DP54" s="196"/>
      <c r="DQ54" s="196"/>
      <c r="DR54" s="196"/>
      <c r="DS54" s="196"/>
      <c r="DT54" s="196"/>
    </row>
    <row r="55" spans="1:124" ht="16.5" thickTop="1" thickBot="1" x14ac:dyDescent="0.3">
      <c r="A55" s="33" t="s">
        <v>41</v>
      </c>
      <c r="B55" s="34">
        <v>0.3</v>
      </c>
      <c r="BM55" s="196"/>
      <c r="BN55" s="196"/>
      <c r="BO55" s="196"/>
      <c r="BR55" s="196"/>
      <c r="BS55" s="196"/>
      <c r="BT55" s="196"/>
      <c r="BU55" s="196"/>
      <c r="BV55" s="196"/>
      <c r="BW55" s="196"/>
      <c r="BX55" s="196"/>
      <c r="BY55" s="196"/>
      <c r="BZ55" s="196"/>
      <c r="CA55" s="196"/>
      <c r="CB55" s="196"/>
      <c r="CC55" s="196"/>
      <c r="CD55" s="196"/>
      <c r="CE55" s="196"/>
      <c r="CF55" s="196"/>
      <c r="CG55" s="196"/>
      <c r="CH55" s="196"/>
      <c r="CI55" s="196"/>
      <c r="CJ55" s="196"/>
      <c r="CK55" s="196"/>
      <c r="CL55" s="196"/>
      <c r="CM55" s="196"/>
      <c r="CN55" s="196"/>
      <c r="CO55" s="196"/>
      <c r="CP55" s="196"/>
      <c r="CQ55" s="196"/>
      <c r="CR55" s="196"/>
      <c r="CS55" s="196"/>
      <c r="CT55" s="196"/>
      <c r="CU55" s="196"/>
      <c r="CV55" s="196"/>
      <c r="CW55" s="196"/>
      <c r="CX55" s="196"/>
      <c r="CY55" s="196"/>
      <c r="CZ55" s="196"/>
      <c r="DA55" s="196"/>
      <c r="DB55" s="196"/>
      <c r="DC55" s="196"/>
      <c r="DD55" s="196"/>
      <c r="DE55" s="196"/>
      <c r="DF55" s="196"/>
      <c r="DG55" s="196"/>
      <c r="DH55" s="196"/>
      <c r="DI55" s="196"/>
      <c r="DJ55" s="196"/>
      <c r="DK55" s="196"/>
      <c r="DL55" s="196"/>
      <c r="DM55" s="196"/>
      <c r="DN55" s="196"/>
      <c r="DO55" s="196"/>
      <c r="DP55" s="196"/>
      <c r="DQ55" s="196"/>
      <c r="DR55" s="196"/>
      <c r="DS55" s="196"/>
      <c r="DT55" s="196"/>
    </row>
    <row r="56" spans="1:124" ht="16.5" thickTop="1" thickBot="1" x14ac:dyDescent="0.3">
      <c r="A56" s="33" t="s">
        <v>11</v>
      </c>
      <c r="B56" s="34">
        <v>0.2</v>
      </c>
      <c r="BM56" s="196"/>
      <c r="BN56" s="196"/>
      <c r="BO56" s="196"/>
      <c r="BR56" s="196"/>
      <c r="BS56" s="196"/>
      <c r="BT56" s="196"/>
      <c r="BU56" s="196"/>
      <c r="BV56" s="196"/>
      <c r="BW56" s="196"/>
      <c r="BX56" s="196"/>
      <c r="BY56" s="196"/>
      <c r="BZ56" s="196"/>
      <c r="CA56" s="196"/>
      <c r="CB56" s="196"/>
      <c r="CC56" s="196"/>
      <c r="CD56" s="196"/>
      <c r="CE56" s="196"/>
      <c r="CF56" s="196"/>
      <c r="CG56" s="196"/>
      <c r="CH56" s="196"/>
      <c r="CI56" s="196"/>
      <c r="CJ56" s="196"/>
      <c r="CK56" s="196"/>
      <c r="CL56" s="196"/>
      <c r="CM56" s="196"/>
      <c r="CN56" s="196"/>
      <c r="CO56" s="196"/>
      <c r="CP56" s="196"/>
      <c r="CQ56" s="196"/>
      <c r="CR56" s="196"/>
      <c r="CS56" s="196"/>
      <c r="CT56" s="196"/>
      <c r="CU56" s="196"/>
      <c r="CV56" s="196"/>
      <c r="CW56" s="196"/>
      <c r="CX56" s="196"/>
      <c r="CY56" s="196"/>
      <c r="CZ56" s="196"/>
      <c r="DA56" s="196"/>
      <c r="DB56" s="196"/>
      <c r="DC56" s="196"/>
      <c r="DD56" s="196"/>
      <c r="DE56" s="196"/>
      <c r="DF56" s="196"/>
      <c r="DG56" s="196"/>
      <c r="DH56" s="196"/>
      <c r="DI56" s="196"/>
      <c r="DJ56" s="196"/>
      <c r="DK56" s="196"/>
      <c r="DL56" s="196"/>
      <c r="DM56" s="196"/>
      <c r="DN56" s="196"/>
      <c r="DO56" s="196"/>
      <c r="DP56" s="196"/>
      <c r="DQ56" s="196"/>
      <c r="DR56" s="196"/>
      <c r="DS56" s="196"/>
      <c r="DT56" s="196"/>
    </row>
    <row r="57" spans="1:124" ht="16.5" thickTop="1" thickBot="1" x14ac:dyDescent="0.3">
      <c r="A57" s="33" t="s">
        <v>42</v>
      </c>
      <c r="B57" s="34">
        <v>0.25</v>
      </c>
      <c r="BM57" s="196"/>
      <c r="BN57" s="196"/>
      <c r="BO57" s="196"/>
      <c r="BR57" s="196"/>
      <c r="BS57" s="196"/>
      <c r="BT57" s="196"/>
      <c r="BU57" s="196"/>
      <c r="BV57" s="196"/>
      <c r="BW57" s="196"/>
      <c r="BX57" s="196"/>
      <c r="BY57" s="196"/>
      <c r="BZ57" s="196"/>
      <c r="CA57" s="196"/>
      <c r="CB57" s="196"/>
      <c r="CC57" s="196"/>
      <c r="CD57" s="196"/>
      <c r="CE57" s="196"/>
      <c r="CF57" s="196"/>
      <c r="CG57" s="196"/>
      <c r="CH57" s="196"/>
      <c r="CI57" s="196"/>
      <c r="CJ57" s="196"/>
      <c r="CK57" s="196"/>
      <c r="CL57" s="196"/>
      <c r="CM57" s="196"/>
      <c r="CN57" s="196"/>
      <c r="CO57" s="196"/>
      <c r="CP57" s="196"/>
      <c r="CQ57" s="196"/>
      <c r="CR57" s="196"/>
      <c r="CS57" s="196"/>
      <c r="CT57" s="196"/>
      <c r="CU57" s="196"/>
      <c r="CV57" s="196"/>
      <c r="CW57" s="196"/>
      <c r="CX57" s="196"/>
      <c r="CY57" s="196"/>
      <c r="CZ57" s="196"/>
      <c r="DA57" s="196"/>
      <c r="DB57" s="196"/>
      <c r="DC57" s="196"/>
      <c r="DD57" s="196"/>
      <c r="DE57" s="196"/>
      <c r="DF57" s="196"/>
      <c r="DG57" s="196"/>
      <c r="DH57" s="196"/>
      <c r="DI57" s="196"/>
      <c r="DJ57" s="196"/>
      <c r="DK57" s="196"/>
      <c r="DL57" s="196"/>
      <c r="DM57" s="196"/>
      <c r="DN57" s="196"/>
      <c r="DO57" s="196"/>
      <c r="DP57" s="196"/>
      <c r="DQ57" s="196"/>
      <c r="DR57" s="196"/>
      <c r="DS57" s="196"/>
      <c r="DT57" s="196"/>
    </row>
    <row r="58" spans="1:124" ht="16.5" thickTop="1" thickBot="1" x14ac:dyDescent="0.3">
      <c r="A58" s="33" t="s">
        <v>352</v>
      </c>
      <c r="B58" s="34">
        <v>0.9</v>
      </c>
      <c r="BM58" s="196"/>
      <c r="BN58" s="196"/>
      <c r="BO58" s="196"/>
      <c r="BR58" s="196"/>
      <c r="BS58" s="196"/>
      <c r="BT58" s="196"/>
      <c r="BU58" s="196"/>
      <c r="BV58" s="196"/>
      <c r="BW58" s="196"/>
      <c r="BX58" s="196"/>
      <c r="BY58" s="196"/>
      <c r="BZ58" s="196"/>
      <c r="CA58" s="196"/>
      <c r="CB58" s="196"/>
      <c r="CC58" s="196"/>
      <c r="CD58" s="196"/>
      <c r="CE58" s="196"/>
      <c r="CF58" s="196"/>
      <c r="CG58" s="196"/>
      <c r="CH58" s="196"/>
      <c r="CI58" s="196"/>
      <c r="CJ58" s="196"/>
      <c r="CK58" s="196"/>
      <c r="CL58" s="196"/>
      <c r="CM58" s="196"/>
      <c r="CN58" s="196"/>
      <c r="CO58" s="196"/>
      <c r="CP58" s="196"/>
      <c r="CQ58" s="196"/>
      <c r="CR58" s="196"/>
      <c r="CS58" s="196"/>
      <c r="CT58" s="196"/>
      <c r="CU58" s="196"/>
      <c r="CV58" s="196"/>
      <c r="CW58" s="196"/>
      <c r="CX58" s="196"/>
      <c r="CY58" s="196"/>
      <c r="CZ58" s="196"/>
      <c r="DA58" s="196"/>
      <c r="DB58" s="196"/>
      <c r="DC58" s="196"/>
      <c r="DD58" s="196"/>
      <c r="DE58" s="196"/>
      <c r="DF58" s="196"/>
      <c r="DG58" s="196"/>
      <c r="DH58" s="196"/>
      <c r="DI58" s="196"/>
      <c r="DJ58" s="196"/>
      <c r="DK58" s="196"/>
      <c r="DL58" s="196"/>
      <c r="DM58" s="196"/>
      <c r="DN58" s="196"/>
      <c r="DO58" s="196"/>
      <c r="DP58" s="196"/>
      <c r="DQ58" s="196"/>
      <c r="DR58" s="196"/>
      <c r="DS58" s="196"/>
      <c r="DT58" s="196"/>
    </row>
    <row r="59" spans="1:124" ht="16.5" thickTop="1" thickBot="1" x14ac:dyDescent="0.3">
      <c r="BM59" s="196"/>
      <c r="BN59" s="196"/>
      <c r="BO59" s="196"/>
      <c r="BR59" s="196"/>
      <c r="BS59" s="196"/>
      <c r="BT59" s="196"/>
      <c r="BU59" s="196"/>
      <c r="BV59" s="196"/>
      <c r="BW59" s="196"/>
      <c r="BX59" s="196"/>
      <c r="BY59" s="196"/>
      <c r="BZ59" s="196"/>
      <c r="CA59" s="196"/>
      <c r="CB59" s="196"/>
      <c r="CC59" s="196"/>
      <c r="CD59" s="196"/>
      <c r="CE59" s="196"/>
      <c r="CF59" s="196"/>
      <c r="CG59" s="196"/>
      <c r="CH59" s="196"/>
      <c r="CI59" s="196"/>
      <c r="CJ59" s="196"/>
      <c r="CK59" s="196"/>
      <c r="CL59" s="196"/>
      <c r="CM59" s="196"/>
      <c r="CN59" s="196"/>
      <c r="CO59" s="196"/>
      <c r="CP59" s="196"/>
      <c r="CQ59" s="196"/>
      <c r="CR59" s="196"/>
      <c r="CS59" s="196"/>
      <c r="CT59" s="196"/>
      <c r="CU59" s="196"/>
      <c r="CV59" s="196"/>
      <c r="CW59" s="196"/>
      <c r="CX59" s="196"/>
      <c r="CY59" s="196"/>
      <c r="CZ59" s="196"/>
      <c r="DA59" s="196"/>
      <c r="DB59" s="196"/>
      <c r="DC59" s="196"/>
      <c r="DD59" s="196"/>
      <c r="DE59" s="196"/>
      <c r="DF59" s="196"/>
      <c r="DG59" s="196"/>
      <c r="DH59" s="196"/>
      <c r="DI59" s="196"/>
      <c r="DJ59" s="196"/>
      <c r="DK59" s="196"/>
      <c r="DL59" s="196"/>
      <c r="DM59" s="196"/>
      <c r="DN59" s="196"/>
      <c r="DO59" s="196"/>
      <c r="DP59" s="196"/>
      <c r="DQ59" s="196"/>
      <c r="DR59" s="196"/>
      <c r="DS59" s="196"/>
      <c r="DT59" s="196"/>
    </row>
    <row r="60" spans="1:124" ht="15.75" thickBot="1" x14ac:dyDescent="0.3">
      <c r="A60" s="21" t="s">
        <v>23</v>
      </c>
      <c r="B60" s="21" t="s">
        <v>23</v>
      </c>
      <c r="BM60" s="196"/>
      <c r="BN60" s="196"/>
      <c r="BO60" s="196"/>
      <c r="BR60" s="196"/>
      <c r="BS60" s="196"/>
      <c r="BT60" s="196"/>
      <c r="BU60" s="196"/>
      <c r="BV60" s="196"/>
      <c r="BW60" s="196"/>
      <c r="BX60" s="196"/>
      <c r="BY60" s="196"/>
      <c r="BZ60" s="196"/>
      <c r="CA60" s="196"/>
      <c r="CB60" s="196"/>
      <c r="CC60" s="196"/>
      <c r="CD60" s="196"/>
      <c r="CE60" s="196"/>
      <c r="CF60" s="196"/>
      <c r="CG60" s="196"/>
      <c r="CH60" s="196"/>
      <c r="CI60" s="196"/>
      <c r="CJ60" s="196"/>
      <c r="CK60" s="196"/>
      <c r="CL60" s="196"/>
      <c r="CM60" s="196"/>
      <c r="CN60" s="196"/>
      <c r="CO60" s="196"/>
      <c r="CP60" s="196"/>
      <c r="CQ60" s="196"/>
      <c r="CR60" s="196"/>
      <c r="CS60" s="196"/>
      <c r="CT60" s="196"/>
      <c r="CU60" s="196"/>
      <c r="CV60" s="196"/>
      <c r="CW60" s="196"/>
      <c r="CX60" s="196"/>
      <c r="CY60" s="196"/>
      <c r="CZ60" s="196"/>
      <c r="DA60" s="196"/>
      <c r="DB60" s="196"/>
      <c r="DC60" s="196"/>
      <c r="DD60" s="196"/>
      <c r="DE60" s="196"/>
      <c r="DF60" s="196"/>
      <c r="DG60" s="196"/>
      <c r="DH60" s="196"/>
      <c r="DI60" s="196"/>
      <c r="DJ60" s="196"/>
      <c r="DK60" s="196"/>
      <c r="DL60" s="196"/>
      <c r="DM60" s="196"/>
      <c r="DN60" s="196"/>
      <c r="DO60" s="196"/>
      <c r="DP60" s="196"/>
      <c r="DQ60" s="196"/>
      <c r="DR60" s="196"/>
      <c r="DS60" s="196"/>
      <c r="DT60" s="196"/>
    </row>
    <row r="61" spans="1:124" ht="15.75" thickBot="1" x14ac:dyDescent="0.3">
      <c r="A61" s="21" t="s">
        <v>149</v>
      </c>
      <c r="B61" s="21" t="s">
        <v>738</v>
      </c>
      <c r="BM61" s="196"/>
      <c r="BN61" s="196"/>
      <c r="BO61" s="196"/>
      <c r="BR61" s="196"/>
      <c r="BS61" s="196"/>
      <c r="BT61" s="196"/>
      <c r="BU61" s="196"/>
      <c r="BV61" s="196"/>
      <c r="BW61" s="196"/>
      <c r="BX61" s="196"/>
      <c r="BY61" s="196"/>
      <c r="BZ61" s="196"/>
      <c r="CA61" s="196"/>
      <c r="CB61" s="196"/>
      <c r="CC61" s="196"/>
      <c r="CD61" s="196"/>
      <c r="CE61" s="196"/>
      <c r="CF61" s="196"/>
      <c r="CG61" s="196"/>
      <c r="CH61" s="196"/>
      <c r="CI61" s="196"/>
      <c r="CJ61" s="196"/>
      <c r="CK61" s="196"/>
      <c r="CL61" s="196"/>
      <c r="CM61" s="196"/>
      <c r="CN61" s="196"/>
      <c r="CO61" s="196"/>
      <c r="CP61" s="196"/>
      <c r="CQ61" s="196"/>
      <c r="CR61" s="196"/>
      <c r="CS61" s="196"/>
      <c r="CT61" s="196"/>
      <c r="CU61" s="196"/>
      <c r="CV61" s="196"/>
      <c r="CW61" s="196"/>
      <c r="CX61" s="196"/>
      <c r="CY61" s="196"/>
      <c r="CZ61" s="196"/>
      <c r="DA61" s="196"/>
      <c r="DB61" s="196"/>
      <c r="DC61" s="196"/>
      <c r="DD61" s="196"/>
      <c r="DE61" s="196"/>
      <c r="DF61" s="196"/>
      <c r="DG61" s="196"/>
      <c r="DH61" s="196"/>
      <c r="DI61" s="196"/>
      <c r="DJ61" s="196"/>
      <c r="DK61" s="196"/>
      <c r="DL61" s="196"/>
      <c r="DM61" s="196"/>
      <c r="DN61" s="196"/>
      <c r="DO61" s="196"/>
      <c r="DP61" s="196"/>
      <c r="DQ61" s="196"/>
      <c r="DR61" s="196"/>
      <c r="DS61" s="196"/>
      <c r="DT61" s="196"/>
    </row>
    <row r="62" spans="1:124" ht="15.75" thickBot="1" x14ac:dyDescent="0.3">
      <c r="A62" s="21" t="s">
        <v>28</v>
      </c>
      <c r="B62" s="21" t="s">
        <v>737</v>
      </c>
      <c r="BM62" s="196"/>
      <c r="BN62" s="196"/>
      <c r="BO62" s="196"/>
      <c r="BR62" s="196"/>
      <c r="BS62" s="196"/>
      <c r="BT62" s="196"/>
      <c r="BU62" s="196"/>
      <c r="BV62" s="196"/>
      <c r="BW62" s="196"/>
      <c r="BX62" s="196"/>
      <c r="BY62" s="196"/>
      <c r="BZ62" s="196"/>
      <c r="CA62" s="196"/>
      <c r="CB62" s="196"/>
      <c r="CC62" s="196"/>
      <c r="CD62" s="196"/>
      <c r="CE62" s="196"/>
      <c r="CF62" s="196"/>
      <c r="CG62" s="196"/>
      <c r="CH62" s="196"/>
      <c r="CI62" s="196"/>
      <c r="CJ62" s="196"/>
      <c r="CK62" s="196"/>
      <c r="CL62" s="196"/>
      <c r="CM62" s="196"/>
      <c r="CN62" s="196"/>
      <c r="CO62" s="196"/>
      <c r="CP62" s="196"/>
      <c r="CQ62" s="196"/>
      <c r="CR62" s="196"/>
      <c r="CS62" s="196"/>
      <c r="CT62" s="196"/>
      <c r="CU62" s="196"/>
      <c r="CV62" s="196"/>
      <c r="CW62" s="196"/>
      <c r="CX62" s="196"/>
      <c r="CY62" s="196"/>
      <c r="CZ62" s="196"/>
      <c r="DA62" s="196"/>
      <c r="DB62" s="196"/>
      <c r="DC62" s="196"/>
      <c r="DD62" s="196"/>
      <c r="DE62" s="196"/>
      <c r="DF62" s="196"/>
      <c r="DG62" s="196"/>
      <c r="DH62" s="196"/>
      <c r="DI62" s="196"/>
      <c r="DJ62" s="196"/>
      <c r="DK62" s="196"/>
      <c r="DL62" s="196"/>
      <c r="DM62" s="196"/>
      <c r="DN62" s="196"/>
      <c r="DO62" s="196"/>
      <c r="DP62" s="196"/>
      <c r="DQ62" s="196"/>
      <c r="DR62" s="196"/>
      <c r="DS62" s="196"/>
      <c r="DT62" s="196"/>
    </row>
    <row r="63" spans="1:124" ht="15.75" thickBot="1" x14ac:dyDescent="0.3">
      <c r="A63" s="21" t="s">
        <v>30</v>
      </c>
      <c r="B63" s="21" t="s">
        <v>149</v>
      </c>
      <c r="BM63" s="196"/>
      <c r="BN63" s="196"/>
      <c r="BO63" s="196"/>
      <c r="BR63" s="196"/>
      <c r="BS63" s="196"/>
      <c r="BT63" s="196"/>
      <c r="BU63" s="196"/>
      <c r="BV63" s="196"/>
      <c r="BW63" s="196"/>
      <c r="BX63" s="196"/>
      <c r="BY63" s="196"/>
      <c r="BZ63" s="196"/>
      <c r="CA63" s="196"/>
      <c r="CB63" s="196"/>
      <c r="CC63" s="196"/>
      <c r="CD63" s="196"/>
      <c r="CE63" s="196"/>
      <c r="CF63" s="196"/>
      <c r="CG63" s="196"/>
      <c r="CH63" s="196"/>
      <c r="CI63" s="196"/>
      <c r="CJ63" s="196"/>
      <c r="CK63" s="196"/>
      <c r="CL63" s="196"/>
      <c r="CM63" s="196"/>
      <c r="CN63" s="196"/>
      <c r="CO63" s="196"/>
      <c r="CP63" s="196"/>
      <c r="CQ63" s="196"/>
      <c r="CR63" s="196"/>
      <c r="CS63" s="196"/>
      <c r="CT63" s="196"/>
      <c r="CU63" s="196"/>
      <c r="CV63" s="196"/>
      <c r="CW63" s="196"/>
      <c r="CX63" s="196"/>
      <c r="CY63" s="196"/>
      <c r="CZ63" s="196"/>
      <c r="DA63" s="196"/>
      <c r="DB63" s="196"/>
      <c r="DC63" s="196"/>
      <c r="DD63" s="196"/>
      <c r="DE63" s="196"/>
      <c r="DF63" s="196"/>
      <c r="DG63" s="196"/>
      <c r="DH63" s="196"/>
      <c r="DI63" s="196"/>
      <c r="DJ63" s="196"/>
      <c r="DK63" s="196"/>
      <c r="DL63" s="196"/>
      <c r="DM63" s="196"/>
      <c r="DN63" s="196"/>
      <c r="DO63" s="196"/>
      <c r="DP63" s="196"/>
      <c r="DQ63" s="196"/>
      <c r="DR63" s="196"/>
      <c r="DS63" s="196"/>
      <c r="DT63" s="196"/>
    </row>
    <row r="64" spans="1:124" ht="15.75" thickBot="1" x14ac:dyDescent="0.3">
      <c r="A64" s="21" t="s">
        <v>150</v>
      </c>
      <c r="B64" s="21" t="s">
        <v>28</v>
      </c>
      <c r="BM64" s="196"/>
      <c r="BN64" s="196"/>
      <c r="BO64" s="196"/>
      <c r="BR64" s="196"/>
      <c r="BS64" s="196"/>
      <c r="BT64" s="196"/>
      <c r="BU64" s="196"/>
      <c r="BV64" s="196"/>
      <c r="BW64" s="196"/>
      <c r="BX64" s="196"/>
      <c r="BY64" s="196"/>
      <c r="BZ64" s="196"/>
      <c r="CA64" s="196"/>
      <c r="CB64" s="196"/>
      <c r="CC64" s="196"/>
      <c r="CD64" s="196"/>
      <c r="CE64" s="196"/>
      <c r="CF64" s="196"/>
      <c r="CG64" s="196"/>
      <c r="CH64" s="196"/>
      <c r="CI64" s="196"/>
      <c r="CJ64" s="196"/>
      <c r="CK64" s="196"/>
      <c r="CL64" s="196"/>
      <c r="CM64" s="196"/>
      <c r="CN64" s="196"/>
      <c r="CO64" s="196"/>
      <c r="CP64" s="196"/>
      <c r="CQ64" s="196"/>
      <c r="CR64" s="196"/>
      <c r="CS64" s="196"/>
      <c r="CT64" s="196"/>
      <c r="CU64" s="196"/>
      <c r="CV64" s="196"/>
      <c r="CW64" s="196"/>
      <c r="CX64" s="196"/>
      <c r="CY64" s="196"/>
      <c r="CZ64" s="196"/>
      <c r="DA64" s="196"/>
      <c r="DB64" s="196"/>
      <c r="DC64" s="196"/>
      <c r="DD64" s="196"/>
      <c r="DE64" s="196"/>
      <c r="DF64" s="196"/>
      <c r="DG64" s="196"/>
      <c r="DH64" s="196"/>
      <c r="DI64" s="196"/>
      <c r="DJ64" s="196"/>
      <c r="DK64" s="196"/>
      <c r="DL64" s="196"/>
      <c r="DM64" s="196"/>
      <c r="DN64" s="196"/>
      <c r="DO64" s="196"/>
      <c r="DP64" s="196"/>
      <c r="DQ64" s="196"/>
      <c r="DR64" s="196"/>
      <c r="DS64" s="196"/>
      <c r="DT64" s="196"/>
    </row>
    <row r="65" spans="1:124" ht="15.75" thickBot="1" x14ac:dyDescent="0.3">
      <c r="A65" s="21" t="s">
        <v>33</v>
      </c>
      <c r="B65" s="21" t="s">
        <v>30</v>
      </c>
      <c r="BM65" s="196"/>
      <c r="BN65" s="196"/>
      <c r="BO65" s="196"/>
      <c r="BR65" s="196"/>
      <c r="BS65" s="196"/>
      <c r="BT65" s="196"/>
      <c r="BU65" s="196"/>
      <c r="BV65" s="196"/>
      <c r="BW65" s="196"/>
      <c r="BX65" s="196"/>
      <c r="BY65" s="196"/>
      <c r="BZ65" s="196"/>
      <c r="CA65" s="196"/>
      <c r="CB65" s="196"/>
      <c r="CC65" s="196"/>
      <c r="CD65" s="196"/>
      <c r="CE65" s="196"/>
      <c r="CF65" s="196"/>
      <c r="CG65" s="196"/>
      <c r="CH65" s="196"/>
      <c r="CI65" s="196"/>
      <c r="CJ65" s="196"/>
      <c r="CK65" s="196"/>
      <c r="CL65" s="196"/>
      <c r="CM65" s="196"/>
      <c r="CN65" s="196"/>
      <c r="CO65" s="196"/>
      <c r="CP65" s="196"/>
      <c r="CQ65" s="196"/>
      <c r="CR65" s="196"/>
      <c r="CS65" s="196"/>
      <c r="CT65" s="196"/>
      <c r="CU65" s="196"/>
      <c r="CV65" s="196"/>
      <c r="CW65" s="196"/>
      <c r="CX65" s="196"/>
      <c r="CY65" s="196"/>
      <c r="CZ65" s="196"/>
      <c r="DA65" s="196"/>
      <c r="DB65" s="196"/>
      <c r="DC65" s="196"/>
      <c r="DD65" s="196"/>
      <c r="DE65" s="196"/>
      <c r="DF65" s="196"/>
      <c r="DG65" s="196"/>
      <c r="DH65" s="196"/>
      <c r="DI65" s="196"/>
      <c r="DJ65" s="196"/>
      <c r="DK65" s="196"/>
      <c r="DL65" s="196"/>
      <c r="DM65" s="196"/>
      <c r="DN65" s="196"/>
      <c r="DO65" s="196"/>
      <c r="DP65" s="196"/>
      <c r="DQ65" s="196"/>
      <c r="DR65" s="196"/>
      <c r="DS65" s="196"/>
      <c r="DT65" s="196"/>
    </row>
    <row r="66" spans="1:124" ht="15.75" thickBot="1" x14ac:dyDescent="0.3">
      <c r="B66" s="21" t="s">
        <v>150</v>
      </c>
      <c r="BM66" s="196"/>
      <c r="BN66" s="196"/>
      <c r="BO66" s="196"/>
      <c r="BR66" s="196"/>
      <c r="BS66" s="196"/>
      <c r="BT66" s="196"/>
      <c r="BU66" s="196"/>
      <c r="BV66" s="196"/>
      <c r="BW66" s="196"/>
      <c r="BX66" s="196"/>
      <c r="BY66" s="196"/>
      <c r="BZ66" s="196"/>
      <c r="CA66" s="196"/>
      <c r="CB66" s="196"/>
      <c r="CC66" s="196"/>
      <c r="CD66" s="196"/>
      <c r="CE66" s="196"/>
      <c r="CF66" s="196"/>
      <c r="CG66" s="196"/>
      <c r="CH66" s="196"/>
      <c r="CI66" s="196"/>
      <c r="CJ66" s="196"/>
      <c r="CK66" s="196"/>
      <c r="CL66" s="196"/>
      <c r="CM66" s="196"/>
      <c r="CN66" s="196"/>
      <c r="CO66" s="196"/>
      <c r="CP66" s="196"/>
      <c r="CQ66" s="196"/>
      <c r="CR66" s="196"/>
      <c r="CS66" s="196"/>
      <c r="CT66" s="196"/>
      <c r="CU66" s="196"/>
      <c r="CV66" s="196"/>
      <c r="CW66" s="196"/>
      <c r="CX66" s="196"/>
      <c r="CY66" s="196"/>
      <c r="CZ66" s="196"/>
      <c r="DA66" s="196"/>
      <c r="DB66" s="196"/>
      <c r="DC66" s="196"/>
      <c r="DD66" s="196"/>
      <c r="DE66" s="196"/>
      <c r="DF66" s="196"/>
      <c r="DG66" s="196"/>
      <c r="DH66" s="196"/>
      <c r="DI66" s="196"/>
      <c r="DJ66" s="196"/>
      <c r="DK66" s="196"/>
      <c r="DL66" s="196"/>
      <c r="DM66" s="196"/>
      <c r="DN66" s="196"/>
      <c r="DO66" s="196"/>
      <c r="DP66" s="196"/>
      <c r="DQ66" s="196"/>
      <c r="DR66" s="196"/>
      <c r="DS66" s="196"/>
      <c r="DT66" s="196"/>
    </row>
    <row r="67" spans="1:124" ht="15.75" thickBot="1" x14ac:dyDescent="0.3">
      <c r="B67" s="21" t="s">
        <v>33</v>
      </c>
      <c r="BR67" s="196"/>
      <c r="BS67" s="196"/>
      <c r="BT67" s="196"/>
      <c r="BU67" s="196"/>
      <c r="BV67" s="196"/>
      <c r="BW67" s="196"/>
      <c r="BX67" s="196"/>
      <c r="BY67" s="196"/>
      <c r="BZ67" s="196"/>
      <c r="CA67" s="196"/>
      <c r="CB67" s="196"/>
      <c r="CC67" s="196"/>
      <c r="CD67" s="196"/>
      <c r="CE67" s="196"/>
      <c r="CF67" s="196"/>
      <c r="CG67" s="196"/>
      <c r="CH67" s="196"/>
      <c r="CI67" s="196"/>
      <c r="CJ67" s="196"/>
      <c r="CK67" s="196"/>
      <c r="CL67" s="196"/>
      <c r="CM67" s="196"/>
      <c r="CN67" s="196"/>
      <c r="CO67" s="196"/>
      <c r="CP67" s="196"/>
      <c r="CQ67" s="196"/>
      <c r="CR67" s="196"/>
      <c r="CS67" s="196"/>
      <c r="CT67" s="196"/>
      <c r="CU67" s="196"/>
      <c r="CV67" s="196"/>
      <c r="CW67" s="196"/>
      <c r="CX67" s="196"/>
      <c r="CY67" s="196"/>
      <c r="CZ67" s="196"/>
      <c r="DA67" s="196"/>
      <c r="DB67" s="196"/>
      <c r="DC67" s="196"/>
      <c r="DD67" s="196"/>
      <c r="DE67" s="196"/>
      <c r="DF67" s="196"/>
      <c r="DG67" s="196"/>
      <c r="DH67" s="196"/>
      <c r="DI67" s="196"/>
      <c r="DJ67" s="196"/>
      <c r="DK67" s="196"/>
      <c r="DL67" s="196"/>
      <c r="DM67" s="196"/>
      <c r="DN67" s="196"/>
      <c r="DO67" s="196"/>
      <c r="DP67" s="196"/>
      <c r="DQ67" s="196"/>
      <c r="DR67" s="196"/>
      <c r="DS67" s="196"/>
      <c r="DT67" s="196"/>
    </row>
    <row r="68" spans="1:124" x14ac:dyDescent="0.25">
      <c r="BR68" s="196"/>
      <c r="BS68" s="196"/>
      <c r="BT68" s="196"/>
      <c r="BU68" s="196"/>
      <c r="BV68" s="196"/>
      <c r="BW68" s="196"/>
      <c r="BX68" s="196"/>
      <c r="BY68" s="196"/>
      <c r="BZ68" s="196"/>
      <c r="CA68" s="196"/>
      <c r="CB68" s="196"/>
      <c r="CC68" s="196"/>
      <c r="CD68" s="196"/>
      <c r="CE68" s="196"/>
      <c r="CF68" s="196"/>
      <c r="CG68" s="196"/>
      <c r="CH68" s="196"/>
      <c r="CI68" s="196"/>
      <c r="CJ68" s="196"/>
      <c r="CK68" s="196"/>
      <c r="CL68" s="196"/>
      <c r="CM68" s="196"/>
      <c r="CN68" s="196"/>
      <c r="CO68" s="196"/>
      <c r="CP68" s="196"/>
      <c r="CQ68" s="196"/>
      <c r="CR68" s="196"/>
      <c r="CS68" s="196"/>
      <c r="CT68" s="196"/>
      <c r="CU68" s="196"/>
      <c r="CV68" s="196"/>
      <c r="CW68" s="196"/>
      <c r="CX68" s="196"/>
      <c r="CY68" s="196"/>
      <c r="CZ68" s="196"/>
      <c r="DA68" s="196"/>
      <c r="DB68" s="196"/>
      <c r="DC68" s="196"/>
      <c r="DD68" s="196"/>
      <c r="DE68" s="196"/>
      <c r="DF68" s="196"/>
      <c r="DG68" s="196"/>
      <c r="DH68" s="196"/>
      <c r="DI68" s="196"/>
      <c r="DJ68" s="196"/>
      <c r="DK68" s="196"/>
      <c r="DL68" s="196"/>
      <c r="DM68" s="196"/>
      <c r="DN68" s="196"/>
      <c r="DO68" s="196"/>
      <c r="DP68" s="196"/>
      <c r="DQ68" s="196"/>
      <c r="DR68" s="196"/>
      <c r="DS68" s="196"/>
      <c r="DT68" s="196"/>
    </row>
    <row r="69" spans="1:124" x14ac:dyDescent="0.25">
      <c r="A69" s="196"/>
      <c r="B69" s="196"/>
      <c r="C69" s="196"/>
      <c r="D69" s="196"/>
      <c r="E69" s="196"/>
      <c r="F69" s="196"/>
      <c r="G69" s="164"/>
      <c r="H69" s="164"/>
      <c r="BR69" s="196"/>
      <c r="BS69" s="196"/>
      <c r="BT69" s="196"/>
      <c r="BU69" s="196"/>
      <c r="BV69" s="196"/>
      <c r="BW69" s="196"/>
      <c r="BX69" s="196"/>
      <c r="BY69" s="196"/>
      <c r="BZ69" s="196"/>
      <c r="CA69" s="196"/>
      <c r="CB69" s="196"/>
      <c r="CC69" s="196"/>
      <c r="CD69" s="196"/>
      <c r="CE69" s="196"/>
      <c r="CF69" s="196"/>
      <c r="CG69" s="196"/>
      <c r="CH69" s="196"/>
      <c r="CI69" s="196"/>
      <c r="CJ69" s="196"/>
      <c r="CK69" s="196"/>
      <c r="CL69" s="196"/>
      <c r="CM69" s="196"/>
      <c r="CN69" s="196"/>
      <c r="CO69" s="196"/>
      <c r="CP69" s="196"/>
      <c r="CQ69" s="196"/>
      <c r="CR69" s="196"/>
      <c r="CS69" s="196"/>
      <c r="CT69" s="196"/>
      <c r="CU69" s="196"/>
      <c r="CV69" s="196"/>
      <c r="CW69" s="196"/>
      <c r="CX69" s="196"/>
      <c r="CY69" s="196"/>
      <c r="CZ69" s="196"/>
      <c r="DA69" s="196"/>
      <c r="DB69" s="196"/>
      <c r="DC69" s="196"/>
      <c r="DD69" s="196"/>
      <c r="DE69" s="196"/>
      <c r="DF69" s="196"/>
      <c r="DG69" s="196"/>
      <c r="DH69" s="196"/>
      <c r="DI69" s="196"/>
      <c r="DJ69" s="196"/>
      <c r="DK69" s="196"/>
      <c r="DL69" s="196"/>
      <c r="DM69" s="196"/>
      <c r="DN69" s="196"/>
      <c r="DO69" s="196"/>
      <c r="DP69" s="196"/>
      <c r="DQ69" s="196"/>
      <c r="DR69" s="196"/>
      <c r="DS69" s="196"/>
      <c r="DT69" s="196"/>
    </row>
    <row r="70" spans="1:124" x14ac:dyDescent="0.25">
      <c r="A70" s="196"/>
      <c r="B70" s="196"/>
      <c r="C70" s="196"/>
      <c r="D70" s="196"/>
      <c r="E70" s="196"/>
      <c r="F70" s="196"/>
      <c r="G70" s="164"/>
      <c r="H70" s="164"/>
      <c r="BR70" s="196"/>
      <c r="BS70" s="196"/>
      <c r="BT70" s="196"/>
      <c r="BU70" s="196"/>
      <c r="BV70" s="196"/>
      <c r="BW70" s="196"/>
      <c r="BX70" s="196"/>
      <c r="BY70" s="196"/>
      <c r="BZ70" s="196"/>
      <c r="CA70" s="196"/>
      <c r="CB70" s="196"/>
      <c r="CC70" s="196"/>
      <c r="CD70" s="196"/>
      <c r="CE70" s="196"/>
      <c r="CF70" s="196"/>
      <c r="CG70" s="196"/>
      <c r="CH70" s="196"/>
      <c r="CI70" s="196"/>
      <c r="CJ70" s="196"/>
      <c r="CK70" s="196"/>
      <c r="CL70" s="196"/>
      <c r="CM70" s="196"/>
      <c r="CN70" s="196"/>
      <c r="CO70" s="196"/>
      <c r="CP70" s="196"/>
      <c r="CQ70" s="196"/>
      <c r="CR70" s="196"/>
      <c r="CS70" s="196"/>
      <c r="CT70" s="196"/>
      <c r="CU70" s="196"/>
      <c r="CV70" s="196"/>
      <c r="CW70" s="196"/>
      <c r="CX70" s="196"/>
      <c r="CY70" s="196"/>
      <c r="CZ70" s="196"/>
      <c r="DA70" s="196"/>
      <c r="DB70" s="196"/>
      <c r="DC70" s="196"/>
      <c r="DD70" s="196"/>
      <c r="DE70" s="196"/>
      <c r="DF70" s="196"/>
      <c r="DG70" s="196"/>
      <c r="DH70" s="196"/>
      <c r="DI70" s="196"/>
      <c r="DJ70" s="196"/>
      <c r="DK70" s="196"/>
      <c r="DL70" s="196"/>
      <c r="DM70" s="196"/>
      <c r="DN70" s="196"/>
      <c r="DO70" s="196"/>
      <c r="DP70" s="196"/>
      <c r="DQ70" s="196"/>
      <c r="DR70" s="196"/>
      <c r="DS70" s="196"/>
      <c r="DT70" s="196"/>
    </row>
    <row r="71" spans="1:124" x14ac:dyDescent="0.25">
      <c r="A71" s="196"/>
      <c r="B71" s="196"/>
      <c r="C71" s="196"/>
      <c r="D71" s="196"/>
      <c r="E71" s="196"/>
      <c r="F71" s="196"/>
      <c r="G71" s="164"/>
      <c r="H71" s="164"/>
      <c r="BR71" s="196"/>
      <c r="BS71" s="196"/>
      <c r="BT71" s="196"/>
      <c r="BU71" s="196"/>
      <c r="BV71" s="196"/>
      <c r="BW71" s="196"/>
      <c r="BX71" s="196"/>
      <c r="BY71" s="196"/>
      <c r="BZ71" s="196"/>
      <c r="CA71" s="196"/>
      <c r="CB71" s="196"/>
      <c r="CC71" s="196"/>
      <c r="CD71" s="196"/>
      <c r="CE71" s="196"/>
      <c r="CF71" s="196"/>
      <c r="CG71" s="196"/>
      <c r="CH71" s="196"/>
      <c r="CI71" s="196"/>
      <c r="CJ71" s="196"/>
      <c r="CK71" s="196"/>
      <c r="CL71" s="196"/>
      <c r="CM71" s="196"/>
      <c r="CN71" s="196"/>
      <c r="CO71" s="196"/>
      <c r="CP71" s="196"/>
      <c r="CQ71" s="196"/>
      <c r="CR71" s="196"/>
      <c r="CS71" s="196"/>
      <c r="CT71" s="196"/>
      <c r="CU71" s="196"/>
      <c r="CV71" s="196"/>
      <c r="CW71" s="196"/>
      <c r="CX71" s="196"/>
      <c r="CY71" s="196"/>
      <c r="CZ71" s="196"/>
      <c r="DA71" s="196"/>
      <c r="DB71" s="196"/>
      <c r="DC71" s="196"/>
      <c r="DD71" s="196"/>
      <c r="DE71" s="196"/>
      <c r="DF71" s="196"/>
      <c r="DG71" s="196"/>
      <c r="DH71" s="196"/>
      <c r="DI71" s="196"/>
      <c r="DJ71" s="196"/>
      <c r="DK71" s="196"/>
      <c r="DL71" s="196"/>
      <c r="DM71" s="196"/>
      <c r="DN71" s="196"/>
      <c r="DO71" s="196"/>
      <c r="DP71" s="196"/>
      <c r="DQ71" s="196"/>
      <c r="DR71" s="196"/>
      <c r="DS71" s="196"/>
      <c r="DT71" s="196"/>
    </row>
    <row r="72" spans="1:124" x14ac:dyDescent="0.25">
      <c r="A72" s="196"/>
      <c r="B72" s="196"/>
      <c r="C72" s="196"/>
      <c r="D72" s="196"/>
      <c r="E72" s="196"/>
      <c r="F72" s="196"/>
      <c r="G72" s="164"/>
      <c r="H72" s="164"/>
      <c r="BR72" s="196"/>
      <c r="BS72" s="196"/>
      <c r="BT72" s="196"/>
      <c r="BU72" s="196"/>
      <c r="BV72" s="196"/>
      <c r="BW72" s="196"/>
      <c r="BX72" s="196"/>
      <c r="BY72" s="196"/>
      <c r="BZ72" s="196"/>
      <c r="CA72" s="196"/>
      <c r="CB72" s="196"/>
      <c r="CC72" s="196"/>
      <c r="CD72" s="196"/>
      <c r="CE72" s="196"/>
      <c r="CF72" s="196"/>
      <c r="CG72" s="196"/>
      <c r="CH72" s="196"/>
      <c r="CI72" s="196"/>
      <c r="CJ72" s="196"/>
      <c r="CK72" s="196"/>
      <c r="CL72" s="196"/>
      <c r="CM72" s="196"/>
      <c r="CN72" s="196"/>
      <c r="CO72" s="196"/>
      <c r="CP72" s="196"/>
      <c r="CQ72" s="196"/>
      <c r="CR72" s="196"/>
      <c r="CS72" s="196"/>
      <c r="CT72" s="196"/>
      <c r="CU72" s="196"/>
      <c r="CV72" s="196"/>
      <c r="CW72" s="196"/>
      <c r="CX72" s="196"/>
      <c r="CY72" s="196"/>
      <c r="CZ72" s="196"/>
      <c r="DA72" s="196"/>
      <c r="DB72" s="196"/>
      <c r="DC72" s="196"/>
      <c r="DD72" s="196"/>
      <c r="DE72" s="196"/>
      <c r="DF72" s="196"/>
      <c r="DG72" s="196"/>
      <c r="DH72" s="196"/>
      <c r="DI72" s="196"/>
      <c r="DJ72" s="196"/>
      <c r="DK72" s="196"/>
      <c r="DL72" s="196"/>
      <c r="DM72" s="196"/>
      <c r="DN72" s="196"/>
      <c r="DO72" s="196"/>
      <c r="DP72" s="196"/>
      <c r="DQ72" s="196"/>
      <c r="DR72" s="196"/>
      <c r="DS72" s="196"/>
      <c r="DT72" s="196"/>
    </row>
    <row r="73" spans="1:124" x14ac:dyDescent="0.25">
      <c r="A73" s="196"/>
      <c r="B73" s="196"/>
      <c r="C73" s="196"/>
      <c r="D73" s="196"/>
      <c r="E73" s="196"/>
      <c r="F73" s="196"/>
      <c r="G73" s="164"/>
      <c r="H73" s="164"/>
      <c r="BR73" s="196"/>
      <c r="BS73" s="196"/>
      <c r="BT73" s="196"/>
      <c r="BU73" s="196"/>
      <c r="BV73" s="196"/>
      <c r="BW73" s="196"/>
      <c r="BX73" s="196"/>
      <c r="BY73" s="196"/>
      <c r="BZ73" s="196"/>
      <c r="CA73" s="196"/>
      <c r="CB73" s="196"/>
      <c r="CC73" s="196"/>
      <c r="CD73" s="196"/>
      <c r="CE73" s="196"/>
      <c r="CF73" s="196"/>
      <c r="CG73" s="196"/>
      <c r="CH73" s="196"/>
      <c r="CI73" s="196"/>
      <c r="CJ73" s="196"/>
      <c r="CK73" s="196"/>
      <c r="CL73" s="196"/>
      <c r="CM73" s="196"/>
      <c r="CN73" s="196"/>
      <c r="CO73" s="196"/>
      <c r="CP73" s="196"/>
      <c r="CQ73" s="196"/>
      <c r="CR73" s="196"/>
      <c r="CS73" s="196"/>
      <c r="CT73" s="196"/>
      <c r="CU73" s="196"/>
      <c r="CV73" s="196"/>
      <c r="CW73" s="196"/>
      <c r="CX73" s="196"/>
      <c r="CY73" s="196"/>
      <c r="CZ73" s="196"/>
      <c r="DA73" s="196"/>
      <c r="DB73" s="196"/>
      <c r="DC73" s="196"/>
      <c r="DD73" s="196"/>
      <c r="DE73" s="196"/>
      <c r="DF73" s="196"/>
      <c r="DG73" s="196"/>
      <c r="DH73" s="196"/>
      <c r="DI73" s="196"/>
      <c r="DJ73" s="196"/>
      <c r="DK73" s="196"/>
      <c r="DL73" s="196"/>
      <c r="DM73" s="196"/>
      <c r="DN73" s="196"/>
      <c r="DO73" s="196"/>
      <c r="DP73" s="196"/>
      <c r="DQ73" s="196"/>
      <c r="DR73" s="196"/>
      <c r="DS73" s="196"/>
      <c r="DT73" s="196"/>
    </row>
    <row r="74" spans="1:124" x14ac:dyDescent="0.25">
      <c r="A74" s="196"/>
      <c r="B74" s="196"/>
      <c r="C74" s="196"/>
      <c r="D74" s="196"/>
      <c r="E74" s="196"/>
      <c r="F74" s="196"/>
      <c r="G74" s="164"/>
      <c r="H74" s="164"/>
      <c r="BR74" s="196"/>
      <c r="BS74" s="196"/>
      <c r="BT74" s="196"/>
      <c r="BU74" s="196"/>
      <c r="BV74" s="196"/>
      <c r="BW74" s="196"/>
      <c r="BX74" s="196"/>
      <c r="BY74" s="196"/>
      <c r="BZ74" s="196"/>
      <c r="CA74" s="196"/>
      <c r="CB74" s="196"/>
      <c r="CC74" s="196"/>
      <c r="CD74" s="196"/>
      <c r="CE74" s="196"/>
      <c r="CF74" s="196"/>
      <c r="CG74" s="196"/>
      <c r="CH74" s="196"/>
      <c r="CI74" s="196"/>
      <c r="CJ74" s="196"/>
      <c r="CK74" s="196"/>
      <c r="CL74" s="196"/>
      <c r="CM74" s="196"/>
      <c r="CN74" s="196"/>
      <c r="CO74" s="196"/>
      <c r="CP74" s="196"/>
      <c r="CQ74" s="196"/>
      <c r="CR74" s="196"/>
      <c r="CS74" s="196"/>
      <c r="CT74" s="196"/>
      <c r="CU74" s="196"/>
      <c r="CV74" s="196"/>
      <c r="CW74" s="196"/>
      <c r="CX74" s="196"/>
      <c r="CY74" s="196"/>
      <c r="CZ74" s="196"/>
      <c r="DA74" s="196"/>
      <c r="DB74" s="196"/>
      <c r="DC74" s="196"/>
      <c r="DD74" s="196"/>
      <c r="DE74" s="196"/>
      <c r="DF74" s="196"/>
      <c r="DG74" s="196"/>
      <c r="DH74" s="196"/>
      <c r="DI74" s="196"/>
      <c r="DJ74" s="196"/>
      <c r="DK74" s="196"/>
      <c r="DL74" s="196"/>
      <c r="DM74" s="196"/>
      <c r="DN74" s="196"/>
      <c r="DO74" s="196"/>
      <c r="DP74" s="196"/>
      <c r="DQ74" s="196"/>
      <c r="DR74" s="196"/>
      <c r="DS74" s="196"/>
      <c r="DT74" s="196"/>
    </row>
    <row r="75" spans="1:124" x14ac:dyDescent="0.25">
      <c r="D75" s="164"/>
      <c r="E75" s="164"/>
      <c r="F75" s="164"/>
      <c r="G75" s="164"/>
      <c r="H75" s="164"/>
      <c r="BR75" s="196"/>
      <c r="BS75" s="196"/>
      <c r="BT75" s="196"/>
      <c r="BU75" s="196"/>
      <c r="BV75" s="196"/>
      <c r="BW75" s="196"/>
      <c r="BX75" s="196"/>
      <c r="BY75" s="196"/>
      <c r="BZ75" s="196"/>
      <c r="CA75" s="196"/>
      <c r="CB75" s="196"/>
      <c r="CC75" s="196"/>
      <c r="CD75" s="196"/>
      <c r="CE75" s="196"/>
      <c r="CF75" s="196"/>
      <c r="CG75" s="196"/>
      <c r="CH75" s="196"/>
      <c r="CI75" s="196"/>
      <c r="CJ75" s="196"/>
      <c r="CK75" s="196"/>
      <c r="CL75" s="196"/>
      <c r="CM75" s="196"/>
      <c r="CN75" s="196"/>
      <c r="CO75" s="196"/>
      <c r="CP75" s="196"/>
      <c r="CQ75" s="196"/>
      <c r="CR75" s="196"/>
      <c r="CS75" s="196"/>
      <c r="CT75" s="196"/>
      <c r="CU75" s="196"/>
      <c r="CV75" s="196"/>
      <c r="CW75" s="196"/>
      <c r="CX75" s="196"/>
      <c r="CY75" s="196"/>
      <c r="CZ75" s="196"/>
      <c r="DA75" s="196"/>
      <c r="DB75" s="196"/>
      <c r="DC75" s="196"/>
      <c r="DD75" s="196"/>
      <c r="DE75" s="196"/>
      <c r="DF75" s="196"/>
      <c r="DG75" s="196"/>
      <c r="DH75" s="196"/>
      <c r="DI75" s="196"/>
      <c r="DJ75" s="196"/>
      <c r="DK75" s="196"/>
      <c r="DL75" s="196"/>
      <c r="DM75" s="196"/>
      <c r="DN75" s="196"/>
      <c r="DO75" s="196"/>
      <c r="DP75" s="196"/>
      <c r="DQ75" s="196"/>
      <c r="DR75" s="196"/>
      <c r="DS75" s="196"/>
      <c r="DT75" s="196"/>
    </row>
    <row r="76" spans="1:124" x14ac:dyDescent="0.25">
      <c r="BX76" s="196"/>
      <c r="BY76" s="196"/>
      <c r="BZ76" s="196"/>
      <c r="CA76" s="196"/>
      <c r="CB76" s="196"/>
      <c r="CC76" s="196"/>
      <c r="CD76" s="196"/>
      <c r="CE76" s="196"/>
      <c r="CF76" s="196"/>
      <c r="CG76" s="196"/>
      <c r="CH76" s="196"/>
      <c r="CI76" s="196"/>
      <c r="CJ76" s="196"/>
      <c r="CK76" s="196"/>
      <c r="CL76" s="196"/>
      <c r="CM76" s="196"/>
      <c r="CN76" s="196"/>
      <c r="CO76" s="196"/>
      <c r="CP76" s="196"/>
      <c r="CQ76" s="196"/>
      <c r="CR76" s="196"/>
      <c r="CS76" s="196"/>
      <c r="CT76" s="196"/>
      <c r="CU76" s="196"/>
      <c r="CV76" s="196"/>
      <c r="CW76" s="196"/>
      <c r="CX76" s="196"/>
      <c r="CY76" s="196"/>
      <c r="CZ76" s="196"/>
      <c r="DA76" s="196"/>
      <c r="DB76" s="196"/>
      <c r="DC76" s="196"/>
      <c r="DD76" s="196"/>
      <c r="DE76" s="196"/>
      <c r="DF76" s="196"/>
      <c r="DG76" s="196"/>
      <c r="DH76" s="196"/>
      <c r="DI76" s="196"/>
      <c r="DJ76" s="196"/>
      <c r="DK76" s="196"/>
      <c r="DL76" s="196"/>
      <c r="DM76" s="196"/>
      <c r="DN76" s="196"/>
      <c r="DO76" s="196"/>
      <c r="DP76" s="196"/>
      <c r="DQ76" s="196"/>
      <c r="DR76" s="196"/>
      <c r="DS76" s="196"/>
      <c r="DT76" s="196"/>
    </row>
    <row r="77" spans="1:124" x14ac:dyDescent="0.25">
      <c r="BX77" s="196"/>
      <c r="BY77" s="196"/>
      <c r="BZ77" s="196"/>
      <c r="CA77" s="196"/>
      <c r="CB77" s="196"/>
      <c r="CC77" s="196"/>
      <c r="CD77" s="196"/>
      <c r="CE77" s="196"/>
      <c r="CF77" s="196"/>
      <c r="CG77" s="196"/>
      <c r="CH77" s="196"/>
      <c r="CI77" s="196"/>
      <c r="CJ77" s="196"/>
      <c r="CK77" s="196"/>
      <c r="CL77" s="196"/>
      <c r="CM77" s="196"/>
      <c r="CN77" s="196"/>
      <c r="CO77" s="196"/>
      <c r="CP77" s="196"/>
      <c r="CQ77" s="196"/>
      <c r="CR77" s="196"/>
      <c r="CS77" s="196"/>
      <c r="CT77" s="196"/>
      <c r="CU77" s="196"/>
      <c r="CV77" s="196"/>
      <c r="CW77" s="196"/>
      <c r="CX77" s="196"/>
      <c r="CY77" s="196"/>
      <c r="CZ77" s="196"/>
      <c r="DA77" s="196"/>
      <c r="DB77" s="196"/>
      <c r="DC77" s="196"/>
      <c r="DD77" s="196"/>
      <c r="DE77" s="196"/>
      <c r="DF77" s="196"/>
      <c r="DG77" s="196"/>
      <c r="DH77" s="196"/>
      <c r="DI77" s="196"/>
      <c r="DJ77" s="196"/>
      <c r="DK77" s="196"/>
      <c r="DL77" s="196"/>
      <c r="DM77" s="196"/>
      <c r="DN77" s="196"/>
      <c r="DO77" s="196"/>
      <c r="DP77" s="196"/>
      <c r="DQ77" s="196"/>
      <c r="DR77" s="196"/>
      <c r="DS77" s="196"/>
      <c r="DT77" s="196"/>
    </row>
    <row r="78" spans="1:124" x14ac:dyDescent="0.25">
      <c r="BX78" s="196"/>
      <c r="BY78" s="196"/>
      <c r="BZ78" s="196"/>
      <c r="CA78" s="196"/>
      <c r="CB78" s="196"/>
      <c r="CC78" s="196"/>
      <c r="CD78" s="196"/>
      <c r="CE78" s="196"/>
      <c r="CF78" s="196"/>
      <c r="CG78" s="196"/>
      <c r="CH78" s="196"/>
      <c r="CI78" s="196"/>
      <c r="CJ78" s="196"/>
      <c r="CK78" s="196"/>
      <c r="CL78" s="196"/>
      <c r="CM78" s="196"/>
      <c r="CN78" s="196"/>
      <c r="CO78" s="196"/>
      <c r="CP78" s="196"/>
      <c r="CQ78" s="196"/>
      <c r="CR78" s="196"/>
      <c r="CS78" s="196"/>
      <c r="CT78" s="196"/>
      <c r="CU78" s="196"/>
      <c r="CV78" s="196"/>
      <c r="CW78" s="196"/>
      <c r="CX78" s="196"/>
      <c r="CY78" s="196"/>
      <c r="CZ78" s="196"/>
      <c r="DA78" s="196"/>
      <c r="DB78" s="196"/>
      <c r="DC78" s="196"/>
      <c r="DD78" s="196"/>
      <c r="DE78" s="196"/>
      <c r="DF78" s="196"/>
      <c r="DG78" s="196"/>
      <c r="DH78" s="196"/>
      <c r="DI78" s="196"/>
      <c r="DJ78" s="196"/>
      <c r="DK78" s="196"/>
      <c r="DL78" s="196"/>
      <c r="DM78" s="196"/>
      <c r="DN78" s="196"/>
      <c r="DO78" s="196"/>
      <c r="DP78" s="196"/>
      <c r="DQ78" s="196"/>
      <c r="DR78" s="196"/>
      <c r="DS78" s="196"/>
      <c r="DT78" s="196"/>
    </row>
    <row r="79" spans="1:124" x14ac:dyDescent="0.25">
      <c r="BX79" s="196"/>
      <c r="BY79" s="196"/>
      <c r="BZ79" s="196"/>
      <c r="CA79" s="196"/>
      <c r="CB79" s="196"/>
      <c r="CC79" s="196"/>
      <c r="CD79" s="196"/>
      <c r="CE79" s="196"/>
      <c r="CF79" s="196"/>
      <c r="CG79" s="196"/>
      <c r="CH79" s="196"/>
      <c r="CI79" s="196"/>
      <c r="CJ79" s="196"/>
      <c r="CK79" s="196"/>
      <c r="CL79" s="196"/>
      <c r="CM79" s="196"/>
      <c r="CN79" s="196"/>
      <c r="CO79" s="196"/>
      <c r="CP79" s="196"/>
      <c r="CQ79" s="196"/>
      <c r="CR79" s="196"/>
      <c r="CS79" s="196"/>
      <c r="CT79" s="196"/>
      <c r="CU79" s="196"/>
      <c r="CV79" s="196"/>
      <c r="CW79" s="196"/>
      <c r="CX79" s="196"/>
      <c r="CY79" s="196"/>
      <c r="CZ79" s="196"/>
      <c r="DA79" s="196"/>
      <c r="DB79" s="196"/>
      <c r="DC79" s="196"/>
      <c r="DD79" s="196"/>
      <c r="DE79" s="196"/>
      <c r="DF79" s="196"/>
      <c r="DG79" s="196"/>
      <c r="DH79" s="196"/>
      <c r="DI79" s="196"/>
      <c r="DJ79" s="196"/>
      <c r="DK79" s="196"/>
      <c r="DL79" s="196"/>
      <c r="DM79" s="196"/>
      <c r="DN79" s="196"/>
      <c r="DO79" s="196"/>
      <c r="DP79" s="196"/>
      <c r="DQ79" s="196"/>
      <c r="DR79" s="196"/>
      <c r="DS79" s="196"/>
      <c r="DT79" s="196"/>
    </row>
    <row r="80" spans="1:124" x14ac:dyDescent="0.25">
      <c r="BX80" s="196"/>
      <c r="BY80" s="196"/>
      <c r="BZ80" s="196"/>
      <c r="CA80" s="196"/>
      <c r="CB80" s="196"/>
      <c r="CC80" s="196"/>
      <c r="CD80" s="196"/>
      <c r="CE80" s="196"/>
      <c r="CF80" s="196"/>
      <c r="CG80" s="196"/>
      <c r="CH80" s="196"/>
      <c r="CI80" s="196"/>
      <c r="CJ80" s="196"/>
      <c r="CK80" s="196"/>
      <c r="CL80" s="196"/>
      <c r="CM80" s="196"/>
      <c r="CN80" s="196"/>
      <c r="CO80" s="196"/>
      <c r="CP80" s="196"/>
      <c r="CQ80" s="196"/>
      <c r="CR80" s="196"/>
      <c r="CS80" s="196"/>
      <c r="CT80" s="196"/>
      <c r="CU80" s="196"/>
      <c r="CV80" s="196"/>
      <c r="CW80" s="196"/>
      <c r="CX80" s="196"/>
      <c r="CY80" s="196"/>
      <c r="CZ80" s="196"/>
      <c r="DA80" s="196"/>
      <c r="DB80" s="196"/>
      <c r="DC80" s="196"/>
      <c r="DD80" s="196"/>
      <c r="DE80" s="196"/>
      <c r="DF80" s="196"/>
      <c r="DG80" s="196"/>
      <c r="DH80" s="196"/>
      <c r="DI80" s="196"/>
      <c r="DJ80" s="196"/>
      <c r="DK80" s="196"/>
      <c r="DL80" s="196"/>
      <c r="DM80" s="196"/>
      <c r="DN80" s="196"/>
      <c r="DO80" s="196"/>
      <c r="DP80" s="196"/>
      <c r="DQ80" s="196"/>
      <c r="DR80" s="196"/>
      <c r="DS80" s="196"/>
      <c r="DT80" s="196"/>
    </row>
    <row r="81" spans="76:124" x14ac:dyDescent="0.25">
      <c r="BX81" s="196"/>
      <c r="BY81" s="196"/>
      <c r="BZ81" s="196"/>
      <c r="CA81" s="196"/>
      <c r="CB81" s="196"/>
      <c r="CC81" s="196"/>
      <c r="CD81" s="196"/>
      <c r="CE81" s="196"/>
      <c r="CF81" s="196"/>
      <c r="CG81" s="196"/>
      <c r="CH81" s="196"/>
      <c r="CI81" s="196"/>
      <c r="CJ81" s="196"/>
      <c r="CK81" s="196"/>
      <c r="CL81" s="196"/>
      <c r="CM81" s="196"/>
      <c r="CN81" s="196"/>
      <c r="CO81" s="196"/>
      <c r="CP81" s="196"/>
      <c r="CQ81" s="196"/>
      <c r="CR81" s="196"/>
      <c r="CS81" s="196"/>
      <c r="CT81" s="196"/>
      <c r="CU81" s="196"/>
      <c r="CV81" s="196"/>
      <c r="CW81" s="196"/>
      <c r="CX81" s="196"/>
      <c r="CY81" s="196"/>
      <c r="CZ81" s="196"/>
      <c r="DA81" s="196"/>
      <c r="DB81" s="196"/>
      <c r="DC81" s="196"/>
      <c r="DD81" s="196"/>
      <c r="DE81" s="196"/>
      <c r="DF81" s="196"/>
      <c r="DG81" s="196"/>
      <c r="DH81" s="196"/>
      <c r="DI81" s="196"/>
      <c r="DJ81" s="196"/>
      <c r="DK81" s="196"/>
      <c r="DL81" s="196"/>
      <c r="DM81" s="196"/>
      <c r="DN81" s="196"/>
      <c r="DO81" s="196"/>
      <c r="DP81" s="196"/>
      <c r="DQ81" s="196"/>
      <c r="DR81" s="196"/>
      <c r="DS81" s="196"/>
      <c r="DT81" s="196"/>
    </row>
    <row r="82" spans="76:124" x14ac:dyDescent="0.25">
      <c r="BX82" s="196"/>
      <c r="BY82" s="196"/>
      <c r="BZ82" s="196"/>
      <c r="CA82" s="196"/>
      <c r="CB82" s="196"/>
      <c r="CC82" s="196"/>
      <c r="CD82" s="196"/>
      <c r="CE82" s="196"/>
      <c r="CF82" s="196"/>
      <c r="CG82" s="196"/>
      <c r="CH82" s="196"/>
      <c r="CI82" s="196"/>
      <c r="CJ82" s="196"/>
      <c r="CK82" s="196"/>
      <c r="CL82" s="196"/>
      <c r="CM82" s="196"/>
      <c r="CN82" s="196"/>
      <c r="CO82" s="196"/>
      <c r="CP82" s="196"/>
      <c r="CQ82" s="196"/>
      <c r="CR82" s="196"/>
      <c r="CS82" s="196"/>
      <c r="CT82" s="196"/>
      <c r="CU82" s="196"/>
      <c r="CV82" s="196"/>
      <c r="CW82" s="196"/>
      <c r="CX82" s="196"/>
      <c r="CY82" s="196"/>
      <c r="CZ82" s="196"/>
      <c r="DA82" s="196"/>
      <c r="DB82" s="196"/>
      <c r="DC82" s="196"/>
      <c r="DD82" s="196"/>
      <c r="DE82" s="196"/>
      <c r="DF82" s="196"/>
      <c r="DG82" s="196"/>
      <c r="DH82" s="196"/>
      <c r="DI82" s="196"/>
      <c r="DJ82" s="196"/>
      <c r="DK82" s="196"/>
      <c r="DL82" s="196"/>
      <c r="DM82" s="196"/>
      <c r="DN82" s="196"/>
      <c r="DO82" s="196"/>
      <c r="DP82" s="196"/>
      <c r="DQ82" s="196"/>
      <c r="DR82" s="196"/>
      <c r="DS82" s="196"/>
      <c r="DT82" s="196"/>
    </row>
    <row r="83" spans="76:124" x14ac:dyDescent="0.25">
      <c r="BX83" s="196"/>
      <c r="BY83" s="196"/>
      <c r="BZ83" s="196"/>
      <c r="CA83" s="196"/>
      <c r="CB83" s="196"/>
      <c r="CC83" s="196"/>
      <c r="CD83" s="196"/>
      <c r="CE83" s="196"/>
      <c r="CF83" s="196"/>
      <c r="CG83" s="196"/>
      <c r="CH83" s="196"/>
      <c r="CI83" s="196"/>
      <c r="CJ83" s="196"/>
      <c r="CK83" s="196"/>
      <c r="CL83" s="196"/>
      <c r="CM83" s="196"/>
      <c r="CN83" s="196"/>
      <c r="CO83" s="196"/>
      <c r="CP83" s="196"/>
      <c r="CQ83" s="196"/>
      <c r="CR83" s="196"/>
      <c r="CS83" s="196"/>
      <c r="CT83" s="196"/>
      <c r="CU83" s="196"/>
      <c r="CV83" s="196"/>
      <c r="CW83" s="196"/>
      <c r="CX83" s="196"/>
      <c r="CY83" s="196"/>
      <c r="CZ83" s="196"/>
      <c r="DA83" s="196"/>
      <c r="DB83" s="196"/>
      <c r="DC83" s="196"/>
      <c r="DD83" s="196"/>
      <c r="DE83" s="196"/>
      <c r="DF83" s="196"/>
      <c r="DG83" s="196"/>
      <c r="DH83" s="196"/>
      <c r="DI83" s="196"/>
      <c r="DJ83" s="196"/>
      <c r="DK83" s="196"/>
      <c r="DL83" s="196"/>
      <c r="DM83" s="196"/>
      <c r="DN83" s="196"/>
      <c r="DO83" s="196"/>
      <c r="DP83" s="196"/>
      <c r="DQ83" s="196"/>
      <c r="DR83" s="196"/>
      <c r="DS83" s="196"/>
      <c r="DT83" s="196"/>
    </row>
    <row r="84" spans="76:124" x14ac:dyDescent="0.25">
      <c r="BX84" s="196"/>
      <c r="BY84" s="196"/>
      <c r="BZ84" s="196"/>
      <c r="CA84" s="196"/>
      <c r="CB84" s="196"/>
      <c r="CC84" s="196"/>
      <c r="CD84" s="196"/>
      <c r="CE84" s="196"/>
      <c r="CF84" s="196"/>
      <c r="CG84" s="196"/>
      <c r="CH84" s="196"/>
      <c r="CI84" s="196"/>
      <c r="CJ84" s="196"/>
      <c r="CK84" s="196"/>
      <c r="CL84" s="196"/>
      <c r="CM84" s="196"/>
      <c r="CN84" s="196"/>
      <c r="CO84" s="196"/>
      <c r="CP84" s="196"/>
      <c r="CQ84" s="196"/>
      <c r="CR84" s="196"/>
      <c r="CS84" s="196"/>
      <c r="CT84" s="196"/>
      <c r="CU84" s="196"/>
      <c r="CV84" s="196"/>
      <c r="CW84" s="196"/>
      <c r="CX84" s="196"/>
      <c r="CY84" s="196"/>
      <c r="CZ84" s="196"/>
      <c r="DA84" s="196"/>
      <c r="DB84" s="196"/>
      <c r="DC84" s="196"/>
      <c r="DD84" s="196"/>
      <c r="DE84" s="196"/>
      <c r="DF84" s="196"/>
      <c r="DG84" s="196"/>
      <c r="DH84" s="196"/>
      <c r="DI84" s="196"/>
      <c r="DJ84" s="196"/>
      <c r="DK84" s="196"/>
      <c r="DL84" s="196"/>
      <c r="DM84" s="196"/>
      <c r="DN84" s="196"/>
      <c r="DO84" s="196"/>
      <c r="DP84" s="196"/>
      <c r="DQ84" s="196"/>
      <c r="DR84" s="196"/>
      <c r="DS84" s="196"/>
      <c r="DT84" s="196"/>
    </row>
    <row r="85" spans="76:124" x14ac:dyDescent="0.25">
      <c r="BX85" s="196"/>
      <c r="BY85" s="196"/>
      <c r="BZ85" s="196"/>
      <c r="CA85" s="196"/>
      <c r="CB85" s="196"/>
      <c r="CC85" s="196"/>
      <c r="CD85" s="196"/>
      <c r="CE85" s="196"/>
      <c r="CF85" s="196"/>
      <c r="CG85" s="196"/>
      <c r="CH85" s="196"/>
      <c r="CI85" s="196"/>
      <c r="CJ85" s="196"/>
      <c r="CK85" s="196"/>
      <c r="CL85" s="196"/>
      <c r="CM85" s="196"/>
      <c r="CN85" s="196"/>
      <c r="CO85" s="196"/>
      <c r="CP85" s="196"/>
      <c r="CQ85" s="196"/>
      <c r="CR85" s="196"/>
      <c r="CS85" s="196"/>
      <c r="CT85" s="196"/>
      <c r="CU85" s="196"/>
      <c r="CV85" s="196"/>
      <c r="CW85" s="196"/>
      <c r="CX85" s="196"/>
      <c r="CY85" s="196"/>
      <c r="CZ85" s="196"/>
      <c r="DA85" s="196"/>
      <c r="DB85" s="196"/>
      <c r="DC85" s="196"/>
      <c r="DD85" s="196"/>
      <c r="DE85" s="196"/>
      <c r="DF85" s="196"/>
      <c r="DG85" s="196"/>
      <c r="DH85" s="196"/>
      <c r="DI85" s="196"/>
      <c r="DJ85" s="196"/>
      <c r="DK85" s="196"/>
      <c r="DL85" s="196"/>
      <c r="DM85" s="196"/>
      <c r="DN85" s="196"/>
      <c r="DO85" s="196"/>
      <c r="DP85" s="196"/>
      <c r="DQ85" s="196"/>
      <c r="DR85" s="196"/>
      <c r="DS85" s="196"/>
      <c r="DT85" s="196"/>
    </row>
    <row r="86" spans="76:124" x14ac:dyDescent="0.25">
      <c r="BX86" s="196"/>
      <c r="BY86" s="196"/>
      <c r="BZ86" s="196"/>
      <c r="CA86" s="196"/>
      <c r="CB86" s="196"/>
      <c r="CC86" s="196"/>
      <c r="CD86" s="196"/>
      <c r="CE86" s="196"/>
      <c r="CF86" s="196"/>
      <c r="CG86" s="196"/>
      <c r="CH86" s="196"/>
      <c r="CI86" s="196"/>
      <c r="CJ86" s="196"/>
      <c r="CK86" s="196"/>
      <c r="CL86" s="196"/>
      <c r="CM86" s="196"/>
      <c r="CN86" s="196"/>
      <c r="CO86" s="196"/>
      <c r="CP86" s="196"/>
      <c r="CQ86" s="196"/>
      <c r="CR86" s="196"/>
      <c r="CS86" s="196"/>
      <c r="CT86" s="196"/>
      <c r="CU86" s="196"/>
      <c r="CV86" s="196"/>
      <c r="CW86" s="196"/>
      <c r="CX86" s="196"/>
      <c r="CY86" s="196"/>
      <c r="CZ86" s="196"/>
      <c r="DA86" s="196"/>
      <c r="DB86" s="196"/>
      <c r="DC86" s="196"/>
      <c r="DD86" s="196"/>
      <c r="DE86" s="196"/>
      <c r="DF86" s="196"/>
      <c r="DG86" s="196"/>
      <c r="DH86" s="196"/>
      <c r="DI86" s="196"/>
      <c r="DJ86" s="196"/>
      <c r="DK86" s="196"/>
      <c r="DL86" s="196"/>
      <c r="DM86" s="196"/>
      <c r="DN86" s="196"/>
      <c r="DO86" s="196"/>
      <c r="DP86" s="196"/>
      <c r="DQ86" s="196"/>
      <c r="DR86" s="196"/>
      <c r="DS86" s="196"/>
      <c r="DT86" s="196"/>
    </row>
    <row r="87" spans="76:124" x14ac:dyDescent="0.25">
      <c r="BX87" s="196"/>
      <c r="BY87" s="196"/>
      <c r="BZ87" s="196"/>
      <c r="CA87" s="196"/>
      <c r="CB87" s="196"/>
      <c r="CC87" s="196"/>
      <c r="CD87" s="196"/>
      <c r="CE87" s="196"/>
      <c r="CF87" s="196"/>
      <c r="CG87" s="196"/>
      <c r="CH87" s="196"/>
      <c r="CI87" s="196"/>
      <c r="CJ87" s="196"/>
      <c r="CK87" s="196"/>
      <c r="CL87" s="196"/>
      <c r="CM87" s="196"/>
      <c r="CN87" s="196"/>
      <c r="CO87" s="196"/>
      <c r="CP87" s="196"/>
      <c r="CQ87" s="196"/>
      <c r="CR87" s="196"/>
      <c r="CS87" s="196"/>
      <c r="CT87" s="196"/>
      <c r="CU87" s="196"/>
      <c r="CV87" s="196"/>
      <c r="CW87" s="196"/>
      <c r="CX87" s="196"/>
      <c r="CY87" s="196"/>
      <c r="CZ87" s="196"/>
      <c r="DA87" s="196"/>
      <c r="DB87" s="196"/>
      <c r="DC87" s="196"/>
      <c r="DD87" s="196"/>
      <c r="DE87" s="196"/>
      <c r="DF87" s="196"/>
      <c r="DG87" s="196"/>
      <c r="DH87" s="196"/>
      <c r="DI87" s="196"/>
      <c r="DJ87" s="196"/>
      <c r="DK87" s="196"/>
      <c r="DL87" s="196"/>
      <c r="DM87" s="196"/>
      <c r="DN87" s="196"/>
      <c r="DO87" s="196"/>
      <c r="DP87" s="196"/>
      <c r="DQ87" s="196"/>
      <c r="DR87" s="196"/>
      <c r="DS87" s="196"/>
      <c r="DT87" s="196"/>
    </row>
    <row r="88" spans="76:124" x14ac:dyDescent="0.25">
      <c r="BX88" s="196"/>
      <c r="BY88" s="196"/>
      <c r="BZ88" s="196"/>
      <c r="CA88" s="196"/>
      <c r="CB88" s="196"/>
      <c r="CC88" s="196"/>
      <c r="CD88" s="196"/>
      <c r="CE88" s="196"/>
      <c r="CF88" s="196"/>
      <c r="CG88" s="196"/>
      <c r="CH88" s="196"/>
      <c r="CI88" s="196"/>
      <c r="CJ88" s="196"/>
      <c r="CK88" s="196"/>
      <c r="CL88" s="196"/>
      <c r="CM88" s="196"/>
      <c r="CN88" s="196"/>
      <c r="CO88" s="196"/>
      <c r="CP88" s="196"/>
      <c r="CQ88" s="196"/>
      <c r="CR88" s="196"/>
      <c r="CS88" s="196"/>
      <c r="CT88" s="196"/>
      <c r="CU88" s="196"/>
      <c r="CV88" s="196"/>
      <c r="CW88" s="196"/>
      <c r="CX88" s="196"/>
      <c r="CY88" s="196"/>
      <c r="CZ88" s="196"/>
      <c r="DA88" s="196"/>
      <c r="DB88" s="196"/>
      <c r="DC88" s="196"/>
      <c r="DD88" s="196"/>
      <c r="DE88" s="196"/>
      <c r="DF88" s="196"/>
      <c r="DG88" s="196"/>
      <c r="DH88" s="196"/>
      <c r="DI88" s="196"/>
      <c r="DJ88" s="196"/>
      <c r="DK88" s="196"/>
      <c r="DL88" s="196"/>
      <c r="DM88" s="196"/>
      <c r="DN88" s="196"/>
      <c r="DO88" s="196"/>
      <c r="DP88" s="196"/>
      <c r="DQ88" s="196"/>
      <c r="DR88" s="196"/>
      <c r="DS88" s="196"/>
      <c r="DT88" s="196"/>
    </row>
    <row r="89" spans="76:124" x14ac:dyDescent="0.25">
      <c r="BX89" s="196"/>
      <c r="BY89" s="196"/>
      <c r="BZ89" s="196"/>
      <c r="CA89" s="196"/>
      <c r="CB89" s="196"/>
      <c r="CC89" s="196"/>
      <c r="CD89" s="196"/>
      <c r="CE89" s="196"/>
      <c r="CF89" s="196"/>
      <c r="CG89" s="196"/>
      <c r="CH89" s="196"/>
      <c r="CI89" s="196"/>
      <c r="CJ89" s="196"/>
      <c r="CK89" s="196"/>
      <c r="CL89" s="196"/>
      <c r="CM89" s="196"/>
      <c r="CN89" s="196"/>
      <c r="CO89" s="196"/>
      <c r="CP89" s="196"/>
      <c r="CQ89" s="196"/>
      <c r="CR89" s="196"/>
      <c r="CS89" s="196"/>
      <c r="CT89" s="196"/>
      <c r="CU89" s="196"/>
      <c r="CV89" s="196"/>
      <c r="CW89" s="196"/>
      <c r="CX89" s="196"/>
      <c r="CY89" s="196"/>
      <c r="CZ89" s="196"/>
      <c r="DA89" s="196"/>
      <c r="DB89" s="196"/>
      <c r="DC89" s="196"/>
      <c r="DD89" s="196"/>
      <c r="DE89" s="196"/>
      <c r="DF89" s="196"/>
      <c r="DG89" s="196"/>
      <c r="DH89" s="196"/>
      <c r="DI89" s="196"/>
      <c r="DJ89" s="196"/>
      <c r="DK89" s="196"/>
      <c r="DL89" s="196"/>
      <c r="DM89" s="196"/>
      <c r="DN89" s="196"/>
      <c r="DO89" s="196"/>
      <c r="DP89" s="196"/>
      <c r="DQ89" s="196"/>
      <c r="DR89" s="196"/>
      <c r="DS89" s="196"/>
      <c r="DT89" s="196"/>
    </row>
    <row r="90" spans="76:124" x14ac:dyDescent="0.25">
      <c r="BX90" s="196"/>
      <c r="BY90" s="196"/>
      <c r="BZ90" s="196"/>
      <c r="CA90" s="196"/>
      <c r="CB90" s="196"/>
      <c r="CC90" s="196"/>
      <c r="CD90" s="196"/>
      <c r="CE90" s="196"/>
      <c r="CF90" s="196"/>
      <c r="CG90" s="196"/>
      <c r="CH90" s="196"/>
      <c r="CI90" s="196"/>
      <c r="CJ90" s="196"/>
      <c r="CK90" s="196"/>
      <c r="CL90" s="196"/>
      <c r="CM90" s="196"/>
      <c r="CN90" s="196"/>
      <c r="CO90" s="196"/>
      <c r="CP90" s="196"/>
      <c r="CQ90" s="196"/>
      <c r="CR90" s="196"/>
      <c r="CS90" s="196"/>
      <c r="CT90" s="196"/>
      <c r="CU90" s="196"/>
      <c r="CV90" s="196"/>
      <c r="CW90" s="196"/>
      <c r="CX90" s="196"/>
      <c r="CY90" s="196"/>
      <c r="CZ90" s="196"/>
      <c r="DA90" s="196"/>
      <c r="DB90" s="196"/>
      <c r="DC90" s="196"/>
      <c r="DD90" s="196"/>
      <c r="DE90" s="196"/>
      <c r="DF90" s="196"/>
      <c r="DG90" s="196"/>
      <c r="DH90" s="196"/>
      <c r="DI90" s="196"/>
      <c r="DJ90" s="196"/>
      <c r="DK90" s="196"/>
      <c r="DL90" s="196"/>
      <c r="DM90" s="196"/>
      <c r="DN90" s="196"/>
      <c r="DO90" s="196"/>
      <c r="DP90" s="196"/>
      <c r="DQ90" s="196"/>
      <c r="DR90" s="196"/>
      <c r="DS90" s="196"/>
      <c r="DT90" s="196"/>
    </row>
    <row r="91" spans="76:124" x14ac:dyDescent="0.25">
      <c r="BX91" s="196"/>
      <c r="BY91" s="196"/>
      <c r="BZ91" s="196"/>
      <c r="CA91" s="196"/>
      <c r="CB91" s="196"/>
      <c r="CC91" s="196"/>
      <c r="CD91" s="196"/>
      <c r="CE91" s="196"/>
      <c r="CF91" s="196"/>
      <c r="CG91" s="196"/>
      <c r="CH91" s="196"/>
      <c r="CI91" s="196"/>
      <c r="CJ91" s="196"/>
      <c r="CK91" s="196"/>
      <c r="CL91" s="196"/>
      <c r="CM91" s="196"/>
      <c r="CN91" s="196"/>
      <c r="CO91" s="196"/>
      <c r="CP91" s="196"/>
      <c r="CQ91" s="196"/>
      <c r="CR91" s="196"/>
      <c r="CS91" s="196"/>
      <c r="CT91" s="196"/>
      <c r="CU91" s="196"/>
      <c r="CV91" s="196"/>
      <c r="CW91" s="196"/>
      <c r="CX91" s="196"/>
      <c r="CY91" s="196"/>
      <c r="CZ91" s="196"/>
      <c r="DA91" s="196"/>
      <c r="DB91" s="196"/>
      <c r="DC91" s="196"/>
      <c r="DD91" s="196"/>
      <c r="DE91" s="196"/>
      <c r="DF91" s="196"/>
      <c r="DG91" s="196"/>
      <c r="DH91" s="196"/>
      <c r="DI91" s="196"/>
      <c r="DJ91" s="196"/>
      <c r="DK91" s="196"/>
      <c r="DL91" s="196"/>
      <c r="DM91" s="196"/>
      <c r="DN91" s="196"/>
      <c r="DO91" s="196"/>
      <c r="DP91" s="196"/>
      <c r="DQ91" s="196"/>
      <c r="DR91" s="196"/>
      <c r="DS91" s="196"/>
      <c r="DT91" s="196"/>
    </row>
    <row r="92" spans="76:124" x14ac:dyDescent="0.25">
      <c r="BX92" s="196"/>
      <c r="BY92" s="196"/>
      <c r="BZ92" s="196"/>
      <c r="CA92" s="196"/>
      <c r="CB92" s="196"/>
      <c r="CC92" s="196"/>
      <c r="CD92" s="196"/>
      <c r="CE92" s="196"/>
      <c r="CF92" s="196"/>
      <c r="CG92" s="196"/>
      <c r="CH92" s="196"/>
      <c r="CI92" s="196"/>
      <c r="CJ92" s="196"/>
      <c r="CK92" s="196"/>
      <c r="CL92" s="196"/>
      <c r="CM92" s="196"/>
      <c r="CN92" s="196"/>
      <c r="CO92" s="196"/>
      <c r="CP92" s="196"/>
      <c r="CQ92" s="196"/>
      <c r="CR92" s="196"/>
      <c r="CS92" s="196"/>
      <c r="CT92" s="196"/>
      <c r="CU92" s="196"/>
      <c r="CV92" s="196"/>
      <c r="CW92" s="196"/>
      <c r="CX92" s="196"/>
      <c r="CY92" s="196"/>
      <c r="CZ92" s="196"/>
      <c r="DA92" s="196"/>
      <c r="DB92" s="196"/>
      <c r="DC92" s="196"/>
      <c r="DD92" s="196"/>
      <c r="DE92" s="196"/>
      <c r="DF92" s="196"/>
      <c r="DG92" s="196"/>
      <c r="DH92" s="196"/>
      <c r="DI92" s="196"/>
      <c r="DJ92" s="196"/>
      <c r="DK92" s="196"/>
      <c r="DL92" s="196"/>
      <c r="DM92" s="196"/>
      <c r="DN92" s="196"/>
      <c r="DO92" s="196"/>
      <c r="DP92" s="196"/>
      <c r="DQ92" s="196"/>
      <c r="DR92" s="196"/>
      <c r="DS92" s="196"/>
      <c r="DT92" s="196"/>
    </row>
    <row r="93" spans="76:124" x14ac:dyDescent="0.25">
      <c r="BX93" s="196"/>
      <c r="BY93" s="196"/>
      <c r="BZ93" s="196"/>
      <c r="CA93" s="196"/>
      <c r="CB93" s="196"/>
      <c r="CC93" s="196"/>
      <c r="CD93" s="196"/>
      <c r="CE93" s="196"/>
      <c r="CF93" s="196"/>
      <c r="CG93" s="196"/>
      <c r="CH93" s="196"/>
      <c r="CI93" s="196"/>
      <c r="CJ93" s="196"/>
      <c r="CK93" s="196"/>
      <c r="CL93" s="196"/>
      <c r="CM93" s="196"/>
      <c r="CN93" s="196"/>
      <c r="CO93" s="196"/>
      <c r="CP93" s="196"/>
      <c r="CQ93" s="196"/>
      <c r="CR93" s="196"/>
      <c r="CS93" s="196"/>
      <c r="CT93" s="196"/>
      <c r="CU93" s="196"/>
      <c r="CV93" s="196"/>
      <c r="CW93" s="196"/>
      <c r="CX93" s="196"/>
      <c r="CY93" s="196"/>
      <c r="CZ93" s="196"/>
      <c r="DA93" s="196"/>
      <c r="DB93" s="196"/>
      <c r="DC93" s="196"/>
      <c r="DD93" s="196"/>
      <c r="DE93" s="196"/>
      <c r="DF93" s="196"/>
      <c r="DG93" s="196"/>
      <c r="DH93" s="196"/>
      <c r="DI93" s="196"/>
      <c r="DJ93" s="196"/>
      <c r="DK93" s="196"/>
      <c r="DL93" s="196"/>
      <c r="DM93" s="196"/>
      <c r="DN93" s="196"/>
      <c r="DO93" s="196"/>
      <c r="DP93" s="196"/>
      <c r="DQ93" s="196"/>
      <c r="DR93" s="196"/>
      <c r="DS93" s="196"/>
      <c r="DT93" s="196"/>
    </row>
    <row r="94" spans="76:124" x14ac:dyDescent="0.25">
      <c r="BX94" s="196"/>
      <c r="BY94" s="196"/>
      <c r="BZ94" s="196"/>
      <c r="CA94" s="196"/>
      <c r="CB94" s="196"/>
      <c r="CC94" s="196"/>
      <c r="CD94" s="196"/>
      <c r="CE94" s="196"/>
      <c r="CF94" s="196"/>
      <c r="CG94" s="196"/>
      <c r="CH94" s="196"/>
      <c r="CI94" s="196"/>
      <c r="CJ94" s="196"/>
      <c r="CK94" s="196"/>
      <c r="CL94" s="196"/>
      <c r="CM94" s="196"/>
      <c r="CN94" s="196"/>
      <c r="CO94" s="196"/>
      <c r="CP94" s="196"/>
      <c r="CQ94" s="196"/>
      <c r="CR94" s="196"/>
      <c r="CS94" s="196"/>
      <c r="CT94" s="196"/>
      <c r="CU94" s="196"/>
      <c r="CV94" s="196"/>
      <c r="CW94" s="196"/>
      <c r="CX94" s="196"/>
      <c r="CY94" s="196"/>
      <c r="CZ94" s="196"/>
      <c r="DA94" s="196"/>
      <c r="DB94" s="196"/>
      <c r="DC94" s="196"/>
      <c r="DD94" s="196"/>
      <c r="DE94" s="196"/>
      <c r="DF94" s="196"/>
      <c r="DG94" s="196"/>
      <c r="DH94" s="196"/>
      <c r="DI94" s="196"/>
      <c r="DJ94" s="196"/>
      <c r="DK94" s="196"/>
      <c r="DL94" s="196"/>
      <c r="DM94" s="196"/>
      <c r="DN94" s="196"/>
      <c r="DO94" s="196"/>
      <c r="DP94" s="196"/>
      <c r="DQ94" s="196"/>
      <c r="DR94" s="196"/>
      <c r="DS94" s="196"/>
      <c r="DT94" s="196"/>
    </row>
    <row r="95" spans="76:124" x14ac:dyDescent="0.25">
      <c r="BX95" s="196"/>
      <c r="BY95" s="196"/>
      <c r="BZ95" s="196"/>
      <c r="CA95" s="196"/>
      <c r="CB95" s="196"/>
      <c r="CC95" s="196"/>
      <c r="CD95" s="196"/>
      <c r="CE95" s="196"/>
      <c r="CF95" s="196"/>
      <c r="CG95" s="196"/>
      <c r="CH95" s="196"/>
      <c r="CI95" s="196"/>
      <c r="CJ95" s="196"/>
      <c r="CK95" s="196"/>
      <c r="CL95" s="196"/>
      <c r="CM95" s="196"/>
      <c r="CN95" s="196"/>
      <c r="CO95" s="196"/>
      <c r="CP95" s="196"/>
      <c r="CQ95" s="196"/>
      <c r="CR95" s="196"/>
      <c r="CS95" s="196"/>
      <c r="CT95" s="196"/>
      <c r="CU95" s="196"/>
      <c r="CV95" s="196"/>
      <c r="CW95" s="196"/>
      <c r="CX95" s="196"/>
      <c r="CY95" s="196"/>
      <c r="CZ95" s="196"/>
      <c r="DA95" s="196"/>
      <c r="DB95" s="196"/>
      <c r="DC95" s="196"/>
      <c r="DD95" s="196"/>
      <c r="DE95" s="196"/>
      <c r="DF95" s="196"/>
      <c r="DG95" s="196"/>
      <c r="DH95" s="196"/>
      <c r="DI95" s="196"/>
      <c r="DJ95" s="196"/>
      <c r="DK95" s="196"/>
      <c r="DL95" s="196"/>
      <c r="DM95" s="196"/>
      <c r="DN95" s="196"/>
      <c r="DO95" s="196"/>
      <c r="DP95" s="196"/>
      <c r="DQ95" s="196"/>
      <c r="DR95" s="196"/>
      <c r="DS95" s="196"/>
      <c r="DT95" s="196"/>
    </row>
    <row r="96" spans="76:124" x14ac:dyDescent="0.25">
      <c r="BX96" s="196"/>
      <c r="BY96" s="196"/>
      <c r="BZ96" s="196"/>
      <c r="CA96" s="196"/>
      <c r="CB96" s="196"/>
      <c r="CC96" s="196"/>
      <c r="CD96" s="196"/>
      <c r="CE96" s="196"/>
      <c r="CF96" s="196"/>
      <c r="CG96" s="196"/>
      <c r="CH96" s="196"/>
      <c r="CI96" s="196"/>
      <c r="CJ96" s="196"/>
      <c r="CK96" s="196"/>
      <c r="CL96" s="196"/>
      <c r="CM96" s="196"/>
      <c r="CN96" s="196"/>
      <c r="CO96" s="196"/>
      <c r="CP96" s="196"/>
      <c r="CQ96" s="196"/>
      <c r="CR96" s="196"/>
      <c r="CS96" s="196"/>
      <c r="CT96" s="196"/>
      <c r="CU96" s="196"/>
      <c r="CV96" s="196"/>
      <c r="CW96" s="196"/>
      <c r="CX96" s="196"/>
      <c r="CY96" s="196"/>
      <c r="CZ96" s="196"/>
      <c r="DA96" s="196"/>
      <c r="DB96" s="196"/>
      <c r="DC96" s="196"/>
      <c r="DD96" s="196"/>
      <c r="DE96" s="196"/>
      <c r="DF96" s="196"/>
      <c r="DG96" s="196"/>
      <c r="DH96" s="196"/>
      <c r="DI96" s="196"/>
      <c r="DJ96" s="196"/>
      <c r="DK96" s="196"/>
      <c r="DL96" s="196"/>
      <c r="DM96" s="196"/>
      <c r="DN96" s="196"/>
      <c r="DO96" s="196"/>
      <c r="DP96" s="196"/>
      <c r="DQ96" s="196"/>
      <c r="DR96" s="196"/>
      <c r="DS96" s="196"/>
      <c r="DT96" s="196"/>
    </row>
    <row r="97" spans="1:139" x14ac:dyDescent="0.25">
      <c r="BX97" s="196"/>
      <c r="BY97" s="196"/>
      <c r="BZ97" s="196"/>
      <c r="CA97" s="196"/>
      <c r="CB97" s="196"/>
      <c r="CC97" s="196"/>
      <c r="CD97" s="196"/>
      <c r="CE97" s="196"/>
      <c r="CF97" s="196"/>
      <c r="CG97" s="196"/>
      <c r="CH97" s="196"/>
      <c r="CI97" s="196"/>
      <c r="CJ97" s="196"/>
      <c r="CK97" s="196"/>
      <c r="CL97" s="196"/>
      <c r="CM97" s="196"/>
      <c r="CN97" s="196"/>
      <c r="CO97" s="196"/>
      <c r="CP97" s="196"/>
      <c r="CQ97" s="196"/>
      <c r="CR97" s="196"/>
      <c r="CS97" s="196"/>
      <c r="CT97" s="196"/>
      <c r="CU97" s="196"/>
      <c r="CV97" s="196"/>
      <c r="CW97" s="196"/>
      <c r="CX97" s="196"/>
      <c r="CY97" s="196"/>
      <c r="CZ97" s="196"/>
      <c r="DA97" s="196"/>
      <c r="DB97" s="196"/>
      <c r="DC97" s="196"/>
      <c r="DD97" s="196"/>
      <c r="DE97" s="196"/>
      <c r="DF97" s="196"/>
      <c r="DG97" s="196"/>
      <c r="DH97" s="196"/>
      <c r="DI97" s="196"/>
      <c r="DJ97" s="196"/>
      <c r="DK97" s="196"/>
      <c r="DL97" s="196"/>
      <c r="DM97" s="196"/>
      <c r="DN97" s="196"/>
      <c r="DO97" s="196"/>
      <c r="DP97" s="196"/>
      <c r="DQ97" s="196"/>
      <c r="DR97" s="196"/>
      <c r="DS97" s="196"/>
      <c r="DT97" s="196"/>
    </row>
    <row r="98" spans="1:139" x14ac:dyDescent="0.25">
      <c r="BX98" s="196"/>
      <c r="BY98" s="196"/>
      <c r="BZ98" s="196"/>
      <c r="CA98" s="196"/>
      <c r="CB98" s="196"/>
      <c r="CC98" s="196"/>
      <c r="CD98" s="196"/>
      <c r="CE98" s="196"/>
      <c r="CF98" s="196"/>
      <c r="CG98" s="196"/>
      <c r="CH98" s="196"/>
      <c r="CI98" s="196"/>
      <c r="CJ98" s="196"/>
      <c r="CK98" s="196"/>
      <c r="CL98" s="196"/>
      <c r="CM98" s="196"/>
      <c r="CN98" s="196"/>
      <c r="CO98" s="196"/>
      <c r="CP98" s="196"/>
      <c r="CQ98" s="196"/>
      <c r="CR98" s="196"/>
      <c r="CS98" s="196"/>
      <c r="CT98" s="196"/>
      <c r="CU98" s="196"/>
      <c r="CV98" s="196"/>
      <c r="CW98" s="196"/>
      <c r="CX98" s="196"/>
      <c r="CY98" s="196"/>
      <c r="CZ98" s="196"/>
      <c r="DA98" s="196"/>
      <c r="DB98" s="196"/>
      <c r="DC98" s="196"/>
      <c r="DD98" s="196"/>
      <c r="DE98" s="196"/>
      <c r="DF98" s="196"/>
      <c r="DG98" s="196"/>
      <c r="DH98" s="196"/>
      <c r="DI98" s="196"/>
      <c r="DJ98" s="196"/>
      <c r="DK98" s="196"/>
      <c r="DL98" s="196"/>
      <c r="DM98" s="196"/>
      <c r="DN98" s="196"/>
      <c r="DO98" s="196"/>
      <c r="DP98" s="196"/>
      <c r="DQ98" s="196"/>
      <c r="DR98" s="196"/>
      <c r="DS98" s="196"/>
      <c r="DT98" s="196"/>
    </row>
    <row r="99" spans="1:139" ht="15.75" thickBot="1" x14ac:dyDescent="0.3">
      <c r="A99" s="173"/>
      <c r="BX99" s="196"/>
      <c r="BY99" s="196"/>
      <c r="BZ99" s="196"/>
      <c r="CA99" s="196"/>
      <c r="CB99" s="196"/>
      <c r="CC99" s="196"/>
      <c r="CD99" s="196"/>
      <c r="CE99" s="196"/>
      <c r="CF99" s="196"/>
      <c r="CG99" s="196"/>
      <c r="CH99" s="196"/>
      <c r="CI99" s="196"/>
      <c r="CJ99" s="196"/>
      <c r="CK99" s="196"/>
      <c r="CL99" s="196"/>
      <c r="CM99" s="196"/>
      <c r="CN99" s="196"/>
      <c r="CO99" s="196"/>
      <c r="CP99" s="196"/>
      <c r="CQ99" s="196"/>
      <c r="CR99" s="196"/>
      <c r="CS99" s="196"/>
      <c r="CT99" s="196"/>
      <c r="CU99" s="196"/>
      <c r="CV99" s="196"/>
      <c r="CW99" s="196"/>
      <c r="CX99" s="196"/>
      <c r="CY99" s="196"/>
      <c r="CZ99" s="196"/>
      <c r="DA99" s="196"/>
      <c r="DB99" s="196"/>
      <c r="DC99" s="196"/>
      <c r="DD99" s="196"/>
      <c r="DE99" s="196"/>
      <c r="DF99" s="196"/>
      <c r="DG99" s="196"/>
      <c r="DH99" s="196"/>
      <c r="DI99" s="196"/>
      <c r="DJ99" s="196"/>
      <c r="DK99" s="196"/>
      <c r="DL99" s="196"/>
      <c r="DM99" s="196"/>
      <c r="DN99" s="196"/>
      <c r="DO99" s="196"/>
      <c r="DP99" s="196"/>
      <c r="DQ99" s="196"/>
      <c r="DR99" s="196"/>
      <c r="DS99" s="196"/>
      <c r="DT99" s="196"/>
    </row>
    <row r="100" spans="1:139" ht="16.5" thickTop="1" thickBot="1" x14ac:dyDescent="0.3">
      <c r="A100" s="57" t="s">
        <v>739</v>
      </c>
      <c r="B100" s="58">
        <f>DAY($A$100)</f>
        <v>17</v>
      </c>
      <c r="C100" s="58">
        <f>MONTH($A$100)</f>
        <v>8</v>
      </c>
      <c r="D100" s="58">
        <f>YEAR($A$100)</f>
        <v>2022</v>
      </c>
      <c r="E100" s="168">
        <f ca="1">TODAY()</f>
        <v>44798</v>
      </c>
      <c r="AA100" s="497" t="s">
        <v>135</v>
      </c>
      <c r="AB100" s="498"/>
      <c r="AC100" s="498"/>
      <c r="AD100" s="498"/>
      <c r="AE100" s="498"/>
      <c r="AF100" s="498"/>
      <c r="AG100" s="499"/>
      <c r="AH100" s="44" t="str">
        <f>IF($AH$105=0,"",$AH$105)</f>
        <v/>
      </c>
      <c r="AI100" s="266" t="str">
        <f>IF(OR($A$3=0,$A$3="0",$AH$105=0),"0",IF($AH$105&gt;$A$3,$A$3,$AH$105))</f>
        <v>0</v>
      </c>
      <c r="BA100" s="497" t="s">
        <v>138</v>
      </c>
      <c r="BB100" s="498"/>
      <c r="BC100" s="498"/>
      <c r="BD100" s="498"/>
      <c r="BE100" s="498"/>
      <c r="BF100" s="498"/>
      <c r="BG100" s="499"/>
      <c r="BH100" s="44" t="str">
        <f>IF($BH$105=0,"",$BH$105)</f>
        <v/>
      </c>
      <c r="BX100" s="196"/>
      <c r="BY100" s="196"/>
      <c r="BZ100" s="196"/>
      <c r="CA100" s="497" t="s">
        <v>131</v>
      </c>
      <c r="CB100" s="498"/>
      <c r="CC100" s="498"/>
      <c r="CD100" s="498"/>
      <c r="CE100" s="498"/>
      <c r="CF100" s="498"/>
      <c r="CG100" s="499"/>
      <c r="CH100" s="44" t="str">
        <f>IF(OR($A$3=0,$A$3="0",$CH$105=0),"0",IF($CH$105&gt;$A$3,$A$3,$CH$105))</f>
        <v>0</v>
      </c>
      <c r="CI100" s="196"/>
      <c r="CJ100" s="196"/>
      <c r="CK100" s="196"/>
      <c r="CL100" s="196"/>
      <c r="CM100" s="196"/>
      <c r="CN100" s="196"/>
      <c r="CO100" s="196"/>
      <c r="CP100" s="196"/>
      <c r="CQ100" s="196"/>
      <c r="CR100" s="196"/>
      <c r="CS100" s="196"/>
      <c r="CT100" s="196"/>
      <c r="CU100" s="196"/>
      <c r="CV100" s="196"/>
      <c r="CW100" s="196"/>
      <c r="CX100" s="196"/>
      <c r="CY100" s="196"/>
      <c r="CZ100" s="196"/>
      <c r="DA100" s="497" t="s">
        <v>133</v>
      </c>
      <c r="DB100" s="498"/>
      <c r="DC100" s="498"/>
      <c r="DD100" s="498"/>
      <c r="DE100" s="498"/>
      <c r="DF100" s="498"/>
      <c r="DG100" s="499"/>
      <c r="DH100" s="44" t="str">
        <f>IF(OR($A$6=0,$A$6="0",$DH$105=0),"0",IF($DH$105&gt;$A$6,$A$6,$DH$105))</f>
        <v>0</v>
      </c>
      <c r="DI100" s="196"/>
      <c r="DJ100" s="196"/>
      <c r="DK100" s="196"/>
      <c r="DL100" s="196"/>
      <c r="DM100" s="196"/>
      <c r="DN100" s="196"/>
      <c r="DO100" s="196"/>
      <c r="DP100" s="196"/>
      <c r="DQ100" s="196"/>
      <c r="DR100" s="196"/>
      <c r="DS100" s="196"/>
      <c r="DT100" s="196"/>
      <c r="EA100" s="497" t="s">
        <v>415</v>
      </c>
      <c r="EB100" s="498"/>
      <c r="EC100" s="498"/>
      <c r="ED100" s="498"/>
      <c r="EE100" s="498"/>
      <c r="EF100" s="498"/>
      <c r="EG100" s="499"/>
      <c r="EH100" s="44" t="str">
        <f>IF(OR($A$3=0,$A$3="0",$EH$105=0),"",IF($EH$105&gt;$A$3,$A$3,$EH$105))</f>
        <v/>
      </c>
    </row>
    <row r="101" spans="1:139" ht="16.5" thickTop="1" thickBot="1" x14ac:dyDescent="0.3">
      <c r="A101" s="59">
        <f>$A100-1</f>
        <v>44789</v>
      </c>
      <c r="AA101" s="2" t="s">
        <v>65</v>
      </c>
      <c r="AB101" s="5">
        <f>$AB$128</f>
        <v>0</v>
      </c>
      <c r="BA101" s="90" t="s">
        <v>65</v>
      </c>
      <c r="BB101" s="5">
        <f>$BB$128</f>
        <v>0</v>
      </c>
      <c r="BX101" s="196"/>
      <c r="BY101" s="196"/>
      <c r="BZ101" s="196"/>
      <c r="CA101" s="322" t="s">
        <v>65</v>
      </c>
      <c r="CB101" s="5">
        <f>$CB$128</f>
        <v>0</v>
      </c>
      <c r="CC101" s="196"/>
      <c r="CD101" s="196"/>
      <c r="CE101" s="196"/>
      <c r="CF101" s="196"/>
      <c r="CG101" s="196"/>
      <c r="CH101" s="196"/>
      <c r="CI101" s="196"/>
      <c r="CJ101" s="196"/>
      <c r="CK101" s="196"/>
      <c r="CL101" s="196"/>
      <c r="CM101" s="196"/>
      <c r="CN101" s="196"/>
      <c r="CO101" s="196"/>
      <c r="CP101" s="196"/>
      <c r="CQ101" s="196"/>
      <c r="CR101" s="196"/>
      <c r="CS101" s="196"/>
      <c r="CT101" s="196"/>
      <c r="CU101" s="196"/>
      <c r="CV101" s="196"/>
      <c r="CW101" s="196"/>
      <c r="CX101" s="196"/>
      <c r="CY101" s="196"/>
      <c r="CZ101" s="196"/>
      <c r="DA101" s="322" t="s">
        <v>65</v>
      </c>
      <c r="DB101" s="5">
        <f>$DB$128</f>
        <v>0</v>
      </c>
      <c r="DC101" s="196"/>
      <c r="DD101" s="196"/>
      <c r="DE101" s="196"/>
      <c r="DF101" s="196"/>
      <c r="DG101" s="196"/>
      <c r="DH101" s="196"/>
      <c r="DI101" s="196"/>
      <c r="DJ101" s="196"/>
      <c r="DK101" s="196"/>
      <c r="DL101" s="196"/>
      <c r="DM101" s="196"/>
      <c r="DN101" s="196"/>
      <c r="DO101" s="196"/>
      <c r="DP101" s="196"/>
      <c r="DQ101" s="196"/>
      <c r="DR101" s="196"/>
      <c r="DS101" s="196"/>
      <c r="DT101" s="196"/>
      <c r="EA101" s="195" t="s">
        <v>416</v>
      </c>
      <c r="EB101" s="5">
        <f>$EB$128</f>
        <v>0</v>
      </c>
      <c r="EC101" s="193" t="str">
        <f>IF($EB$128=$EB$127,"El Tope de ingresos para este producto es de "&amp;TEXT($EB$127,"$ #,##0.00"),IF($EB$128=$A$3,"El Ingreso se esta topando en base a la cantidad capturada en solicitud",""))</f>
        <v>El Tope de ingresos para este producto es de $ 0.00</v>
      </c>
      <c r="ED101" s="194"/>
      <c r="EE101" s="194"/>
      <c r="EF101" s="194"/>
      <c r="EG101" s="194"/>
      <c r="EH101" s="194"/>
    </row>
    <row r="102" spans="1:139" ht="16.5" thickTop="1" thickBot="1" x14ac:dyDescent="0.3">
      <c r="A102" s="59">
        <f t="shared" ref="A102:A119" si="0">$A101-1</f>
        <v>44788</v>
      </c>
      <c r="C102" s="519" t="s">
        <v>66</v>
      </c>
      <c r="D102" s="520"/>
      <c r="E102" s="58">
        <f>VLOOKUP($C$100,$C$102:$D$114,2,0)</f>
        <v>2021</v>
      </c>
      <c r="F102" s="41" t="s">
        <v>43</v>
      </c>
      <c r="AA102" s="2" t="s">
        <v>67</v>
      </c>
      <c r="AB102" s="5">
        <f>$AB$148</f>
        <v>0</v>
      </c>
      <c r="BA102" s="90" t="s">
        <v>67</v>
      </c>
      <c r="BB102" s="5">
        <f>$BB$148</f>
        <v>0</v>
      </c>
      <c r="BX102" s="196"/>
      <c r="BY102" s="196"/>
      <c r="BZ102" s="196"/>
      <c r="CA102" s="37"/>
      <c r="CB102" s="26"/>
      <c r="CC102" s="196"/>
      <c r="CD102" s="196"/>
      <c r="CE102" s="196"/>
      <c r="CF102" s="196"/>
      <c r="CG102" s="196"/>
      <c r="CH102" s="196"/>
      <c r="CI102" s="196"/>
      <c r="CJ102" s="196"/>
      <c r="CK102" s="196"/>
      <c r="CL102" s="196"/>
      <c r="CM102" s="196"/>
      <c r="CN102" s="196"/>
      <c r="CO102" s="196"/>
      <c r="CP102" s="196"/>
      <c r="CQ102" s="196"/>
      <c r="CR102" s="196"/>
      <c r="CS102" s="196"/>
      <c r="CT102" s="196"/>
      <c r="CU102" s="196"/>
      <c r="CV102" s="196"/>
      <c r="CW102" s="196"/>
      <c r="CX102" s="196"/>
      <c r="CY102" s="196"/>
      <c r="CZ102" s="196"/>
      <c r="DA102" s="37"/>
      <c r="DB102" s="26"/>
      <c r="DC102" s="196"/>
      <c r="DD102" s="196"/>
      <c r="DE102" s="196"/>
      <c r="DF102" s="196"/>
      <c r="DG102" s="196"/>
      <c r="DH102" s="196"/>
      <c r="DI102" s="196"/>
      <c r="DJ102" s="196"/>
      <c r="DK102" s="196"/>
      <c r="DL102" s="196"/>
      <c r="DM102" s="196"/>
      <c r="DN102" s="196"/>
      <c r="DO102" s="196"/>
      <c r="DP102" s="196"/>
      <c r="DQ102" s="196"/>
      <c r="DR102" s="196"/>
      <c r="DS102" s="196"/>
      <c r="DT102" s="196"/>
      <c r="EA102" s="195" t="s">
        <v>417</v>
      </c>
      <c r="EB102" s="5">
        <f>$EB$148</f>
        <v>0</v>
      </c>
      <c r="EC102" s="193" t="str">
        <f>IF($EB$148=$EB$147,"El Tope de ingresos para este producto es de "&amp;TEXT($EB$147,"$ #,##0.00"),IF($EB$148=$A$3,"El Ingreso se esta topando en base a la cantidad capturada en solicitud",""))</f>
        <v>El Ingreso se esta topando en base a la cantidad capturada en solicitud</v>
      </c>
      <c r="ED102" s="194"/>
      <c r="EE102" s="194"/>
      <c r="EF102" s="194"/>
      <c r="EG102" s="194"/>
      <c r="EH102" s="194"/>
    </row>
    <row r="103" spans="1:139" ht="16.5" thickTop="1" thickBot="1" x14ac:dyDescent="0.3">
      <c r="A103" s="59">
        <f t="shared" si="0"/>
        <v>44787</v>
      </c>
      <c r="C103" s="60">
        <v>1</v>
      </c>
      <c r="D103" s="60">
        <f>$D$100-2</f>
        <v>2020</v>
      </c>
      <c r="E103" t="s">
        <v>68</v>
      </c>
      <c r="F103" s="60">
        <f>IF($C$100=$C$103,$C$114,($C$100-1))</f>
        <v>7</v>
      </c>
      <c r="AA103" s="2" t="s">
        <v>69</v>
      </c>
      <c r="AB103" s="5">
        <f>$AB$168</f>
        <v>0</v>
      </c>
      <c r="BA103" s="90" t="s">
        <v>69</v>
      </c>
      <c r="BB103" s="5">
        <f>$BB$168</f>
        <v>0</v>
      </c>
      <c r="BX103" s="196"/>
      <c r="BY103" s="196"/>
      <c r="BZ103" s="196"/>
      <c r="CA103" s="37"/>
      <c r="CB103" s="26"/>
      <c r="CC103" s="196"/>
      <c r="CD103" s="196"/>
      <c r="CE103" s="196"/>
      <c r="CF103" s="196"/>
      <c r="CG103" s="196"/>
      <c r="CH103" s="196"/>
      <c r="CI103" s="196"/>
      <c r="CJ103" s="196"/>
      <c r="CK103" s="196"/>
      <c r="CL103" s="196"/>
      <c r="CM103" s="196"/>
      <c r="CN103" s="196"/>
      <c r="CO103" s="196"/>
      <c r="CP103" s="196"/>
      <c r="CQ103" s="196"/>
      <c r="CR103" s="196"/>
      <c r="CS103" s="196"/>
      <c r="CT103" s="196"/>
      <c r="CU103" s="196"/>
      <c r="CV103" s="196"/>
      <c r="CW103" s="196"/>
      <c r="CX103" s="196"/>
      <c r="CY103" s="196"/>
      <c r="CZ103" s="196"/>
      <c r="DA103" s="37"/>
      <c r="DB103" s="26"/>
      <c r="DC103" s="196"/>
      <c r="DD103" s="196"/>
      <c r="DE103" s="196"/>
      <c r="DF103" s="196"/>
      <c r="DG103" s="196"/>
      <c r="DH103" s="196"/>
      <c r="DI103" s="196"/>
      <c r="DJ103" s="196"/>
      <c r="DK103" s="196"/>
      <c r="DL103" s="196"/>
      <c r="DM103" s="196"/>
      <c r="DN103" s="196"/>
      <c r="DO103" s="196"/>
      <c r="DP103" s="196"/>
      <c r="DQ103" s="196"/>
      <c r="DR103" s="196"/>
      <c r="DS103" s="196"/>
      <c r="DT103" s="196"/>
      <c r="EA103" s="229" t="s">
        <v>393</v>
      </c>
      <c r="EB103" s="5">
        <f>$EB$168</f>
        <v>0</v>
      </c>
      <c r="EC103" s="193" t="str">
        <f>IF($EB$168=$EB$167,"El Tope de ingresos para este producto es de "&amp;TEXT($EB$167,"$ #,##0.00"),IF($EB$168=$A$3,"El Ingreso se esta topando en base a la cantidad capturada en solicitud",""))</f>
        <v>El Ingreso se esta topando en base a la cantidad capturada en solicitud</v>
      </c>
      <c r="ED103" s="194"/>
      <c r="EE103" s="194"/>
      <c r="EF103" s="194"/>
      <c r="EG103" s="194"/>
      <c r="EH103" s="194"/>
    </row>
    <row r="104" spans="1:139" ht="16.5" thickTop="1" thickBot="1" x14ac:dyDescent="0.3">
      <c r="A104" s="59">
        <f t="shared" si="0"/>
        <v>44786</v>
      </c>
      <c r="C104" s="60">
        <v>2</v>
      </c>
      <c r="D104" s="60">
        <f>$D$100-2</f>
        <v>2020</v>
      </c>
      <c r="E104" t="s">
        <v>70</v>
      </c>
      <c r="F104" s="60">
        <f>IF($C$100=$C$104,$C$114,($F$103-1))</f>
        <v>6</v>
      </c>
      <c r="BX104" s="196"/>
      <c r="BY104" s="196"/>
      <c r="BZ104" s="196"/>
      <c r="CA104" s="196"/>
      <c r="CB104" s="196"/>
      <c r="CC104" s="196"/>
      <c r="CD104" s="196"/>
      <c r="CE104" s="196"/>
      <c r="CF104" s="196"/>
      <c r="CG104" s="196"/>
      <c r="CH104" s="196"/>
      <c r="CI104" s="196"/>
      <c r="CJ104" s="196"/>
      <c r="CK104" s="196"/>
      <c r="CL104" s="196"/>
      <c r="CM104" s="196"/>
      <c r="CN104" s="196"/>
      <c r="CO104" s="196"/>
      <c r="CP104" s="196"/>
      <c r="CQ104" s="196"/>
      <c r="CR104" s="196"/>
      <c r="CS104" s="196"/>
      <c r="CT104" s="196"/>
      <c r="CU104" s="196"/>
      <c r="CV104" s="196"/>
      <c r="CW104" s="196"/>
      <c r="CX104" s="196"/>
      <c r="CY104" s="196"/>
      <c r="CZ104" s="196"/>
      <c r="DA104" s="196"/>
      <c r="DB104" s="196"/>
      <c r="DC104" s="196"/>
      <c r="DD104" s="196"/>
      <c r="DE104" s="196"/>
      <c r="DF104" s="196"/>
      <c r="DG104" s="196"/>
      <c r="DH104" s="196"/>
      <c r="DI104" s="196"/>
      <c r="DJ104" s="196"/>
      <c r="DK104" s="196"/>
      <c r="DL104" s="196"/>
      <c r="DM104" s="196"/>
      <c r="DN104" s="196"/>
      <c r="DO104" s="196"/>
      <c r="DP104" s="196"/>
      <c r="DQ104" s="196"/>
      <c r="DR104" s="196"/>
      <c r="DS104" s="196"/>
      <c r="DT104" s="196"/>
      <c r="EA104" s="194"/>
      <c r="EB104" s="194"/>
      <c r="EC104" s="194"/>
      <c r="ED104" s="194"/>
      <c r="EE104" s="194"/>
      <c r="EF104" s="194"/>
      <c r="EG104" s="194"/>
      <c r="EH104" s="194"/>
    </row>
    <row r="105" spans="1:139" ht="16.5" thickTop="1" thickBot="1" x14ac:dyDescent="0.3">
      <c r="A105" s="59">
        <f t="shared" si="0"/>
        <v>44785</v>
      </c>
      <c r="C105" s="60">
        <v>3</v>
      </c>
      <c r="D105" s="60">
        <f>$D$100-2</f>
        <v>2020</v>
      </c>
      <c r="E105" t="s">
        <v>71</v>
      </c>
      <c r="F105" s="60">
        <f>IF($C$100=$C$105,$C$114,($F$104-1))</f>
        <v>5</v>
      </c>
      <c r="AF105" s="502" t="s">
        <v>40</v>
      </c>
      <c r="AG105" s="503"/>
      <c r="AH105" s="273">
        <f>SUM($AB$101:$AB$103)</f>
        <v>0</v>
      </c>
      <c r="AI105" s="273">
        <f>$AH$37</f>
        <v>0</v>
      </c>
      <c r="BF105" s="502" t="s">
        <v>40</v>
      </c>
      <c r="BG105" s="503"/>
      <c r="BH105" s="273">
        <f>SUM($BB$101:$BB$103)</f>
        <v>0</v>
      </c>
      <c r="BX105" s="196"/>
      <c r="BY105" s="196"/>
      <c r="BZ105" s="196"/>
      <c r="CA105" s="196"/>
      <c r="CB105" s="196"/>
      <c r="CC105" s="196"/>
      <c r="CD105" s="196"/>
      <c r="CE105" s="196"/>
      <c r="CF105" s="502" t="s">
        <v>40</v>
      </c>
      <c r="CG105" s="503"/>
      <c r="CH105" s="5">
        <f>SUM($CB$101:$CB$103)</f>
        <v>0</v>
      </c>
      <c r="CI105" s="196"/>
      <c r="CJ105" s="196"/>
      <c r="CK105" s="196"/>
      <c r="CL105" s="196"/>
      <c r="CM105" s="196"/>
      <c r="CN105" s="196"/>
      <c r="CO105" s="196"/>
      <c r="CP105" s="196"/>
      <c r="CQ105" s="196"/>
      <c r="CR105" s="196"/>
      <c r="CS105" s="196"/>
      <c r="CT105" s="196"/>
      <c r="CU105" s="196"/>
      <c r="CV105" s="196"/>
      <c r="CW105" s="196"/>
      <c r="CX105" s="196"/>
      <c r="CY105" s="196"/>
      <c r="CZ105" s="196"/>
      <c r="DA105" s="196"/>
      <c r="DB105" s="196"/>
      <c r="DC105" s="196"/>
      <c r="DD105" s="196"/>
      <c r="DE105" s="196"/>
      <c r="DF105" s="502" t="s">
        <v>40</v>
      </c>
      <c r="DG105" s="503"/>
      <c r="DH105" s="5">
        <f>SUM($DB$101:$DB$103)</f>
        <v>0</v>
      </c>
      <c r="DI105" s="196"/>
      <c r="DJ105" s="196"/>
      <c r="DK105" s="196"/>
      <c r="DL105" s="196"/>
      <c r="DM105" s="196"/>
      <c r="DN105" s="196"/>
      <c r="DO105" s="196"/>
      <c r="DP105" s="196"/>
      <c r="DQ105" s="196"/>
      <c r="DR105" s="196"/>
      <c r="DS105" s="196"/>
      <c r="DT105" s="196"/>
      <c r="EA105" s="194"/>
      <c r="EB105" s="194"/>
      <c r="EC105" s="194"/>
      <c r="ED105" s="194"/>
      <c r="EE105" s="194"/>
      <c r="EF105" s="502" t="s">
        <v>40</v>
      </c>
      <c r="EG105" s="503"/>
      <c r="EH105" s="5">
        <f>$EB$103</f>
        <v>0</v>
      </c>
    </row>
    <row r="106" spans="1:139" ht="16.5" thickTop="1" thickBot="1" x14ac:dyDescent="0.3">
      <c r="A106" s="59">
        <f t="shared" si="0"/>
        <v>44784</v>
      </c>
      <c r="C106" s="60">
        <v>4</v>
      </c>
      <c r="D106" s="60">
        <f>$D$100-2</f>
        <v>2020</v>
      </c>
      <c r="E106" t="s">
        <v>72</v>
      </c>
      <c r="F106" s="60">
        <f>IF($C$100=$C$106,$C$114,($F$105-1))</f>
        <v>4</v>
      </c>
      <c r="AH106" s="149" t="str">
        <f>IF($AH$105&lt;=$AH$100,"","")</f>
        <v/>
      </c>
      <c r="BH106" s="149" t="str">
        <f>IF($BH$105&lt;=$BH$100,"","")</f>
        <v/>
      </c>
      <c r="BX106" s="196"/>
      <c r="BY106" s="196"/>
      <c r="BZ106" s="196"/>
      <c r="CA106" s="196"/>
      <c r="CB106" s="196"/>
      <c r="CC106" s="196"/>
      <c r="CD106" s="196"/>
      <c r="CE106" s="196"/>
      <c r="CF106" s="196"/>
      <c r="CG106" s="196"/>
      <c r="CH106" s="149" t="str">
        <f>IF($CH$105&lt;=$CH$100,"","El Ingreso se esta topando en base a la cantidad capturada en solicitud")</f>
        <v/>
      </c>
      <c r="CI106" s="196"/>
      <c r="CJ106" s="196"/>
      <c r="CK106" s="196"/>
      <c r="CL106" s="196"/>
      <c r="CM106" s="196"/>
      <c r="CN106" s="196"/>
      <c r="CO106" s="196"/>
      <c r="CP106" s="196"/>
      <c r="CQ106" s="196"/>
      <c r="CR106" s="196"/>
      <c r="CS106" s="196"/>
      <c r="CT106" s="196"/>
      <c r="CU106" s="196"/>
      <c r="CV106" s="196"/>
      <c r="CW106" s="196"/>
      <c r="CX106" s="196"/>
      <c r="CY106" s="196"/>
      <c r="CZ106" s="196"/>
      <c r="DA106" s="196"/>
      <c r="DB106" s="196"/>
      <c r="DC106" s="196"/>
      <c r="DD106" s="196"/>
      <c r="DE106" s="196"/>
      <c r="DF106" s="196"/>
      <c r="DG106" s="196"/>
      <c r="DH106" s="149" t="str">
        <f>IF($DH$105&lt;=$DH$100,"","El Ingreso se esta topando en base a la cantidad capturada en solicitud")</f>
        <v/>
      </c>
      <c r="DI106" s="196"/>
      <c r="DJ106" s="196"/>
      <c r="DK106" s="196"/>
      <c r="DL106" s="196"/>
      <c r="DM106" s="196"/>
      <c r="DN106" s="196"/>
      <c r="DO106" s="196"/>
      <c r="DP106" s="196"/>
      <c r="DQ106" s="196"/>
      <c r="DR106" s="196"/>
      <c r="DS106" s="196"/>
      <c r="DT106" s="196"/>
      <c r="EA106" s="194"/>
      <c r="EB106" s="194"/>
      <c r="EC106" s="194"/>
      <c r="ED106" s="194"/>
      <c r="EE106" s="194"/>
      <c r="EF106" s="194"/>
      <c r="EG106" s="194"/>
      <c r="EH106" s="261" t="str">
        <f>$EC$103</f>
        <v>El Ingreso se esta topando en base a la cantidad capturada en solicitud</v>
      </c>
    </row>
    <row r="107" spans="1:139" ht="16.5" thickTop="1" thickBot="1" x14ac:dyDescent="0.3">
      <c r="A107" s="59">
        <f t="shared" si="0"/>
        <v>44783</v>
      </c>
      <c r="C107" s="60">
        <v>5</v>
      </c>
      <c r="D107" s="60">
        <f>$D$100-2</f>
        <v>2020</v>
      </c>
      <c r="E107" t="s">
        <v>73</v>
      </c>
      <c r="F107" s="60">
        <f>IF($C$100=$C$107,$C$114,($F$106-1))</f>
        <v>3</v>
      </c>
      <c r="BX107" s="196"/>
      <c r="BY107" s="196"/>
      <c r="BZ107" s="196"/>
      <c r="CA107" s="196"/>
      <c r="CB107" s="196"/>
      <c r="CC107" s="196"/>
      <c r="CD107" s="196"/>
      <c r="CE107" s="196"/>
      <c r="CF107" s="196"/>
      <c r="CG107" s="196"/>
      <c r="CH107" s="196"/>
      <c r="CI107" s="196"/>
      <c r="CJ107" s="196"/>
      <c r="CK107" s="196"/>
      <c r="CL107" s="196"/>
      <c r="CM107" s="196"/>
      <c r="CN107" s="196"/>
      <c r="CO107" s="196"/>
      <c r="CP107" s="196"/>
      <c r="CQ107" s="196"/>
      <c r="CR107" s="196"/>
      <c r="CS107" s="196"/>
      <c r="CT107" s="196"/>
      <c r="CU107" s="196"/>
      <c r="CV107" s="196"/>
      <c r="CW107" s="196"/>
      <c r="CX107" s="196"/>
      <c r="CY107" s="196"/>
      <c r="CZ107" s="196"/>
      <c r="DA107" s="196"/>
      <c r="DB107" s="196"/>
      <c r="DC107" s="196"/>
      <c r="DD107" s="196"/>
      <c r="DE107" s="196"/>
      <c r="DF107" s="196"/>
      <c r="DG107" s="196"/>
      <c r="DH107" s="196"/>
      <c r="DI107" s="196"/>
      <c r="DJ107" s="196"/>
      <c r="DK107" s="196"/>
      <c r="DL107" s="196"/>
      <c r="DM107" s="196"/>
      <c r="DN107" s="196"/>
      <c r="DO107" s="196"/>
      <c r="DP107" s="196"/>
      <c r="DQ107" s="196"/>
      <c r="DR107" s="196"/>
      <c r="DS107" s="196"/>
      <c r="DT107" s="196"/>
    </row>
    <row r="108" spans="1:139" ht="16.5" thickTop="1" thickBot="1" x14ac:dyDescent="0.3">
      <c r="A108" s="59">
        <f t="shared" si="0"/>
        <v>44782</v>
      </c>
      <c r="C108" s="60">
        <v>6</v>
      </c>
      <c r="D108" s="60">
        <f>$D$100-1</f>
        <v>2021</v>
      </c>
      <c r="E108" t="s">
        <v>75</v>
      </c>
      <c r="F108" s="60">
        <f>IF($C$100=$C$108,$C$114,($F$107-1))</f>
        <v>2</v>
      </c>
      <c r="BX108" s="196"/>
      <c r="BY108" s="196"/>
      <c r="BZ108" s="196"/>
      <c r="CA108" s="196"/>
      <c r="CB108" s="196"/>
      <c r="CC108" s="196"/>
      <c r="CD108" s="196"/>
      <c r="CE108" s="196"/>
      <c r="CF108" s="196"/>
      <c r="CG108" s="196"/>
      <c r="CH108" s="196"/>
      <c r="CI108" s="196"/>
      <c r="CJ108" s="196"/>
      <c r="CK108" s="196"/>
      <c r="CL108" s="196"/>
      <c r="CM108" s="196"/>
      <c r="CN108" s="196"/>
      <c r="CO108" s="196"/>
      <c r="CP108" s="196"/>
      <c r="CQ108" s="196"/>
      <c r="CR108" s="196"/>
      <c r="CS108" s="196"/>
      <c r="CT108" s="196"/>
      <c r="CU108" s="196"/>
      <c r="CV108" s="196"/>
      <c r="CW108" s="196"/>
      <c r="CX108" s="196"/>
      <c r="CY108" s="196"/>
      <c r="CZ108" s="196"/>
      <c r="DA108" s="196"/>
      <c r="DB108" s="196"/>
      <c r="DC108" s="196"/>
      <c r="DD108" s="196"/>
      <c r="DE108" s="196"/>
      <c r="DF108" s="196"/>
      <c r="DG108" s="196"/>
      <c r="DH108" s="196"/>
      <c r="DI108" s="196"/>
      <c r="DJ108" s="196"/>
      <c r="DK108" s="196"/>
      <c r="DL108" s="196"/>
      <c r="DM108" s="196"/>
      <c r="DN108" s="196"/>
      <c r="DO108" s="196"/>
      <c r="DP108" s="196"/>
      <c r="DQ108" s="196"/>
      <c r="DR108" s="196"/>
      <c r="DS108" s="196"/>
      <c r="DT108" s="196"/>
      <c r="EA108" s="259" t="s">
        <v>428</v>
      </c>
      <c r="EB108" s="260">
        <v>132000</v>
      </c>
    </row>
    <row r="109" spans="1:139" ht="16.5" thickTop="1" thickBot="1" x14ac:dyDescent="0.3">
      <c r="A109" s="59">
        <f t="shared" si="0"/>
        <v>44781</v>
      </c>
      <c r="C109" s="60">
        <v>7</v>
      </c>
      <c r="D109" s="60">
        <f t="shared" ref="D109:D114" si="1">$D$100-1</f>
        <v>2021</v>
      </c>
      <c r="E109" t="s">
        <v>76</v>
      </c>
      <c r="F109" s="58" t="s">
        <v>151</v>
      </c>
      <c r="BX109" s="196"/>
      <c r="BY109" s="196"/>
      <c r="BZ109" s="196"/>
      <c r="CA109" s="196"/>
      <c r="CB109" s="196"/>
      <c r="CC109" s="196"/>
      <c r="CD109" s="196"/>
      <c r="CE109" s="196"/>
      <c r="CF109" s="196"/>
      <c r="CG109" s="196"/>
      <c r="CH109" s="196"/>
      <c r="CI109" s="196"/>
      <c r="CJ109" s="196"/>
      <c r="CK109" s="196"/>
      <c r="CL109" s="196"/>
      <c r="CM109" s="196"/>
      <c r="CN109" s="196"/>
      <c r="CO109" s="196"/>
      <c r="CP109" s="196"/>
      <c r="CQ109" s="196"/>
      <c r="CR109" s="196"/>
      <c r="CS109" s="196"/>
      <c r="CT109" s="196"/>
      <c r="CU109" s="196"/>
      <c r="CV109" s="196"/>
      <c r="CW109" s="196"/>
      <c r="CX109" s="196"/>
      <c r="CY109" s="196"/>
      <c r="CZ109" s="196"/>
      <c r="DA109" s="196"/>
      <c r="DB109" s="196"/>
      <c r="DC109" s="196"/>
      <c r="DD109" s="196"/>
      <c r="DE109" s="196"/>
      <c r="DF109" s="196"/>
      <c r="DG109" s="196"/>
      <c r="DH109" s="196"/>
      <c r="DI109" s="196"/>
      <c r="DJ109" s="196"/>
      <c r="DK109" s="196"/>
      <c r="DL109" s="196"/>
      <c r="DM109" s="196"/>
      <c r="DN109" s="196"/>
      <c r="DO109" s="196"/>
      <c r="DP109" s="196"/>
      <c r="DQ109" s="196"/>
      <c r="DR109" s="196"/>
      <c r="DS109" s="196"/>
      <c r="DT109" s="196"/>
    </row>
    <row r="110" spans="1:139" ht="16.5" thickTop="1" thickBot="1" x14ac:dyDescent="0.3">
      <c r="A110" s="59">
        <f t="shared" si="0"/>
        <v>44780</v>
      </c>
      <c r="C110" s="60">
        <v>8</v>
      </c>
      <c r="D110" s="60">
        <f t="shared" si="1"/>
        <v>2021</v>
      </c>
      <c r="E110" t="s">
        <v>77</v>
      </c>
      <c r="F110" s="58" t="s">
        <v>152</v>
      </c>
      <c r="AA110" s="497" t="s">
        <v>78</v>
      </c>
      <c r="AB110" s="498"/>
      <c r="AC110" s="498"/>
      <c r="AD110" s="498"/>
      <c r="AE110" s="498"/>
      <c r="AF110" s="498"/>
      <c r="AG110" s="499"/>
      <c r="AH110" s="11">
        <f>$AB$128</f>
        <v>0</v>
      </c>
      <c r="AI110" s="266" t="str">
        <f>IF(OR($A$3=0,$A$3="0",$AB$128=0),"0",IF($AB$128&gt;$A$3,$A$3,$AB$128))</f>
        <v>0</v>
      </c>
      <c r="BA110" s="497" t="s">
        <v>78</v>
      </c>
      <c r="BB110" s="498"/>
      <c r="BC110" s="498"/>
      <c r="BD110" s="498"/>
      <c r="BE110" s="498"/>
      <c r="BF110" s="498"/>
      <c r="BG110" s="499"/>
      <c r="BH110" s="265">
        <f>$BB$128</f>
        <v>0</v>
      </c>
      <c r="BX110" s="196"/>
      <c r="BY110" s="196"/>
      <c r="BZ110" s="196"/>
      <c r="CA110" s="497" t="s">
        <v>78</v>
      </c>
      <c r="CB110" s="498"/>
      <c r="CC110" s="498"/>
      <c r="CD110" s="498"/>
      <c r="CE110" s="498"/>
      <c r="CF110" s="498"/>
      <c r="CG110" s="499"/>
      <c r="CH110" s="323" t="str">
        <f>IF(OR($A$3=0,$A$3="0",$CB$128=0),"0",IF($CB$128&gt;$A$3,$A$3,$CB$128))</f>
        <v>0</v>
      </c>
      <c r="CI110" s="196"/>
      <c r="CJ110" s="196"/>
      <c r="CK110" s="196"/>
      <c r="CL110" s="196"/>
      <c r="CM110" s="196"/>
      <c r="CN110" s="196"/>
      <c r="CO110" s="196"/>
      <c r="CP110" s="196"/>
      <c r="CQ110" s="196"/>
      <c r="CR110" s="196"/>
      <c r="CS110" s="196"/>
      <c r="CT110" s="196"/>
      <c r="CU110" s="196"/>
      <c r="CV110" s="196"/>
      <c r="CW110" s="196"/>
      <c r="CX110" s="196"/>
      <c r="CY110" s="196"/>
      <c r="CZ110" s="196"/>
      <c r="DA110" s="497" t="s">
        <v>78</v>
      </c>
      <c r="DB110" s="498"/>
      <c r="DC110" s="498"/>
      <c r="DD110" s="498"/>
      <c r="DE110" s="498"/>
      <c r="DF110" s="498"/>
      <c r="DG110" s="499"/>
      <c r="DH110" s="323" t="str">
        <f>IF(OR($A$6=0,$A$6="0",$DB$128=0),"0",IF($DB$128&gt;$A$6,$A$6,$DB$128))</f>
        <v>0</v>
      </c>
      <c r="DI110" s="196"/>
      <c r="DJ110" s="196"/>
      <c r="DK110" s="196"/>
      <c r="DL110" s="196"/>
      <c r="DM110" s="196"/>
      <c r="DN110" s="196"/>
      <c r="DO110" s="196"/>
      <c r="DP110" s="196"/>
      <c r="DQ110" s="196"/>
      <c r="DR110" s="196"/>
      <c r="DS110" s="196"/>
      <c r="DT110" s="196"/>
      <c r="EA110" s="497" t="s">
        <v>418</v>
      </c>
      <c r="EB110" s="498"/>
      <c r="EC110" s="498"/>
      <c r="ED110" s="498"/>
      <c r="EE110" s="498"/>
      <c r="EF110" s="498"/>
      <c r="EG110" s="499"/>
      <c r="EH110" s="185" t="str">
        <f>IF(OR($A$3=0,$A$3="0",$EB$128=0),"0",IF($EB$128&gt;$A$3,$A$3,$EB$128))</f>
        <v>0</v>
      </c>
      <c r="EI110" s="262" t="s">
        <v>429</v>
      </c>
    </row>
    <row r="111" spans="1:139" ht="16.5" thickTop="1" thickBot="1" x14ac:dyDescent="0.3">
      <c r="A111" s="59">
        <f t="shared" si="0"/>
        <v>44779</v>
      </c>
      <c r="C111" s="60">
        <v>9</v>
      </c>
      <c r="D111" s="60">
        <f t="shared" si="1"/>
        <v>2021</v>
      </c>
      <c r="E111" t="s">
        <v>80</v>
      </c>
      <c r="F111" s="58" t="s">
        <v>153</v>
      </c>
      <c r="AA111" s="25" t="s">
        <v>31</v>
      </c>
      <c r="AB111" s="26">
        <f>AVERAGE($AC$111:$AF$111)</f>
        <v>0</v>
      </c>
      <c r="AC111" s="35">
        <f>SUM($AC$112:$AC$121)</f>
        <v>0</v>
      </c>
      <c r="AD111" s="35">
        <f>SUM($AD$112:$AD$121)</f>
        <v>0</v>
      </c>
      <c r="AE111" s="35">
        <f>SUM($AE$112:$AE$121)</f>
        <v>0</v>
      </c>
      <c r="AF111" s="35">
        <f>SUM($AF$112:$AF$121)</f>
        <v>0</v>
      </c>
      <c r="AG111" s="35">
        <f>SUM($AG$112:$AG$121)</f>
        <v>0</v>
      </c>
      <c r="AH111" s="92">
        <f>SUM($AH$112:$AH$121)</f>
        <v>0</v>
      </c>
      <c r="BA111" s="25" t="s">
        <v>31</v>
      </c>
      <c r="BB111" s="26">
        <f>AVERAGE($BC$111:$BF$111)</f>
        <v>0</v>
      </c>
      <c r="BC111" s="35">
        <f>SUM($BC$112:$BC$121)</f>
        <v>0</v>
      </c>
      <c r="BD111" s="35">
        <f>SUM($BD$112:$BD$121)</f>
        <v>0</v>
      </c>
      <c r="BE111" s="35">
        <f>SUM($BE$112:$BE$121)</f>
        <v>0</v>
      </c>
      <c r="BF111" s="35">
        <f>SUM($BF$112:$BF$121)</f>
        <v>0</v>
      </c>
      <c r="BG111" s="35">
        <f>SUM($BG$112:$BG$121)</f>
        <v>0</v>
      </c>
      <c r="BH111" s="92">
        <f>SUM($BH$112:$BH$121)</f>
        <v>0</v>
      </c>
      <c r="BX111" s="196"/>
      <c r="BY111" s="196"/>
      <c r="BZ111" s="196"/>
      <c r="CA111" s="25" t="s">
        <v>31</v>
      </c>
      <c r="CB111" s="26">
        <f>AVERAGE($CC$111:$CE$111)</f>
        <v>0</v>
      </c>
      <c r="CC111" s="35">
        <f>SUM($CC$112:$CC$121)</f>
        <v>0</v>
      </c>
      <c r="CD111" s="35">
        <f>SUM($CD$112:$CD$121)</f>
        <v>0</v>
      </c>
      <c r="CE111" s="35">
        <f>SUM($CE$112:$CE$121)</f>
        <v>0</v>
      </c>
      <c r="CF111" s="35">
        <f>SUM($CF$112:$CF$121)</f>
        <v>0</v>
      </c>
      <c r="CG111" s="26">
        <v>0</v>
      </c>
      <c r="CH111" s="36">
        <v>0</v>
      </c>
      <c r="CI111" s="196"/>
      <c r="CJ111" s="196"/>
      <c r="CK111" s="196"/>
      <c r="CL111" s="196"/>
      <c r="CM111" s="196"/>
      <c r="CN111" s="196"/>
      <c r="CO111" s="196"/>
      <c r="CP111" s="196"/>
      <c r="CQ111" s="196"/>
      <c r="CR111" s="196"/>
      <c r="CS111" s="196"/>
      <c r="CT111" s="196"/>
      <c r="CU111" s="196"/>
      <c r="CV111" s="196"/>
      <c r="CW111" s="196"/>
      <c r="CX111" s="196"/>
      <c r="CY111" s="196"/>
      <c r="CZ111" s="196"/>
      <c r="DA111" s="25" t="s">
        <v>31</v>
      </c>
      <c r="DB111" s="26">
        <f>AVERAGE($DC$111:$DE$111)</f>
        <v>0</v>
      </c>
      <c r="DC111" s="35">
        <f>SUM($DC$112:$DC$121)</f>
        <v>0</v>
      </c>
      <c r="DD111" s="35">
        <f>SUM($DD$112:$DD$121)</f>
        <v>0</v>
      </c>
      <c r="DE111" s="35">
        <f>SUM($DE$112:$DE$121)</f>
        <v>0</v>
      </c>
      <c r="DF111" s="35">
        <f>SUM($DF$112:$DF$121)</f>
        <v>0</v>
      </c>
      <c r="DG111" s="26">
        <v>0</v>
      </c>
      <c r="DH111" s="36">
        <v>0</v>
      </c>
      <c r="DI111" s="196"/>
      <c r="DJ111" s="196"/>
      <c r="DK111" s="196"/>
      <c r="DL111" s="196"/>
      <c r="DM111" s="196"/>
      <c r="DN111" s="196"/>
      <c r="DO111" s="196"/>
      <c r="DP111" s="196"/>
      <c r="DQ111" s="196"/>
      <c r="DR111" s="196"/>
      <c r="DS111" s="196"/>
      <c r="DT111" s="196"/>
      <c r="EA111" s="25" t="s">
        <v>31</v>
      </c>
      <c r="EB111" s="26">
        <f>AVERAGE($EC$111:$ED$111)</f>
        <v>0</v>
      </c>
      <c r="EC111" s="35">
        <f>SUM($EC$112:$EC$121)</f>
        <v>0</v>
      </c>
      <c r="ED111" s="35">
        <f>SUM($ED$112:$ED$121)</f>
        <v>0</v>
      </c>
      <c r="EE111" s="26"/>
      <c r="EF111" s="26"/>
      <c r="EG111" s="26"/>
      <c r="EH111" s="36"/>
      <c r="EI111" s="164"/>
    </row>
    <row r="112" spans="1:139" ht="16.5" thickTop="1" thickBot="1" x14ac:dyDescent="0.3">
      <c r="A112" s="59">
        <f t="shared" si="0"/>
        <v>44778</v>
      </c>
      <c r="C112" s="60">
        <v>10</v>
      </c>
      <c r="D112" s="60">
        <f t="shared" si="1"/>
        <v>2021</v>
      </c>
      <c r="E112" t="s">
        <v>81</v>
      </c>
      <c r="F112" s="58" t="s">
        <v>154</v>
      </c>
      <c r="AA112" s="27">
        <f>$B$28</f>
        <v>0.3</v>
      </c>
      <c r="AB112" s="26">
        <f>($AB$111*$AA$112)+$AB$111</f>
        <v>0</v>
      </c>
      <c r="AC112" s="18">
        <v>0</v>
      </c>
      <c r="AD112" s="18">
        <v>0</v>
      </c>
      <c r="AE112" s="18">
        <v>0</v>
      </c>
      <c r="AF112" s="18">
        <v>0</v>
      </c>
      <c r="AG112" s="18">
        <v>0</v>
      </c>
      <c r="AH112" s="18">
        <v>0</v>
      </c>
      <c r="BA112" s="27">
        <f>$B$28</f>
        <v>0.3</v>
      </c>
      <c r="BB112" s="26">
        <f>($BB$111*$BA$112)+$BB$111</f>
        <v>0</v>
      </c>
      <c r="BC112" s="18">
        <v>0</v>
      </c>
      <c r="BD112" s="18">
        <v>0</v>
      </c>
      <c r="BE112" s="18">
        <v>0</v>
      </c>
      <c r="BF112" s="18">
        <v>0</v>
      </c>
      <c r="BG112" s="18">
        <v>0</v>
      </c>
      <c r="BH112" s="52">
        <v>0</v>
      </c>
      <c r="BX112" s="196"/>
      <c r="BY112" s="196"/>
      <c r="BZ112" s="196"/>
      <c r="CA112" s="27">
        <f>$B$28</f>
        <v>0.3</v>
      </c>
      <c r="CB112" s="26">
        <f>($CB$111*$CA$112)+$CB$111</f>
        <v>0</v>
      </c>
      <c r="CC112" s="18">
        <v>0</v>
      </c>
      <c r="CD112" s="18">
        <v>0</v>
      </c>
      <c r="CE112" s="18">
        <v>0</v>
      </c>
      <c r="CF112" s="18">
        <v>0</v>
      </c>
      <c r="CG112" s="26">
        <v>0</v>
      </c>
      <c r="CH112" s="36">
        <v>0</v>
      </c>
      <c r="CI112" s="196"/>
      <c r="CJ112" s="196"/>
      <c r="CK112" s="196"/>
      <c r="CL112" s="196"/>
      <c r="CM112" s="196"/>
      <c r="CN112" s="196"/>
      <c r="CO112" s="196"/>
      <c r="CP112" s="196"/>
      <c r="CQ112" s="196"/>
      <c r="CR112" s="196"/>
      <c r="CS112" s="196"/>
      <c r="CT112" s="196"/>
      <c r="CU112" s="196"/>
      <c r="CV112" s="196"/>
      <c r="CW112" s="196"/>
      <c r="CX112" s="196"/>
      <c r="CY112" s="196"/>
      <c r="CZ112" s="196"/>
      <c r="DA112" s="27">
        <f>$B$28</f>
        <v>0.3</v>
      </c>
      <c r="DB112" s="26">
        <f>($DB$111*$DA$112)+$DB$111</f>
        <v>0</v>
      </c>
      <c r="DC112" s="18">
        <v>0</v>
      </c>
      <c r="DD112" s="18">
        <v>0</v>
      </c>
      <c r="DE112" s="18">
        <v>0</v>
      </c>
      <c r="DF112" s="18">
        <v>0</v>
      </c>
      <c r="DG112" s="26">
        <v>0</v>
      </c>
      <c r="DH112" s="36">
        <v>0</v>
      </c>
      <c r="DI112" s="196"/>
      <c r="DJ112" s="196"/>
      <c r="DK112" s="196"/>
      <c r="DL112" s="196"/>
      <c r="DM112" s="196"/>
      <c r="DN112" s="196"/>
      <c r="DO112" s="196"/>
      <c r="DP112" s="196"/>
      <c r="DQ112" s="196"/>
      <c r="DR112" s="196"/>
      <c r="DS112" s="196"/>
      <c r="DT112" s="196"/>
      <c r="EA112" s="27">
        <f>$B$29</f>
        <v>0.3</v>
      </c>
      <c r="EB112" s="26">
        <f>($EB$111*$EA$112)+$EB$111</f>
        <v>0</v>
      </c>
      <c r="EC112" s="18">
        <v>0</v>
      </c>
      <c r="ED112" s="18">
        <v>0</v>
      </c>
      <c r="EE112" s="26"/>
      <c r="EF112" s="26"/>
      <c r="EG112" s="26"/>
      <c r="EH112" s="36"/>
      <c r="EI112" s="164"/>
    </row>
    <row r="113" spans="1:143" ht="16.5" thickTop="1" thickBot="1" x14ac:dyDescent="0.3">
      <c r="A113" s="59">
        <f t="shared" si="0"/>
        <v>44777</v>
      </c>
      <c r="C113" s="60">
        <v>11</v>
      </c>
      <c r="D113" s="60">
        <f t="shared" si="1"/>
        <v>2021</v>
      </c>
      <c r="E113" t="s">
        <v>82</v>
      </c>
      <c r="F113" s="58" t="s">
        <v>155</v>
      </c>
      <c r="AA113" s="25" t="s">
        <v>32</v>
      </c>
      <c r="AB113" s="26">
        <f>IF($AC$111&lt;$AB$112,$AC$111,$AB$112)</f>
        <v>0</v>
      </c>
      <c r="AC113" s="18">
        <v>0</v>
      </c>
      <c r="AD113" s="18">
        <v>0</v>
      </c>
      <c r="AE113" s="18">
        <v>0</v>
      </c>
      <c r="AF113" s="18">
        <v>0</v>
      </c>
      <c r="AG113" s="18">
        <v>0</v>
      </c>
      <c r="AH113" s="52">
        <v>0</v>
      </c>
      <c r="BA113" s="25" t="s">
        <v>32</v>
      </c>
      <c r="BB113" s="26">
        <f>IF($BC$111&lt;$BB$112,$BC$111,$BB$112)</f>
        <v>0</v>
      </c>
      <c r="BC113" s="18">
        <v>0</v>
      </c>
      <c r="BD113" s="18">
        <v>0</v>
      </c>
      <c r="BE113" s="18">
        <v>0</v>
      </c>
      <c r="BF113" s="18">
        <v>0</v>
      </c>
      <c r="BG113" s="18">
        <v>0</v>
      </c>
      <c r="BH113" s="52">
        <v>0</v>
      </c>
      <c r="BX113" s="196"/>
      <c r="BY113" s="196"/>
      <c r="BZ113" s="196"/>
      <c r="CA113" s="25" t="s">
        <v>32</v>
      </c>
      <c r="CB113" s="26" t="str">
        <f>IF($CC$111&lt;$CB$112,$CC$111,"")</f>
        <v/>
      </c>
      <c r="CC113" s="18">
        <v>0</v>
      </c>
      <c r="CD113" s="18">
        <v>0</v>
      </c>
      <c r="CE113" s="18">
        <v>0</v>
      </c>
      <c r="CF113" s="18">
        <v>0</v>
      </c>
      <c r="CG113" s="26">
        <v>0</v>
      </c>
      <c r="CH113" s="36">
        <v>0</v>
      </c>
      <c r="CI113" s="196"/>
      <c r="CJ113" s="196"/>
      <c r="CK113" s="196"/>
      <c r="CL113" s="196"/>
      <c r="CM113" s="196"/>
      <c r="CN113" s="196"/>
      <c r="CO113" s="196"/>
      <c r="CP113" s="196"/>
      <c r="CQ113" s="196"/>
      <c r="CR113" s="196"/>
      <c r="CS113" s="196"/>
      <c r="CT113" s="196"/>
      <c r="CU113" s="196"/>
      <c r="CV113" s="196"/>
      <c r="CW113" s="196"/>
      <c r="CX113" s="196"/>
      <c r="CY113" s="196"/>
      <c r="CZ113" s="196"/>
      <c r="DA113" s="25" t="s">
        <v>32</v>
      </c>
      <c r="DB113" s="26" t="str">
        <f>IF($DC$111&lt;$DB$112,$DC$111,"")</f>
        <v/>
      </c>
      <c r="DC113" s="18">
        <v>0</v>
      </c>
      <c r="DD113" s="18">
        <v>0</v>
      </c>
      <c r="DE113" s="18">
        <v>0</v>
      </c>
      <c r="DF113" s="18">
        <v>0</v>
      </c>
      <c r="DG113" s="26">
        <v>0</v>
      </c>
      <c r="DH113" s="36">
        <v>0</v>
      </c>
      <c r="DI113" s="196"/>
      <c r="DJ113" s="196"/>
      <c r="DK113" s="196"/>
      <c r="DL113" s="196"/>
      <c r="DM113" s="196"/>
      <c r="DN113" s="196"/>
      <c r="DO113" s="196"/>
      <c r="DP113" s="196"/>
      <c r="DQ113" s="196"/>
      <c r="DR113" s="196"/>
      <c r="DS113" s="196"/>
      <c r="DT113" s="196"/>
      <c r="EA113" s="25" t="s">
        <v>32</v>
      </c>
      <c r="EB113" s="26" t="str">
        <f>IF($EC$111&lt;$EB$112,$EC$111,"")</f>
        <v/>
      </c>
      <c r="EC113" s="18">
        <v>0</v>
      </c>
      <c r="ED113" s="18">
        <v>0</v>
      </c>
      <c r="EE113" s="26"/>
      <c r="EF113" s="26"/>
      <c r="EG113" s="26"/>
      <c r="EH113" s="36"/>
      <c r="EI113" s="164"/>
    </row>
    <row r="114" spans="1:143" ht="16.5" thickTop="1" thickBot="1" x14ac:dyDescent="0.3">
      <c r="A114" s="59">
        <f t="shared" si="0"/>
        <v>44776</v>
      </c>
      <c r="C114" s="60">
        <v>12</v>
      </c>
      <c r="D114" s="60">
        <f t="shared" si="1"/>
        <v>2021</v>
      </c>
      <c r="E114" t="s">
        <v>83</v>
      </c>
      <c r="F114" s="58" t="s">
        <v>156</v>
      </c>
      <c r="AA114" s="25" t="s">
        <v>34</v>
      </c>
      <c r="AB114" s="26">
        <f>IF($AD$111&lt;$AB$112,$AD$111,$AB$112)</f>
        <v>0</v>
      </c>
      <c r="AC114" s="18">
        <v>0</v>
      </c>
      <c r="AD114" s="18">
        <v>0</v>
      </c>
      <c r="AE114" s="18">
        <v>0</v>
      </c>
      <c r="AF114" s="18">
        <v>0</v>
      </c>
      <c r="AG114" s="18">
        <v>0</v>
      </c>
      <c r="AH114" s="52">
        <v>0</v>
      </c>
      <c r="BA114" s="25" t="s">
        <v>34</v>
      </c>
      <c r="BB114" s="26">
        <f>IF($BD$111&lt;$BB$112,$BD$111,$BB$112)</f>
        <v>0</v>
      </c>
      <c r="BC114" s="18">
        <v>0</v>
      </c>
      <c r="BD114" s="18">
        <v>0</v>
      </c>
      <c r="BE114" s="18">
        <v>0</v>
      </c>
      <c r="BF114" s="18">
        <v>0</v>
      </c>
      <c r="BG114" s="18">
        <v>0</v>
      </c>
      <c r="BH114" s="52">
        <v>0</v>
      </c>
      <c r="BX114" s="196"/>
      <c r="BY114" s="196"/>
      <c r="BZ114" s="196"/>
      <c r="CA114" s="25" t="s">
        <v>34</v>
      </c>
      <c r="CB114" s="26" t="str">
        <f>IF($CD$111&lt;$CB$112,$CD$111,"")</f>
        <v/>
      </c>
      <c r="CC114" s="18">
        <v>0</v>
      </c>
      <c r="CD114" s="18">
        <v>0</v>
      </c>
      <c r="CE114" s="18">
        <v>0</v>
      </c>
      <c r="CF114" s="18">
        <v>0</v>
      </c>
      <c r="CG114" s="26">
        <v>0</v>
      </c>
      <c r="CH114" s="36">
        <v>0</v>
      </c>
      <c r="CI114" s="196"/>
      <c r="CJ114" s="196"/>
      <c r="CK114" s="196"/>
      <c r="CL114" s="196"/>
      <c r="CM114" s="196"/>
      <c r="CN114" s="196"/>
      <c r="CO114" s="196"/>
      <c r="CP114" s="196"/>
      <c r="CQ114" s="196"/>
      <c r="CR114" s="196"/>
      <c r="CS114" s="196"/>
      <c r="CT114" s="196"/>
      <c r="CU114" s="196"/>
      <c r="CV114" s="196"/>
      <c r="CW114" s="196"/>
      <c r="CX114" s="196"/>
      <c r="CY114" s="196"/>
      <c r="CZ114" s="196"/>
      <c r="DA114" s="25" t="s">
        <v>34</v>
      </c>
      <c r="DB114" s="26" t="str">
        <f>IF($DD$111&lt;$DB$112,$DD$111,"")</f>
        <v/>
      </c>
      <c r="DC114" s="18">
        <v>0</v>
      </c>
      <c r="DD114" s="18">
        <v>0</v>
      </c>
      <c r="DE114" s="18">
        <v>0</v>
      </c>
      <c r="DF114" s="18">
        <v>0</v>
      </c>
      <c r="DG114" s="26">
        <v>0</v>
      </c>
      <c r="DH114" s="36">
        <v>0</v>
      </c>
      <c r="DI114" s="196"/>
      <c r="DJ114" s="196"/>
      <c r="DK114" s="196"/>
      <c r="DL114" s="196"/>
      <c r="DM114" s="196"/>
      <c r="DN114" s="196"/>
      <c r="DO114" s="196"/>
      <c r="DP114" s="196"/>
      <c r="DQ114" s="196"/>
      <c r="DR114" s="196"/>
      <c r="DS114" s="196"/>
      <c r="DT114" s="196"/>
      <c r="EA114" s="25" t="s">
        <v>34</v>
      </c>
      <c r="EB114" s="26" t="str">
        <f>IF($ED$111&lt;$EB$112,$ED$111,"")</f>
        <v/>
      </c>
      <c r="EC114" s="18">
        <v>0</v>
      </c>
      <c r="ED114" s="18">
        <v>0</v>
      </c>
      <c r="EE114" s="26"/>
      <c r="EF114" s="26"/>
      <c r="EG114" s="26"/>
      <c r="EH114" s="36"/>
      <c r="EI114" s="164"/>
    </row>
    <row r="115" spans="1:143" ht="16.5" thickTop="1" thickBot="1" x14ac:dyDescent="0.3">
      <c r="A115" s="59">
        <f t="shared" si="0"/>
        <v>44775</v>
      </c>
      <c r="AA115" s="25" t="s">
        <v>45</v>
      </c>
      <c r="AB115" s="26">
        <f>IF($AE$111&lt;$AB$112,$AE$111,$AB$112)</f>
        <v>0</v>
      </c>
      <c r="AC115" s="18">
        <v>0</v>
      </c>
      <c r="AD115" s="18">
        <v>0</v>
      </c>
      <c r="AE115" s="18">
        <v>0</v>
      </c>
      <c r="AF115" s="18">
        <v>0</v>
      </c>
      <c r="AG115" s="18">
        <v>0</v>
      </c>
      <c r="AH115" s="52">
        <v>0</v>
      </c>
      <c r="BA115" s="25" t="s">
        <v>45</v>
      </c>
      <c r="BB115" s="26">
        <f>IF($BE$111&lt;$BB$112,$BE$111,$BB$112)</f>
        <v>0</v>
      </c>
      <c r="BC115" s="18">
        <v>0</v>
      </c>
      <c r="BD115" s="18">
        <v>0</v>
      </c>
      <c r="BE115" s="18">
        <v>0</v>
      </c>
      <c r="BF115" s="18">
        <v>0</v>
      </c>
      <c r="BG115" s="18">
        <v>0</v>
      </c>
      <c r="BH115" s="52">
        <v>0</v>
      </c>
      <c r="BX115" s="196"/>
      <c r="BY115" s="196"/>
      <c r="BZ115" s="196"/>
      <c r="CA115" s="25" t="s">
        <v>45</v>
      </c>
      <c r="CB115" s="26" t="str">
        <f>IF($CE$111&lt;$CB$112,$CE$111,"")</f>
        <v/>
      </c>
      <c r="CC115" s="18">
        <v>0</v>
      </c>
      <c r="CD115" s="18">
        <v>0</v>
      </c>
      <c r="CE115" s="18">
        <v>0</v>
      </c>
      <c r="CF115" s="18">
        <v>0</v>
      </c>
      <c r="CG115" s="26">
        <v>0</v>
      </c>
      <c r="CH115" s="36">
        <v>0</v>
      </c>
      <c r="CI115" s="196"/>
      <c r="CJ115" s="196"/>
      <c r="CK115" s="196"/>
      <c r="CL115" s="196"/>
      <c r="CM115" s="196"/>
      <c r="CN115" s="196"/>
      <c r="CO115" s="196"/>
      <c r="CP115" s="196"/>
      <c r="CQ115" s="196"/>
      <c r="CR115" s="196"/>
      <c r="CS115" s="196"/>
      <c r="CT115" s="196"/>
      <c r="CU115" s="196"/>
      <c r="CV115" s="196"/>
      <c r="CW115" s="196"/>
      <c r="CX115" s="196"/>
      <c r="CY115" s="196"/>
      <c r="CZ115" s="196"/>
      <c r="DA115" s="25" t="s">
        <v>45</v>
      </c>
      <c r="DB115" s="26" t="str">
        <f>IF($DE$111&lt;$DB$112,$DE$111,"")</f>
        <v/>
      </c>
      <c r="DC115" s="18">
        <v>0</v>
      </c>
      <c r="DD115" s="18">
        <v>0</v>
      </c>
      <c r="DE115" s="18">
        <v>0</v>
      </c>
      <c r="DF115" s="18">
        <v>0</v>
      </c>
      <c r="DG115" s="26">
        <v>0</v>
      </c>
      <c r="DH115" s="36">
        <v>0</v>
      </c>
      <c r="DI115" s="196"/>
      <c r="DJ115" s="196"/>
      <c r="DK115" s="196"/>
      <c r="DL115" s="196"/>
      <c r="DM115" s="196"/>
      <c r="DN115" s="196"/>
      <c r="DO115" s="196"/>
      <c r="DP115" s="196"/>
      <c r="DQ115" s="196"/>
      <c r="DR115" s="196"/>
      <c r="DS115" s="196"/>
      <c r="DT115" s="196"/>
      <c r="EA115" s="37" t="s">
        <v>45</v>
      </c>
      <c r="EB115" s="26"/>
      <c r="EC115" s="18">
        <v>0</v>
      </c>
      <c r="ED115" s="18">
        <v>0</v>
      </c>
      <c r="EE115" s="26"/>
      <c r="EF115" s="26"/>
      <c r="EG115" s="26"/>
      <c r="EH115" s="36"/>
      <c r="EI115" s="164"/>
    </row>
    <row r="116" spans="1:143" ht="16.5" thickTop="1" thickBot="1" x14ac:dyDescent="0.3">
      <c r="A116" s="59">
        <f t="shared" si="0"/>
        <v>44774</v>
      </c>
      <c r="C116" s="519" t="s">
        <v>84</v>
      </c>
      <c r="D116" s="520"/>
      <c r="E116" s="57">
        <f>$A$100-45</f>
        <v>44745</v>
      </c>
      <c r="AA116" s="25" t="s">
        <v>46</v>
      </c>
      <c r="AB116" s="26">
        <f>IF($AF$111&lt;$AB$112,$AF$111,$AB$112)</f>
        <v>0</v>
      </c>
      <c r="AC116" s="18">
        <v>0</v>
      </c>
      <c r="AD116" s="18">
        <v>0</v>
      </c>
      <c r="AE116" s="18">
        <v>0</v>
      </c>
      <c r="AF116" s="18">
        <v>0</v>
      </c>
      <c r="AG116" s="18">
        <v>0</v>
      </c>
      <c r="AH116" s="52">
        <v>0</v>
      </c>
      <c r="BA116" s="25" t="s">
        <v>46</v>
      </c>
      <c r="BB116" s="26">
        <f>IF($BF$111&lt;$BB$112,$BF$111,$BB$112)</f>
        <v>0</v>
      </c>
      <c r="BC116" s="18">
        <v>0</v>
      </c>
      <c r="BD116" s="18">
        <v>0</v>
      </c>
      <c r="BE116" s="18">
        <v>0</v>
      </c>
      <c r="BF116" s="18">
        <v>0</v>
      </c>
      <c r="BG116" s="18">
        <v>0</v>
      </c>
      <c r="BH116" s="52">
        <v>0</v>
      </c>
      <c r="BX116" s="196"/>
      <c r="BY116" s="196"/>
      <c r="BZ116" s="196"/>
      <c r="CA116" s="25" t="s">
        <v>46</v>
      </c>
      <c r="CB116" s="26" t="str">
        <f>IF($CF$111&lt;$CB$112,$CF$111,"")</f>
        <v/>
      </c>
      <c r="CC116" s="18">
        <v>0</v>
      </c>
      <c r="CD116" s="18">
        <v>0</v>
      </c>
      <c r="CE116" s="18">
        <v>0</v>
      </c>
      <c r="CF116" s="18">
        <v>0</v>
      </c>
      <c r="CG116" s="26">
        <v>0</v>
      </c>
      <c r="CH116" s="36">
        <v>0</v>
      </c>
      <c r="CI116" s="196"/>
      <c r="CJ116" s="196"/>
      <c r="CK116" s="196"/>
      <c r="CL116" s="196"/>
      <c r="CM116" s="196"/>
      <c r="CN116" s="196"/>
      <c r="CO116" s="196"/>
      <c r="CP116" s="196"/>
      <c r="CQ116" s="196"/>
      <c r="CR116" s="196"/>
      <c r="CS116" s="196"/>
      <c r="CT116" s="196"/>
      <c r="CU116" s="196"/>
      <c r="CV116" s="196"/>
      <c r="CW116" s="196"/>
      <c r="CX116" s="196"/>
      <c r="CY116" s="196"/>
      <c r="CZ116" s="196"/>
      <c r="DA116" s="25" t="s">
        <v>46</v>
      </c>
      <c r="DB116" s="26" t="str">
        <f>IF($DF$111&lt;$DB$112,$DF$111,"")</f>
        <v/>
      </c>
      <c r="DC116" s="18">
        <v>0</v>
      </c>
      <c r="DD116" s="18">
        <v>0</v>
      </c>
      <c r="DE116" s="18">
        <v>0</v>
      </c>
      <c r="DF116" s="18">
        <v>0</v>
      </c>
      <c r="DG116" s="26">
        <v>0</v>
      </c>
      <c r="DH116" s="36">
        <v>0</v>
      </c>
      <c r="DI116" s="196"/>
      <c r="DJ116" s="196"/>
      <c r="DK116" s="196"/>
      <c r="DL116" s="196"/>
      <c r="DM116" s="196"/>
      <c r="DN116" s="196"/>
      <c r="DO116" s="196"/>
      <c r="DP116" s="196"/>
      <c r="DQ116" s="196"/>
      <c r="DR116" s="196"/>
      <c r="DS116" s="196"/>
      <c r="DT116" s="196"/>
      <c r="EA116" s="37" t="s">
        <v>46</v>
      </c>
      <c r="EB116" s="26"/>
      <c r="EC116" s="18">
        <v>0</v>
      </c>
      <c r="ED116" s="18">
        <v>0</v>
      </c>
      <c r="EE116" s="26"/>
      <c r="EF116" s="26"/>
      <c r="EG116" s="26"/>
      <c r="EH116" s="36"/>
      <c r="EI116" s="164"/>
    </row>
    <row r="117" spans="1:143" ht="16.5" thickTop="1" thickBot="1" x14ac:dyDescent="0.3">
      <c r="A117" s="59">
        <f t="shared" si="0"/>
        <v>44773</v>
      </c>
      <c r="X117" s="194"/>
      <c r="Y117" s="194"/>
      <c r="AA117" s="25" t="s">
        <v>48</v>
      </c>
      <c r="AB117" s="26">
        <f>IF($AG$111&lt;$AB$112,$AG$111,$AB$112)</f>
        <v>0</v>
      </c>
      <c r="AC117" s="18">
        <v>0</v>
      </c>
      <c r="AD117" s="18">
        <v>0</v>
      </c>
      <c r="AE117" s="18">
        <v>0</v>
      </c>
      <c r="AF117" s="18">
        <v>0</v>
      </c>
      <c r="AG117" s="18">
        <v>0</v>
      </c>
      <c r="AH117" s="52">
        <v>0</v>
      </c>
      <c r="BA117" s="25" t="s">
        <v>48</v>
      </c>
      <c r="BB117" s="26">
        <f>IF($BG$111&lt;$BB$112,$BG$111,$BB$112)</f>
        <v>0</v>
      </c>
      <c r="BC117" s="18">
        <v>0</v>
      </c>
      <c r="BD117" s="18">
        <v>0</v>
      </c>
      <c r="BE117" s="18">
        <v>0</v>
      </c>
      <c r="BF117" s="18">
        <v>0</v>
      </c>
      <c r="BG117" s="18">
        <v>0</v>
      </c>
      <c r="BH117" s="52">
        <v>0</v>
      </c>
      <c r="BX117" s="196"/>
      <c r="BY117" s="196"/>
      <c r="BZ117" s="196"/>
      <c r="CA117" s="37" t="s">
        <v>48</v>
      </c>
      <c r="CB117" s="26"/>
      <c r="CC117" s="18">
        <v>0</v>
      </c>
      <c r="CD117" s="18">
        <v>0</v>
      </c>
      <c r="CE117" s="18">
        <v>0</v>
      </c>
      <c r="CF117" s="18">
        <v>0</v>
      </c>
      <c r="CG117" s="26">
        <v>0</v>
      </c>
      <c r="CH117" s="36">
        <v>0</v>
      </c>
      <c r="CI117" s="196"/>
      <c r="CJ117" s="196"/>
      <c r="CK117" s="196"/>
      <c r="CL117" s="196"/>
      <c r="CM117" s="196"/>
      <c r="CN117" s="196"/>
      <c r="CO117" s="196"/>
      <c r="CP117" s="196"/>
      <c r="CQ117" s="196"/>
      <c r="CR117" s="196"/>
      <c r="CS117" s="196"/>
      <c r="CT117" s="196"/>
      <c r="CU117" s="196"/>
      <c r="CV117" s="196"/>
      <c r="CW117" s="196"/>
      <c r="CX117" s="196"/>
      <c r="CY117" s="196"/>
      <c r="CZ117" s="196"/>
      <c r="DA117" s="37" t="s">
        <v>48</v>
      </c>
      <c r="DB117" s="26"/>
      <c r="DC117" s="18">
        <v>0</v>
      </c>
      <c r="DD117" s="18">
        <v>0</v>
      </c>
      <c r="DE117" s="18">
        <v>0</v>
      </c>
      <c r="DF117" s="18">
        <v>0</v>
      </c>
      <c r="DG117" s="26">
        <v>0</v>
      </c>
      <c r="DH117" s="36">
        <v>0</v>
      </c>
      <c r="DI117" s="196"/>
      <c r="DJ117" s="196"/>
      <c r="DK117" s="196"/>
      <c r="DL117" s="196"/>
      <c r="DM117" s="196"/>
      <c r="DN117" s="196"/>
      <c r="DO117" s="196"/>
      <c r="DP117" s="196"/>
      <c r="DQ117" s="196"/>
      <c r="DR117" s="196"/>
      <c r="DS117" s="196"/>
      <c r="DT117" s="196"/>
      <c r="EA117" s="37" t="s">
        <v>48</v>
      </c>
      <c r="EB117" s="26"/>
      <c r="EC117" s="18">
        <v>0</v>
      </c>
      <c r="ED117" s="18">
        <v>0</v>
      </c>
      <c r="EE117" s="26"/>
      <c r="EF117" s="26"/>
      <c r="EG117" s="26"/>
      <c r="EH117" s="36"/>
      <c r="EI117" s="164"/>
    </row>
    <row r="118" spans="1:143" ht="16.5" thickTop="1" thickBot="1" x14ac:dyDescent="0.3">
      <c r="A118" s="59">
        <f t="shared" si="0"/>
        <v>44772</v>
      </c>
      <c r="C118" s="58">
        <f>DAY($E$116)</f>
        <v>3</v>
      </c>
      <c r="D118" s="58" t="str">
        <f>VLOOKUP(MONTH($E$116),$C$103:$E$114,3,0)</f>
        <v>Julio</v>
      </c>
      <c r="E118" s="58">
        <f>YEAR($E$116)</f>
        <v>2022</v>
      </c>
      <c r="X118" s="194"/>
      <c r="Y118" s="194"/>
      <c r="AA118" s="25" t="s">
        <v>49</v>
      </c>
      <c r="AB118" s="26">
        <f>IF($AH$111&lt;$AB$112,$AH$111,$AB$112)</f>
        <v>0</v>
      </c>
      <c r="AC118" s="18">
        <v>0</v>
      </c>
      <c r="AD118" s="18">
        <v>0</v>
      </c>
      <c r="AE118" s="18">
        <v>0</v>
      </c>
      <c r="AF118" s="18">
        <v>0</v>
      </c>
      <c r="AG118" s="18">
        <v>0</v>
      </c>
      <c r="AH118" s="52">
        <v>0</v>
      </c>
      <c r="BA118" s="25" t="s">
        <v>49</v>
      </c>
      <c r="BB118" s="26">
        <f>IF($BH$111&lt;$BB$112,$BH$111,$BB$112)</f>
        <v>0</v>
      </c>
      <c r="BC118" s="18">
        <v>0</v>
      </c>
      <c r="BD118" s="18">
        <v>0</v>
      </c>
      <c r="BE118" s="18">
        <v>0</v>
      </c>
      <c r="BF118" s="18">
        <v>0</v>
      </c>
      <c r="BG118" s="18">
        <v>0</v>
      </c>
      <c r="BH118" s="52">
        <v>0</v>
      </c>
      <c r="BX118" s="196"/>
      <c r="BY118" s="196"/>
      <c r="BZ118" s="196"/>
      <c r="CA118" s="37" t="s">
        <v>49</v>
      </c>
      <c r="CB118" s="26"/>
      <c r="CC118" s="18">
        <v>0</v>
      </c>
      <c r="CD118" s="18">
        <v>0</v>
      </c>
      <c r="CE118" s="18">
        <v>0</v>
      </c>
      <c r="CF118" s="18">
        <v>0</v>
      </c>
      <c r="CG118" s="26">
        <v>0</v>
      </c>
      <c r="CH118" s="36">
        <v>0</v>
      </c>
      <c r="CI118" s="196"/>
      <c r="CJ118" s="196"/>
      <c r="CK118" s="196"/>
      <c r="CL118" s="196"/>
      <c r="CM118" s="196"/>
      <c r="CN118" s="196"/>
      <c r="CO118" s="196"/>
      <c r="CP118" s="196"/>
      <c r="CQ118" s="196"/>
      <c r="CR118" s="196"/>
      <c r="CS118" s="196"/>
      <c r="CT118" s="196"/>
      <c r="CU118" s="196"/>
      <c r="CV118" s="196"/>
      <c r="CW118" s="196"/>
      <c r="CX118" s="196"/>
      <c r="CY118" s="196"/>
      <c r="CZ118" s="196"/>
      <c r="DA118" s="37" t="s">
        <v>49</v>
      </c>
      <c r="DB118" s="26"/>
      <c r="DC118" s="18">
        <v>0</v>
      </c>
      <c r="DD118" s="18">
        <v>0</v>
      </c>
      <c r="DE118" s="18">
        <v>0</v>
      </c>
      <c r="DF118" s="18">
        <v>0</v>
      </c>
      <c r="DG118" s="26">
        <v>0</v>
      </c>
      <c r="DH118" s="36">
        <v>0</v>
      </c>
      <c r="DI118" s="196"/>
      <c r="DJ118" s="196"/>
      <c r="DK118" s="196"/>
      <c r="DL118" s="196"/>
      <c r="DM118" s="196"/>
      <c r="DN118" s="196"/>
      <c r="DO118" s="196"/>
      <c r="DP118" s="196"/>
      <c r="DQ118" s="196"/>
      <c r="DR118" s="196"/>
      <c r="DS118" s="196"/>
      <c r="DT118" s="196"/>
      <c r="EA118" s="37" t="s">
        <v>49</v>
      </c>
      <c r="EB118" s="26"/>
      <c r="EC118" s="18">
        <v>0</v>
      </c>
      <c r="ED118" s="18">
        <v>0</v>
      </c>
      <c r="EE118" s="26"/>
      <c r="EF118" s="26"/>
      <c r="EG118" s="26"/>
      <c r="EH118" s="36"/>
      <c r="EI118" s="164"/>
    </row>
    <row r="119" spans="1:143" ht="16.5" thickTop="1" thickBot="1" x14ac:dyDescent="0.3">
      <c r="A119" s="59">
        <f t="shared" si="0"/>
        <v>44771</v>
      </c>
      <c r="X119" s="194"/>
      <c r="Y119" s="194"/>
      <c r="AA119" s="23" t="s">
        <v>738</v>
      </c>
      <c r="AB119" s="61">
        <f>IF($AB$113&amp;$AB$114&amp;$AB$115&amp;$AB$116="","0",AVERAGE($AB$113:$AB$116))</f>
        <v>0</v>
      </c>
      <c r="AC119" s="18">
        <v>0</v>
      </c>
      <c r="AD119" s="18">
        <v>0</v>
      </c>
      <c r="AE119" s="18">
        <v>0</v>
      </c>
      <c r="AF119" s="18">
        <v>0</v>
      </c>
      <c r="AG119" s="18">
        <v>0</v>
      </c>
      <c r="AH119" s="52">
        <v>0</v>
      </c>
      <c r="AI119" s="61">
        <f>IF($AB$113&amp;$AB$114&amp;$AB$115&amp;$AB$116&amp;$AB$117&amp;$AB$118="","0",AVERAGE($AB$113:$AB$118))</f>
        <v>0</v>
      </c>
      <c r="BA119" s="23" t="s">
        <v>27</v>
      </c>
      <c r="BB119" s="61">
        <f>IF($BB$113&amp;$BB$114&amp;$BB$115&amp;$BB$116="","0",AVERAGE($BB$113:$BB$116))</f>
        <v>0</v>
      </c>
      <c r="BC119" s="18">
        <v>0</v>
      </c>
      <c r="BD119" s="18">
        <v>0</v>
      </c>
      <c r="BE119" s="18">
        <v>0</v>
      </c>
      <c r="BF119" s="18">
        <v>0</v>
      </c>
      <c r="BG119" s="18">
        <v>0</v>
      </c>
      <c r="BH119" s="52">
        <v>0</v>
      </c>
      <c r="BX119" s="196"/>
      <c r="BY119" s="196"/>
      <c r="BZ119" s="196"/>
      <c r="CA119" s="98" t="s">
        <v>27</v>
      </c>
      <c r="CB119" s="61" t="str">
        <f>IF($CB$113&amp;$CB$114&amp;$CB$115="","0",AVERAGE($CB$113:$CB$115))</f>
        <v>0</v>
      </c>
      <c r="CC119" s="18">
        <v>0</v>
      </c>
      <c r="CD119" s="18">
        <v>0</v>
      </c>
      <c r="CE119" s="18">
        <v>0</v>
      </c>
      <c r="CF119" s="18">
        <v>0</v>
      </c>
      <c r="CG119" s="26">
        <v>0</v>
      </c>
      <c r="CH119" s="36">
        <v>0</v>
      </c>
      <c r="CI119" s="196"/>
      <c r="CJ119" s="196"/>
      <c r="CK119" s="196"/>
      <c r="CL119" s="196"/>
      <c r="CM119" s="196"/>
      <c r="CN119" s="196"/>
      <c r="CO119" s="196"/>
      <c r="CP119" s="196"/>
      <c r="CQ119" s="196"/>
      <c r="CR119" s="196"/>
      <c r="CS119" s="196"/>
      <c r="CT119" s="196"/>
      <c r="CU119" s="196"/>
      <c r="CV119" s="196"/>
      <c r="CW119" s="196"/>
      <c r="CX119" s="196"/>
      <c r="CY119" s="196"/>
      <c r="CZ119" s="196"/>
      <c r="DA119" s="98" t="s">
        <v>27</v>
      </c>
      <c r="DB119" s="61" t="str">
        <f>IF($DB$113&amp;$DB$114&amp;$DB$115="","0",AVERAGE($DB$113:$DB$115))</f>
        <v>0</v>
      </c>
      <c r="DC119" s="18">
        <v>0</v>
      </c>
      <c r="DD119" s="18">
        <v>0</v>
      </c>
      <c r="DE119" s="18">
        <v>0</v>
      </c>
      <c r="DF119" s="18">
        <v>0</v>
      </c>
      <c r="DG119" s="26">
        <v>0</v>
      </c>
      <c r="DH119" s="36">
        <v>0</v>
      </c>
      <c r="DI119" s="196"/>
      <c r="DJ119" s="196"/>
      <c r="DK119" s="196"/>
      <c r="DL119" s="196"/>
      <c r="DM119" s="196"/>
      <c r="DN119" s="196"/>
      <c r="DO119" s="196"/>
      <c r="DP119" s="196"/>
      <c r="DQ119" s="196"/>
      <c r="DR119" s="196"/>
      <c r="DS119" s="196"/>
      <c r="DT119" s="196"/>
      <c r="EA119" s="25" t="s">
        <v>35</v>
      </c>
      <c r="EB119" s="26" t="str">
        <f>IF($EB$113&amp;$EB$114="","",AVERAGE($EB$113:$EB$114))</f>
        <v/>
      </c>
      <c r="EC119" s="18">
        <v>0</v>
      </c>
      <c r="ED119" s="18">
        <v>0</v>
      </c>
      <c r="EE119" s="26"/>
      <c r="EF119" s="26"/>
      <c r="EG119" s="26"/>
      <c r="EH119" s="36"/>
      <c r="EI119" s="164"/>
    </row>
    <row r="120" spans="1:143" ht="16.5" thickTop="1" thickBot="1" x14ac:dyDescent="0.3">
      <c r="A120" s="59">
        <f>$A119-1</f>
        <v>44770</v>
      </c>
      <c r="C120" s="58">
        <f ca="1">DAY($E$100)</f>
        <v>25</v>
      </c>
      <c r="D120" s="58" t="str">
        <f ca="1">VLOOKUP(MONTH($E$100),$C$103:$E$114,3,0)</f>
        <v>Agosto</v>
      </c>
      <c r="E120" s="58">
        <f ca="1">YEAR($E$100)+(1)</f>
        <v>2023</v>
      </c>
      <c r="X120" s="194"/>
      <c r="Y120" s="194"/>
      <c r="AA120" s="25" t="s">
        <v>85</v>
      </c>
      <c r="AB120" s="26">
        <f>AVERAGE($AC$111:$AF$111)</f>
        <v>0</v>
      </c>
      <c r="AC120" s="18">
        <v>0</v>
      </c>
      <c r="AD120" s="18">
        <v>0</v>
      </c>
      <c r="AE120" s="18">
        <v>0</v>
      </c>
      <c r="AF120" s="18">
        <v>0</v>
      </c>
      <c r="AG120" s="18">
        <v>0</v>
      </c>
      <c r="AH120" s="52">
        <v>0</v>
      </c>
      <c r="AI120" s="93">
        <f>$AB$127*100</f>
        <v>100</v>
      </c>
      <c r="AJ120" s="38"/>
      <c r="BA120" s="25" t="s">
        <v>85</v>
      </c>
      <c r="BB120" s="26">
        <f>AVERAGE($BC$111:$BF$111)</f>
        <v>0</v>
      </c>
      <c r="BC120" s="18">
        <v>0</v>
      </c>
      <c r="BD120" s="18">
        <v>0</v>
      </c>
      <c r="BE120" s="18">
        <v>0</v>
      </c>
      <c r="BF120" s="18">
        <v>0</v>
      </c>
      <c r="BG120" s="18">
        <v>0</v>
      </c>
      <c r="BH120" s="52">
        <v>0</v>
      </c>
      <c r="BI120" s="93">
        <f>$BB$127*100</f>
        <v>0</v>
      </c>
      <c r="BX120" s="196"/>
      <c r="BY120" s="196"/>
      <c r="BZ120" s="196"/>
      <c r="CA120" s="37"/>
      <c r="CB120" s="26"/>
      <c r="CC120" s="18">
        <v>0</v>
      </c>
      <c r="CD120" s="18">
        <v>0</v>
      </c>
      <c r="CE120" s="18">
        <v>0</v>
      </c>
      <c r="CF120" s="18">
        <v>0</v>
      </c>
      <c r="CG120" s="26">
        <v>0</v>
      </c>
      <c r="CH120" s="36">
        <v>0</v>
      </c>
      <c r="CI120" s="93">
        <f>$CB$127*100</f>
        <v>0</v>
      </c>
      <c r="CJ120" s="38"/>
      <c r="CK120" s="196"/>
      <c r="CL120" s="196"/>
      <c r="CM120" s="196"/>
      <c r="CN120" s="196"/>
      <c r="CO120" s="196"/>
      <c r="CP120" s="196"/>
      <c r="CQ120" s="196"/>
      <c r="CR120" s="196"/>
      <c r="CS120" s="196"/>
      <c r="CT120" s="196"/>
      <c r="CU120" s="196"/>
      <c r="CV120" s="196"/>
      <c r="CW120" s="196"/>
      <c r="CX120" s="196"/>
      <c r="CY120" s="196"/>
      <c r="CZ120" s="196"/>
      <c r="DA120" s="37"/>
      <c r="DB120" s="26"/>
      <c r="DC120" s="18">
        <v>0</v>
      </c>
      <c r="DD120" s="18">
        <v>0</v>
      </c>
      <c r="DE120" s="18">
        <v>0</v>
      </c>
      <c r="DF120" s="18">
        <v>0</v>
      </c>
      <c r="DG120" s="26">
        <v>0</v>
      </c>
      <c r="DH120" s="36">
        <v>0</v>
      </c>
      <c r="DI120" s="93">
        <f>$DB$127*100</f>
        <v>0</v>
      </c>
      <c r="DJ120" s="196"/>
      <c r="DK120" s="196"/>
      <c r="DL120" s="196"/>
      <c r="DM120" s="196"/>
      <c r="DN120" s="196"/>
      <c r="DO120" s="196"/>
      <c r="DP120" s="196"/>
      <c r="DQ120" s="196"/>
      <c r="DR120" s="196"/>
      <c r="DS120" s="196"/>
      <c r="DT120" s="196"/>
      <c r="EA120" s="27">
        <f>$B$58</f>
        <v>0.9</v>
      </c>
      <c r="EB120" s="176">
        <f>$A$3*$EA$120</f>
        <v>0</v>
      </c>
      <c r="EC120" s="18">
        <v>0</v>
      </c>
      <c r="ED120" s="18">
        <v>0</v>
      </c>
      <c r="EE120" s="26"/>
      <c r="EF120" s="26"/>
      <c r="EG120" s="26"/>
      <c r="EH120" s="36"/>
      <c r="EI120" s="164"/>
    </row>
    <row r="121" spans="1:143" ht="16.5" thickTop="1" thickBot="1" x14ac:dyDescent="0.3">
      <c r="X121" s="194"/>
      <c r="Y121" s="194"/>
      <c r="AA121" s="27">
        <f>$B$28</f>
        <v>0.3</v>
      </c>
      <c r="AB121" s="26">
        <f>($AB$120*$AA$121)+$AB$120</f>
        <v>0</v>
      </c>
      <c r="AC121" s="18">
        <v>0</v>
      </c>
      <c r="AD121" s="18">
        <v>0</v>
      </c>
      <c r="AE121" s="18">
        <v>0</v>
      </c>
      <c r="AF121" s="18">
        <v>0</v>
      </c>
      <c r="AG121" s="18">
        <v>0</v>
      </c>
      <c r="AH121" s="52">
        <v>0</v>
      </c>
      <c r="AI121" s="38"/>
      <c r="AJ121" s="38"/>
      <c r="BA121" s="27">
        <f>$B$28</f>
        <v>0.3</v>
      </c>
      <c r="BB121" s="26">
        <f>($BB$120*$BA$121)+$BB$120</f>
        <v>0</v>
      </c>
      <c r="BC121" s="18">
        <v>0</v>
      </c>
      <c r="BD121" s="18">
        <v>0</v>
      </c>
      <c r="BE121" s="18">
        <v>0</v>
      </c>
      <c r="BF121" s="18">
        <v>0</v>
      </c>
      <c r="BG121" s="18">
        <v>0</v>
      </c>
      <c r="BH121" s="52">
        <v>0</v>
      </c>
      <c r="BI121" s="38"/>
      <c r="BX121" s="196"/>
      <c r="BY121" s="196"/>
      <c r="BZ121" s="196"/>
      <c r="CA121" s="68"/>
      <c r="CB121" s="26"/>
      <c r="CC121" s="18">
        <v>0</v>
      </c>
      <c r="CD121" s="18">
        <v>0</v>
      </c>
      <c r="CE121" s="18">
        <v>0</v>
      </c>
      <c r="CF121" s="18">
        <v>0</v>
      </c>
      <c r="CG121" s="26">
        <v>0</v>
      </c>
      <c r="CH121" s="36">
        <v>0</v>
      </c>
      <c r="CI121" s="38"/>
      <c r="CJ121" s="38"/>
      <c r="CK121" s="196"/>
      <c r="CL121" s="196"/>
      <c r="CM121" s="196"/>
      <c r="CN121" s="196"/>
      <c r="CO121" s="196"/>
      <c r="CP121" s="196"/>
      <c r="CQ121" s="196"/>
      <c r="CR121" s="196"/>
      <c r="CS121" s="196"/>
      <c r="CT121" s="196"/>
      <c r="CU121" s="196"/>
      <c r="CV121" s="196"/>
      <c r="CW121" s="196"/>
      <c r="CX121" s="196"/>
      <c r="CY121" s="196"/>
      <c r="CZ121" s="196"/>
      <c r="DA121" s="68"/>
      <c r="DB121" s="26"/>
      <c r="DC121" s="18">
        <v>0</v>
      </c>
      <c r="DD121" s="18">
        <v>0</v>
      </c>
      <c r="DE121" s="18">
        <v>0</v>
      </c>
      <c r="DF121" s="18">
        <v>0</v>
      </c>
      <c r="DG121" s="26">
        <v>0</v>
      </c>
      <c r="DH121" s="36">
        <v>0</v>
      </c>
      <c r="DI121" s="38"/>
      <c r="DJ121" s="196"/>
      <c r="DK121" s="196"/>
      <c r="DL121" s="196"/>
      <c r="DM121" s="196"/>
      <c r="DN121" s="196"/>
      <c r="DO121" s="196"/>
      <c r="DP121" s="196"/>
      <c r="DQ121" s="196"/>
      <c r="DR121" s="196"/>
      <c r="DS121" s="196"/>
      <c r="DT121" s="196"/>
      <c r="EA121" s="256" t="s">
        <v>390</v>
      </c>
      <c r="EB121" s="26" t="str">
        <f>IF($EB$119="","0",$EE$121)</f>
        <v>0</v>
      </c>
      <c r="EC121" s="18">
        <v>0</v>
      </c>
      <c r="ED121" s="18">
        <v>0</v>
      </c>
      <c r="EE121" s="257">
        <f>IF($A$3="0","",IF($EB$119&gt;=$EB$120,$A$3,$EB$119))</f>
        <v>0</v>
      </c>
      <c r="EF121" s="26"/>
      <c r="EG121" s="26"/>
      <c r="EH121" s="36"/>
      <c r="EI121" s="38"/>
      <c r="EK121" s="164"/>
      <c r="EL121" s="164"/>
    </row>
    <row r="122" spans="1:143" ht="16.5" thickTop="1" thickBot="1" x14ac:dyDescent="0.3">
      <c r="C122" s="58">
        <f>IF($C$100=$C$103,$C$113,IF($C$100=$C$104,$C$114,$C$100-2))</f>
        <v>6</v>
      </c>
      <c r="D122" s="58" t="str">
        <f>IF($C$122=$C$113,"Noviembre del año Anterior",IF($C$122=$C$114,"Diciembre del año Anterior",VLOOKUP($C$122,$C$103:$E$112,3,0)))</f>
        <v>Junio</v>
      </c>
      <c r="E122" s="152" t="s">
        <v>157</v>
      </c>
      <c r="AA122" s="25" t="s">
        <v>32</v>
      </c>
      <c r="AB122" s="26">
        <f>IF($AC$111&lt;$AB$121,$AC$111,$AB$121)</f>
        <v>0</v>
      </c>
      <c r="AC122" s="26"/>
      <c r="AD122" s="26"/>
      <c r="AE122" s="26"/>
      <c r="AF122" s="26"/>
      <c r="AG122" s="26"/>
      <c r="AH122" s="36"/>
      <c r="BA122" s="25" t="s">
        <v>32</v>
      </c>
      <c r="BB122" s="26">
        <f>IF($BC$111&lt;$BB$121,$BC$111,$BB$121)</f>
        <v>0</v>
      </c>
      <c r="BC122" s="26"/>
      <c r="BD122" s="26"/>
      <c r="BE122" s="26"/>
      <c r="BF122" s="26"/>
      <c r="BG122" s="26"/>
      <c r="BH122" s="36"/>
      <c r="BX122" s="196"/>
      <c r="BY122" s="196"/>
      <c r="BZ122" s="196"/>
      <c r="CA122" s="37"/>
      <c r="CB122" s="26"/>
      <c r="CC122" s="26"/>
      <c r="CD122" s="26"/>
      <c r="CE122" s="26"/>
      <c r="CF122" s="26"/>
      <c r="CG122" s="26"/>
      <c r="CH122" s="36"/>
      <c r="CI122" s="196"/>
      <c r="CJ122" s="196"/>
      <c r="CK122" s="196"/>
      <c r="CL122" s="196"/>
      <c r="CM122" s="196"/>
      <c r="CN122" s="196"/>
      <c r="CO122" s="196"/>
      <c r="CP122" s="196"/>
      <c r="CQ122" s="196"/>
      <c r="CR122" s="196"/>
      <c r="CS122" s="196"/>
      <c r="CT122" s="196"/>
      <c r="CU122" s="196"/>
      <c r="CV122" s="196"/>
      <c r="CW122" s="196"/>
      <c r="CX122" s="196"/>
      <c r="CY122" s="196"/>
      <c r="CZ122" s="196"/>
      <c r="DA122" s="37"/>
      <c r="DB122" s="26"/>
      <c r="DC122" s="26"/>
      <c r="DD122" s="26"/>
      <c r="DE122" s="26"/>
      <c r="DF122" s="26"/>
      <c r="DG122" s="26"/>
      <c r="DH122" s="36"/>
      <c r="DI122" s="196"/>
      <c r="DJ122" s="196"/>
      <c r="DK122" s="196"/>
      <c r="DL122" s="196"/>
      <c r="DM122" s="196"/>
      <c r="DN122" s="196"/>
      <c r="DO122" s="196"/>
      <c r="DP122" s="196"/>
      <c r="DQ122" s="196"/>
      <c r="DR122" s="196"/>
      <c r="DS122" s="196"/>
      <c r="DT122" s="196"/>
      <c r="EA122" s="23" t="s">
        <v>157</v>
      </c>
      <c r="EB122" s="26">
        <f>IF($EA$122="PJ",($EB$121*0.25),0)</f>
        <v>0</v>
      </c>
      <c r="EC122" s="26"/>
      <c r="ED122" s="26"/>
      <c r="EE122" s="26"/>
      <c r="EF122" s="26"/>
      <c r="EG122" s="26"/>
      <c r="EH122" s="36"/>
      <c r="EI122" s="164"/>
      <c r="EK122" s="164"/>
      <c r="EL122" s="164"/>
    </row>
    <row r="123" spans="1:143" ht="16.5" thickTop="1" thickBot="1" x14ac:dyDescent="0.3">
      <c r="C123" s="58">
        <f>IF($C$100=$C$103,$C$112,IF($C$100=$C$104,$C$113,IF($C$100=$C$105,$C$114,$C$100-3)))</f>
        <v>5</v>
      </c>
      <c r="D123" s="58" t="str">
        <f>IF($C$123=$C$112,"Octubre del año Anterior",IF($C$123=$C$113,"Noviembre del año Anterior",IF($C$123=$C$114,"Diciembre del año Anterior",VLOOKUP($C$123,$C$103:$E$111,3,0))))</f>
        <v>Mayo</v>
      </c>
      <c r="E123" s="152" t="s">
        <v>158</v>
      </c>
      <c r="AA123" s="25" t="s">
        <v>34</v>
      </c>
      <c r="AB123" s="26">
        <f>IF($AD$111&lt;$AB$121,$AD$111,$AB$121)</f>
        <v>0</v>
      </c>
      <c r="AC123" s="26"/>
      <c r="AD123" s="26"/>
      <c r="AE123" s="26"/>
      <c r="AF123" s="26"/>
      <c r="AG123" s="26"/>
      <c r="AH123" s="36"/>
      <c r="BA123" s="25" t="s">
        <v>34</v>
      </c>
      <c r="BB123" s="26">
        <f>IF($BD$111&lt;$BB$121,$BD$111,$BB$121)</f>
        <v>0</v>
      </c>
      <c r="BC123" s="26"/>
      <c r="BD123" s="26"/>
      <c r="BE123" s="26"/>
      <c r="BF123" s="26"/>
      <c r="BG123" s="26"/>
      <c r="BH123" s="36"/>
      <c r="BX123" s="196"/>
      <c r="BY123" s="196"/>
      <c r="BZ123" s="196"/>
      <c r="CA123" s="37"/>
      <c r="CB123" s="26"/>
      <c r="CC123" s="26"/>
      <c r="CD123" s="26"/>
      <c r="CE123" s="26"/>
      <c r="CF123" s="26"/>
      <c r="CG123" s="26"/>
      <c r="CH123" s="36"/>
      <c r="CI123" s="196"/>
      <c r="CJ123" s="196"/>
      <c r="CK123" s="196"/>
      <c r="CL123" s="196"/>
      <c r="CM123" s="196"/>
      <c r="CN123" s="196"/>
      <c r="CO123" s="196"/>
      <c r="CP123" s="196"/>
      <c r="CQ123" s="196"/>
      <c r="CR123" s="196"/>
      <c r="CS123" s="196"/>
      <c r="CT123" s="196"/>
      <c r="CU123" s="196"/>
      <c r="CV123" s="196"/>
      <c r="CW123" s="196"/>
      <c r="CX123" s="196"/>
      <c r="CY123" s="196"/>
      <c r="CZ123" s="196"/>
      <c r="DA123" s="37"/>
      <c r="DB123" s="26"/>
      <c r="DC123" s="26"/>
      <c r="DD123" s="26"/>
      <c r="DE123" s="26"/>
      <c r="DF123" s="26"/>
      <c r="DG123" s="26"/>
      <c r="DH123" s="36"/>
      <c r="DI123" s="196"/>
      <c r="DJ123" s="196"/>
      <c r="DK123" s="196"/>
      <c r="DL123" s="196"/>
      <c r="DM123" s="196"/>
      <c r="DN123" s="196"/>
      <c r="DO123" s="196"/>
      <c r="DP123" s="196"/>
      <c r="DQ123" s="196"/>
      <c r="DR123" s="196"/>
      <c r="DS123" s="196"/>
      <c r="DT123" s="196"/>
      <c r="EA123" s="53" t="s">
        <v>369</v>
      </c>
      <c r="EB123" s="177">
        <f>$EB$121+$EB$122</f>
        <v>0</v>
      </c>
      <c r="EC123" s="179"/>
      <c r="ED123" s="26"/>
      <c r="EE123" s="26"/>
      <c r="EF123" s="26"/>
      <c r="EG123" s="26"/>
      <c r="EH123" s="36"/>
      <c r="EI123" s="164"/>
      <c r="EK123" s="164"/>
      <c r="EL123" s="164"/>
    </row>
    <row r="124" spans="1:143" ht="16.5" thickTop="1" thickBot="1" x14ac:dyDescent="0.3">
      <c r="AA124" s="25" t="s">
        <v>45</v>
      </c>
      <c r="AB124" s="26">
        <f>IF($AE$111&lt;$AB$121,$AE$111,$AB$121)</f>
        <v>0</v>
      </c>
      <c r="AC124" s="26"/>
      <c r="AD124" s="26"/>
      <c r="AE124" s="26"/>
      <c r="AF124" s="26"/>
      <c r="AG124" s="26"/>
      <c r="AH124" s="36"/>
      <c r="BA124" s="25" t="s">
        <v>45</v>
      </c>
      <c r="BB124" s="26">
        <f>IF($BE$111&lt;$BB$121,$BE$111,$BB$121)</f>
        <v>0</v>
      </c>
      <c r="BC124" s="26"/>
      <c r="BD124" s="26"/>
      <c r="BE124" s="26"/>
      <c r="BF124" s="26"/>
      <c r="BG124" s="26"/>
      <c r="BH124" s="36"/>
      <c r="BX124" s="196"/>
      <c r="BY124" s="196"/>
      <c r="BZ124" s="196"/>
      <c r="CA124" s="37"/>
      <c r="CB124" s="26"/>
      <c r="CC124" s="26"/>
      <c r="CD124" s="26"/>
      <c r="CE124" s="26"/>
      <c r="CF124" s="26"/>
      <c r="CG124" s="26"/>
      <c r="CH124" s="36"/>
      <c r="CI124" s="196"/>
      <c r="CJ124" s="196"/>
      <c r="CK124" s="196"/>
      <c r="CL124" s="196"/>
      <c r="CM124" s="196"/>
      <c r="CN124" s="196"/>
      <c r="CO124" s="196"/>
      <c r="CP124" s="196"/>
      <c r="CQ124" s="196"/>
      <c r="CR124" s="196"/>
      <c r="CS124" s="196"/>
      <c r="CT124" s="196"/>
      <c r="CU124" s="196"/>
      <c r="CV124" s="196"/>
      <c r="CW124" s="196"/>
      <c r="CX124" s="196"/>
      <c r="CY124" s="196"/>
      <c r="CZ124" s="196"/>
      <c r="DA124" s="37"/>
      <c r="DB124" s="26"/>
      <c r="DC124" s="26"/>
      <c r="DD124" s="26"/>
      <c r="DE124" s="26"/>
      <c r="DF124" s="26"/>
      <c r="DG124" s="26"/>
      <c r="DH124" s="36"/>
      <c r="DI124" s="196"/>
      <c r="DJ124" s="196"/>
      <c r="DK124" s="196"/>
      <c r="DL124" s="196"/>
      <c r="DM124" s="196"/>
      <c r="DN124" s="196"/>
      <c r="DO124" s="196"/>
      <c r="DP124" s="196"/>
      <c r="DQ124" s="196"/>
      <c r="DR124" s="196"/>
      <c r="DS124" s="196"/>
      <c r="DT124" s="196"/>
      <c r="EA124" s="41" t="s">
        <v>368</v>
      </c>
      <c r="EB124" s="177">
        <f>IF($EB$123&lt;=18000,($EB$123*1.05),IF(AND($EB$123&gt;=18001,$EB$123&lt;=40000),$EB$123,IF(AND($EB$123&gt;=40001,$EB$123&lt;=70000),$EB$123-($EB$123*0.1),IF($EB$123&gt;=70001,($EB$123-($EB$123*0.2))))))</f>
        <v>0</v>
      </c>
      <c r="EC124" s="179"/>
      <c r="ED124" s="26"/>
      <c r="EE124" s="26"/>
      <c r="EF124" s="26"/>
      <c r="EG124" s="26"/>
      <c r="EH124" s="36"/>
      <c r="EI124" s="164"/>
    </row>
    <row r="125" spans="1:143" ht="16.5" thickTop="1" thickBot="1" x14ac:dyDescent="0.3">
      <c r="D125" s="152" t="s">
        <v>337</v>
      </c>
      <c r="E125" s="254" t="str">
        <f>IFERROR($E$126,"0")</f>
        <v>0</v>
      </c>
      <c r="F125" s="253" t="str">
        <f>IFERROR($F$126,"0")</f>
        <v>0</v>
      </c>
      <c r="AA125" s="25" t="s">
        <v>46</v>
      </c>
      <c r="AB125" s="26">
        <f>IF($AF$111&lt;$AB$121,$AF$111,$AB$121)</f>
        <v>0</v>
      </c>
      <c r="AC125" s="26"/>
      <c r="AD125" s="26"/>
      <c r="AE125" s="26"/>
      <c r="AF125" s="26"/>
      <c r="AG125" s="26"/>
      <c r="AH125" s="36"/>
      <c r="BA125" s="25" t="s">
        <v>46</v>
      </c>
      <c r="BB125" s="26">
        <f>IF($BF$111&lt;$BB$121,$BF$111,$BB$121)</f>
        <v>0</v>
      </c>
      <c r="BC125" s="26"/>
      <c r="BD125" s="26"/>
      <c r="BE125" s="26"/>
      <c r="BF125" s="26"/>
      <c r="BG125" s="26"/>
      <c r="BH125" s="36"/>
      <c r="BX125" s="196"/>
      <c r="BY125" s="196"/>
      <c r="BZ125" s="196"/>
      <c r="CA125" s="37"/>
      <c r="CB125" s="26"/>
      <c r="CC125" s="26"/>
      <c r="CD125" s="26"/>
      <c r="CE125" s="26"/>
      <c r="CF125" s="26"/>
      <c r="CG125" s="26"/>
      <c r="CH125" s="36"/>
      <c r="CI125" s="196"/>
      <c r="CJ125" s="196"/>
      <c r="CK125" s="196"/>
      <c r="CL125" s="196"/>
      <c r="CM125" s="196"/>
      <c r="CN125" s="196"/>
      <c r="CO125" s="196"/>
      <c r="CP125" s="196"/>
      <c r="CQ125" s="196"/>
      <c r="CR125" s="196"/>
      <c r="CS125" s="196"/>
      <c r="CT125" s="196"/>
      <c r="CU125" s="196"/>
      <c r="CV125" s="196"/>
      <c r="CW125" s="196"/>
      <c r="CX125" s="196"/>
      <c r="CY125" s="196"/>
      <c r="CZ125" s="196"/>
      <c r="DA125" s="37"/>
      <c r="DB125" s="26"/>
      <c r="DC125" s="26"/>
      <c r="DD125" s="26"/>
      <c r="DE125" s="26"/>
      <c r="DF125" s="26"/>
      <c r="DG125" s="26"/>
      <c r="DH125" s="36"/>
      <c r="DI125" s="196"/>
      <c r="DJ125" s="196"/>
      <c r="DK125" s="196"/>
      <c r="DL125" s="196"/>
      <c r="DM125" s="196"/>
      <c r="DN125" s="196"/>
      <c r="DO125" s="196"/>
      <c r="DP125" s="196"/>
      <c r="DQ125" s="196"/>
      <c r="DR125" s="196"/>
      <c r="DS125" s="196"/>
      <c r="DT125" s="196"/>
      <c r="EA125" s="37"/>
      <c r="EB125" s="192"/>
      <c r="EC125" s="26"/>
      <c r="ED125" s="26"/>
      <c r="EE125" s="26"/>
      <c r="EF125" s="26"/>
      <c r="EG125" s="26"/>
      <c r="EH125" s="36"/>
      <c r="EI125" s="164"/>
      <c r="EK125" s="164"/>
      <c r="EL125" s="164"/>
      <c r="EM125" s="164"/>
    </row>
    <row r="126" spans="1:143" ht="16.5" thickTop="1" thickBot="1" x14ac:dyDescent="0.3">
      <c r="D126" s="167"/>
      <c r="E126" s="172" t="e">
        <f>$E$127/$E$128</f>
        <v>#DIV/0!</v>
      </c>
      <c r="F126" s="172" t="e">
        <f>$F$127/$F$128</f>
        <v>#DIV/0!</v>
      </c>
      <c r="AA126" s="25" t="s">
        <v>88</v>
      </c>
      <c r="AB126" s="372">
        <f>IF($AB$122&amp;$AB$123&amp;$AB$124&amp;$AB$125="","0",AVERAGE($AB$122:$AB$125))</f>
        <v>0</v>
      </c>
      <c r="AC126" s="26"/>
      <c r="AD126" s="26"/>
      <c r="AE126" s="26"/>
      <c r="AF126" s="26"/>
      <c r="AG126" s="26"/>
      <c r="AH126" s="36"/>
      <c r="AI126" s="196"/>
      <c r="BA126" s="25" t="s">
        <v>88</v>
      </c>
      <c r="BB126" s="372">
        <f>IF($BB$122&amp;$BB$123&amp;$BB$124&amp;$BB$125="","0",AVERAGE($BB$122:$BB$125))</f>
        <v>0</v>
      </c>
      <c r="BC126" s="26"/>
      <c r="BD126" s="26"/>
      <c r="BE126" s="26"/>
      <c r="BF126" s="26"/>
      <c r="BG126" s="26"/>
      <c r="BH126" s="36"/>
      <c r="BX126" s="196"/>
      <c r="BY126" s="196"/>
      <c r="BZ126" s="196"/>
      <c r="CA126" s="37"/>
      <c r="CB126" s="26"/>
      <c r="CC126" s="26"/>
      <c r="CD126" s="26"/>
      <c r="CE126" s="26"/>
      <c r="CF126" s="26"/>
      <c r="CG126" s="26"/>
      <c r="CH126" s="36"/>
      <c r="CI126" s="196"/>
      <c r="CJ126" s="196"/>
      <c r="CK126" s="196"/>
      <c r="CL126" s="196"/>
      <c r="CM126" s="196"/>
      <c r="CN126" s="196"/>
      <c r="CO126" s="196"/>
      <c r="CP126" s="196"/>
      <c r="CQ126" s="196"/>
      <c r="CR126" s="196"/>
      <c r="CS126" s="196"/>
      <c r="CT126" s="196"/>
      <c r="CU126" s="196"/>
      <c r="CV126" s="196"/>
      <c r="CW126" s="196"/>
      <c r="CX126" s="196"/>
      <c r="CY126" s="196"/>
      <c r="CZ126" s="196"/>
      <c r="DA126" s="37"/>
      <c r="DB126" s="26"/>
      <c r="DC126" s="26"/>
      <c r="DD126" s="26"/>
      <c r="DE126" s="26"/>
      <c r="DF126" s="26"/>
      <c r="DG126" s="26"/>
      <c r="DH126" s="36"/>
      <c r="DI126" s="196"/>
      <c r="DJ126" s="196"/>
      <c r="DK126" s="196"/>
      <c r="DL126" s="196"/>
      <c r="DM126" s="196"/>
      <c r="DN126" s="196"/>
      <c r="DO126" s="196"/>
      <c r="DP126" s="196"/>
      <c r="DQ126" s="196"/>
      <c r="DR126" s="196"/>
      <c r="DS126" s="196"/>
      <c r="DT126" s="196"/>
      <c r="EA126" s="184" t="s">
        <v>427</v>
      </c>
      <c r="EB126" s="5">
        <f>VLOOKUP($EA$126,$EA$123:$EB$124,2,0)</f>
        <v>0</v>
      </c>
      <c r="EC126" s="179"/>
      <c r="ED126" s="26"/>
      <c r="EE126" s="26"/>
      <c r="EF126" s="26"/>
      <c r="EG126" s="26"/>
      <c r="EH126" s="36"/>
      <c r="EI126" s="164"/>
      <c r="EK126" s="164"/>
      <c r="EL126" s="164"/>
      <c r="EM126" s="164"/>
    </row>
    <row r="127" spans="1:143" ht="16.5" thickTop="1" thickBot="1" x14ac:dyDescent="0.3">
      <c r="D127" s="152" t="s">
        <v>343</v>
      </c>
      <c r="E127" s="254">
        <v>0</v>
      </c>
      <c r="F127" s="253">
        <v>0</v>
      </c>
      <c r="AA127" s="39" t="s">
        <v>50</v>
      </c>
      <c r="AB127" s="40">
        <f>VLOOKUP($AA$119,$A$14:$D$25,3,0)</f>
        <v>1</v>
      </c>
      <c r="AC127" s="26"/>
      <c r="AD127" s="26"/>
      <c r="AE127" s="26"/>
      <c r="AF127" s="26"/>
      <c r="AG127" s="26"/>
      <c r="AH127" s="36"/>
      <c r="AI127" s="196"/>
      <c r="BA127" s="39" t="s">
        <v>50</v>
      </c>
      <c r="BB127" s="40">
        <f>VLOOKUP($BA$119,$A$14:$D$25,3,0)</f>
        <v>0</v>
      </c>
      <c r="BC127" s="26"/>
      <c r="BD127" s="26"/>
      <c r="BE127" s="26"/>
      <c r="BF127" s="26"/>
      <c r="BG127" s="26"/>
      <c r="BH127" s="36"/>
      <c r="BX127" s="196"/>
      <c r="BY127" s="196"/>
      <c r="BZ127" s="196"/>
      <c r="CA127" s="39" t="s">
        <v>50</v>
      </c>
      <c r="CB127" s="40">
        <f>VLOOKUP($CA$119,$A$41:$C$51,3,0)</f>
        <v>0</v>
      </c>
      <c r="CC127" s="26"/>
      <c r="CD127" s="26"/>
      <c r="CE127" s="26"/>
      <c r="CF127" s="26"/>
      <c r="CG127" s="26"/>
      <c r="CH127" s="36"/>
      <c r="CI127" s="196"/>
      <c r="CJ127" s="196"/>
      <c r="CK127" s="196"/>
      <c r="CL127" s="196"/>
      <c r="CM127" s="196"/>
      <c r="CN127" s="196"/>
      <c r="CO127" s="196"/>
      <c r="CP127" s="196"/>
      <c r="CQ127" s="196"/>
      <c r="CR127" s="196"/>
      <c r="CS127" s="196"/>
      <c r="CT127" s="196"/>
      <c r="CU127" s="196"/>
      <c r="CV127" s="196"/>
      <c r="CW127" s="196"/>
      <c r="CX127" s="196"/>
      <c r="CY127" s="196"/>
      <c r="CZ127" s="196"/>
      <c r="DA127" s="39" t="s">
        <v>50</v>
      </c>
      <c r="DB127" s="40">
        <f>VLOOKUP($DA$119,$A$41:$C$51,3,0)</f>
        <v>0</v>
      </c>
      <c r="DC127" s="26"/>
      <c r="DD127" s="26"/>
      <c r="DE127" s="26"/>
      <c r="DF127" s="26"/>
      <c r="DG127" s="26"/>
      <c r="DH127" s="36"/>
      <c r="DI127" s="196"/>
      <c r="DJ127" s="196"/>
      <c r="DK127" s="196"/>
      <c r="DL127" s="196"/>
      <c r="DM127" s="196"/>
      <c r="DN127" s="196"/>
      <c r="DO127" s="196"/>
      <c r="DP127" s="196"/>
      <c r="DQ127" s="196"/>
      <c r="DR127" s="196"/>
      <c r="DS127" s="196"/>
      <c r="DT127" s="196"/>
      <c r="EA127" s="27" t="s">
        <v>356</v>
      </c>
      <c r="EB127" s="109">
        <v>0</v>
      </c>
      <c r="EC127" s="26"/>
      <c r="ED127" s="26"/>
      <c r="EE127" s="26"/>
      <c r="EF127" s="26"/>
      <c r="EG127" s="26"/>
      <c r="EH127" s="36"/>
      <c r="EI127" s="164"/>
      <c r="EK127" s="164"/>
      <c r="EL127" s="164"/>
      <c r="EM127" s="164"/>
    </row>
    <row r="128" spans="1:143" ht="16.5" thickTop="1" thickBot="1" x14ac:dyDescent="0.3">
      <c r="D128" s="152" t="s">
        <v>344</v>
      </c>
      <c r="E128" s="254">
        <v>0</v>
      </c>
      <c r="F128" s="253">
        <v>0</v>
      </c>
      <c r="AA128" s="41" t="s">
        <v>43</v>
      </c>
      <c r="AB128" s="42">
        <f>IF($AA$119=$A$14,$AB$126*$AB$127,IF($AA$119=$A$15,$AB$126*$AB$127,IF($AA$119=$A$16,$AB$126*$AB$127,$AB$119*$AB$127)))</f>
        <v>0</v>
      </c>
      <c r="AC128" s="100"/>
      <c r="AD128" s="31"/>
      <c r="AE128" s="31"/>
      <c r="AF128" s="31"/>
      <c r="AG128" s="31"/>
      <c r="AH128" s="43"/>
      <c r="BA128" s="41" t="s">
        <v>43</v>
      </c>
      <c r="BB128" s="42">
        <f>IF($BA$119=$A$14,$BB$126*$BB$127,IF($BA$119=$A$15,$BB$126*$BB$127,IF($BA$119=$A$16,$BB$126*$BB$127,$BB$119*$BB$127)))</f>
        <v>0</v>
      </c>
      <c r="BC128" s="100"/>
      <c r="BD128" s="31"/>
      <c r="BE128" s="31"/>
      <c r="BF128" s="31"/>
      <c r="BG128" s="31"/>
      <c r="BH128" s="43"/>
      <c r="BX128" s="196"/>
      <c r="BY128" s="196"/>
      <c r="BZ128" s="196"/>
      <c r="CA128" s="41" t="s">
        <v>43</v>
      </c>
      <c r="CB128" s="42">
        <f>$CB$119*$CB$127</f>
        <v>0</v>
      </c>
      <c r="CC128" s="100"/>
      <c r="CD128" s="31"/>
      <c r="CE128" s="31"/>
      <c r="CF128" s="31"/>
      <c r="CG128" s="31"/>
      <c r="CH128" s="43"/>
      <c r="CI128" s="196"/>
      <c r="CJ128" s="196"/>
      <c r="CK128" s="196"/>
      <c r="CL128" s="196"/>
      <c r="CM128" s="196"/>
      <c r="CN128" s="196"/>
      <c r="CO128" s="196"/>
      <c r="CP128" s="196"/>
      <c r="CQ128" s="196"/>
      <c r="CR128" s="196"/>
      <c r="CS128" s="196"/>
      <c r="CT128" s="196"/>
      <c r="CU128" s="196"/>
      <c r="CV128" s="196"/>
      <c r="CW128" s="196"/>
      <c r="CX128" s="196"/>
      <c r="CY128" s="196"/>
      <c r="CZ128" s="196"/>
      <c r="DA128" s="41" t="s">
        <v>43</v>
      </c>
      <c r="DB128" s="42">
        <f>$DB$119*$DB$127</f>
        <v>0</v>
      </c>
      <c r="DC128" s="100"/>
      <c r="DD128" s="31"/>
      <c r="DE128" s="31"/>
      <c r="DF128" s="31"/>
      <c r="DG128" s="31"/>
      <c r="DH128" s="43"/>
      <c r="DI128" s="196"/>
      <c r="DJ128" s="196"/>
      <c r="DK128" s="196"/>
      <c r="DL128" s="196"/>
      <c r="DM128" s="196"/>
      <c r="DN128" s="196"/>
      <c r="DO128" s="196"/>
      <c r="DP128" s="196"/>
      <c r="DQ128" s="196"/>
      <c r="DR128" s="196"/>
      <c r="DS128" s="196"/>
      <c r="DT128" s="196"/>
      <c r="EA128" s="41" t="s">
        <v>357</v>
      </c>
      <c r="EB128" s="191">
        <f>IF($EB$126&gt;=$EB$127,$EB$127,$EB$126)</f>
        <v>0</v>
      </c>
      <c r="EC128" s="100"/>
      <c r="ED128" s="31"/>
      <c r="EE128" s="31"/>
      <c r="EF128" s="31"/>
      <c r="EG128" s="31"/>
      <c r="EH128" s="193" t="str">
        <f>IF($EB$128=$EB$127,"El Tope de ingresos para este producto es de "&amp;TEXT($EB$127,"$ #,##0.00"),IF($EB$128=$A$3,"El Ingreso se esta topando en base a la cantidad capturada en solicitud",""))</f>
        <v>El Tope de ingresos para este producto es de $ 0.00</v>
      </c>
      <c r="EI128" s="164" t="s">
        <v>318</v>
      </c>
      <c r="EK128" s="164"/>
      <c r="EL128" s="164"/>
      <c r="EM128" s="164"/>
    </row>
    <row r="129" spans="1:143" ht="16.5" thickTop="1" thickBot="1" x14ac:dyDescent="0.3">
      <c r="F129" s="196"/>
      <c r="BX129" s="196"/>
      <c r="BY129" s="196"/>
      <c r="BZ129" s="196"/>
      <c r="CA129" s="196"/>
      <c r="CB129" s="196"/>
      <c r="CC129" s="196"/>
      <c r="CD129" s="196"/>
      <c r="CE129" s="196"/>
      <c r="CF129" s="196"/>
      <c r="CG129" s="196"/>
      <c r="CH129" s="196"/>
      <c r="CI129" s="196"/>
      <c r="CJ129" s="196"/>
      <c r="CK129" s="196"/>
      <c r="CL129" s="196"/>
      <c r="CM129" s="196"/>
      <c r="CN129" s="196"/>
      <c r="CO129" s="196"/>
      <c r="CP129" s="196"/>
      <c r="CQ129" s="196"/>
      <c r="CR129" s="196"/>
      <c r="CS129" s="196"/>
      <c r="CT129" s="196"/>
      <c r="CU129" s="196"/>
      <c r="CV129" s="196"/>
      <c r="CW129" s="196"/>
      <c r="CX129" s="196"/>
      <c r="CY129" s="196"/>
      <c r="CZ129" s="196"/>
      <c r="DA129" s="196"/>
      <c r="DB129" s="196"/>
      <c r="DC129" s="196"/>
      <c r="DD129" s="196"/>
      <c r="DE129" s="196"/>
      <c r="DF129" s="196"/>
      <c r="DG129" s="196"/>
      <c r="DH129" s="196"/>
      <c r="DI129" s="196"/>
      <c r="DJ129" s="196"/>
      <c r="DK129" s="196"/>
      <c r="DL129" s="196"/>
      <c r="DM129" s="196"/>
      <c r="DN129" s="196"/>
      <c r="DO129" s="196"/>
      <c r="DP129" s="196"/>
      <c r="DQ129" s="196"/>
      <c r="DR129" s="196"/>
      <c r="DS129" s="196"/>
      <c r="DT129" s="196"/>
      <c r="EA129" s="164"/>
      <c r="EB129" s="164"/>
      <c r="EC129" s="164"/>
      <c r="ED129" s="164"/>
      <c r="EE129" s="164"/>
      <c r="EF129" s="164"/>
      <c r="EG129" s="164"/>
      <c r="EH129" s="164"/>
      <c r="EI129" s="164"/>
      <c r="EK129" s="164"/>
      <c r="EL129" s="164"/>
      <c r="EM129" s="164"/>
    </row>
    <row r="130" spans="1:143" ht="16.5" thickTop="1" thickBot="1" x14ac:dyDescent="0.3">
      <c r="D130" s="152" t="s">
        <v>345</v>
      </c>
      <c r="E130" s="254">
        <v>0</v>
      </c>
      <c r="F130" s="253">
        <v>0</v>
      </c>
      <c r="AA130" s="497" t="s">
        <v>89</v>
      </c>
      <c r="AB130" s="498"/>
      <c r="AC130" s="498"/>
      <c r="AD130" s="498"/>
      <c r="AE130" s="498"/>
      <c r="AF130" s="498"/>
      <c r="AG130" s="499"/>
      <c r="AH130" s="11">
        <f>$AB$148</f>
        <v>0</v>
      </c>
      <c r="AI130" s="266" t="str">
        <f>IF(OR($A$3=0,$A$3="0",$AB$148=0),"0",IF($AB$148&gt;$A$3,$A$3,$AB$148))</f>
        <v>0</v>
      </c>
      <c r="BA130" s="497" t="s">
        <v>89</v>
      </c>
      <c r="BB130" s="498"/>
      <c r="BC130" s="498"/>
      <c r="BD130" s="498"/>
      <c r="BE130" s="498"/>
      <c r="BF130" s="498"/>
      <c r="BG130" s="499"/>
      <c r="BH130" s="265">
        <f>$BB$148</f>
        <v>0</v>
      </c>
      <c r="BX130" s="196"/>
      <c r="BY130" s="196"/>
      <c r="BZ130" s="196"/>
      <c r="CA130" s="524" t="s">
        <v>93</v>
      </c>
      <c r="CB130" s="525"/>
      <c r="CC130" s="525"/>
      <c r="CD130" s="525"/>
      <c r="CE130" s="525"/>
      <c r="CF130" s="525"/>
      <c r="CG130" s="526"/>
      <c r="CH130" s="91"/>
      <c r="CI130" s="196"/>
      <c r="CJ130" s="196"/>
      <c r="CK130" s="196"/>
      <c r="CL130" s="196"/>
      <c r="CM130" s="196"/>
      <c r="CN130" s="196"/>
      <c r="CO130" s="196"/>
      <c r="CP130" s="196"/>
      <c r="CQ130" s="196"/>
      <c r="CR130" s="196"/>
      <c r="CS130" s="196"/>
      <c r="CT130" s="196"/>
      <c r="CU130" s="196"/>
      <c r="CV130" s="196"/>
      <c r="CW130" s="196"/>
      <c r="CX130" s="196"/>
      <c r="CY130" s="196"/>
      <c r="CZ130" s="196"/>
      <c r="DA130" s="524" t="s">
        <v>93</v>
      </c>
      <c r="DB130" s="525"/>
      <c r="DC130" s="525"/>
      <c r="DD130" s="525"/>
      <c r="DE130" s="525"/>
      <c r="DF130" s="525"/>
      <c r="DG130" s="526"/>
      <c r="DH130" s="91"/>
      <c r="DI130" s="196"/>
      <c r="DJ130" s="196"/>
      <c r="DK130" s="196"/>
      <c r="DL130" s="196"/>
      <c r="DM130" s="196"/>
      <c r="DN130" s="196"/>
      <c r="DO130" s="196"/>
      <c r="DP130" s="196"/>
      <c r="DQ130" s="196"/>
      <c r="DR130" s="196"/>
      <c r="DS130" s="196"/>
      <c r="DT130" s="196"/>
      <c r="EA130" s="497" t="s">
        <v>419</v>
      </c>
      <c r="EB130" s="498"/>
      <c r="EC130" s="498"/>
      <c r="ED130" s="498"/>
      <c r="EE130" s="498"/>
      <c r="EF130" s="498"/>
      <c r="EG130" s="499"/>
      <c r="EH130" s="185" t="str">
        <f>IF(OR($A$3=0,$A$3="0",$EB$148=0),"0",IF($EB$148&gt;$A$3,$A$3,$EB$148))</f>
        <v>0</v>
      </c>
      <c r="EI130" s="196"/>
    </row>
    <row r="131" spans="1:143" ht="16.5" thickTop="1" thickBot="1" x14ac:dyDescent="0.3">
      <c r="AA131" s="25" t="s">
        <v>31</v>
      </c>
      <c r="AB131" s="26">
        <f>AVERAGE($AC$131:$AF$131)</f>
        <v>0</v>
      </c>
      <c r="AC131" s="35">
        <f>SUM($AC$132:$AC$141)</f>
        <v>0</v>
      </c>
      <c r="AD131" s="35">
        <f>SUM($AD$132:$AD$141)</f>
        <v>0</v>
      </c>
      <c r="AE131" s="35">
        <f>SUM($AE$132:$AE$141)</f>
        <v>0</v>
      </c>
      <c r="AF131" s="35">
        <f>SUM($AF$132:$AF$141)</f>
        <v>0</v>
      </c>
      <c r="AG131" s="35">
        <f>SUM($AG$132:$AG$141)</f>
        <v>0</v>
      </c>
      <c r="AH131" s="92">
        <f>SUM($AH$132:$AH$141)</f>
        <v>0</v>
      </c>
      <c r="BA131" s="25" t="s">
        <v>31</v>
      </c>
      <c r="BB131" s="26">
        <f>AVERAGE($BC$131:$BF$131)</f>
        <v>0</v>
      </c>
      <c r="BC131" s="35">
        <f>SUM($BC$132:$BC$141)</f>
        <v>0</v>
      </c>
      <c r="BD131" s="35">
        <f>SUM($BD$132:$BD$141)</f>
        <v>0</v>
      </c>
      <c r="BE131" s="35">
        <f>SUM($BE$132:$BE$141)</f>
        <v>0</v>
      </c>
      <c r="BF131" s="35">
        <f>SUM($BF$132:$BF$141)</f>
        <v>0</v>
      </c>
      <c r="BG131" s="35">
        <f>SUM($BG$132:$BG$141)</f>
        <v>0</v>
      </c>
      <c r="BH131" s="92">
        <f>SUM($BH$132:$BH$141)</f>
        <v>0</v>
      </c>
      <c r="BX131" s="196"/>
      <c r="BY131" s="196"/>
      <c r="BZ131" s="196"/>
      <c r="CA131" s="37"/>
      <c r="CB131" s="26"/>
      <c r="CC131" s="26">
        <v>0</v>
      </c>
      <c r="CD131" s="26">
        <v>0</v>
      </c>
      <c r="CE131" s="26">
        <v>0</v>
      </c>
      <c r="CF131" s="26">
        <v>0</v>
      </c>
      <c r="CG131" s="26">
        <v>0</v>
      </c>
      <c r="CH131" s="36">
        <v>0</v>
      </c>
      <c r="CI131" s="196"/>
      <c r="CJ131" s="196"/>
      <c r="CK131" s="196"/>
      <c r="CL131" s="196"/>
      <c r="CM131" s="196"/>
      <c r="CN131" s="196"/>
      <c r="CO131" s="196"/>
      <c r="CP131" s="196"/>
      <c r="CQ131" s="196"/>
      <c r="CR131" s="196"/>
      <c r="CS131" s="196"/>
      <c r="CT131" s="196"/>
      <c r="CU131" s="196"/>
      <c r="CV131" s="196"/>
      <c r="CW131" s="196"/>
      <c r="CX131" s="196"/>
      <c r="CY131" s="196"/>
      <c r="CZ131" s="196"/>
      <c r="DA131" s="37"/>
      <c r="DB131" s="26"/>
      <c r="DC131" s="26">
        <v>0</v>
      </c>
      <c r="DD131" s="26">
        <v>0</v>
      </c>
      <c r="DE131" s="26">
        <v>0</v>
      </c>
      <c r="DF131" s="26">
        <v>0</v>
      </c>
      <c r="DG131" s="26">
        <v>0</v>
      </c>
      <c r="DH131" s="36">
        <v>0</v>
      </c>
      <c r="DI131" s="196"/>
      <c r="DJ131" s="196"/>
      <c r="DK131" s="196"/>
      <c r="DL131" s="196"/>
      <c r="DM131" s="196"/>
      <c r="DN131" s="196"/>
      <c r="DO131" s="196"/>
      <c r="DP131" s="196"/>
      <c r="DQ131" s="196"/>
      <c r="DR131" s="196"/>
      <c r="DS131" s="196"/>
      <c r="DT131" s="196"/>
      <c r="EA131" s="174" t="s">
        <v>350</v>
      </c>
      <c r="EB131" s="26">
        <f>MEDIAN($EC$131:$EE$131)</f>
        <v>0</v>
      </c>
      <c r="EC131" s="35">
        <f>SUM($EC$132:$EC$141)</f>
        <v>0</v>
      </c>
      <c r="ED131" s="35">
        <f>SUM($ED$132:$ED$141)</f>
        <v>0</v>
      </c>
      <c r="EE131" s="35">
        <f>SUM($EE$132:$EE$141)</f>
        <v>0</v>
      </c>
      <c r="EF131" s="26"/>
      <c r="EG131" s="26"/>
      <c r="EH131" s="36"/>
      <c r="EI131" s="164"/>
    </row>
    <row r="132" spans="1:143" ht="16.5" thickTop="1" thickBot="1" x14ac:dyDescent="0.3">
      <c r="AA132" s="27">
        <f>$B$28</f>
        <v>0.3</v>
      </c>
      <c r="AB132" s="26">
        <f>($AB$131*$AA$132)+$AB$131</f>
        <v>0</v>
      </c>
      <c r="AC132" s="18">
        <v>0</v>
      </c>
      <c r="AD132" s="18">
        <v>0</v>
      </c>
      <c r="AE132" s="18">
        <v>0</v>
      </c>
      <c r="AF132" s="18">
        <v>0</v>
      </c>
      <c r="AG132" s="18">
        <v>0</v>
      </c>
      <c r="AH132" s="52">
        <v>0</v>
      </c>
      <c r="BA132" s="27">
        <f>$B$28</f>
        <v>0.3</v>
      </c>
      <c r="BB132" s="26">
        <f>($BB$131*$BA$132)+$BB$131</f>
        <v>0</v>
      </c>
      <c r="BC132" s="18">
        <v>0</v>
      </c>
      <c r="BD132" s="18">
        <v>0</v>
      </c>
      <c r="BE132" s="18">
        <v>0</v>
      </c>
      <c r="BF132" s="18">
        <v>0</v>
      </c>
      <c r="BG132" s="18">
        <v>0</v>
      </c>
      <c r="BH132" s="52">
        <v>0</v>
      </c>
      <c r="BX132" s="196"/>
      <c r="BY132" s="196"/>
      <c r="BZ132" s="196"/>
      <c r="CA132" s="68"/>
      <c r="CB132" s="26"/>
      <c r="CC132" s="26">
        <v>0</v>
      </c>
      <c r="CD132" s="26">
        <v>0</v>
      </c>
      <c r="CE132" s="26">
        <v>0</v>
      </c>
      <c r="CF132" s="26">
        <v>0</v>
      </c>
      <c r="CG132" s="26">
        <v>0</v>
      </c>
      <c r="CH132" s="36">
        <v>0</v>
      </c>
      <c r="CI132" s="196"/>
      <c r="CJ132" s="196"/>
      <c r="CK132" s="196"/>
      <c r="CL132" s="196"/>
      <c r="CM132" s="196"/>
      <c r="CN132" s="196"/>
      <c r="CO132" s="196"/>
      <c r="CP132" s="196"/>
      <c r="CQ132" s="196"/>
      <c r="CR132" s="196"/>
      <c r="CS132" s="196"/>
      <c r="CT132" s="196"/>
      <c r="CU132" s="196"/>
      <c r="CV132" s="196"/>
      <c r="CW132" s="196"/>
      <c r="CX132" s="196"/>
      <c r="CY132" s="196"/>
      <c r="CZ132" s="196"/>
      <c r="DA132" s="68"/>
      <c r="DB132" s="26"/>
      <c r="DC132" s="26">
        <v>0</v>
      </c>
      <c r="DD132" s="26">
        <v>0</v>
      </c>
      <c r="DE132" s="26">
        <v>0</v>
      </c>
      <c r="DF132" s="26">
        <v>0</v>
      </c>
      <c r="DG132" s="26">
        <v>0</v>
      </c>
      <c r="DH132" s="36">
        <v>0</v>
      </c>
      <c r="DI132" s="196"/>
      <c r="DJ132" s="196"/>
      <c r="DK132" s="196"/>
      <c r="DL132" s="196"/>
      <c r="DM132" s="196"/>
      <c r="DN132" s="196"/>
      <c r="DO132" s="196"/>
      <c r="DP132" s="196"/>
      <c r="DQ132" s="196"/>
      <c r="DR132" s="196"/>
      <c r="DS132" s="196"/>
      <c r="DT132" s="196"/>
      <c r="EA132" s="68">
        <f>$B$28</f>
        <v>0.3</v>
      </c>
      <c r="EB132" s="26"/>
      <c r="EC132" s="18">
        <v>0</v>
      </c>
      <c r="ED132" s="18">
        <v>0</v>
      </c>
      <c r="EE132" s="18">
        <v>0</v>
      </c>
      <c r="EF132" s="26"/>
      <c r="EG132" s="26"/>
      <c r="EH132" s="36"/>
      <c r="EI132" s="164"/>
    </row>
    <row r="133" spans="1:143" ht="16.5" thickTop="1" thickBot="1" x14ac:dyDescent="0.3">
      <c r="D133" s="58" t="s">
        <v>348</v>
      </c>
      <c r="E133" s="170"/>
      <c r="AA133" s="25" t="s">
        <v>32</v>
      </c>
      <c r="AB133" s="26">
        <f>IF($AC$131&lt;$AB$132,$AC$131,$AB$132)</f>
        <v>0</v>
      </c>
      <c r="AC133" s="18">
        <v>0</v>
      </c>
      <c r="AD133" s="18">
        <v>0</v>
      </c>
      <c r="AE133" s="18">
        <v>0</v>
      </c>
      <c r="AF133" s="18">
        <v>0</v>
      </c>
      <c r="AG133" s="18">
        <v>0</v>
      </c>
      <c r="AH133" s="52">
        <v>0</v>
      </c>
      <c r="BA133" s="25" t="s">
        <v>32</v>
      </c>
      <c r="BB133" s="26">
        <f>IF($BC$131&lt;$BB$132,$BC$131,$BB$132)</f>
        <v>0</v>
      </c>
      <c r="BC133" s="18">
        <v>0</v>
      </c>
      <c r="BD133" s="18">
        <v>0</v>
      </c>
      <c r="BE133" s="18">
        <v>0</v>
      </c>
      <c r="BF133" s="18">
        <v>0</v>
      </c>
      <c r="BG133" s="18">
        <v>0</v>
      </c>
      <c r="BH133" s="52">
        <v>0</v>
      </c>
      <c r="BX133" s="196"/>
      <c r="BY133" s="196"/>
      <c r="BZ133" s="196"/>
      <c r="CA133" s="37"/>
      <c r="CB133" s="26"/>
      <c r="CC133" s="26">
        <v>0</v>
      </c>
      <c r="CD133" s="26">
        <v>0</v>
      </c>
      <c r="CE133" s="26">
        <v>0</v>
      </c>
      <c r="CF133" s="26">
        <v>0</v>
      </c>
      <c r="CG133" s="26">
        <v>0</v>
      </c>
      <c r="CH133" s="36">
        <v>0</v>
      </c>
      <c r="CI133" s="196"/>
      <c r="CJ133" s="196"/>
      <c r="CK133" s="196"/>
      <c r="CL133" s="196"/>
      <c r="CM133" s="196"/>
      <c r="CN133" s="196"/>
      <c r="CO133" s="196"/>
      <c r="CP133" s="196"/>
      <c r="CQ133" s="196"/>
      <c r="CR133" s="196"/>
      <c r="CS133" s="196"/>
      <c r="CT133" s="196"/>
      <c r="CU133" s="196"/>
      <c r="CV133" s="196"/>
      <c r="CW133" s="196"/>
      <c r="CX133" s="196"/>
      <c r="CY133" s="196"/>
      <c r="CZ133" s="196"/>
      <c r="DA133" s="37"/>
      <c r="DB133" s="26"/>
      <c r="DC133" s="26">
        <v>0</v>
      </c>
      <c r="DD133" s="26">
        <v>0</v>
      </c>
      <c r="DE133" s="26">
        <v>0</v>
      </c>
      <c r="DF133" s="26">
        <v>0</v>
      </c>
      <c r="DG133" s="26">
        <v>0</v>
      </c>
      <c r="DH133" s="36">
        <v>0</v>
      </c>
      <c r="DI133" s="196"/>
      <c r="DJ133" s="196"/>
      <c r="DK133" s="196"/>
      <c r="DL133" s="196"/>
      <c r="DM133" s="196"/>
      <c r="DN133" s="196"/>
      <c r="DO133" s="196"/>
      <c r="DP133" s="196"/>
      <c r="DQ133" s="196"/>
      <c r="DR133" s="196"/>
      <c r="DS133" s="196"/>
      <c r="DT133" s="196"/>
      <c r="EA133" s="37" t="s">
        <v>32</v>
      </c>
      <c r="EB133" s="26"/>
      <c r="EC133" s="18">
        <v>0</v>
      </c>
      <c r="ED133" s="18">
        <v>0</v>
      </c>
      <c r="EE133" s="18">
        <v>0</v>
      </c>
      <c r="EF133" s="26"/>
      <c r="EG133" s="26"/>
      <c r="EH133" s="36"/>
      <c r="EI133" s="164"/>
    </row>
    <row r="134" spans="1:143" ht="16.5" thickTop="1" thickBot="1" x14ac:dyDescent="0.3">
      <c r="AA134" s="25" t="s">
        <v>34</v>
      </c>
      <c r="AB134" s="26">
        <f>IF($AD$131&lt;$AB$132,$AD$131,$AB$132)</f>
        <v>0</v>
      </c>
      <c r="AC134" s="18">
        <v>0</v>
      </c>
      <c r="AD134" s="18">
        <v>0</v>
      </c>
      <c r="AE134" s="18">
        <v>0</v>
      </c>
      <c r="AF134" s="18">
        <v>0</v>
      </c>
      <c r="AG134" s="18">
        <v>0</v>
      </c>
      <c r="AH134" s="52">
        <v>0</v>
      </c>
      <c r="BA134" s="25" t="s">
        <v>34</v>
      </c>
      <c r="BB134" s="26">
        <f>IF($BD$131&lt;$BB$132,$BD$131,$BB$132)</f>
        <v>0</v>
      </c>
      <c r="BC134" s="18">
        <v>0</v>
      </c>
      <c r="BD134" s="18">
        <v>0</v>
      </c>
      <c r="BE134" s="18">
        <v>0</v>
      </c>
      <c r="BF134" s="18">
        <v>0</v>
      </c>
      <c r="BG134" s="18">
        <v>0</v>
      </c>
      <c r="BH134" s="52">
        <v>0</v>
      </c>
      <c r="BX134" s="196"/>
      <c r="BY134" s="196"/>
      <c r="BZ134" s="196"/>
      <c r="CA134" s="37"/>
      <c r="CB134" s="26"/>
      <c r="CC134" s="26">
        <v>0</v>
      </c>
      <c r="CD134" s="26">
        <v>0</v>
      </c>
      <c r="CE134" s="26">
        <v>0</v>
      </c>
      <c r="CF134" s="26">
        <v>0</v>
      </c>
      <c r="CG134" s="26">
        <v>0</v>
      </c>
      <c r="CH134" s="36">
        <v>0</v>
      </c>
      <c r="CI134" s="196"/>
      <c r="CJ134" s="196"/>
      <c r="CK134" s="196"/>
      <c r="CL134" s="196"/>
      <c r="CM134" s="196"/>
      <c r="CN134" s="196"/>
      <c r="CO134" s="196"/>
      <c r="CP134" s="196"/>
      <c r="CQ134" s="196"/>
      <c r="CR134" s="196"/>
      <c r="CS134" s="196"/>
      <c r="CT134" s="196"/>
      <c r="CU134" s="196"/>
      <c r="CV134" s="196"/>
      <c r="CW134" s="196"/>
      <c r="CX134" s="196"/>
      <c r="CY134" s="196"/>
      <c r="CZ134" s="196"/>
      <c r="DA134" s="37"/>
      <c r="DB134" s="26"/>
      <c r="DC134" s="26">
        <v>0</v>
      </c>
      <c r="DD134" s="26">
        <v>0</v>
      </c>
      <c r="DE134" s="26">
        <v>0</v>
      </c>
      <c r="DF134" s="26">
        <v>0</v>
      </c>
      <c r="DG134" s="26">
        <v>0</v>
      </c>
      <c r="DH134" s="36">
        <v>0</v>
      </c>
      <c r="DI134" s="196"/>
      <c r="DJ134" s="196"/>
      <c r="DK134" s="196"/>
      <c r="DL134" s="196"/>
      <c r="DM134" s="196"/>
      <c r="DN134" s="196"/>
      <c r="DO134" s="196"/>
      <c r="DP134" s="196"/>
      <c r="DQ134" s="196"/>
      <c r="DR134" s="196"/>
      <c r="DS134" s="196"/>
      <c r="DT134" s="196"/>
      <c r="EA134" s="37" t="s">
        <v>34</v>
      </c>
      <c r="EB134" s="26"/>
      <c r="EC134" s="18">
        <v>0</v>
      </c>
      <c r="ED134" s="18">
        <v>0</v>
      </c>
      <c r="EE134" s="18">
        <v>0</v>
      </c>
      <c r="EF134" s="26"/>
      <c r="EG134" s="26"/>
      <c r="EH134" s="36"/>
      <c r="EI134" s="164"/>
    </row>
    <row r="135" spans="1:143" ht="16.5" thickTop="1" thickBot="1" x14ac:dyDescent="0.3">
      <c r="AA135" s="25" t="s">
        <v>45</v>
      </c>
      <c r="AB135" s="26">
        <f>IF($AE$131&lt;$AB$132,$AE$131,$AB$132)</f>
        <v>0</v>
      </c>
      <c r="AC135" s="18">
        <v>0</v>
      </c>
      <c r="AD135" s="18">
        <v>0</v>
      </c>
      <c r="AE135" s="18">
        <v>0</v>
      </c>
      <c r="AF135" s="18">
        <v>0</v>
      </c>
      <c r="AG135" s="18">
        <v>0</v>
      </c>
      <c r="AH135" s="52">
        <v>0</v>
      </c>
      <c r="BA135" s="25" t="s">
        <v>45</v>
      </c>
      <c r="BB135" s="26">
        <f>IF($BE$131&lt;$BB$132,$BE$131,$BB$132)</f>
        <v>0</v>
      </c>
      <c r="BC135" s="18">
        <v>0</v>
      </c>
      <c r="BD135" s="18">
        <v>0</v>
      </c>
      <c r="BE135" s="18">
        <v>0</v>
      </c>
      <c r="BF135" s="18">
        <v>0</v>
      </c>
      <c r="BG135" s="18">
        <v>0</v>
      </c>
      <c r="BH135" s="52">
        <v>0</v>
      </c>
      <c r="BX135" s="196"/>
      <c r="BY135" s="196"/>
      <c r="BZ135" s="196"/>
      <c r="CA135" s="37"/>
      <c r="CB135" s="26"/>
      <c r="CC135" s="26">
        <v>0</v>
      </c>
      <c r="CD135" s="26">
        <v>0</v>
      </c>
      <c r="CE135" s="26">
        <v>0</v>
      </c>
      <c r="CF135" s="26">
        <v>0</v>
      </c>
      <c r="CG135" s="26">
        <v>0</v>
      </c>
      <c r="CH135" s="36">
        <v>0</v>
      </c>
      <c r="CI135" s="196"/>
      <c r="CJ135" s="196"/>
      <c r="CK135" s="196"/>
      <c r="CL135" s="196"/>
      <c r="CM135" s="196"/>
      <c r="CN135" s="196"/>
      <c r="CO135" s="196"/>
      <c r="CP135" s="196"/>
      <c r="CQ135" s="196"/>
      <c r="CR135" s="196"/>
      <c r="CS135" s="196"/>
      <c r="CT135" s="196"/>
      <c r="CU135" s="196"/>
      <c r="CV135" s="196"/>
      <c r="CW135" s="196"/>
      <c r="CX135" s="196"/>
      <c r="CY135" s="196"/>
      <c r="CZ135" s="196"/>
      <c r="DA135" s="37"/>
      <c r="DB135" s="26"/>
      <c r="DC135" s="26">
        <v>0</v>
      </c>
      <c r="DD135" s="26">
        <v>0</v>
      </c>
      <c r="DE135" s="26">
        <v>0</v>
      </c>
      <c r="DF135" s="26">
        <v>0</v>
      </c>
      <c r="DG135" s="26">
        <v>0</v>
      </c>
      <c r="DH135" s="36">
        <v>0</v>
      </c>
      <c r="DI135" s="196"/>
      <c r="DJ135" s="196"/>
      <c r="DK135" s="196"/>
      <c r="DL135" s="196"/>
      <c r="DM135" s="196"/>
      <c r="DN135" s="196"/>
      <c r="DO135" s="196"/>
      <c r="DP135" s="196"/>
      <c r="DQ135" s="196"/>
      <c r="DR135" s="196"/>
      <c r="DS135" s="196"/>
      <c r="DT135" s="196"/>
      <c r="EA135" s="37" t="s">
        <v>45</v>
      </c>
      <c r="EB135" s="26"/>
      <c r="EC135" s="18">
        <v>0</v>
      </c>
      <c r="ED135" s="18">
        <v>0</v>
      </c>
      <c r="EE135" s="18">
        <v>0</v>
      </c>
      <c r="EF135" s="26"/>
      <c r="EG135" s="26"/>
      <c r="EH135" s="36"/>
      <c r="EI135" s="164"/>
    </row>
    <row r="136" spans="1:143" ht="16.5" thickTop="1" thickBot="1" x14ac:dyDescent="0.3">
      <c r="A136" s="57">
        <f>$A$100-21</f>
        <v>44769</v>
      </c>
      <c r="C136" s="58">
        <f>DAY($A$136)</f>
        <v>27</v>
      </c>
      <c r="D136" s="58" t="str">
        <f>VLOOKUP(MONTH($A$136),$C$103:$E$114,3,0)</f>
        <v>Julio</v>
      </c>
      <c r="E136" s="58">
        <f>YEAR($A$136)</f>
        <v>2022</v>
      </c>
      <c r="AA136" s="25" t="s">
        <v>46</v>
      </c>
      <c r="AB136" s="26">
        <f>IF($AF$131&lt;$AB$132,$AF$131,$AB$132)</f>
        <v>0</v>
      </c>
      <c r="AC136" s="18">
        <v>0</v>
      </c>
      <c r="AD136" s="18">
        <v>0</v>
      </c>
      <c r="AE136" s="18">
        <v>0</v>
      </c>
      <c r="AF136" s="18">
        <v>0</v>
      </c>
      <c r="AG136" s="18">
        <v>0</v>
      </c>
      <c r="AH136" s="52">
        <v>0</v>
      </c>
      <c r="BA136" s="25" t="s">
        <v>46</v>
      </c>
      <c r="BB136" s="26">
        <f>IF($BF$131&lt;$BB$132,$BF$131,$BB$132)</f>
        <v>0</v>
      </c>
      <c r="BC136" s="18">
        <v>0</v>
      </c>
      <c r="BD136" s="18">
        <v>0</v>
      </c>
      <c r="BE136" s="18">
        <v>0</v>
      </c>
      <c r="BF136" s="18">
        <v>0</v>
      </c>
      <c r="BG136" s="18">
        <v>0</v>
      </c>
      <c r="BH136" s="52">
        <v>0</v>
      </c>
      <c r="BX136" s="196"/>
      <c r="BY136" s="196"/>
      <c r="BZ136" s="196"/>
      <c r="CA136" s="37"/>
      <c r="CB136" s="26"/>
      <c r="CC136" s="26">
        <v>0</v>
      </c>
      <c r="CD136" s="26">
        <v>0</v>
      </c>
      <c r="CE136" s="26">
        <v>0</v>
      </c>
      <c r="CF136" s="26">
        <v>0</v>
      </c>
      <c r="CG136" s="26">
        <v>0</v>
      </c>
      <c r="CH136" s="36">
        <v>0</v>
      </c>
      <c r="CI136" s="196"/>
      <c r="CJ136" s="196"/>
      <c r="CK136" s="196"/>
      <c r="CL136" s="196"/>
      <c r="CM136" s="196"/>
      <c r="CN136" s="196"/>
      <c r="CO136" s="196"/>
      <c r="CP136" s="196"/>
      <c r="CQ136" s="196"/>
      <c r="CR136" s="196"/>
      <c r="CS136" s="196"/>
      <c r="CT136" s="196"/>
      <c r="CU136" s="196"/>
      <c r="CV136" s="196"/>
      <c r="CW136" s="196"/>
      <c r="CX136" s="196"/>
      <c r="CY136" s="196"/>
      <c r="CZ136" s="196"/>
      <c r="DA136" s="37"/>
      <c r="DB136" s="26"/>
      <c r="DC136" s="26">
        <v>0</v>
      </c>
      <c r="DD136" s="26">
        <v>0</v>
      </c>
      <c r="DE136" s="26">
        <v>0</v>
      </c>
      <c r="DF136" s="26">
        <v>0</v>
      </c>
      <c r="DG136" s="26">
        <v>0</v>
      </c>
      <c r="DH136" s="36">
        <v>0</v>
      </c>
      <c r="DI136" s="196"/>
      <c r="DJ136" s="196"/>
      <c r="DK136" s="196"/>
      <c r="DL136" s="196"/>
      <c r="DM136" s="196"/>
      <c r="DN136" s="196"/>
      <c r="DO136" s="196"/>
      <c r="DP136" s="196"/>
      <c r="DQ136" s="196"/>
      <c r="DR136" s="196"/>
      <c r="DS136" s="196"/>
      <c r="DT136" s="196"/>
      <c r="EA136" s="37" t="s">
        <v>46</v>
      </c>
      <c r="EB136" s="26"/>
      <c r="EC136" s="18">
        <v>0</v>
      </c>
      <c r="ED136" s="18">
        <v>0</v>
      </c>
      <c r="EE136" s="18">
        <v>0</v>
      </c>
      <c r="EF136" s="26"/>
      <c r="EG136" s="26"/>
      <c r="EH136" s="36"/>
      <c r="EI136" s="164"/>
    </row>
    <row r="137" spans="1:143" ht="16.5" thickTop="1" thickBot="1" x14ac:dyDescent="0.3">
      <c r="A137" s="57">
        <f>$A$100-30</f>
        <v>44760</v>
      </c>
      <c r="C137" s="58">
        <f>DAY($A$137)</f>
        <v>18</v>
      </c>
      <c r="D137" s="58" t="str">
        <f>VLOOKUP(MONTH($A$137),$C$103:$E$114,3,0)</f>
        <v>Julio</v>
      </c>
      <c r="E137" s="58">
        <f>YEAR($A$137)</f>
        <v>2022</v>
      </c>
      <c r="AA137" s="25" t="s">
        <v>48</v>
      </c>
      <c r="AB137" s="26">
        <f>IF($AG$131&lt;$AB$132,$AG$131,$AB$132)</f>
        <v>0</v>
      </c>
      <c r="AC137" s="18">
        <v>0</v>
      </c>
      <c r="AD137" s="18">
        <v>0</v>
      </c>
      <c r="AE137" s="18">
        <v>0</v>
      </c>
      <c r="AF137" s="18">
        <v>0</v>
      </c>
      <c r="AG137" s="18">
        <v>0</v>
      </c>
      <c r="AH137" s="52">
        <v>0</v>
      </c>
      <c r="BA137" s="25" t="s">
        <v>48</v>
      </c>
      <c r="BB137" s="26">
        <f>IF($BG$131&lt;$BB$132,$BG$131,$BB$132)</f>
        <v>0</v>
      </c>
      <c r="BC137" s="18">
        <v>0</v>
      </c>
      <c r="BD137" s="18">
        <v>0</v>
      </c>
      <c r="BE137" s="18">
        <v>0</v>
      </c>
      <c r="BF137" s="18">
        <v>0</v>
      </c>
      <c r="BG137" s="18">
        <v>0</v>
      </c>
      <c r="BH137" s="52">
        <v>0</v>
      </c>
      <c r="BX137" s="196"/>
      <c r="BY137" s="196"/>
      <c r="BZ137" s="196"/>
      <c r="CA137" s="37"/>
      <c r="CB137" s="26"/>
      <c r="CC137" s="26">
        <v>0</v>
      </c>
      <c r="CD137" s="26">
        <v>0</v>
      </c>
      <c r="CE137" s="26">
        <v>0</v>
      </c>
      <c r="CF137" s="26">
        <v>0</v>
      </c>
      <c r="CG137" s="26">
        <v>0</v>
      </c>
      <c r="CH137" s="36">
        <v>0</v>
      </c>
      <c r="CI137" s="196"/>
      <c r="CJ137" s="196"/>
      <c r="CK137" s="196"/>
      <c r="CL137" s="196"/>
      <c r="CM137" s="196"/>
      <c r="CN137" s="196"/>
      <c r="CO137" s="196"/>
      <c r="CP137" s="196"/>
      <c r="CQ137" s="196"/>
      <c r="CR137" s="196"/>
      <c r="CS137" s="196"/>
      <c r="CT137" s="196"/>
      <c r="CU137" s="196"/>
      <c r="CV137" s="196"/>
      <c r="CW137" s="196"/>
      <c r="CX137" s="196"/>
      <c r="CY137" s="196"/>
      <c r="CZ137" s="196"/>
      <c r="DA137" s="37"/>
      <c r="DB137" s="26"/>
      <c r="DC137" s="26">
        <v>0</v>
      </c>
      <c r="DD137" s="26">
        <v>0</v>
      </c>
      <c r="DE137" s="26">
        <v>0</v>
      </c>
      <c r="DF137" s="26">
        <v>0</v>
      </c>
      <c r="DG137" s="26">
        <v>0</v>
      </c>
      <c r="DH137" s="36">
        <v>0</v>
      </c>
      <c r="DI137" s="196"/>
      <c r="DJ137" s="196"/>
      <c r="DK137" s="196"/>
      <c r="DL137" s="196"/>
      <c r="DM137" s="196"/>
      <c r="DN137" s="196"/>
      <c r="DO137" s="196"/>
      <c r="DP137" s="196"/>
      <c r="DQ137" s="196"/>
      <c r="DR137" s="196"/>
      <c r="DS137" s="196"/>
      <c r="DT137" s="196"/>
      <c r="EA137" s="37" t="s">
        <v>48</v>
      </c>
      <c r="EB137" s="26"/>
      <c r="EC137" s="18">
        <v>0</v>
      </c>
      <c r="ED137" s="18">
        <v>0</v>
      </c>
      <c r="EE137" s="18">
        <v>0</v>
      </c>
      <c r="EF137" s="26"/>
      <c r="EG137" s="26"/>
      <c r="EH137" s="36"/>
      <c r="EI137" s="164"/>
    </row>
    <row r="138" spans="1:143" ht="16.5" thickTop="1" thickBot="1" x14ac:dyDescent="0.3">
      <c r="A138" s="57">
        <f>$A$100-45</f>
        <v>44745</v>
      </c>
      <c r="C138" s="58">
        <f>DAY($A$138)</f>
        <v>3</v>
      </c>
      <c r="D138" s="58" t="str">
        <f>VLOOKUP(MONTH($A$138),$C$103:$E$114,3,0)</f>
        <v>Julio</v>
      </c>
      <c r="E138" s="58">
        <f>YEAR($A$138)</f>
        <v>2022</v>
      </c>
      <c r="AA138" s="25" t="s">
        <v>49</v>
      </c>
      <c r="AB138" s="26">
        <f>IF($AH$131&lt;$AB$132,$AH$131,$AB$132)</f>
        <v>0</v>
      </c>
      <c r="AC138" s="18">
        <v>0</v>
      </c>
      <c r="AD138" s="18">
        <v>0</v>
      </c>
      <c r="AE138" s="18">
        <v>0</v>
      </c>
      <c r="AF138" s="18">
        <v>0</v>
      </c>
      <c r="AG138" s="18">
        <v>0</v>
      </c>
      <c r="AH138" s="52">
        <v>0</v>
      </c>
      <c r="BA138" s="25" t="s">
        <v>49</v>
      </c>
      <c r="BB138" s="26">
        <f>IF($BH$131&lt;$BB$132,$BH$131,$BB$132)</f>
        <v>0</v>
      </c>
      <c r="BC138" s="18">
        <v>0</v>
      </c>
      <c r="BD138" s="18">
        <v>0</v>
      </c>
      <c r="BE138" s="18">
        <v>0</v>
      </c>
      <c r="BF138" s="18">
        <v>0</v>
      </c>
      <c r="BG138" s="18">
        <v>0</v>
      </c>
      <c r="BH138" s="52">
        <v>0</v>
      </c>
      <c r="BX138" s="196"/>
      <c r="BY138" s="196"/>
      <c r="BZ138" s="196"/>
      <c r="CA138" s="37" t="s">
        <v>27</v>
      </c>
      <c r="CB138" s="26"/>
      <c r="CC138" s="26">
        <v>0</v>
      </c>
      <c r="CD138" s="26">
        <v>0</v>
      </c>
      <c r="CE138" s="26">
        <v>0</v>
      </c>
      <c r="CF138" s="26">
        <v>0</v>
      </c>
      <c r="CG138" s="26">
        <v>0</v>
      </c>
      <c r="CH138" s="36">
        <v>0</v>
      </c>
      <c r="CI138" s="196"/>
      <c r="CJ138" s="196"/>
      <c r="CK138" s="196"/>
      <c r="CL138" s="196"/>
      <c r="CM138" s="196"/>
      <c r="CN138" s="196"/>
      <c r="CO138" s="196"/>
      <c r="CP138" s="196"/>
      <c r="CQ138" s="196"/>
      <c r="CR138" s="196"/>
      <c r="CS138" s="196"/>
      <c r="CT138" s="196"/>
      <c r="CU138" s="196"/>
      <c r="CV138" s="196"/>
      <c r="CW138" s="196"/>
      <c r="CX138" s="196"/>
      <c r="CY138" s="196"/>
      <c r="CZ138" s="196"/>
      <c r="DA138" s="37" t="s">
        <v>27</v>
      </c>
      <c r="DB138" s="26"/>
      <c r="DC138" s="26">
        <v>0</v>
      </c>
      <c r="DD138" s="26">
        <v>0</v>
      </c>
      <c r="DE138" s="26">
        <v>0</v>
      </c>
      <c r="DF138" s="26">
        <v>0</v>
      </c>
      <c r="DG138" s="26">
        <v>0</v>
      </c>
      <c r="DH138" s="36">
        <v>0</v>
      </c>
      <c r="DI138" s="196"/>
      <c r="DJ138" s="196"/>
      <c r="DK138" s="196"/>
      <c r="DL138" s="196"/>
      <c r="DM138" s="196"/>
      <c r="DN138" s="196"/>
      <c r="DO138" s="196"/>
      <c r="DP138" s="196"/>
      <c r="DQ138" s="196"/>
      <c r="DR138" s="196"/>
      <c r="DS138" s="196"/>
      <c r="DT138" s="196"/>
      <c r="EA138" s="37" t="s">
        <v>49</v>
      </c>
      <c r="EB138" s="26"/>
      <c r="EC138" s="18">
        <v>0</v>
      </c>
      <c r="ED138" s="18">
        <v>0</v>
      </c>
      <c r="EE138" s="18">
        <v>0</v>
      </c>
      <c r="EF138" s="26"/>
      <c r="EG138" s="26"/>
      <c r="EH138" s="36"/>
      <c r="EI138" s="164"/>
    </row>
    <row r="139" spans="1:143" ht="16.5" thickTop="1" thickBot="1" x14ac:dyDescent="0.3">
      <c r="A139" s="57">
        <f>$A$100-90</f>
        <v>44700</v>
      </c>
      <c r="C139" s="58">
        <f>DAY($A$139)</f>
        <v>19</v>
      </c>
      <c r="D139" s="58" t="str">
        <f>VLOOKUP(MONTH($A$139),$C$103:$E$114,3,0)</f>
        <v>Mayo</v>
      </c>
      <c r="E139" s="58">
        <f>YEAR($A$139)</f>
        <v>2022</v>
      </c>
      <c r="AA139" s="23" t="s">
        <v>738</v>
      </c>
      <c r="AB139" s="61">
        <f>IF($AB$133&amp;$AB$134&amp;$AB$135&amp;$AB$136="","0",AVERAGE($AB$133:$AB$136))</f>
        <v>0</v>
      </c>
      <c r="AC139" s="18">
        <v>0</v>
      </c>
      <c r="AD139" s="18">
        <v>0</v>
      </c>
      <c r="AE139" s="18">
        <v>0</v>
      </c>
      <c r="AF139" s="18">
        <v>0</v>
      </c>
      <c r="AG139" s="18">
        <v>0</v>
      </c>
      <c r="AH139" s="52">
        <v>0</v>
      </c>
      <c r="BA139" s="23" t="s">
        <v>27</v>
      </c>
      <c r="BB139" s="61">
        <f>IF($BB$133&amp;$BB$134&amp;$BB$135&amp;$BB$136="","0",AVERAGE($BB$133:$BB$136))</f>
        <v>0</v>
      </c>
      <c r="BC139" s="18">
        <v>0</v>
      </c>
      <c r="BD139" s="18">
        <v>0</v>
      </c>
      <c r="BE139" s="18">
        <v>0</v>
      </c>
      <c r="BF139" s="18">
        <v>0</v>
      </c>
      <c r="BG139" s="18">
        <v>0</v>
      </c>
      <c r="BH139" s="52">
        <v>0</v>
      </c>
      <c r="BX139" s="196"/>
      <c r="BY139" s="196"/>
      <c r="BZ139" s="196"/>
      <c r="CA139" s="37" t="s">
        <v>27</v>
      </c>
      <c r="CB139" s="26"/>
      <c r="CC139" s="26">
        <v>0</v>
      </c>
      <c r="CD139" s="26">
        <v>0</v>
      </c>
      <c r="CE139" s="26">
        <v>0</v>
      </c>
      <c r="CF139" s="26">
        <v>0</v>
      </c>
      <c r="CG139" s="26">
        <v>0</v>
      </c>
      <c r="CH139" s="36">
        <v>0</v>
      </c>
      <c r="CI139" s="196"/>
      <c r="CJ139" s="196"/>
      <c r="CK139" s="196"/>
      <c r="CL139" s="196"/>
      <c r="CM139" s="196"/>
      <c r="CN139" s="196"/>
      <c r="CO139" s="196"/>
      <c r="CP139" s="196"/>
      <c r="CQ139" s="196"/>
      <c r="CR139" s="196"/>
      <c r="CS139" s="196"/>
      <c r="CT139" s="196"/>
      <c r="CU139" s="196"/>
      <c r="CV139" s="196"/>
      <c r="CW139" s="196"/>
      <c r="CX139" s="196"/>
      <c r="CY139" s="196"/>
      <c r="CZ139" s="196"/>
      <c r="DA139" s="37" t="s">
        <v>27</v>
      </c>
      <c r="DB139" s="26"/>
      <c r="DC139" s="26">
        <v>0</v>
      </c>
      <c r="DD139" s="26">
        <v>0</v>
      </c>
      <c r="DE139" s="26">
        <v>0</v>
      </c>
      <c r="DF139" s="26">
        <v>0</v>
      </c>
      <c r="DG139" s="26">
        <v>0</v>
      </c>
      <c r="DH139" s="36">
        <v>0</v>
      </c>
      <c r="DI139" s="196"/>
      <c r="DJ139" s="196"/>
      <c r="DK139" s="196"/>
      <c r="DL139" s="196"/>
      <c r="DM139" s="196"/>
      <c r="DN139" s="196"/>
      <c r="DO139" s="196"/>
      <c r="DP139" s="196"/>
      <c r="DQ139" s="196"/>
      <c r="DR139" s="196"/>
      <c r="DS139" s="196"/>
      <c r="DT139" s="196"/>
      <c r="EA139" s="27">
        <f>$B$58</f>
        <v>0.9</v>
      </c>
      <c r="EB139" s="176">
        <f>$A$3*$EA$139</f>
        <v>0</v>
      </c>
      <c r="EC139" s="18">
        <v>0</v>
      </c>
      <c r="ED139" s="18">
        <v>0</v>
      </c>
      <c r="EE139" s="18">
        <v>0</v>
      </c>
      <c r="EF139" s="26"/>
      <c r="EG139" s="26"/>
      <c r="EH139" s="36"/>
      <c r="EI139" s="164"/>
    </row>
    <row r="140" spans="1:143" ht="16.5" thickTop="1" thickBot="1" x14ac:dyDescent="0.3">
      <c r="AA140" s="25" t="s">
        <v>85</v>
      </c>
      <c r="AB140" s="26">
        <f>AVERAGE($AC$131:$AF$131)</f>
        <v>0</v>
      </c>
      <c r="AC140" s="18">
        <v>0</v>
      </c>
      <c r="AD140" s="18">
        <v>0</v>
      </c>
      <c r="AE140" s="18">
        <v>0</v>
      </c>
      <c r="AF140" s="18">
        <v>0</v>
      </c>
      <c r="AG140" s="18">
        <v>0</v>
      </c>
      <c r="AH140" s="52">
        <v>0</v>
      </c>
      <c r="AI140" s="38"/>
      <c r="AJ140" s="38"/>
      <c r="BA140" s="25" t="s">
        <v>85</v>
      </c>
      <c r="BB140" s="26">
        <f>AVERAGE($BC$131:$BF$131)</f>
        <v>0</v>
      </c>
      <c r="BC140" s="18">
        <v>0</v>
      </c>
      <c r="BD140" s="18">
        <v>0</v>
      </c>
      <c r="BE140" s="18">
        <v>0</v>
      </c>
      <c r="BF140" s="18">
        <v>0</v>
      </c>
      <c r="BG140" s="18">
        <v>0</v>
      </c>
      <c r="BH140" s="52">
        <v>0</v>
      </c>
      <c r="BI140" s="38"/>
      <c r="BX140" s="196"/>
      <c r="BY140" s="196"/>
      <c r="BZ140" s="196"/>
      <c r="CA140" s="37"/>
      <c r="CB140" s="26"/>
      <c r="CC140" s="26">
        <v>0</v>
      </c>
      <c r="CD140" s="26">
        <v>0</v>
      </c>
      <c r="CE140" s="26">
        <v>0</v>
      </c>
      <c r="CF140" s="26">
        <v>0</v>
      </c>
      <c r="CG140" s="26">
        <v>0</v>
      </c>
      <c r="CH140" s="36">
        <v>0</v>
      </c>
      <c r="CI140" s="38"/>
      <c r="CJ140" s="38"/>
      <c r="CK140" s="196"/>
      <c r="CL140" s="196"/>
      <c r="CM140" s="196"/>
      <c r="CN140" s="196"/>
      <c r="CO140" s="196"/>
      <c r="CP140" s="196"/>
      <c r="CQ140" s="196"/>
      <c r="CR140" s="196"/>
      <c r="CS140" s="196"/>
      <c r="CT140" s="196"/>
      <c r="CU140" s="196"/>
      <c r="CV140" s="196"/>
      <c r="CW140" s="196"/>
      <c r="CX140" s="196"/>
      <c r="CY140" s="196"/>
      <c r="CZ140" s="196"/>
      <c r="DA140" s="37"/>
      <c r="DB140" s="26"/>
      <c r="DC140" s="26">
        <v>0</v>
      </c>
      <c r="DD140" s="26">
        <v>0</v>
      </c>
      <c r="DE140" s="26">
        <v>0</v>
      </c>
      <c r="DF140" s="26">
        <v>0</v>
      </c>
      <c r="DG140" s="26">
        <v>0</v>
      </c>
      <c r="DH140" s="36">
        <v>0</v>
      </c>
      <c r="DI140" s="38"/>
      <c r="DJ140" s="196"/>
      <c r="DK140" s="196"/>
      <c r="DL140" s="196"/>
      <c r="DM140" s="196"/>
      <c r="DN140" s="196"/>
      <c r="DO140" s="196"/>
      <c r="DP140" s="196"/>
      <c r="DQ140" s="196"/>
      <c r="DR140" s="196"/>
      <c r="DS140" s="196"/>
      <c r="DT140" s="196"/>
      <c r="EA140" s="256" t="s">
        <v>390</v>
      </c>
      <c r="EB140" s="26">
        <f>IF($EB$131&gt;=$EB$139,$A$3,$EB$131)</f>
        <v>0</v>
      </c>
      <c r="EC140" s="18">
        <v>0</v>
      </c>
      <c r="ED140" s="18">
        <v>0</v>
      </c>
      <c r="EE140" s="18">
        <v>0</v>
      </c>
      <c r="EF140" s="26"/>
      <c r="EG140" s="26"/>
      <c r="EH140" s="36"/>
      <c r="EI140" s="38"/>
    </row>
    <row r="141" spans="1:143" ht="16.5" thickTop="1" thickBot="1" x14ac:dyDescent="0.3">
      <c r="AA141" s="27">
        <f>$B$28</f>
        <v>0.3</v>
      </c>
      <c r="AB141" s="26">
        <f>($AB$140*$AA$141)+$AB$140</f>
        <v>0</v>
      </c>
      <c r="AC141" s="18">
        <v>0</v>
      </c>
      <c r="AD141" s="18">
        <v>0</v>
      </c>
      <c r="AE141" s="18">
        <v>0</v>
      </c>
      <c r="AF141" s="18">
        <v>0</v>
      </c>
      <c r="AG141" s="18">
        <v>0</v>
      </c>
      <c r="AH141" s="52">
        <v>0</v>
      </c>
      <c r="AI141" s="38"/>
      <c r="AJ141" s="38"/>
      <c r="BA141" s="27">
        <f>$B$28</f>
        <v>0.3</v>
      </c>
      <c r="BB141" s="26">
        <f>($BB$140*$BA$141)+$BB$140</f>
        <v>0</v>
      </c>
      <c r="BC141" s="18">
        <v>0</v>
      </c>
      <c r="BD141" s="18">
        <v>0</v>
      </c>
      <c r="BE141" s="18">
        <v>0</v>
      </c>
      <c r="BF141" s="18">
        <v>0</v>
      </c>
      <c r="BG141" s="18">
        <v>0</v>
      </c>
      <c r="BH141" s="52">
        <v>0</v>
      </c>
      <c r="BI141" s="38"/>
      <c r="BX141" s="196"/>
      <c r="BY141" s="196"/>
      <c r="BZ141" s="196"/>
      <c r="CA141" s="68"/>
      <c r="CB141" s="26"/>
      <c r="CC141" s="26">
        <v>0</v>
      </c>
      <c r="CD141" s="26">
        <v>0</v>
      </c>
      <c r="CE141" s="26">
        <v>0</v>
      </c>
      <c r="CF141" s="26">
        <v>0</v>
      </c>
      <c r="CG141" s="26">
        <v>0</v>
      </c>
      <c r="CH141" s="36">
        <v>0</v>
      </c>
      <c r="CI141" s="38"/>
      <c r="CJ141" s="38"/>
      <c r="CK141" s="196"/>
      <c r="CL141" s="196"/>
      <c r="CM141" s="196"/>
      <c r="CN141" s="196"/>
      <c r="CO141" s="196"/>
      <c r="CP141" s="196"/>
      <c r="CQ141" s="196"/>
      <c r="CR141" s="196"/>
      <c r="CS141" s="196"/>
      <c r="CT141" s="196"/>
      <c r="CU141" s="196"/>
      <c r="CV141" s="196"/>
      <c r="CW141" s="196"/>
      <c r="CX141" s="196"/>
      <c r="CY141" s="196"/>
      <c r="CZ141" s="196"/>
      <c r="DA141" s="68"/>
      <c r="DB141" s="26"/>
      <c r="DC141" s="26">
        <v>0</v>
      </c>
      <c r="DD141" s="26">
        <v>0</v>
      </c>
      <c r="DE141" s="26">
        <v>0</v>
      </c>
      <c r="DF141" s="26">
        <v>0</v>
      </c>
      <c r="DG141" s="26">
        <v>0</v>
      </c>
      <c r="DH141" s="36">
        <v>0</v>
      </c>
      <c r="DI141" s="38"/>
      <c r="DJ141" s="196"/>
      <c r="DK141" s="196"/>
      <c r="DL141" s="196"/>
      <c r="DM141" s="196"/>
      <c r="DN141" s="196"/>
      <c r="DO141" s="196"/>
      <c r="DP141" s="196"/>
      <c r="DQ141" s="196"/>
      <c r="DR141" s="196"/>
      <c r="DS141" s="196"/>
      <c r="DT141" s="196"/>
      <c r="EA141" s="23" t="s">
        <v>157</v>
      </c>
      <c r="EB141" s="26">
        <f>IF($EA$141="PJ",($EB$140*0.25),0)</f>
        <v>0</v>
      </c>
      <c r="EC141" s="18">
        <v>0</v>
      </c>
      <c r="ED141" s="18">
        <v>0</v>
      </c>
      <c r="EE141" s="18">
        <v>0</v>
      </c>
      <c r="EF141" s="26"/>
      <c r="EG141" s="26"/>
      <c r="EH141" s="36"/>
      <c r="EI141" s="38"/>
    </row>
    <row r="142" spans="1:143" ht="16.5" thickTop="1" thickBot="1" x14ac:dyDescent="0.3">
      <c r="AA142" s="25" t="s">
        <v>32</v>
      </c>
      <c r="AB142" s="26">
        <f>IF($AC$131&lt;$AB$141,$AC$131,$AB$141)</f>
        <v>0</v>
      </c>
      <c r="AC142" s="26"/>
      <c r="AD142" s="26"/>
      <c r="AE142" s="26"/>
      <c r="AF142" s="26"/>
      <c r="AG142" s="26"/>
      <c r="AH142" s="36"/>
      <c r="BA142" s="25" t="s">
        <v>32</v>
      </c>
      <c r="BB142" s="26">
        <f>IF($BC$131&lt;$BB$141,$BC$131,$BB$141)</f>
        <v>0</v>
      </c>
      <c r="BC142" s="26"/>
      <c r="BD142" s="26"/>
      <c r="BE142" s="26"/>
      <c r="BF142" s="26"/>
      <c r="BG142" s="26"/>
      <c r="BH142" s="36"/>
      <c r="BX142" s="196"/>
      <c r="BY142" s="196"/>
      <c r="BZ142" s="196"/>
      <c r="CA142" s="37"/>
      <c r="CB142" s="26"/>
      <c r="CC142" s="26"/>
      <c r="CD142" s="26"/>
      <c r="CE142" s="26"/>
      <c r="CF142" s="26"/>
      <c r="CG142" s="26"/>
      <c r="CH142" s="36"/>
      <c r="CI142" s="196"/>
      <c r="CJ142" s="196"/>
      <c r="CK142" s="196"/>
      <c r="CL142" s="196"/>
      <c r="CM142" s="196"/>
      <c r="CN142" s="196"/>
      <c r="CO142" s="196"/>
      <c r="CP142" s="196"/>
      <c r="CQ142" s="196"/>
      <c r="CR142" s="196"/>
      <c r="CS142" s="196"/>
      <c r="CT142" s="196"/>
      <c r="CU142" s="196"/>
      <c r="CV142" s="196"/>
      <c r="CW142" s="196"/>
      <c r="CX142" s="196"/>
      <c r="CY142" s="196"/>
      <c r="CZ142" s="196"/>
      <c r="DA142" s="37"/>
      <c r="DB142" s="26"/>
      <c r="DC142" s="26"/>
      <c r="DD142" s="26"/>
      <c r="DE142" s="26"/>
      <c r="DF142" s="26"/>
      <c r="DG142" s="26"/>
      <c r="DH142" s="36"/>
      <c r="DI142" s="196"/>
      <c r="DJ142" s="196"/>
      <c r="DK142" s="196"/>
      <c r="DL142" s="196"/>
      <c r="DM142" s="196"/>
      <c r="DN142" s="196"/>
      <c r="DO142" s="196"/>
      <c r="DP142" s="196"/>
      <c r="DQ142" s="196"/>
      <c r="DR142" s="196"/>
      <c r="DS142" s="196"/>
      <c r="DT142" s="196"/>
      <c r="EA142" s="25"/>
      <c r="EB142" s="62"/>
      <c r="EC142" s="26"/>
      <c r="ED142" s="26"/>
      <c r="EE142" s="25"/>
      <c r="EF142" s="26"/>
      <c r="EG142" s="26"/>
      <c r="EH142" s="36"/>
      <c r="EI142" s="164"/>
    </row>
    <row r="143" spans="1:143" ht="16.5" thickTop="1" thickBot="1" x14ac:dyDescent="0.3">
      <c r="AA143" s="25" t="s">
        <v>34</v>
      </c>
      <c r="AB143" s="26">
        <f>IF($AD$131&lt;$AB$141,$AD$131,$AB$141)</f>
        <v>0</v>
      </c>
      <c r="AC143" s="26"/>
      <c r="AD143" s="26"/>
      <c r="AE143" s="26"/>
      <c r="AF143" s="26"/>
      <c r="AG143" s="26"/>
      <c r="AH143" s="36"/>
      <c r="BA143" s="25" t="s">
        <v>34</v>
      </c>
      <c r="BB143" s="26">
        <f>IF($BD$131&lt;$BB$141,$BD$131,$BB$141)</f>
        <v>0</v>
      </c>
      <c r="BC143" s="26"/>
      <c r="BD143" s="26"/>
      <c r="BE143" s="26"/>
      <c r="BF143" s="26"/>
      <c r="BG143" s="26"/>
      <c r="BH143" s="36"/>
      <c r="BX143" s="196"/>
      <c r="BY143" s="196"/>
      <c r="BZ143" s="196"/>
      <c r="CA143" s="37"/>
      <c r="CB143" s="26"/>
      <c r="CC143" s="26"/>
      <c r="CD143" s="26"/>
      <c r="CE143" s="26"/>
      <c r="CF143" s="26"/>
      <c r="CG143" s="26"/>
      <c r="CH143" s="36"/>
      <c r="CI143" s="196"/>
      <c r="CJ143" s="196"/>
      <c r="CK143" s="196"/>
      <c r="CL143" s="196"/>
      <c r="CM143" s="196"/>
      <c r="CN143" s="196"/>
      <c r="CO143" s="196"/>
      <c r="CP143" s="196"/>
      <c r="CQ143" s="196"/>
      <c r="CR143" s="196"/>
      <c r="CS143" s="196"/>
      <c r="CT143" s="196"/>
      <c r="CU143" s="196"/>
      <c r="CV143" s="196"/>
      <c r="CW143" s="196"/>
      <c r="CX143" s="196"/>
      <c r="CY143" s="196"/>
      <c r="CZ143" s="196"/>
      <c r="DA143" s="37"/>
      <c r="DB143" s="26"/>
      <c r="DC143" s="26"/>
      <c r="DD143" s="26"/>
      <c r="DE143" s="26"/>
      <c r="DF143" s="26"/>
      <c r="DG143" s="26"/>
      <c r="DH143" s="36"/>
      <c r="DI143" s="196"/>
      <c r="DJ143" s="196"/>
      <c r="DK143" s="196"/>
      <c r="DL143" s="196"/>
      <c r="DM143" s="196"/>
      <c r="DN143" s="196"/>
      <c r="DO143" s="196"/>
      <c r="DP143" s="196"/>
      <c r="DQ143" s="196"/>
      <c r="DR143" s="196"/>
      <c r="DS143" s="196"/>
      <c r="DT143" s="196"/>
      <c r="EA143" s="53" t="s">
        <v>369</v>
      </c>
      <c r="EB143" s="177">
        <f>$EB$140+$EB$141</f>
        <v>0</v>
      </c>
      <c r="EC143" s="179"/>
      <c r="ED143" s="26"/>
      <c r="EE143" s="25"/>
      <c r="EF143" s="26"/>
      <c r="EG143" s="26"/>
      <c r="EH143" s="36"/>
      <c r="EI143" s="164"/>
    </row>
    <row r="144" spans="1:143" ht="16.5" thickTop="1" thickBot="1" x14ac:dyDescent="0.3">
      <c r="AA144" s="25" t="s">
        <v>45</v>
      </c>
      <c r="AB144" s="26">
        <f>IF($AE$131&lt;$AB$141,$AE$131,$AB$141)</f>
        <v>0</v>
      </c>
      <c r="AC144" s="26"/>
      <c r="AD144" s="26"/>
      <c r="AE144" s="26"/>
      <c r="AF144" s="26"/>
      <c r="AG144" s="26"/>
      <c r="AH144" s="36"/>
      <c r="BA144" s="25" t="s">
        <v>45</v>
      </c>
      <c r="BB144" s="26">
        <f>IF($BE$131&lt;$BB$141,$BE$131,$BB$141)</f>
        <v>0</v>
      </c>
      <c r="BC144" s="26"/>
      <c r="BD144" s="26"/>
      <c r="BE144" s="26"/>
      <c r="BF144" s="26"/>
      <c r="BG144" s="26"/>
      <c r="BH144" s="36"/>
      <c r="BX144" s="196"/>
      <c r="BY144" s="196"/>
      <c r="BZ144" s="196"/>
      <c r="CA144" s="37"/>
      <c r="CB144" s="26"/>
      <c r="CC144" s="26"/>
      <c r="CD144" s="26"/>
      <c r="CE144" s="26"/>
      <c r="CF144" s="26"/>
      <c r="CG144" s="26"/>
      <c r="CH144" s="36"/>
      <c r="CI144" s="196"/>
      <c r="CJ144" s="196"/>
      <c r="CK144" s="196"/>
      <c r="CL144" s="196"/>
      <c r="CM144" s="196"/>
      <c r="CN144" s="196"/>
      <c r="CO144" s="196"/>
      <c r="CP144" s="196"/>
      <c r="CQ144" s="196"/>
      <c r="CR144" s="196"/>
      <c r="CS144" s="196"/>
      <c r="CT144" s="196"/>
      <c r="CU144" s="196"/>
      <c r="CV144" s="196"/>
      <c r="CW144" s="196"/>
      <c r="CX144" s="196"/>
      <c r="CY144" s="196"/>
      <c r="CZ144" s="196"/>
      <c r="DA144" s="37"/>
      <c r="DB144" s="26"/>
      <c r="DC144" s="26"/>
      <c r="DD144" s="26"/>
      <c r="DE144" s="26"/>
      <c r="DF144" s="26"/>
      <c r="DG144" s="26"/>
      <c r="DH144" s="36"/>
      <c r="DI144" s="196"/>
      <c r="DJ144" s="196"/>
      <c r="DK144" s="196"/>
      <c r="DL144" s="196"/>
      <c r="DM144" s="196"/>
      <c r="DN144" s="196"/>
      <c r="DO144" s="196"/>
      <c r="DP144" s="196"/>
      <c r="DQ144" s="196"/>
      <c r="DR144" s="196"/>
      <c r="DS144" s="196"/>
      <c r="DT144" s="196"/>
      <c r="EA144" s="41" t="s">
        <v>368</v>
      </c>
      <c r="EB144" s="177">
        <f>IF($EB$143&lt;=18000,($EB$143*1.05),IF(AND($EB$143&gt;=18001,$EB$143&lt;=40000),$EB$143,IF(AND($EB$143&gt;=40001,$EB$143&lt;=70000),$EB$143-($EB$143*0.1),IF($EB$143&gt;=70001,($EB$143-($EB$143*0.2))))))</f>
        <v>0</v>
      </c>
      <c r="EC144" s="179"/>
      <c r="ED144" s="26"/>
      <c r="EE144" s="25"/>
      <c r="EF144" s="26"/>
      <c r="EG144" s="26"/>
      <c r="EH144" s="36"/>
      <c r="EI144" s="164"/>
    </row>
    <row r="145" spans="27:139" ht="16.5" thickTop="1" thickBot="1" x14ac:dyDescent="0.3">
      <c r="AA145" s="25" t="s">
        <v>46</v>
      </c>
      <c r="AB145" s="26">
        <f>IF($AF$131&lt;$AB$141,$AF$131,$AB$141)</f>
        <v>0</v>
      </c>
      <c r="AC145" s="26"/>
      <c r="AD145" s="26"/>
      <c r="AE145" s="26"/>
      <c r="AF145" s="26"/>
      <c r="AG145" s="26"/>
      <c r="AH145" s="36"/>
      <c r="BA145" s="25" t="s">
        <v>46</v>
      </c>
      <c r="BB145" s="26">
        <f>IF($BF$131&lt;$BB$141,$BF$131,$BB$141)</f>
        <v>0</v>
      </c>
      <c r="BC145" s="26"/>
      <c r="BD145" s="26"/>
      <c r="BE145" s="26"/>
      <c r="BF145" s="26"/>
      <c r="BG145" s="26"/>
      <c r="BH145" s="36"/>
      <c r="BX145" s="196"/>
      <c r="BY145" s="196"/>
      <c r="BZ145" s="196"/>
      <c r="CA145" s="37"/>
      <c r="CB145" s="26"/>
      <c r="CC145" s="26"/>
      <c r="CD145" s="26"/>
      <c r="CE145" s="26"/>
      <c r="CF145" s="26"/>
      <c r="CG145" s="26"/>
      <c r="CH145" s="36"/>
      <c r="CI145" s="196"/>
      <c r="CJ145" s="196"/>
      <c r="CK145" s="196"/>
      <c r="CL145" s="196"/>
      <c r="CM145" s="196"/>
      <c r="CN145" s="196"/>
      <c r="CO145" s="196"/>
      <c r="CP145" s="196"/>
      <c r="CQ145" s="196"/>
      <c r="CR145" s="196"/>
      <c r="CS145" s="196"/>
      <c r="CT145" s="196"/>
      <c r="CU145" s="196"/>
      <c r="CV145" s="196"/>
      <c r="CW145" s="196"/>
      <c r="CX145" s="196"/>
      <c r="CY145" s="196"/>
      <c r="CZ145" s="196"/>
      <c r="DA145" s="37"/>
      <c r="DB145" s="26"/>
      <c r="DC145" s="26"/>
      <c r="DD145" s="26"/>
      <c r="DE145" s="26"/>
      <c r="DF145" s="26"/>
      <c r="DG145" s="26"/>
      <c r="DH145" s="36"/>
      <c r="DI145" s="196"/>
      <c r="DJ145" s="196"/>
      <c r="DK145" s="196"/>
      <c r="DL145" s="196"/>
      <c r="DM145" s="196"/>
      <c r="DN145" s="196"/>
      <c r="DO145" s="196"/>
      <c r="DP145" s="196"/>
      <c r="DQ145" s="196"/>
      <c r="DR145" s="196"/>
      <c r="DS145" s="196"/>
      <c r="DT145" s="196"/>
      <c r="EA145" s="37"/>
      <c r="EB145" s="192"/>
      <c r="EC145" s="26"/>
      <c r="ED145" s="26"/>
      <c r="EE145" s="26"/>
      <c r="EF145" s="26"/>
      <c r="EG145" s="26"/>
      <c r="EH145" s="36"/>
      <c r="EI145" s="164"/>
    </row>
    <row r="146" spans="27:139" ht="16.5" thickTop="1" thickBot="1" x14ac:dyDescent="0.3">
      <c r="AA146" s="25" t="s">
        <v>88</v>
      </c>
      <c r="AB146" s="372">
        <f>IF($AB$142&amp;$AB$143&amp;$AB$144&amp;$AB$145="","0",AVERAGE($AB$142:$AB$145))</f>
        <v>0</v>
      </c>
      <c r="AC146" s="26"/>
      <c r="AD146" s="26"/>
      <c r="AE146" s="26"/>
      <c r="AF146" s="26"/>
      <c r="AG146" s="26"/>
      <c r="AH146" s="36"/>
      <c r="BA146" s="25" t="s">
        <v>88</v>
      </c>
      <c r="BB146" s="372">
        <f>IF($BB$142&amp;$BB$143&amp;$BB$144&amp;$BB$145="","0",AVERAGE($BB$142:$BB$145))</f>
        <v>0</v>
      </c>
      <c r="BC146" s="26"/>
      <c r="BD146" s="26"/>
      <c r="BE146" s="26"/>
      <c r="BF146" s="26"/>
      <c r="BG146" s="26"/>
      <c r="BH146" s="36"/>
      <c r="BX146" s="196"/>
      <c r="BY146" s="196"/>
      <c r="BZ146" s="196"/>
      <c r="CA146" s="37"/>
      <c r="CB146" s="26"/>
      <c r="CC146" s="26"/>
      <c r="CD146" s="26"/>
      <c r="CE146" s="26"/>
      <c r="CF146" s="26"/>
      <c r="CG146" s="26"/>
      <c r="CH146" s="36"/>
      <c r="CI146" s="196"/>
      <c r="CJ146" s="196"/>
      <c r="CK146" s="196"/>
      <c r="CL146" s="196"/>
      <c r="CM146" s="196"/>
      <c r="CN146" s="196"/>
      <c r="CO146" s="196"/>
      <c r="CP146" s="196"/>
      <c r="CQ146" s="196"/>
      <c r="CR146" s="196"/>
      <c r="CS146" s="196"/>
      <c r="CT146" s="196"/>
      <c r="CU146" s="196"/>
      <c r="CV146" s="196"/>
      <c r="CW146" s="196"/>
      <c r="CX146" s="196"/>
      <c r="CY146" s="196"/>
      <c r="CZ146" s="196"/>
      <c r="DA146" s="37"/>
      <c r="DB146" s="26"/>
      <c r="DC146" s="26"/>
      <c r="DD146" s="26"/>
      <c r="DE146" s="26"/>
      <c r="DF146" s="26"/>
      <c r="DG146" s="26"/>
      <c r="DH146" s="36"/>
      <c r="DI146" s="196"/>
      <c r="DJ146" s="196"/>
      <c r="DK146" s="196"/>
      <c r="DL146" s="196"/>
      <c r="DM146" s="196"/>
      <c r="DN146" s="196"/>
      <c r="DO146" s="196"/>
      <c r="DP146" s="196"/>
      <c r="DQ146" s="196"/>
      <c r="DR146" s="196"/>
      <c r="DS146" s="196"/>
      <c r="DT146" s="196"/>
      <c r="EA146" s="184" t="s">
        <v>369</v>
      </c>
      <c r="EB146" s="5">
        <f>VLOOKUP($EA$146,$EA$143:$EB$144,2,0)</f>
        <v>0</v>
      </c>
      <c r="EC146" s="179"/>
      <c r="ED146" s="26"/>
      <c r="EE146" s="26"/>
      <c r="EF146" s="26"/>
      <c r="EG146" s="26"/>
      <c r="EH146" s="36"/>
      <c r="EI146" s="164"/>
    </row>
    <row r="147" spans="27:139" ht="16.5" thickTop="1" thickBot="1" x14ac:dyDescent="0.3">
      <c r="AA147" s="39" t="s">
        <v>50</v>
      </c>
      <c r="AB147" s="40">
        <f>VLOOKUP($AA$139,$A$14:$D$25,3,0)</f>
        <v>1</v>
      </c>
      <c r="AC147" s="26"/>
      <c r="AD147" s="26"/>
      <c r="AE147" s="26"/>
      <c r="AF147" s="26"/>
      <c r="AG147" s="26"/>
      <c r="AH147" s="36"/>
      <c r="BA147" s="39" t="s">
        <v>50</v>
      </c>
      <c r="BB147" s="40">
        <f>VLOOKUP($BA$139,$A$14:$D$25,3,0)</f>
        <v>0</v>
      </c>
      <c r="BC147" s="26"/>
      <c r="BD147" s="26"/>
      <c r="BE147" s="26"/>
      <c r="BF147" s="26"/>
      <c r="BG147" s="26"/>
      <c r="BH147" s="36"/>
      <c r="BX147" s="196"/>
      <c r="BY147" s="196"/>
      <c r="BZ147" s="196"/>
      <c r="CA147" s="37"/>
      <c r="CB147" s="26"/>
      <c r="CC147" s="26"/>
      <c r="CD147" s="26"/>
      <c r="CE147" s="26"/>
      <c r="CF147" s="26"/>
      <c r="CG147" s="26"/>
      <c r="CH147" s="36"/>
      <c r="CI147" s="196"/>
      <c r="CJ147" s="196"/>
      <c r="CK147" s="196"/>
      <c r="CL147" s="196"/>
      <c r="CM147" s="196"/>
      <c r="CN147" s="196"/>
      <c r="CO147" s="196"/>
      <c r="CP147" s="196"/>
      <c r="CQ147" s="196"/>
      <c r="CR147" s="196"/>
      <c r="CS147" s="196"/>
      <c r="CT147" s="196"/>
      <c r="CU147" s="196"/>
      <c r="CV147" s="196"/>
      <c r="CW147" s="196"/>
      <c r="CX147" s="196"/>
      <c r="CY147" s="196"/>
      <c r="CZ147" s="196"/>
      <c r="DA147" s="37"/>
      <c r="DB147" s="26"/>
      <c r="DC147" s="26"/>
      <c r="DD147" s="26"/>
      <c r="DE147" s="26"/>
      <c r="DF147" s="26"/>
      <c r="DG147" s="26"/>
      <c r="DH147" s="36"/>
      <c r="DI147" s="196"/>
      <c r="DJ147" s="196"/>
      <c r="DK147" s="196"/>
      <c r="DL147" s="196"/>
      <c r="DM147" s="196"/>
      <c r="DN147" s="196"/>
      <c r="DO147" s="196"/>
      <c r="DP147" s="196"/>
      <c r="DQ147" s="196"/>
      <c r="DR147" s="196"/>
      <c r="DS147" s="196"/>
      <c r="DT147" s="196"/>
      <c r="EA147" s="27" t="s">
        <v>356</v>
      </c>
      <c r="EB147" s="109">
        <v>80000</v>
      </c>
      <c r="EC147" s="26"/>
      <c r="ED147" s="26"/>
      <c r="EE147" s="26"/>
      <c r="EF147" s="26"/>
      <c r="EG147" s="26"/>
      <c r="EH147" s="36"/>
      <c r="EI147" s="164"/>
    </row>
    <row r="148" spans="27:139" ht="16.5" thickTop="1" thickBot="1" x14ac:dyDescent="0.3">
      <c r="AA148" s="41" t="s">
        <v>43</v>
      </c>
      <c r="AB148" s="42">
        <f>IF($AA$139=$A$14,$AB$146*$AB$147,IF($AA$139=$A$15,$AB$146*$AB$147,IF($AA$139=$A$16,$AB$146*$AB$147,$AB$139*$AB$147)))</f>
        <v>0</v>
      </c>
      <c r="AC148" s="100"/>
      <c r="AD148" s="31"/>
      <c r="AE148" s="31"/>
      <c r="AF148" s="31"/>
      <c r="AG148" s="31"/>
      <c r="AH148" s="43"/>
      <c r="BA148" s="41" t="s">
        <v>43</v>
      </c>
      <c r="BB148" s="42">
        <f>IF($BA$139=$A$14,$BB$146*$BB$147,IF($BA$139=$A$15,$BB$146*$BB$147,IF($BA$139=$A$16,$BB$146*$BB$147,$BB$139*$BB$147)))</f>
        <v>0</v>
      </c>
      <c r="BC148" s="100"/>
      <c r="BD148" s="31"/>
      <c r="BE148" s="31"/>
      <c r="BF148" s="31"/>
      <c r="BG148" s="31"/>
      <c r="BH148" s="43"/>
      <c r="BX148" s="196"/>
      <c r="BY148" s="196"/>
      <c r="BZ148" s="196"/>
      <c r="CA148" s="99"/>
      <c r="CB148" s="31"/>
      <c r="CC148" s="100"/>
      <c r="CD148" s="31"/>
      <c r="CE148" s="31"/>
      <c r="CF148" s="31"/>
      <c r="CG148" s="31"/>
      <c r="CH148" s="43"/>
      <c r="CI148" s="196"/>
      <c r="CJ148" s="196"/>
      <c r="CK148" s="196"/>
      <c r="CL148" s="196"/>
      <c r="CM148" s="196"/>
      <c r="CN148" s="196"/>
      <c r="CO148" s="196"/>
      <c r="CP148" s="196"/>
      <c r="CQ148" s="196"/>
      <c r="CR148" s="196"/>
      <c r="CS148" s="196"/>
      <c r="CT148" s="196"/>
      <c r="CU148" s="196"/>
      <c r="CV148" s="196"/>
      <c r="CW148" s="196"/>
      <c r="CX148" s="196"/>
      <c r="CY148" s="196"/>
      <c r="CZ148" s="196"/>
      <c r="DA148" s="99"/>
      <c r="DB148" s="31"/>
      <c r="DC148" s="100"/>
      <c r="DD148" s="31"/>
      <c r="DE148" s="31"/>
      <c r="DF148" s="31"/>
      <c r="DG148" s="31"/>
      <c r="DH148" s="43"/>
      <c r="DI148" s="196"/>
      <c r="DJ148" s="196"/>
      <c r="DK148" s="196"/>
      <c r="DL148" s="196"/>
      <c r="DM148" s="196"/>
      <c r="DN148" s="196"/>
      <c r="DO148" s="196"/>
      <c r="DP148" s="196"/>
      <c r="DQ148" s="196"/>
      <c r="DR148" s="196"/>
      <c r="DS148" s="196"/>
      <c r="DT148" s="196"/>
      <c r="EA148" s="41" t="s">
        <v>357</v>
      </c>
      <c r="EB148" s="191">
        <f>IF($EB$146&gt;=$EB$147,$EB$147,$EB$146)</f>
        <v>0</v>
      </c>
      <c r="EC148" s="100"/>
      <c r="ED148" s="31"/>
      <c r="EE148" s="31"/>
      <c r="EF148" s="31"/>
      <c r="EG148" s="31"/>
      <c r="EH148" s="193" t="str">
        <f>IF($EB$148=$EB$147,"El Tope de ingresos para este producto es de "&amp;TEXT($EB$147,"$ #,##0.00"),IF($EB$148=$A$3,"El Ingreso se esta topando en base a la cantidad capturada en solicitud",""))</f>
        <v>El Ingreso se esta topando en base a la cantidad capturada en solicitud</v>
      </c>
      <c r="EI148" s="164"/>
    </row>
    <row r="149" spans="27:139" ht="15.75" thickBot="1" x14ac:dyDescent="0.3">
      <c r="BX149" s="196"/>
      <c r="BY149" s="196"/>
      <c r="BZ149" s="196"/>
      <c r="CA149" s="196"/>
      <c r="CB149" s="196"/>
      <c r="CC149" s="196"/>
      <c r="CD149" s="196"/>
      <c r="CE149" s="196"/>
      <c r="CF149" s="196"/>
      <c r="CG149" s="196"/>
      <c r="CH149" s="196"/>
      <c r="CI149" s="196"/>
      <c r="CJ149" s="196"/>
      <c r="CK149" s="196"/>
      <c r="CL149" s="196"/>
      <c r="CM149" s="196"/>
      <c r="CN149" s="196"/>
      <c r="CO149" s="196"/>
      <c r="CP149" s="196"/>
      <c r="CQ149" s="196"/>
      <c r="CR149" s="196"/>
      <c r="CS149" s="196"/>
      <c r="CT149" s="196"/>
      <c r="CU149" s="196"/>
      <c r="CV149" s="196"/>
      <c r="CW149" s="196"/>
      <c r="CX149" s="196"/>
      <c r="CY149" s="196"/>
      <c r="CZ149" s="196"/>
      <c r="DA149" s="196"/>
      <c r="DB149" s="196"/>
      <c r="DC149" s="196"/>
      <c r="DD149" s="196"/>
      <c r="DE149" s="196"/>
      <c r="DF149" s="196"/>
      <c r="DG149" s="196"/>
      <c r="DH149" s="196"/>
      <c r="DI149" s="196"/>
      <c r="DJ149" s="196"/>
      <c r="DK149" s="196"/>
      <c r="DL149" s="196"/>
      <c r="DM149" s="196"/>
      <c r="DN149" s="196"/>
      <c r="DO149" s="196"/>
      <c r="DP149" s="196"/>
      <c r="DQ149" s="196"/>
      <c r="DR149" s="196"/>
      <c r="DS149" s="196"/>
      <c r="DT149" s="196"/>
      <c r="EA149" s="164"/>
      <c r="EB149" s="164"/>
      <c r="EC149" s="164"/>
      <c r="ED149" s="164"/>
      <c r="EE149" s="164"/>
      <c r="EF149" s="164"/>
      <c r="EG149" s="164"/>
      <c r="EH149" s="164"/>
      <c r="EI149" s="164"/>
    </row>
    <row r="150" spans="27:139" ht="15.75" thickBot="1" x14ac:dyDescent="0.3">
      <c r="AA150" s="497" t="s">
        <v>93</v>
      </c>
      <c r="AB150" s="498"/>
      <c r="AC150" s="498"/>
      <c r="AD150" s="498"/>
      <c r="AE150" s="498"/>
      <c r="AF150" s="498"/>
      <c r="AG150" s="499"/>
      <c r="AH150" s="11">
        <f>$AB$168</f>
        <v>0</v>
      </c>
      <c r="AI150" s="266" t="str">
        <f>IF(OR($A$3=0,$A$3="0",$AB$168=0),"0",IF($AB$168&gt;$A$3,$A$3,$AB$168))</f>
        <v>0</v>
      </c>
      <c r="BA150" s="497" t="s">
        <v>93</v>
      </c>
      <c r="BB150" s="498"/>
      <c r="BC150" s="498"/>
      <c r="BD150" s="498"/>
      <c r="BE150" s="498"/>
      <c r="BF150" s="498"/>
      <c r="BG150" s="499"/>
      <c r="BH150" s="265">
        <f>$BB$168</f>
        <v>0</v>
      </c>
      <c r="BX150" s="196"/>
      <c r="BY150" s="196"/>
      <c r="BZ150" s="196"/>
      <c r="CA150" s="524" t="s">
        <v>93</v>
      </c>
      <c r="CB150" s="525"/>
      <c r="CC150" s="525"/>
      <c r="CD150" s="525"/>
      <c r="CE150" s="525"/>
      <c r="CF150" s="525"/>
      <c r="CG150" s="526"/>
      <c r="CH150" s="91"/>
      <c r="CI150" s="196"/>
      <c r="CJ150" s="196"/>
      <c r="CK150" s="196"/>
      <c r="CL150" s="196"/>
      <c r="CM150" s="196"/>
      <c r="CN150" s="196"/>
      <c r="CO150" s="196"/>
      <c r="CP150" s="196"/>
      <c r="CQ150" s="196"/>
      <c r="CR150" s="196"/>
      <c r="CS150" s="196"/>
      <c r="CT150" s="196"/>
      <c r="CU150" s="196"/>
      <c r="CV150" s="196"/>
      <c r="CW150" s="196"/>
      <c r="CX150" s="196"/>
      <c r="CY150" s="196"/>
      <c r="CZ150" s="196"/>
      <c r="DA150" s="524" t="s">
        <v>93</v>
      </c>
      <c r="DB150" s="525"/>
      <c r="DC150" s="525"/>
      <c r="DD150" s="525"/>
      <c r="DE150" s="525"/>
      <c r="DF150" s="525"/>
      <c r="DG150" s="526"/>
      <c r="DH150" s="91"/>
      <c r="DI150" s="196"/>
      <c r="DJ150" s="196"/>
      <c r="DK150" s="196"/>
      <c r="DL150" s="196"/>
      <c r="DM150" s="196"/>
      <c r="DN150" s="196"/>
      <c r="DO150" s="196"/>
      <c r="DP150" s="196"/>
      <c r="DQ150" s="196"/>
      <c r="DR150" s="196"/>
      <c r="DS150" s="196"/>
      <c r="DT150" s="196"/>
      <c r="EA150" s="497" t="s">
        <v>420</v>
      </c>
      <c r="EB150" s="498"/>
      <c r="EC150" s="498"/>
      <c r="ED150" s="498"/>
      <c r="EE150" s="498"/>
      <c r="EF150" s="498"/>
      <c r="EG150" s="499"/>
      <c r="EH150" s="185" t="str">
        <f>IF(OR($A$3=0,$A$3="0",$EB$168=0),"0",IF($EB$168&gt;$A$3,$A$3,$EB$168))</f>
        <v>0</v>
      </c>
      <c r="EI150" s="164"/>
    </row>
    <row r="151" spans="27:139" ht="16.5" thickTop="1" thickBot="1" x14ac:dyDescent="0.3">
      <c r="AA151" s="25" t="s">
        <v>31</v>
      </c>
      <c r="AB151" s="26">
        <f>AVERAGE($AC$151:$AF$151)</f>
        <v>0</v>
      </c>
      <c r="AC151" s="35">
        <f>SUM($AC$152:$AC$161)</f>
        <v>0</v>
      </c>
      <c r="AD151" s="35">
        <f>SUM($AD$152:$AD$161)</f>
        <v>0</v>
      </c>
      <c r="AE151" s="35">
        <f>SUM($AE$152:$AE$161)</f>
        <v>0</v>
      </c>
      <c r="AF151" s="35">
        <f>SUM($AF$152:$AF$161)</f>
        <v>0</v>
      </c>
      <c r="AG151" s="35">
        <f>SUM($AG$152:$AG$161)</f>
        <v>0</v>
      </c>
      <c r="AH151" s="92">
        <f>SUM($AH$152:$AH$161)</f>
        <v>0</v>
      </c>
      <c r="BA151" s="25" t="s">
        <v>31</v>
      </c>
      <c r="BB151" s="26">
        <f>AVERAGE($BC$151:$BF$151)</f>
        <v>0</v>
      </c>
      <c r="BC151" s="35">
        <f>SUM($BC$152:$BC$161)</f>
        <v>0</v>
      </c>
      <c r="BD151" s="35">
        <f>SUM($BD$152:$BD$161)</f>
        <v>0</v>
      </c>
      <c r="BE151" s="35">
        <f>SUM($BE$152:$BE$161)</f>
        <v>0</v>
      </c>
      <c r="BF151" s="35">
        <f>SUM($BF$152:$BF$161)</f>
        <v>0</v>
      </c>
      <c r="BG151" s="35">
        <f>SUM($BG$152:$BG$161)</f>
        <v>0</v>
      </c>
      <c r="BH151" s="92">
        <f>SUM($BH$152:$BH$161)</f>
        <v>0</v>
      </c>
      <c r="BX151" s="196"/>
      <c r="BY151" s="196"/>
      <c r="BZ151" s="196"/>
      <c r="CA151" s="37"/>
      <c r="CB151" s="26"/>
      <c r="CC151" s="26">
        <v>0</v>
      </c>
      <c r="CD151" s="26">
        <v>0</v>
      </c>
      <c r="CE151" s="26">
        <v>0</v>
      </c>
      <c r="CF151" s="26">
        <v>0</v>
      </c>
      <c r="CG151" s="26">
        <v>0</v>
      </c>
      <c r="CH151" s="36">
        <v>0</v>
      </c>
      <c r="CI151" s="196"/>
      <c r="CJ151" s="196"/>
      <c r="CK151" s="196"/>
      <c r="CL151" s="196"/>
      <c r="CM151" s="196"/>
      <c r="CN151" s="196"/>
      <c r="CO151" s="196"/>
      <c r="CP151" s="196"/>
      <c r="CQ151" s="196"/>
      <c r="CR151" s="196"/>
      <c r="CS151" s="196"/>
      <c r="CT151" s="196"/>
      <c r="CU151" s="196"/>
      <c r="CV151" s="196"/>
      <c r="CW151" s="196"/>
      <c r="CX151" s="196"/>
      <c r="CY151" s="196"/>
      <c r="CZ151" s="196"/>
      <c r="DA151" s="37"/>
      <c r="DB151" s="26"/>
      <c r="DC151" s="26">
        <v>0</v>
      </c>
      <c r="DD151" s="26">
        <v>0</v>
      </c>
      <c r="DE151" s="26">
        <v>0</v>
      </c>
      <c r="DF151" s="26">
        <v>0</v>
      </c>
      <c r="DG151" s="26">
        <v>0</v>
      </c>
      <c r="DH151" s="36">
        <v>0</v>
      </c>
      <c r="DI151" s="196"/>
      <c r="DJ151" s="196"/>
      <c r="DK151" s="196"/>
      <c r="DL151" s="196"/>
      <c r="DM151" s="196"/>
      <c r="DN151" s="196"/>
      <c r="DO151" s="196"/>
      <c r="DP151" s="196"/>
      <c r="DQ151" s="196"/>
      <c r="DR151" s="196"/>
      <c r="DS151" s="196"/>
      <c r="DT151" s="196"/>
      <c r="EA151" s="174" t="s">
        <v>351</v>
      </c>
      <c r="EB151" s="26">
        <f>MEDIAN($EC$151:$EH$151)</f>
        <v>0</v>
      </c>
      <c r="EC151" s="35">
        <f>SUM($EC$152:$EC$161)</f>
        <v>0</v>
      </c>
      <c r="ED151" s="35">
        <f>SUM($ED$152:$ED$161)</f>
        <v>0</v>
      </c>
      <c r="EE151" s="35">
        <f>SUM($EE$152:$EE$161)</f>
        <v>0</v>
      </c>
      <c r="EF151" s="35">
        <f>SUM($EF$152:$EF$161)</f>
        <v>0</v>
      </c>
      <c r="EG151" s="35">
        <f>SUM($EG$152:$EG$161)</f>
        <v>0</v>
      </c>
      <c r="EH151" s="35">
        <f>SUM($EH$152:$EH$161)</f>
        <v>0</v>
      </c>
      <c r="EI151" s="164"/>
    </row>
    <row r="152" spans="27:139" ht="16.5" thickTop="1" thickBot="1" x14ac:dyDescent="0.3">
      <c r="AA152" s="27">
        <f>$B$28</f>
        <v>0.3</v>
      </c>
      <c r="AB152" s="26">
        <f>($AB$151*$AA$152)+$AB$151</f>
        <v>0</v>
      </c>
      <c r="AC152" s="18">
        <v>0</v>
      </c>
      <c r="AD152" s="18">
        <v>0</v>
      </c>
      <c r="AE152" s="18">
        <v>0</v>
      </c>
      <c r="AF152" s="18">
        <v>0</v>
      </c>
      <c r="AG152" s="18">
        <v>0</v>
      </c>
      <c r="AH152" s="52">
        <v>0</v>
      </c>
      <c r="BA152" s="27">
        <f>$B$28</f>
        <v>0.3</v>
      </c>
      <c r="BB152" s="26">
        <f>($BB$151*$BA$152)+$BB$151</f>
        <v>0</v>
      </c>
      <c r="BC152" s="18">
        <v>0</v>
      </c>
      <c r="BD152" s="18">
        <v>0</v>
      </c>
      <c r="BE152" s="18">
        <v>0</v>
      </c>
      <c r="BF152" s="18">
        <v>0</v>
      </c>
      <c r="BG152" s="18">
        <v>0</v>
      </c>
      <c r="BH152" s="52">
        <v>0</v>
      </c>
      <c r="BX152" s="196"/>
      <c r="BY152" s="196"/>
      <c r="BZ152" s="196"/>
      <c r="CA152" s="68"/>
      <c r="CB152" s="26"/>
      <c r="CC152" s="26">
        <v>0</v>
      </c>
      <c r="CD152" s="26">
        <v>0</v>
      </c>
      <c r="CE152" s="26">
        <v>0</v>
      </c>
      <c r="CF152" s="26">
        <v>0</v>
      </c>
      <c r="CG152" s="26">
        <v>0</v>
      </c>
      <c r="CH152" s="36">
        <v>0</v>
      </c>
      <c r="CI152" s="196"/>
      <c r="CJ152" s="196"/>
      <c r="CK152" s="196"/>
      <c r="CL152" s="196"/>
      <c r="CM152" s="196"/>
      <c r="CN152" s="196"/>
      <c r="CO152" s="196"/>
      <c r="CP152" s="196"/>
      <c r="CQ152" s="196"/>
      <c r="CR152" s="196"/>
      <c r="CS152" s="196"/>
      <c r="CT152" s="196"/>
      <c r="CU152" s="196"/>
      <c r="CV152" s="196"/>
      <c r="CW152" s="196"/>
      <c r="CX152" s="196"/>
      <c r="CY152" s="196"/>
      <c r="CZ152" s="196"/>
      <c r="DA152" s="68"/>
      <c r="DB152" s="26"/>
      <c r="DC152" s="26">
        <v>0</v>
      </c>
      <c r="DD152" s="26">
        <v>0</v>
      </c>
      <c r="DE152" s="26">
        <v>0</v>
      </c>
      <c r="DF152" s="26">
        <v>0</v>
      </c>
      <c r="DG152" s="26">
        <v>0</v>
      </c>
      <c r="DH152" s="36">
        <v>0</v>
      </c>
      <c r="DI152" s="196"/>
      <c r="DJ152" s="196"/>
      <c r="DK152" s="196"/>
      <c r="DL152" s="196"/>
      <c r="DM152" s="196"/>
      <c r="DN152" s="196"/>
      <c r="DO152" s="196"/>
      <c r="DP152" s="196"/>
      <c r="DQ152" s="196"/>
      <c r="DR152" s="196"/>
      <c r="DS152" s="196"/>
      <c r="DT152" s="196"/>
      <c r="EA152" s="68">
        <f>$B$28</f>
        <v>0.3</v>
      </c>
      <c r="EB152" s="26"/>
      <c r="EC152" s="18">
        <v>0</v>
      </c>
      <c r="ED152" s="18">
        <v>0</v>
      </c>
      <c r="EE152" s="18">
        <v>0</v>
      </c>
      <c r="EF152" s="18">
        <v>0</v>
      </c>
      <c r="EG152" s="18">
        <v>0</v>
      </c>
      <c r="EH152" s="18">
        <v>0</v>
      </c>
      <c r="EI152" s="164"/>
    </row>
    <row r="153" spans="27:139" ht="16.5" thickTop="1" thickBot="1" x14ac:dyDescent="0.3">
      <c r="AA153" s="25" t="s">
        <v>32</v>
      </c>
      <c r="AB153" s="26">
        <f>IF($AC$151&lt;$AB$152,$AC$151,$AB$152)</f>
        <v>0</v>
      </c>
      <c r="AC153" s="18">
        <v>0</v>
      </c>
      <c r="AD153" s="18">
        <v>0</v>
      </c>
      <c r="AE153" s="18">
        <v>0</v>
      </c>
      <c r="AF153" s="18">
        <v>0</v>
      </c>
      <c r="AG153" s="18">
        <v>0</v>
      </c>
      <c r="AH153" s="52">
        <v>0</v>
      </c>
      <c r="BA153" s="25" t="s">
        <v>32</v>
      </c>
      <c r="BB153" s="26">
        <f>IF($BC$151&lt;$BB$152,$BC$151,$BB$152)</f>
        <v>0</v>
      </c>
      <c r="BC153" s="18">
        <v>0</v>
      </c>
      <c r="BD153" s="18">
        <v>0</v>
      </c>
      <c r="BE153" s="18">
        <v>0</v>
      </c>
      <c r="BF153" s="18">
        <v>0</v>
      </c>
      <c r="BG153" s="18">
        <v>0</v>
      </c>
      <c r="BH153" s="52">
        <v>0</v>
      </c>
      <c r="BX153" s="196"/>
      <c r="BY153" s="196"/>
      <c r="BZ153" s="196"/>
      <c r="CA153" s="37"/>
      <c r="CB153" s="26"/>
      <c r="CC153" s="26">
        <v>0</v>
      </c>
      <c r="CD153" s="26">
        <v>0</v>
      </c>
      <c r="CE153" s="26">
        <v>0</v>
      </c>
      <c r="CF153" s="26">
        <v>0</v>
      </c>
      <c r="CG153" s="26">
        <v>0</v>
      </c>
      <c r="CH153" s="36">
        <v>0</v>
      </c>
      <c r="CI153" s="196"/>
      <c r="CJ153" s="196"/>
      <c r="CK153" s="196"/>
      <c r="CL153" s="196"/>
      <c r="CM153" s="196"/>
      <c r="CN153" s="196"/>
      <c r="CO153" s="196"/>
      <c r="CP153" s="196"/>
      <c r="CQ153" s="196"/>
      <c r="CR153" s="196"/>
      <c r="CS153" s="196"/>
      <c r="CT153" s="196"/>
      <c r="CU153" s="196"/>
      <c r="CV153" s="196"/>
      <c r="CW153" s="196"/>
      <c r="CX153" s="196"/>
      <c r="CY153" s="196"/>
      <c r="CZ153" s="196"/>
      <c r="DA153" s="37"/>
      <c r="DB153" s="26"/>
      <c r="DC153" s="26">
        <v>0</v>
      </c>
      <c r="DD153" s="26">
        <v>0</v>
      </c>
      <c r="DE153" s="26">
        <v>0</v>
      </c>
      <c r="DF153" s="26">
        <v>0</v>
      </c>
      <c r="DG153" s="26">
        <v>0</v>
      </c>
      <c r="DH153" s="36">
        <v>0</v>
      </c>
      <c r="DI153" s="196"/>
      <c r="DJ153" s="196"/>
      <c r="DK153" s="196"/>
      <c r="DL153" s="196"/>
      <c r="DM153" s="196"/>
      <c r="DN153" s="196"/>
      <c r="DO153" s="196"/>
      <c r="DP153" s="196"/>
      <c r="DQ153" s="196"/>
      <c r="DR153" s="196"/>
      <c r="DS153" s="196"/>
      <c r="DT153" s="196"/>
      <c r="EA153" s="37" t="s">
        <v>32</v>
      </c>
      <c r="EB153" s="26"/>
      <c r="EC153" s="18">
        <v>0</v>
      </c>
      <c r="ED153" s="18">
        <v>0</v>
      </c>
      <c r="EE153" s="18">
        <v>0</v>
      </c>
      <c r="EF153" s="18">
        <v>0</v>
      </c>
      <c r="EG153" s="18">
        <v>0</v>
      </c>
      <c r="EH153" s="18">
        <v>0</v>
      </c>
      <c r="EI153" s="164"/>
    </row>
    <row r="154" spans="27:139" ht="16.5" thickTop="1" thickBot="1" x14ac:dyDescent="0.3">
      <c r="AA154" s="25" t="s">
        <v>34</v>
      </c>
      <c r="AB154" s="26">
        <f>IF($AD$151&lt;$AB$152,$AD$151,$AB$152)</f>
        <v>0</v>
      </c>
      <c r="AC154" s="18">
        <v>0</v>
      </c>
      <c r="AD154" s="18">
        <v>0</v>
      </c>
      <c r="AE154" s="18">
        <v>0</v>
      </c>
      <c r="AF154" s="18">
        <v>0</v>
      </c>
      <c r="AG154" s="18">
        <v>0</v>
      </c>
      <c r="AH154" s="52">
        <v>0</v>
      </c>
      <c r="BA154" s="25" t="s">
        <v>34</v>
      </c>
      <c r="BB154" s="26">
        <f>IF($BD$151&lt;$BB$152,$BD$151,$BB$152)</f>
        <v>0</v>
      </c>
      <c r="BC154" s="18">
        <v>0</v>
      </c>
      <c r="BD154" s="18">
        <v>0</v>
      </c>
      <c r="BE154" s="18">
        <v>0</v>
      </c>
      <c r="BF154" s="18">
        <v>0</v>
      </c>
      <c r="BG154" s="18">
        <v>0</v>
      </c>
      <c r="BH154" s="52">
        <v>0</v>
      </c>
      <c r="BX154" s="196"/>
      <c r="BY154" s="196"/>
      <c r="BZ154" s="196"/>
      <c r="CA154" s="37"/>
      <c r="CB154" s="26"/>
      <c r="CC154" s="26">
        <v>0</v>
      </c>
      <c r="CD154" s="26">
        <v>0</v>
      </c>
      <c r="CE154" s="26">
        <v>0</v>
      </c>
      <c r="CF154" s="26">
        <v>0</v>
      </c>
      <c r="CG154" s="26">
        <v>0</v>
      </c>
      <c r="CH154" s="36">
        <v>0</v>
      </c>
      <c r="CI154" s="196"/>
      <c r="CJ154" s="196"/>
      <c r="CK154" s="196"/>
      <c r="CL154" s="196"/>
      <c r="CM154" s="196"/>
      <c r="CN154" s="196"/>
      <c r="CO154" s="196"/>
      <c r="CP154" s="196"/>
      <c r="CQ154" s="196"/>
      <c r="CR154" s="196"/>
      <c r="CS154" s="196"/>
      <c r="CT154" s="196"/>
      <c r="CU154" s="196"/>
      <c r="CV154" s="196"/>
      <c r="CW154" s="196"/>
      <c r="CX154" s="196"/>
      <c r="CY154" s="196"/>
      <c r="CZ154" s="196"/>
      <c r="DA154" s="37"/>
      <c r="DB154" s="26"/>
      <c r="DC154" s="26">
        <v>0</v>
      </c>
      <c r="DD154" s="26">
        <v>0</v>
      </c>
      <c r="DE154" s="26">
        <v>0</v>
      </c>
      <c r="DF154" s="26">
        <v>0</v>
      </c>
      <c r="DG154" s="26">
        <v>0</v>
      </c>
      <c r="DH154" s="36">
        <v>0</v>
      </c>
      <c r="DI154" s="196"/>
      <c r="DJ154" s="196"/>
      <c r="DK154" s="196"/>
      <c r="DL154" s="196"/>
      <c r="DM154" s="196"/>
      <c r="DN154" s="196"/>
      <c r="DO154" s="196"/>
      <c r="DP154" s="196"/>
      <c r="DQ154" s="196"/>
      <c r="DR154" s="196"/>
      <c r="DS154" s="196"/>
      <c r="DT154" s="196"/>
      <c r="EA154" s="37" t="s">
        <v>34</v>
      </c>
      <c r="EB154" s="26"/>
      <c r="EC154" s="18">
        <v>0</v>
      </c>
      <c r="ED154" s="18">
        <v>0</v>
      </c>
      <c r="EE154" s="18">
        <v>0</v>
      </c>
      <c r="EF154" s="18">
        <v>0</v>
      </c>
      <c r="EG154" s="18">
        <v>0</v>
      </c>
      <c r="EH154" s="18">
        <v>0</v>
      </c>
      <c r="EI154" s="164"/>
    </row>
    <row r="155" spans="27:139" ht="16.5" thickTop="1" thickBot="1" x14ac:dyDescent="0.3">
      <c r="AA155" s="25" t="s">
        <v>45</v>
      </c>
      <c r="AB155" s="26">
        <f>IF($AE$151&lt;$AB$152,$AE$151,$AB$152)</f>
        <v>0</v>
      </c>
      <c r="AC155" s="18">
        <v>0</v>
      </c>
      <c r="AD155" s="18">
        <v>0</v>
      </c>
      <c r="AE155" s="18">
        <v>0</v>
      </c>
      <c r="AF155" s="18">
        <v>0</v>
      </c>
      <c r="AG155" s="18">
        <v>0</v>
      </c>
      <c r="AH155" s="52">
        <v>0</v>
      </c>
      <c r="BA155" s="25" t="s">
        <v>45</v>
      </c>
      <c r="BB155" s="26">
        <f>IF($BE$151&lt;$BB$152,$BE$151,$BB$152)</f>
        <v>0</v>
      </c>
      <c r="BC155" s="18">
        <v>0</v>
      </c>
      <c r="BD155" s="18">
        <v>0</v>
      </c>
      <c r="BE155" s="18">
        <v>0</v>
      </c>
      <c r="BF155" s="18">
        <v>0</v>
      </c>
      <c r="BG155" s="18">
        <v>0</v>
      </c>
      <c r="BH155" s="52">
        <v>0</v>
      </c>
      <c r="BX155" s="196"/>
      <c r="BY155" s="196"/>
      <c r="BZ155" s="196"/>
      <c r="CA155" s="37"/>
      <c r="CB155" s="26"/>
      <c r="CC155" s="26">
        <v>0</v>
      </c>
      <c r="CD155" s="26">
        <v>0</v>
      </c>
      <c r="CE155" s="26">
        <v>0</v>
      </c>
      <c r="CF155" s="26">
        <v>0</v>
      </c>
      <c r="CG155" s="26">
        <v>0</v>
      </c>
      <c r="CH155" s="36">
        <v>0</v>
      </c>
      <c r="CI155" s="196"/>
      <c r="CJ155" s="196"/>
      <c r="CK155" s="196"/>
      <c r="CL155" s="196"/>
      <c r="CM155" s="196"/>
      <c r="CN155" s="196"/>
      <c r="CO155" s="196"/>
      <c r="CP155" s="196"/>
      <c r="CQ155" s="196"/>
      <c r="CR155" s="196"/>
      <c r="CS155" s="196"/>
      <c r="CT155" s="196"/>
      <c r="CU155" s="196"/>
      <c r="CV155" s="196"/>
      <c r="CW155" s="196"/>
      <c r="CX155" s="196"/>
      <c r="CY155" s="196"/>
      <c r="CZ155" s="196"/>
      <c r="DA155" s="37"/>
      <c r="DB155" s="26"/>
      <c r="DC155" s="26">
        <v>0</v>
      </c>
      <c r="DD155" s="26">
        <v>0</v>
      </c>
      <c r="DE155" s="26">
        <v>0</v>
      </c>
      <c r="DF155" s="26">
        <v>0</v>
      </c>
      <c r="DG155" s="26">
        <v>0</v>
      </c>
      <c r="DH155" s="36">
        <v>0</v>
      </c>
      <c r="DI155" s="196"/>
      <c r="DJ155" s="196"/>
      <c r="DK155" s="196"/>
      <c r="DL155" s="196"/>
      <c r="DM155" s="196"/>
      <c r="DN155" s="196"/>
      <c r="DO155" s="196"/>
      <c r="DP155" s="196"/>
      <c r="DQ155" s="196"/>
      <c r="DR155" s="196"/>
      <c r="DS155" s="196"/>
      <c r="DT155" s="196"/>
      <c r="EA155" s="37" t="s">
        <v>45</v>
      </c>
      <c r="EB155" s="26"/>
      <c r="EC155" s="18">
        <v>0</v>
      </c>
      <c r="ED155" s="18">
        <v>0</v>
      </c>
      <c r="EE155" s="18">
        <v>0</v>
      </c>
      <c r="EF155" s="18">
        <v>0</v>
      </c>
      <c r="EG155" s="18">
        <v>0</v>
      </c>
      <c r="EH155" s="18">
        <v>0</v>
      </c>
      <c r="EI155" s="164"/>
    </row>
    <row r="156" spans="27:139" ht="16.5" thickTop="1" thickBot="1" x14ac:dyDescent="0.3">
      <c r="AA156" s="25" t="s">
        <v>46</v>
      </c>
      <c r="AB156" s="26">
        <f>IF($AF$151&lt;$AB$152,$AF$151,$AB$152)</f>
        <v>0</v>
      </c>
      <c r="AC156" s="18">
        <v>0</v>
      </c>
      <c r="AD156" s="18">
        <v>0</v>
      </c>
      <c r="AE156" s="18">
        <v>0</v>
      </c>
      <c r="AF156" s="18">
        <v>0</v>
      </c>
      <c r="AG156" s="18">
        <v>0</v>
      </c>
      <c r="AH156" s="52">
        <v>0</v>
      </c>
      <c r="BA156" s="25" t="s">
        <v>46</v>
      </c>
      <c r="BB156" s="26">
        <f>IF($BF$151&lt;$BB$152,$BF$151,$BB$152)</f>
        <v>0</v>
      </c>
      <c r="BC156" s="18">
        <v>0</v>
      </c>
      <c r="BD156" s="18">
        <v>0</v>
      </c>
      <c r="BE156" s="18">
        <v>0</v>
      </c>
      <c r="BF156" s="18">
        <v>0</v>
      </c>
      <c r="BG156" s="18">
        <v>0</v>
      </c>
      <c r="BH156" s="52">
        <v>0</v>
      </c>
      <c r="BX156" s="196"/>
      <c r="BY156" s="196"/>
      <c r="BZ156" s="196"/>
      <c r="CA156" s="37"/>
      <c r="CB156" s="26"/>
      <c r="CC156" s="26">
        <v>0</v>
      </c>
      <c r="CD156" s="26">
        <v>0</v>
      </c>
      <c r="CE156" s="26">
        <v>0</v>
      </c>
      <c r="CF156" s="26">
        <v>0</v>
      </c>
      <c r="CG156" s="26">
        <v>0</v>
      </c>
      <c r="CH156" s="36">
        <v>0</v>
      </c>
      <c r="CI156" s="196"/>
      <c r="CJ156" s="196"/>
      <c r="CK156" s="196"/>
      <c r="CL156" s="196"/>
      <c r="CM156" s="196"/>
      <c r="CN156" s="196"/>
      <c r="CO156" s="196"/>
      <c r="CP156" s="196"/>
      <c r="CQ156" s="196"/>
      <c r="CR156" s="196"/>
      <c r="CS156" s="196"/>
      <c r="CT156" s="196"/>
      <c r="CU156" s="196"/>
      <c r="CV156" s="196"/>
      <c r="CW156" s="196"/>
      <c r="CX156" s="196"/>
      <c r="CY156" s="196"/>
      <c r="CZ156" s="196"/>
      <c r="DA156" s="37"/>
      <c r="DB156" s="26"/>
      <c r="DC156" s="26">
        <v>0</v>
      </c>
      <c r="DD156" s="26">
        <v>0</v>
      </c>
      <c r="DE156" s="26">
        <v>0</v>
      </c>
      <c r="DF156" s="26">
        <v>0</v>
      </c>
      <c r="DG156" s="26">
        <v>0</v>
      </c>
      <c r="DH156" s="36">
        <v>0</v>
      </c>
      <c r="DI156" s="196"/>
      <c r="DJ156" s="196"/>
      <c r="DK156" s="196"/>
      <c r="DL156" s="196"/>
      <c r="DM156" s="196"/>
      <c r="DN156" s="196"/>
      <c r="DO156" s="196"/>
      <c r="DP156" s="196"/>
      <c r="DQ156" s="196"/>
      <c r="DR156" s="196"/>
      <c r="DS156" s="196"/>
      <c r="DT156" s="196"/>
      <c r="EA156" s="37" t="s">
        <v>46</v>
      </c>
      <c r="EB156" s="26"/>
      <c r="EC156" s="18">
        <v>0</v>
      </c>
      <c r="ED156" s="18">
        <v>0</v>
      </c>
      <c r="EE156" s="18">
        <v>0</v>
      </c>
      <c r="EF156" s="18">
        <v>0</v>
      </c>
      <c r="EG156" s="18">
        <v>0</v>
      </c>
      <c r="EH156" s="18">
        <v>0</v>
      </c>
      <c r="EI156" s="164"/>
    </row>
    <row r="157" spans="27:139" ht="16.5" thickTop="1" thickBot="1" x14ac:dyDescent="0.3">
      <c r="AA157" s="25" t="s">
        <v>48</v>
      </c>
      <c r="AB157" s="26">
        <f>IF($AG$151&lt;$AB$152,$AG$151,$AB$152)</f>
        <v>0</v>
      </c>
      <c r="AC157" s="18">
        <v>0</v>
      </c>
      <c r="AD157" s="18">
        <v>0</v>
      </c>
      <c r="AE157" s="18">
        <v>0</v>
      </c>
      <c r="AF157" s="18">
        <v>0</v>
      </c>
      <c r="AG157" s="18">
        <v>0</v>
      </c>
      <c r="AH157" s="52">
        <v>0</v>
      </c>
      <c r="BA157" s="25" t="s">
        <v>48</v>
      </c>
      <c r="BB157" s="26">
        <f>IF($BG$151&lt;$BB$152,$BG$151,$BB$152)</f>
        <v>0</v>
      </c>
      <c r="BC157" s="18">
        <v>0</v>
      </c>
      <c r="BD157" s="18">
        <v>0</v>
      </c>
      <c r="BE157" s="18">
        <v>0</v>
      </c>
      <c r="BF157" s="18">
        <v>0</v>
      </c>
      <c r="BG157" s="18">
        <v>0</v>
      </c>
      <c r="BH157" s="52">
        <v>0</v>
      </c>
      <c r="BX157" s="196"/>
      <c r="BY157" s="196"/>
      <c r="BZ157" s="196"/>
      <c r="CA157" s="37"/>
      <c r="CB157" s="26"/>
      <c r="CC157" s="26">
        <v>0</v>
      </c>
      <c r="CD157" s="26">
        <v>0</v>
      </c>
      <c r="CE157" s="26">
        <v>0</v>
      </c>
      <c r="CF157" s="26">
        <v>0</v>
      </c>
      <c r="CG157" s="26">
        <v>0</v>
      </c>
      <c r="CH157" s="36">
        <v>0</v>
      </c>
      <c r="CI157" s="196"/>
      <c r="CJ157" s="196"/>
      <c r="CK157" s="196"/>
      <c r="CL157" s="196"/>
      <c r="CM157" s="196"/>
      <c r="CN157" s="196"/>
      <c r="CO157" s="196"/>
      <c r="CP157" s="196"/>
      <c r="CQ157" s="196"/>
      <c r="CR157" s="196"/>
      <c r="CS157" s="196"/>
      <c r="CT157" s="196"/>
      <c r="CU157" s="196"/>
      <c r="CV157" s="196"/>
      <c r="CW157" s="196"/>
      <c r="CX157" s="196"/>
      <c r="CY157" s="196"/>
      <c r="CZ157" s="196"/>
      <c r="DA157" s="37"/>
      <c r="DB157" s="26"/>
      <c r="DC157" s="26">
        <v>0</v>
      </c>
      <c r="DD157" s="26">
        <v>0</v>
      </c>
      <c r="DE157" s="26">
        <v>0</v>
      </c>
      <c r="DF157" s="26">
        <v>0</v>
      </c>
      <c r="DG157" s="26">
        <v>0</v>
      </c>
      <c r="DH157" s="36">
        <v>0</v>
      </c>
      <c r="DI157" s="196"/>
      <c r="DJ157" s="196"/>
      <c r="DK157" s="196"/>
      <c r="DL157" s="196"/>
      <c r="DM157" s="196"/>
      <c r="DN157" s="196"/>
      <c r="DO157" s="196"/>
      <c r="DP157" s="196"/>
      <c r="DQ157" s="196"/>
      <c r="DR157" s="196"/>
      <c r="DS157" s="196"/>
      <c r="DT157" s="196"/>
      <c r="EA157" s="37" t="s">
        <v>48</v>
      </c>
      <c r="EB157" s="26"/>
      <c r="EC157" s="18">
        <v>0</v>
      </c>
      <c r="ED157" s="18">
        <v>0</v>
      </c>
      <c r="EE157" s="18">
        <v>0</v>
      </c>
      <c r="EF157" s="18">
        <v>0</v>
      </c>
      <c r="EG157" s="18">
        <v>0</v>
      </c>
      <c r="EH157" s="18">
        <v>0</v>
      </c>
      <c r="EI157" s="164"/>
    </row>
    <row r="158" spans="27:139" ht="16.5" thickTop="1" thickBot="1" x14ac:dyDescent="0.3">
      <c r="AA158" s="25" t="s">
        <v>49</v>
      </c>
      <c r="AB158" s="26">
        <f>IF($AH$151&lt;$AB$152,$AH$151,$AB$152)</f>
        <v>0</v>
      </c>
      <c r="AC158" s="18">
        <v>0</v>
      </c>
      <c r="AD158" s="18">
        <v>0</v>
      </c>
      <c r="AE158" s="18">
        <v>0</v>
      </c>
      <c r="AF158" s="18">
        <v>0</v>
      </c>
      <c r="AG158" s="18">
        <v>0</v>
      </c>
      <c r="AH158" s="52">
        <v>0</v>
      </c>
      <c r="BA158" s="25" t="s">
        <v>49</v>
      </c>
      <c r="BB158" s="26">
        <f>IF($BH$151&lt;$BB$152,$BH$151,$BB$152)</f>
        <v>0</v>
      </c>
      <c r="BC158" s="18">
        <v>0</v>
      </c>
      <c r="BD158" s="18">
        <v>0</v>
      </c>
      <c r="BE158" s="18">
        <v>0</v>
      </c>
      <c r="BF158" s="18">
        <v>0</v>
      </c>
      <c r="BG158" s="18">
        <v>0</v>
      </c>
      <c r="BH158" s="52">
        <v>0</v>
      </c>
      <c r="BX158" s="196"/>
      <c r="BY158" s="196"/>
      <c r="BZ158" s="196"/>
      <c r="CA158" s="37" t="s">
        <v>27</v>
      </c>
      <c r="CB158" s="26"/>
      <c r="CC158" s="26">
        <v>0</v>
      </c>
      <c r="CD158" s="26">
        <v>0</v>
      </c>
      <c r="CE158" s="26">
        <v>0</v>
      </c>
      <c r="CF158" s="26">
        <v>0</v>
      </c>
      <c r="CG158" s="26">
        <v>0</v>
      </c>
      <c r="CH158" s="36">
        <v>0</v>
      </c>
      <c r="CI158" s="196"/>
      <c r="CJ158" s="196"/>
      <c r="CK158" s="196"/>
      <c r="CL158" s="196"/>
      <c r="CM158" s="196"/>
      <c r="CN158" s="196"/>
      <c r="CO158" s="196"/>
      <c r="CP158" s="196"/>
      <c r="CQ158" s="196"/>
      <c r="CR158" s="196"/>
      <c r="CS158" s="196"/>
      <c r="CT158" s="196"/>
      <c r="CU158" s="196"/>
      <c r="CV158" s="196"/>
      <c r="CW158" s="196"/>
      <c r="CX158" s="196"/>
      <c r="CY158" s="196"/>
      <c r="CZ158" s="196"/>
      <c r="DA158" s="37" t="s">
        <v>27</v>
      </c>
      <c r="DB158" s="26"/>
      <c r="DC158" s="26">
        <v>0</v>
      </c>
      <c r="DD158" s="26">
        <v>0</v>
      </c>
      <c r="DE158" s="26">
        <v>0</v>
      </c>
      <c r="DF158" s="26">
        <v>0</v>
      </c>
      <c r="DG158" s="26">
        <v>0</v>
      </c>
      <c r="DH158" s="36">
        <v>0</v>
      </c>
      <c r="DI158" s="196"/>
      <c r="DJ158" s="196"/>
      <c r="DK158" s="196"/>
      <c r="DL158" s="196"/>
      <c r="DM158" s="196"/>
      <c r="DN158" s="196"/>
      <c r="DO158" s="196"/>
      <c r="DP158" s="196"/>
      <c r="DQ158" s="196"/>
      <c r="DR158" s="196"/>
      <c r="DS158" s="196"/>
      <c r="DT158" s="196"/>
      <c r="EA158" s="37" t="s">
        <v>49</v>
      </c>
      <c r="EB158" s="26"/>
      <c r="EC158" s="18">
        <v>0</v>
      </c>
      <c r="ED158" s="18">
        <v>0</v>
      </c>
      <c r="EE158" s="18">
        <v>0</v>
      </c>
      <c r="EF158" s="18">
        <v>0</v>
      </c>
      <c r="EG158" s="18">
        <v>0</v>
      </c>
      <c r="EH158" s="18">
        <v>0</v>
      </c>
      <c r="EI158" s="164"/>
    </row>
    <row r="159" spans="27:139" ht="16.5" thickTop="1" thickBot="1" x14ac:dyDescent="0.3">
      <c r="AA159" s="23" t="s">
        <v>738</v>
      </c>
      <c r="AB159" s="61">
        <f>IF($AB$153&amp;$AB$154&amp;$AB$155&amp;$AB$156="","0",AVERAGE($AB$153:$AB$156))</f>
        <v>0</v>
      </c>
      <c r="AC159" s="18">
        <v>0</v>
      </c>
      <c r="AD159" s="18">
        <v>0</v>
      </c>
      <c r="AE159" s="18">
        <v>0</v>
      </c>
      <c r="AF159" s="18">
        <v>0</v>
      </c>
      <c r="AG159" s="18">
        <v>0</v>
      </c>
      <c r="AH159" s="52">
        <v>0</v>
      </c>
      <c r="BA159" s="23" t="s">
        <v>27</v>
      </c>
      <c r="BB159" s="61">
        <f>IF($BB$153&amp;$BB$154&amp;$BB$155&amp;$BB$156="","0",AVERAGE($BB$153:$BB$156))</f>
        <v>0</v>
      </c>
      <c r="BC159" s="18">
        <v>0</v>
      </c>
      <c r="BD159" s="18">
        <v>0</v>
      </c>
      <c r="BE159" s="18">
        <v>0</v>
      </c>
      <c r="BF159" s="18">
        <v>0</v>
      </c>
      <c r="BG159" s="18">
        <v>0</v>
      </c>
      <c r="BH159" s="52">
        <v>0</v>
      </c>
      <c r="BX159" s="196"/>
      <c r="BY159" s="196"/>
      <c r="BZ159" s="196"/>
      <c r="CA159" s="37" t="s">
        <v>27</v>
      </c>
      <c r="CB159" s="26"/>
      <c r="CC159" s="26">
        <v>0</v>
      </c>
      <c r="CD159" s="26">
        <v>0</v>
      </c>
      <c r="CE159" s="26">
        <v>0</v>
      </c>
      <c r="CF159" s="26">
        <v>0</v>
      </c>
      <c r="CG159" s="26">
        <v>0</v>
      </c>
      <c r="CH159" s="36">
        <v>0</v>
      </c>
      <c r="CI159" s="196"/>
      <c r="CJ159" s="196"/>
      <c r="CK159" s="196"/>
      <c r="CL159" s="196"/>
      <c r="CM159" s="196"/>
      <c r="CN159" s="196"/>
      <c r="CO159" s="196"/>
      <c r="CP159" s="196"/>
      <c r="CQ159" s="196"/>
      <c r="CR159" s="196"/>
      <c r="CS159" s="196"/>
      <c r="CT159" s="196"/>
      <c r="CU159" s="196"/>
      <c r="CV159" s="196"/>
      <c r="CW159" s="196"/>
      <c r="CX159" s="196"/>
      <c r="CY159" s="196"/>
      <c r="CZ159" s="196"/>
      <c r="DA159" s="37" t="s">
        <v>27</v>
      </c>
      <c r="DB159" s="26"/>
      <c r="DC159" s="26">
        <v>0</v>
      </c>
      <c r="DD159" s="26">
        <v>0</v>
      </c>
      <c r="DE159" s="26">
        <v>0</v>
      </c>
      <c r="DF159" s="26">
        <v>0</v>
      </c>
      <c r="DG159" s="26">
        <v>0</v>
      </c>
      <c r="DH159" s="36">
        <v>0</v>
      </c>
      <c r="DI159" s="196"/>
      <c r="DJ159" s="196"/>
      <c r="DK159" s="196"/>
      <c r="DL159" s="196"/>
      <c r="DM159" s="196"/>
      <c r="DN159" s="196"/>
      <c r="DO159" s="196"/>
      <c r="DP159" s="196"/>
      <c r="DQ159" s="196"/>
      <c r="DR159" s="196"/>
      <c r="DS159" s="196"/>
      <c r="DT159" s="196"/>
      <c r="EA159" s="27">
        <f>$B$58</f>
        <v>0.9</v>
      </c>
      <c r="EB159" s="176">
        <f>$A$3*$EA$159</f>
        <v>0</v>
      </c>
      <c r="EC159" s="18">
        <v>0</v>
      </c>
      <c r="ED159" s="18">
        <v>0</v>
      </c>
      <c r="EE159" s="18">
        <v>0</v>
      </c>
      <c r="EF159" s="18">
        <v>0</v>
      </c>
      <c r="EG159" s="18">
        <v>0</v>
      </c>
      <c r="EH159" s="18">
        <v>0</v>
      </c>
      <c r="EI159" s="164"/>
    </row>
    <row r="160" spans="27:139" ht="16.5" thickTop="1" thickBot="1" x14ac:dyDescent="0.3">
      <c r="AA160" s="25" t="s">
        <v>85</v>
      </c>
      <c r="AB160" s="26">
        <f>AVERAGE($AC$151:$AF$151)</f>
        <v>0</v>
      </c>
      <c r="AC160" s="18">
        <v>0</v>
      </c>
      <c r="AD160" s="18">
        <v>0</v>
      </c>
      <c r="AE160" s="18">
        <v>0</v>
      </c>
      <c r="AF160" s="18">
        <v>0</v>
      </c>
      <c r="AG160" s="18">
        <v>0</v>
      </c>
      <c r="AH160" s="52">
        <v>0</v>
      </c>
      <c r="AI160" s="38"/>
      <c r="BA160" s="25" t="s">
        <v>85</v>
      </c>
      <c r="BB160" s="26">
        <f>AVERAGE($BC$151:$BF$151)</f>
        <v>0</v>
      </c>
      <c r="BC160" s="18">
        <v>0</v>
      </c>
      <c r="BD160" s="18">
        <v>0</v>
      </c>
      <c r="BE160" s="18">
        <v>0</v>
      </c>
      <c r="BF160" s="18">
        <v>0</v>
      </c>
      <c r="BG160" s="18">
        <v>0</v>
      </c>
      <c r="BH160" s="52">
        <v>0</v>
      </c>
      <c r="BI160" s="38"/>
      <c r="BX160" s="196"/>
      <c r="BY160" s="196"/>
      <c r="BZ160" s="196"/>
      <c r="CA160" s="37"/>
      <c r="CB160" s="26"/>
      <c r="CC160" s="26">
        <v>0</v>
      </c>
      <c r="CD160" s="26">
        <v>0</v>
      </c>
      <c r="CE160" s="26">
        <v>0</v>
      </c>
      <c r="CF160" s="26">
        <v>0</v>
      </c>
      <c r="CG160" s="26">
        <v>0</v>
      </c>
      <c r="CH160" s="36">
        <v>0</v>
      </c>
      <c r="CI160" s="38"/>
      <c r="CJ160" s="196"/>
      <c r="CK160" s="196"/>
      <c r="CL160" s="196"/>
      <c r="CM160" s="196"/>
      <c r="CN160" s="196"/>
      <c r="CO160" s="196"/>
      <c r="CP160" s="196"/>
      <c r="CQ160" s="196"/>
      <c r="CR160" s="196"/>
      <c r="CS160" s="196"/>
      <c r="CT160" s="196"/>
      <c r="CU160" s="196"/>
      <c r="CV160" s="196"/>
      <c r="CW160" s="196"/>
      <c r="CX160" s="196"/>
      <c r="CY160" s="196"/>
      <c r="CZ160" s="196"/>
      <c r="DA160" s="37"/>
      <c r="DB160" s="26"/>
      <c r="DC160" s="26">
        <v>0</v>
      </c>
      <c r="DD160" s="26">
        <v>0</v>
      </c>
      <c r="DE160" s="26">
        <v>0</v>
      </c>
      <c r="DF160" s="26">
        <v>0</v>
      </c>
      <c r="DG160" s="26">
        <v>0</v>
      </c>
      <c r="DH160" s="36">
        <v>0</v>
      </c>
      <c r="DI160" s="38"/>
      <c r="DJ160" s="196"/>
      <c r="DK160" s="196"/>
      <c r="DL160" s="196"/>
      <c r="DM160" s="196"/>
      <c r="DN160" s="196"/>
      <c r="DO160" s="196"/>
      <c r="DP160" s="196"/>
      <c r="DQ160" s="196"/>
      <c r="DR160" s="196"/>
      <c r="DS160" s="196"/>
      <c r="DT160" s="196"/>
      <c r="EA160" s="256" t="s">
        <v>390</v>
      </c>
      <c r="EB160" s="26">
        <f>IF($A$3="0","",IF($EB$151&gt;=$EB$159,$A$3,$EB$151))</f>
        <v>0</v>
      </c>
      <c r="EC160" s="18">
        <v>0</v>
      </c>
      <c r="ED160" s="18">
        <v>0</v>
      </c>
      <c r="EE160" s="18">
        <v>0</v>
      </c>
      <c r="EF160" s="18">
        <v>0</v>
      </c>
      <c r="EG160" s="18">
        <v>0</v>
      </c>
      <c r="EH160" s="18">
        <v>0</v>
      </c>
      <c r="EI160" s="164"/>
    </row>
    <row r="161" spans="27:139" ht="16.5" thickTop="1" thickBot="1" x14ac:dyDescent="0.3">
      <c r="AA161" s="27">
        <f>$B$28</f>
        <v>0.3</v>
      </c>
      <c r="AB161" s="26">
        <f>($AB$160*$AA$161)+$AB$160</f>
        <v>0</v>
      </c>
      <c r="AC161" s="18">
        <v>0</v>
      </c>
      <c r="AD161" s="18">
        <v>0</v>
      </c>
      <c r="AE161" s="18">
        <v>0</v>
      </c>
      <c r="AF161" s="18">
        <v>0</v>
      </c>
      <c r="AG161" s="18">
        <v>0</v>
      </c>
      <c r="AH161" s="52">
        <v>0</v>
      </c>
      <c r="AI161" s="38"/>
      <c r="BA161" s="27">
        <f>$B$28</f>
        <v>0.3</v>
      </c>
      <c r="BB161" s="26">
        <f>($BB$160*$BA$161)+$BB$160</f>
        <v>0</v>
      </c>
      <c r="BC161" s="18">
        <v>0</v>
      </c>
      <c r="BD161" s="18">
        <v>0</v>
      </c>
      <c r="BE161" s="18">
        <v>0</v>
      </c>
      <c r="BF161" s="18">
        <v>0</v>
      </c>
      <c r="BG161" s="18">
        <v>0</v>
      </c>
      <c r="BH161" s="52">
        <v>0</v>
      </c>
      <c r="BI161" s="38"/>
      <c r="BX161" s="196"/>
      <c r="BY161" s="196"/>
      <c r="BZ161" s="196"/>
      <c r="CA161" s="68"/>
      <c r="CB161" s="26"/>
      <c r="CC161" s="26">
        <v>0</v>
      </c>
      <c r="CD161" s="26">
        <v>0</v>
      </c>
      <c r="CE161" s="26">
        <v>0</v>
      </c>
      <c r="CF161" s="26">
        <v>0</v>
      </c>
      <c r="CG161" s="26">
        <v>0</v>
      </c>
      <c r="CH161" s="36">
        <v>0</v>
      </c>
      <c r="CI161" s="38"/>
      <c r="CJ161" s="196"/>
      <c r="CK161" s="196"/>
      <c r="CL161" s="196"/>
      <c r="CM161" s="196"/>
      <c r="CN161" s="196"/>
      <c r="CO161" s="196"/>
      <c r="CP161" s="196"/>
      <c r="CQ161" s="196"/>
      <c r="CR161" s="196"/>
      <c r="CS161" s="196"/>
      <c r="CT161" s="196"/>
      <c r="CU161" s="196"/>
      <c r="CV161" s="196"/>
      <c r="CW161" s="196"/>
      <c r="CX161" s="196"/>
      <c r="CY161" s="196"/>
      <c r="CZ161" s="196"/>
      <c r="DA161" s="68"/>
      <c r="DB161" s="26"/>
      <c r="DC161" s="26">
        <v>0</v>
      </c>
      <c r="DD161" s="26">
        <v>0</v>
      </c>
      <c r="DE161" s="26">
        <v>0</v>
      </c>
      <c r="DF161" s="26">
        <v>0</v>
      </c>
      <c r="DG161" s="26">
        <v>0</v>
      </c>
      <c r="DH161" s="36">
        <v>0</v>
      </c>
      <c r="DI161" s="38"/>
      <c r="DJ161" s="196"/>
      <c r="DK161" s="196"/>
      <c r="DL161" s="196"/>
      <c r="DM161" s="196"/>
      <c r="DN161" s="196"/>
      <c r="DO161" s="196"/>
      <c r="DP161" s="196"/>
      <c r="DQ161" s="196"/>
      <c r="DR161" s="196"/>
      <c r="DS161" s="196"/>
      <c r="DT161" s="196"/>
      <c r="EA161" s="23" t="s">
        <v>157</v>
      </c>
      <c r="EB161" s="26">
        <f>IF($EA$161="PJ",($EB$160*0.25),0)</f>
        <v>0</v>
      </c>
      <c r="EC161" s="18">
        <v>0</v>
      </c>
      <c r="ED161" s="18">
        <v>0</v>
      </c>
      <c r="EE161" s="18">
        <v>0</v>
      </c>
      <c r="EF161" s="18">
        <v>0</v>
      </c>
      <c r="EG161" s="18">
        <v>0</v>
      </c>
      <c r="EH161" s="18">
        <v>0</v>
      </c>
      <c r="EI161" s="164"/>
    </row>
    <row r="162" spans="27:139" ht="16.5" thickTop="1" thickBot="1" x14ac:dyDescent="0.3">
      <c r="AA162" s="25" t="s">
        <v>32</v>
      </c>
      <c r="AB162" s="26">
        <f>IF($AC$151&lt;$AB$161,$AC$151,$AB$161)</f>
        <v>0</v>
      </c>
      <c r="AC162" s="26"/>
      <c r="AD162" s="26"/>
      <c r="AE162" s="26"/>
      <c r="AF162" s="26"/>
      <c r="AG162" s="26"/>
      <c r="AH162" s="36"/>
      <c r="BA162" s="25" t="s">
        <v>32</v>
      </c>
      <c r="BB162" s="26">
        <f>IF($BC$151&lt;$BB$161,$BC$151,$BB$161)</f>
        <v>0</v>
      </c>
      <c r="BC162" s="26"/>
      <c r="BD162" s="26"/>
      <c r="BE162" s="26"/>
      <c r="BF162" s="26"/>
      <c r="BG162" s="26"/>
      <c r="BH162" s="36"/>
      <c r="BX162" s="196"/>
      <c r="BY162" s="196"/>
      <c r="BZ162" s="196"/>
      <c r="CA162" s="37"/>
      <c r="CB162" s="26"/>
      <c r="CC162" s="26"/>
      <c r="CD162" s="26"/>
      <c r="CE162" s="26"/>
      <c r="CF162" s="26"/>
      <c r="CG162" s="26"/>
      <c r="CH162" s="36"/>
      <c r="CI162" s="196"/>
      <c r="CJ162" s="196"/>
      <c r="CK162" s="196"/>
      <c r="CL162" s="196"/>
      <c r="CM162" s="196"/>
      <c r="CN162" s="196"/>
      <c r="CO162" s="196"/>
      <c r="CP162" s="196"/>
      <c r="CQ162" s="196"/>
      <c r="CR162" s="196"/>
      <c r="CS162" s="196"/>
      <c r="CT162" s="196"/>
      <c r="CU162" s="196"/>
      <c r="CV162" s="196"/>
      <c r="CW162" s="196"/>
      <c r="CX162" s="196"/>
      <c r="CY162" s="196"/>
      <c r="CZ162" s="196"/>
      <c r="DA162" s="37"/>
      <c r="DB162" s="26"/>
      <c r="DC162" s="26"/>
      <c r="DD162" s="26"/>
      <c r="DE162" s="26"/>
      <c r="DF162" s="26"/>
      <c r="DG162" s="26"/>
      <c r="DH162" s="36"/>
      <c r="DI162" s="196"/>
      <c r="DJ162" s="196"/>
      <c r="DK162" s="196"/>
      <c r="DL162" s="196"/>
      <c r="DM162" s="196"/>
      <c r="DN162" s="196"/>
      <c r="DO162" s="196"/>
      <c r="DP162" s="196"/>
      <c r="DQ162" s="196"/>
      <c r="DR162" s="196"/>
      <c r="DS162" s="196"/>
      <c r="DT162" s="196"/>
      <c r="EA162" s="25"/>
      <c r="EB162" s="62"/>
      <c r="EC162" s="26"/>
      <c r="ED162" s="26"/>
      <c r="EE162" s="26"/>
      <c r="EF162" s="26"/>
      <c r="EG162" s="26"/>
      <c r="EH162" s="36"/>
      <c r="EI162" s="164"/>
    </row>
    <row r="163" spans="27:139" ht="16.5" thickTop="1" thickBot="1" x14ac:dyDescent="0.3">
      <c r="AA163" s="25" t="s">
        <v>34</v>
      </c>
      <c r="AB163" s="26">
        <f>IF($AD$151&lt;$AB$161,$AD$151,$AB$161)</f>
        <v>0</v>
      </c>
      <c r="AC163" s="26"/>
      <c r="AD163" s="26"/>
      <c r="AE163" s="26"/>
      <c r="AF163" s="26"/>
      <c r="AG163" s="26"/>
      <c r="AH163" s="36"/>
      <c r="BA163" s="25" t="s">
        <v>34</v>
      </c>
      <c r="BB163" s="26">
        <f>IF($BD$151&lt;$BB$161,$BD$151,$BB$161)</f>
        <v>0</v>
      </c>
      <c r="BC163" s="26"/>
      <c r="BD163" s="26"/>
      <c r="BE163" s="26"/>
      <c r="BF163" s="26"/>
      <c r="BG163" s="26"/>
      <c r="BH163" s="36"/>
      <c r="BX163" s="196"/>
      <c r="BY163" s="196"/>
      <c r="BZ163" s="196"/>
      <c r="CA163" s="37"/>
      <c r="CB163" s="26"/>
      <c r="CC163" s="26"/>
      <c r="CD163" s="26"/>
      <c r="CE163" s="26"/>
      <c r="CF163" s="26"/>
      <c r="CG163" s="26"/>
      <c r="CH163" s="36"/>
      <c r="CI163" s="196"/>
      <c r="CJ163" s="196"/>
      <c r="CK163" s="196"/>
      <c r="CL163" s="196"/>
      <c r="CM163" s="196"/>
      <c r="CN163" s="196"/>
      <c r="CO163" s="196"/>
      <c r="CP163" s="196"/>
      <c r="CQ163" s="196"/>
      <c r="CR163" s="196"/>
      <c r="CS163" s="196"/>
      <c r="CT163" s="196"/>
      <c r="CU163" s="196"/>
      <c r="CV163" s="196"/>
      <c r="CW163" s="196"/>
      <c r="CX163" s="196"/>
      <c r="CY163" s="196"/>
      <c r="CZ163" s="196"/>
      <c r="DA163" s="37"/>
      <c r="DB163" s="26"/>
      <c r="DC163" s="26"/>
      <c r="DD163" s="26"/>
      <c r="DE163" s="26"/>
      <c r="DF163" s="26"/>
      <c r="DG163" s="26"/>
      <c r="DH163" s="36"/>
      <c r="DI163" s="196"/>
      <c r="DJ163" s="196"/>
      <c r="DK163" s="196"/>
      <c r="DL163" s="196"/>
      <c r="DM163" s="196"/>
      <c r="DN163" s="196"/>
      <c r="DO163" s="196"/>
      <c r="DP163" s="196"/>
      <c r="DQ163" s="196"/>
      <c r="DR163" s="196"/>
      <c r="DS163" s="196"/>
      <c r="DT163" s="196"/>
      <c r="EA163" s="53" t="s">
        <v>369</v>
      </c>
      <c r="EB163" s="177">
        <f>$EB$160+$EB$161</f>
        <v>0</v>
      </c>
      <c r="EC163" s="26"/>
      <c r="ED163" s="26"/>
      <c r="EE163" s="26"/>
      <c r="EF163" s="26"/>
      <c r="EG163" s="26"/>
      <c r="EH163" s="36"/>
      <c r="EI163" s="164"/>
    </row>
    <row r="164" spans="27:139" ht="16.5" thickTop="1" thickBot="1" x14ac:dyDescent="0.3">
      <c r="AA164" s="25" t="s">
        <v>45</v>
      </c>
      <c r="AB164" s="26">
        <f>IF($AE$151&lt;$AB$161,$AE$151,$AB$161)</f>
        <v>0</v>
      </c>
      <c r="AC164" s="26"/>
      <c r="AD164" s="26"/>
      <c r="AE164" s="26"/>
      <c r="AF164" s="26"/>
      <c r="AG164" s="26"/>
      <c r="AH164" s="36"/>
      <c r="BA164" s="25" t="s">
        <v>45</v>
      </c>
      <c r="BB164" s="26">
        <f>IF($BE$151&lt;$BB$161,$BE$151,$BB$161)</f>
        <v>0</v>
      </c>
      <c r="BC164" s="26"/>
      <c r="BD164" s="26"/>
      <c r="BE164" s="26"/>
      <c r="BF164" s="26"/>
      <c r="BG164" s="26"/>
      <c r="BH164" s="36"/>
      <c r="BX164" s="196"/>
      <c r="BY164" s="196"/>
      <c r="BZ164" s="196"/>
      <c r="CA164" s="37"/>
      <c r="CB164" s="26"/>
      <c r="CC164" s="26"/>
      <c r="CD164" s="26"/>
      <c r="CE164" s="26"/>
      <c r="CF164" s="26"/>
      <c r="CG164" s="26"/>
      <c r="CH164" s="36"/>
      <c r="CI164" s="196"/>
      <c r="CJ164" s="196"/>
      <c r="CK164" s="196"/>
      <c r="CL164" s="196"/>
      <c r="CM164" s="196"/>
      <c r="CN164" s="196"/>
      <c r="CO164" s="196"/>
      <c r="CP164" s="196"/>
      <c r="CQ164" s="196"/>
      <c r="CR164" s="196"/>
      <c r="CS164" s="196"/>
      <c r="CT164" s="196"/>
      <c r="CU164" s="196"/>
      <c r="CV164" s="196"/>
      <c r="CW164" s="196"/>
      <c r="CX164" s="196"/>
      <c r="CY164" s="196"/>
      <c r="CZ164" s="196"/>
      <c r="DA164" s="37"/>
      <c r="DB164" s="26"/>
      <c r="DC164" s="26"/>
      <c r="DD164" s="26"/>
      <c r="DE164" s="26"/>
      <c r="DF164" s="26"/>
      <c r="DG164" s="26"/>
      <c r="DH164" s="36"/>
      <c r="DI164" s="196"/>
      <c r="DJ164" s="196"/>
      <c r="DK164" s="196"/>
      <c r="DL164" s="196"/>
      <c r="DM164" s="196"/>
      <c r="DN164" s="196"/>
      <c r="DO164" s="196"/>
      <c r="DP164" s="196"/>
      <c r="DQ164" s="196"/>
      <c r="DR164" s="196"/>
      <c r="DS164" s="196"/>
      <c r="DT164" s="196"/>
      <c r="EA164" s="41" t="s">
        <v>368</v>
      </c>
      <c r="EB164" s="177">
        <f>IF($EB$163&lt;=18000,($EB$163*1.05),IF(AND($EB$163&gt;=18001,$EB$163&lt;=40000),$EB$163,IF(AND($EB$163&gt;=40001,$EB$163&lt;=70000),$EB$163-($EB$163*0.1),IF($EB$163&gt;=70001,($EB$163-($EB$163*0.2))))))</f>
        <v>0</v>
      </c>
      <c r="EC164" s="26"/>
      <c r="ED164" s="26"/>
      <c r="EE164" s="26"/>
      <c r="EF164" s="26"/>
      <c r="EG164" s="26"/>
      <c r="EH164" s="36"/>
      <c r="EI164" s="164"/>
    </row>
    <row r="165" spans="27:139" ht="16.5" thickTop="1" thickBot="1" x14ac:dyDescent="0.3">
      <c r="AA165" s="25" t="s">
        <v>46</v>
      </c>
      <c r="AB165" s="26">
        <f>IF($AF$151&lt;$AB$161,$AF$151,$AB$161)</f>
        <v>0</v>
      </c>
      <c r="AC165" s="26"/>
      <c r="AD165" s="26"/>
      <c r="AE165" s="26"/>
      <c r="AF165" s="26"/>
      <c r="AG165" s="26"/>
      <c r="AH165" s="36"/>
      <c r="BA165" s="25" t="s">
        <v>46</v>
      </c>
      <c r="BB165" s="26">
        <f>IF($BF$151&lt;$BB$161,$BF$151,$BB$161)</f>
        <v>0</v>
      </c>
      <c r="BC165" s="26"/>
      <c r="BD165" s="26"/>
      <c r="BE165" s="26"/>
      <c r="BF165" s="26"/>
      <c r="BG165" s="26"/>
      <c r="BH165" s="36"/>
      <c r="BX165" s="196"/>
      <c r="BY165" s="196"/>
      <c r="BZ165" s="196"/>
      <c r="CA165" s="37"/>
      <c r="CB165" s="26"/>
      <c r="CC165" s="26"/>
      <c r="CD165" s="26"/>
      <c r="CE165" s="26"/>
      <c r="CF165" s="26"/>
      <c r="CG165" s="26"/>
      <c r="CH165" s="36"/>
      <c r="CI165" s="196"/>
      <c r="CJ165" s="196"/>
      <c r="CK165" s="196"/>
      <c r="CL165" s="196"/>
      <c r="CM165" s="196"/>
      <c r="CN165" s="196"/>
      <c r="CO165" s="196"/>
      <c r="CP165" s="196"/>
      <c r="CQ165" s="196"/>
      <c r="CR165" s="196"/>
      <c r="CS165" s="196"/>
      <c r="CT165" s="196"/>
      <c r="CU165" s="196"/>
      <c r="CV165" s="196"/>
      <c r="CW165" s="196"/>
      <c r="CX165" s="196"/>
      <c r="CY165" s="196"/>
      <c r="CZ165" s="196"/>
      <c r="DA165" s="37"/>
      <c r="DB165" s="26"/>
      <c r="DC165" s="26"/>
      <c r="DD165" s="26"/>
      <c r="DE165" s="26"/>
      <c r="DF165" s="26"/>
      <c r="DG165" s="26"/>
      <c r="DH165" s="36"/>
      <c r="DI165" s="196"/>
      <c r="DJ165" s="196"/>
      <c r="DK165" s="196"/>
      <c r="DL165" s="196"/>
      <c r="DM165" s="196"/>
      <c r="DN165" s="196"/>
      <c r="DO165" s="196"/>
      <c r="DP165" s="196"/>
      <c r="DQ165" s="196"/>
      <c r="DR165" s="196"/>
      <c r="DS165" s="196"/>
      <c r="DT165" s="196"/>
      <c r="EA165" s="37"/>
      <c r="EB165" s="192"/>
      <c r="EC165" s="26"/>
      <c r="ED165" s="26"/>
      <c r="EE165" s="26"/>
      <c r="EF165" s="26"/>
      <c r="EG165" s="26"/>
      <c r="EH165" s="36"/>
      <c r="EI165" s="164"/>
    </row>
    <row r="166" spans="27:139" ht="16.5" thickTop="1" thickBot="1" x14ac:dyDescent="0.3">
      <c r="AA166" s="25" t="s">
        <v>88</v>
      </c>
      <c r="AB166" s="372">
        <f>IF($AB$162&amp;$AB$163&amp;$AB$164&amp;$AB$165="","0",AVERAGE($AB$162:$AB$165))</f>
        <v>0</v>
      </c>
      <c r="AC166" s="26"/>
      <c r="AD166" s="26"/>
      <c r="AE166" s="26"/>
      <c r="AF166" s="26"/>
      <c r="AG166" s="26"/>
      <c r="AH166" s="36"/>
      <c r="BA166" s="25" t="s">
        <v>88</v>
      </c>
      <c r="BB166" s="372">
        <f>IF($BB$162&amp;$BB$163&amp;$BB$164&amp;$BB$165="","0",AVERAGE($BB$162:$BB$165))</f>
        <v>0</v>
      </c>
      <c r="BC166" s="26"/>
      <c r="BD166" s="26"/>
      <c r="BE166" s="26"/>
      <c r="BF166" s="26"/>
      <c r="BG166" s="26"/>
      <c r="BH166" s="36"/>
      <c r="BX166" s="196"/>
      <c r="BY166" s="196"/>
      <c r="BZ166" s="196"/>
      <c r="CA166" s="37"/>
      <c r="CB166" s="26"/>
      <c r="CC166" s="26"/>
      <c r="CD166" s="26"/>
      <c r="CE166" s="26"/>
      <c r="CF166" s="26"/>
      <c r="CG166" s="26"/>
      <c r="CH166" s="36"/>
      <c r="CI166" s="196"/>
      <c r="CJ166" s="196"/>
      <c r="CK166" s="196"/>
      <c r="CL166" s="196"/>
      <c r="CM166" s="196"/>
      <c r="CN166" s="196"/>
      <c r="CO166" s="196"/>
      <c r="CP166" s="196"/>
      <c r="CQ166" s="196"/>
      <c r="CR166" s="196"/>
      <c r="CS166" s="196"/>
      <c r="CT166" s="196"/>
      <c r="CU166" s="196"/>
      <c r="CV166" s="196"/>
      <c r="CW166" s="196"/>
      <c r="CX166" s="196"/>
      <c r="CY166" s="196"/>
      <c r="CZ166" s="196"/>
      <c r="DA166" s="37"/>
      <c r="DB166" s="26"/>
      <c r="DC166" s="26"/>
      <c r="DD166" s="26"/>
      <c r="DE166" s="26"/>
      <c r="DF166" s="26"/>
      <c r="DG166" s="26"/>
      <c r="DH166" s="36"/>
      <c r="DI166" s="196"/>
      <c r="DJ166" s="196"/>
      <c r="DK166" s="196"/>
      <c r="DL166" s="196"/>
      <c r="DM166" s="196"/>
      <c r="DN166" s="196"/>
      <c r="DO166" s="196"/>
      <c r="DP166" s="196"/>
      <c r="DQ166" s="196"/>
      <c r="DR166" s="196"/>
      <c r="DS166" s="196"/>
      <c r="DT166" s="196"/>
      <c r="EA166" s="184" t="s">
        <v>369</v>
      </c>
      <c r="EB166" s="5">
        <f>VLOOKUP($EA$166,$EA$163:$EB$164,2,0)</f>
        <v>0</v>
      </c>
      <c r="EC166" s="26"/>
      <c r="ED166" s="26"/>
      <c r="EE166" s="26"/>
      <c r="EF166" s="26"/>
      <c r="EG166" s="26"/>
      <c r="EH166" s="36"/>
      <c r="EI166" s="164"/>
    </row>
    <row r="167" spans="27:139" ht="16.5" thickTop="1" thickBot="1" x14ac:dyDescent="0.3">
      <c r="AA167" s="39" t="s">
        <v>50</v>
      </c>
      <c r="AB167" s="40">
        <f>VLOOKUP($AA$159,$A$14:$D$25,3,0)</f>
        <v>1</v>
      </c>
      <c r="AC167" s="26"/>
      <c r="AD167" s="26"/>
      <c r="AE167" s="26"/>
      <c r="AF167" s="26"/>
      <c r="AG167" s="26"/>
      <c r="AH167" s="36"/>
      <c r="BA167" s="39" t="s">
        <v>50</v>
      </c>
      <c r="BB167" s="40">
        <f>VLOOKUP($BA$159,$A$14:$D$25,3,0)</f>
        <v>0</v>
      </c>
      <c r="BC167" s="26"/>
      <c r="BD167" s="26"/>
      <c r="BE167" s="26"/>
      <c r="BF167" s="26"/>
      <c r="BG167" s="26"/>
      <c r="BH167" s="36"/>
      <c r="BX167" s="196"/>
      <c r="BY167" s="196"/>
      <c r="BZ167" s="196"/>
      <c r="CA167" s="37"/>
      <c r="CB167" s="26"/>
      <c r="CC167" s="26"/>
      <c r="CD167" s="26"/>
      <c r="CE167" s="26"/>
      <c r="CF167" s="26"/>
      <c r="CG167" s="26"/>
      <c r="CH167" s="36"/>
      <c r="CI167" s="196"/>
      <c r="CJ167" s="196"/>
      <c r="CK167" s="196"/>
      <c r="CL167" s="196"/>
      <c r="CM167" s="196"/>
      <c r="CN167" s="196"/>
      <c r="CO167" s="196"/>
      <c r="CP167" s="196"/>
      <c r="CQ167" s="196"/>
      <c r="CR167" s="196"/>
      <c r="CS167" s="196"/>
      <c r="CT167" s="196"/>
      <c r="CU167" s="196"/>
      <c r="CV167" s="196"/>
      <c r="CW167" s="196"/>
      <c r="CX167" s="196"/>
      <c r="CY167" s="196"/>
      <c r="CZ167" s="196"/>
      <c r="DA167" s="37"/>
      <c r="DB167" s="26"/>
      <c r="DC167" s="26"/>
      <c r="DD167" s="26"/>
      <c r="DE167" s="26"/>
      <c r="DF167" s="26"/>
      <c r="DG167" s="26"/>
      <c r="DH167" s="36"/>
      <c r="DI167" s="196"/>
      <c r="DJ167" s="196"/>
      <c r="DK167" s="196"/>
      <c r="DL167" s="196"/>
      <c r="DM167" s="196"/>
      <c r="DN167" s="196"/>
      <c r="DO167" s="196"/>
      <c r="DP167" s="196"/>
      <c r="DQ167" s="196"/>
      <c r="DR167" s="196"/>
      <c r="DS167" s="196"/>
      <c r="DT167" s="196"/>
      <c r="EA167" s="27" t="s">
        <v>356</v>
      </c>
      <c r="EB167" s="109">
        <v>80000</v>
      </c>
      <c r="EC167" s="26"/>
      <c r="ED167" s="26"/>
      <c r="EE167" s="26"/>
      <c r="EF167" s="26"/>
      <c r="EG167" s="26"/>
      <c r="EH167" s="36"/>
      <c r="EI167" s="164"/>
    </row>
    <row r="168" spans="27:139" ht="16.5" thickTop="1" thickBot="1" x14ac:dyDescent="0.3">
      <c r="AA168" s="41" t="s">
        <v>43</v>
      </c>
      <c r="AB168" s="42">
        <f>IF($AA$159=$A$14,$AB$166*$AB$167,IF($AA$159=$A$15,$AB$166*$AB$167,IF($AA$159=$A$16,$AB$166*$AB$167,$AB$159*$AB$167)))</f>
        <v>0</v>
      </c>
      <c r="AC168" s="100"/>
      <c r="AD168" s="31"/>
      <c r="AE168" s="31"/>
      <c r="AF168" s="31"/>
      <c r="AG168" s="31"/>
      <c r="AH168" s="43"/>
      <c r="BA168" s="41" t="s">
        <v>43</v>
      </c>
      <c r="BB168" s="42">
        <f>IF($BA$159=$A$14,$BB$166*$BB$167,IF($BA$159=$A$15,$BB$166*$BB$167,IF($BA$159=$A$16,$BB$166*$BB$167,$BB$159*$BB$167)))</f>
        <v>0</v>
      </c>
      <c r="BC168" s="100"/>
      <c r="BD168" s="31"/>
      <c r="BE168" s="31"/>
      <c r="BF168" s="31"/>
      <c r="BG168" s="31"/>
      <c r="BH168" s="43"/>
      <c r="BX168" s="196"/>
      <c r="BY168" s="196"/>
      <c r="BZ168" s="196"/>
      <c r="CA168" s="99"/>
      <c r="CB168" s="31"/>
      <c r="CC168" s="100"/>
      <c r="CD168" s="31"/>
      <c r="CE168" s="31"/>
      <c r="CF168" s="31"/>
      <c r="CG168" s="31"/>
      <c r="CH168" s="43"/>
      <c r="CI168" s="196"/>
      <c r="CJ168" s="196"/>
      <c r="CK168" s="196"/>
      <c r="CL168" s="196"/>
      <c r="CM168" s="196"/>
      <c r="CN168" s="196"/>
      <c r="CO168" s="196"/>
      <c r="CP168" s="196"/>
      <c r="CQ168" s="196"/>
      <c r="CR168" s="196"/>
      <c r="CS168" s="196"/>
      <c r="CT168" s="196"/>
      <c r="CU168" s="196"/>
      <c r="CV168" s="196"/>
      <c r="CW168" s="196"/>
      <c r="CX168" s="196"/>
      <c r="CY168" s="196"/>
      <c r="CZ168" s="196"/>
      <c r="DA168" s="99"/>
      <c r="DB168" s="31"/>
      <c r="DC168" s="100"/>
      <c r="DD168" s="31"/>
      <c r="DE168" s="31"/>
      <c r="DF168" s="31"/>
      <c r="DG168" s="31"/>
      <c r="DH168" s="43"/>
      <c r="DI168" s="196"/>
      <c r="DJ168" s="196"/>
      <c r="DK168" s="196"/>
      <c r="DL168" s="196"/>
      <c r="DM168" s="196"/>
      <c r="DN168" s="196"/>
      <c r="DO168" s="196"/>
      <c r="DP168" s="196"/>
      <c r="DQ168" s="196"/>
      <c r="DR168" s="196"/>
      <c r="DS168" s="196"/>
      <c r="DT168" s="196"/>
      <c r="EA168" s="41" t="s">
        <v>391</v>
      </c>
      <c r="EB168" s="191">
        <f>IF($EB$166&gt;=$EB$167,$EB$167,$EB$166)</f>
        <v>0</v>
      </c>
      <c r="EC168" s="26"/>
      <c r="ED168" s="26"/>
      <c r="EE168" s="26"/>
      <c r="EF168" s="26"/>
      <c r="EG168" s="31"/>
      <c r="EH168" s="193" t="str">
        <f>IF($EB$168=$EB$167,"El Tope de ingresos para este producto es de "&amp;TEXT($EB$167,"$ #,##0.00"),IF($EB$168=$A$3,"El Ingreso se esta topando en base a la cantidad capturada en solicitud",""))</f>
        <v>El Ingreso se esta topando en base a la cantidad capturada en solicitud</v>
      </c>
      <c r="EI168" s="164"/>
    </row>
    <row r="169" spans="27:139" x14ac:dyDescent="0.25">
      <c r="BX169" s="196"/>
      <c r="BY169" s="196"/>
      <c r="BZ169" s="196"/>
      <c r="CA169" s="196"/>
      <c r="CB169" s="196"/>
      <c r="CC169" s="196"/>
      <c r="CD169" s="196"/>
      <c r="CE169" s="196"/>
      <c r="CF169" s="196"/>
      <c r="CG169" s="196"/>
      <c r="CH169" s="196"/>
      <c r="CI169" s="196"/>
      <c r="CJ169" s="196"/>
      <c r="CK169" s="196"/>
      <c r="CL169" s="196"/>
      <c r="CM169" s="196"/>
      <c r="CN169" s="196"/>
      <c r="CO169" s="196"/>
      <c r="CP169" s="196"/>
      <c r="CQ169" s="196"/>
      <c r="CR169" s="196"/>
      <c r="CS169" s="196"/>
      <c r="CT169" s="196"/>
      <c r="CU169" s="196"/>
      <c r="CV169" s="196"/>
      <c r="CW169" s="196"/>
      <c r="CX169" s="196"/>
      <c r="CY169" s="196"/>
      <c r="CZ169" s="196"/>
      <c r="DA169" s="196"/>
      <c r="DB169" s="196"/>
      <c r="DC169" s="196"/>
      <c r="DD169" s="196"/>
      <c r="DE169" s="196"/>
      <c r="DF169" s="196"/>
      <c r="DG169" s="196"/>
      <c r="DH169" s="196"/>
      <c r="DI169" s="196"/>
      <c r="DJ169" s="196"/>
      <c r="DK169" s="196"/>
      <c r="DL169" s="196"/>
      <c r="DM169" s="196"/>
      <c r="DN169" s="196"/>
      <c r="DO169" s="196"/>
      <c r="DP169" s="196"/>
      <c r="DQ169" s="196"/>
      <c r="DR169" s="196"/>
      <c r="DS169" s="196"/>
      <c r="DT169" s="196"/>
      <c r="EA169" s="164"/>
      <c r="EB169" s="164"/>
      <c r="EC169" s="164"/>
      <c r="ED169" s="164"/>
      <c r="EE169" s="164"/>
      <c r="EF169" s="164"/>
      <c r="EG169" s="164"/>
      <c r="EH169" s="164"/>
      <c r="EI169" s="164"/>
    </row>
    <row r="170" spans="27:139" x14ac:dyDescent="0.25">
      <c r="BX170" s="196"/>
      <c r="BY170" s="196"/>
      <c r="BZ170" s="196"/>
      <c r="CA170" s="196"/>
      <c r="CB170" s="196"/>
      <c r="CC170" s="196"/>
      <c r="CD170" s="196"/>
      <c r="CE170" s="196"/>
      <c r="CF170" s="196"/>
      <c r="CG170" s="196"/>
      <c r="CH170" s="196"/>
      <c r="CI170" s="196"/>
      <c r="CJ170" s="196"/>
      <c r="CK170" s="196"/>
      <c r="CL170" s="196"/>
      <c r="CM170" s="196"/>
      <c r="CN170" s="196"/>
      <c r="CO170" s="196"/>
      <c r="CP170" s="196"/>
      <c r="CQ170" s="196"/>
      <c r="CR170" s="196"/>
      <c r="CS170" s="196"/>
      <c r="CT170" s="196"/>
      <c r="CU170" s="196"/>
      <c r="CV170" s="196"/>
      <c r="CW170" s="196"/>
      <c r="CX170" s="196"/>
      <c r="CY170" s="196"/>
      <c r="CZ170" s="196"/>
      <c r="DA170" s="196"/>
      <c r="DB170" s="196"/>
      <c r="DC170" s="196"/>
      <c r="DD170" s="196"/>
      <c r="DE170" s="196"/>
      <c r="DF170" s="196"/>
      <c r="DG170" s="196"/>
      <c r="DH170" s="196"/>
      <c r="DI170" s="196"/>
      <c r="DJ170" s="196"/>
      <c r="DK170" s="196"/>
      <c r="DL170" s="196"/>
      <c r="DM170" s="196"/>
      <c r="DN170" s="196"/>
      <c r="DO170" s="196"/>
      <c r="DP170" s="196"/>
      <c r="DQ170" s="196"/>
      <c r="DR170" s="196"/>
      <c r="DS170" s="196"/>
      <c r="DT170" s="196"/>
    </row>
    <row r="171" spans="27:139" x14ac:dyDescent="0.25">
      <c r="BX171" s="196"/>
      <c r="BY171" s="196"/>
      <c r="BZ171" s="196"/>
      <c r="CA171" s="196"/>
      <c r="CB171" s="196"/>
      <c r="CC171" s="196"/>
      <c r="CD171" s="196"/>
      <c r="CE171" s="196"/>
      <c r="CF171" s="196"/>
      <c r="CG171" s="196"/>
      <c r="CH171" s="196"/>
      <c r="CI171" s="196"/>
      <c r="CJ171" s="196"/>
      <c r="CK171" s="196"/>
      <c r="CL171" s="196"/>
      <c r="CM171" s="196"/>
      <c r="CN171" s="196"/>
      <c r="CO171" s="196"/>
      <c r="CP171" s="196"/>
      <c r="CQ171" s="196"/>
      <c r="CR171" s="196"/>
      <c r="CS171" s="196"/>
      <c r="CT171" s="196"/>
      <c r="CU171" s="196"/>
      <c r="CV171" s="196"/>
      <c r="CW171" s="196"/>
      <c r="CX171" s="196"/>
      <c r="CY171" s="196"/>
      <c r="CZ171" s="196"/>
      <c r="DA171" s="196"/>
      <c r="DB171" s="196"/>
      <c r="DC171" s="196"/>
      <c r="DD171" s="196"/>
      <c r="DE171" s="196"/>
      <c r="DF171" s="196"/>
      <c r="DG171" s="196"/>
      <c r="DH171" s="196"/>
      <c r="DI171" s="196"/>
      <c r="DJ171" s="196"/>
      <c r="DK171" s="196"/>
      <c r="DL171" s="196"/>
      <c r="DM171" s="196"/>
      <c r="DN171" s="196"/>
      <c r="DO171" s="196"/>
      <c r="DP171" s="196"/>
      <c r="DQ171" s="196"/>
      <c r="DR171" s="196"/>
      <c r="DS171" s="196"/>
      <c r="DT171" s="196"/>
    </row>
    <row r="172" spans="27:139" x14ac:dyDescent="0.25">
      <c r="BX172" s="196"/>
      <c r="BY172" s="196"/>
      <c r="BZ172" s="196"/>
      <c r="CA172" s="196"/>
      <c r="CB172" s="196"/>
      <c r="CC172" s="196"/>
      <c r="CD172" s="196"/>
      <c r="CE172" s="196"/>
      <c r="CF172" s="196"/>
      <c r="CG172" s="196"/>
      <c r="CH172" s="196"/>
      <c r="CI172" s="196"/>
      <c r="CJ172" s="196"/>
      <c r="CK172" s="196"/>
      <c r="CL172" s="196"/>
      <c r="CM172" s="196"/>
      <c r="CN172" s="196"/>
      <c r="CO172" s="196"/>
      <c r="CP172" s="196"/>
      <c r="CQ172" s="196"/>
      <c r="CR172" s="196"/>
      <c r="CS172" s="196"/>
      <c r="CT172" s="196"/>
      <c r="CU172" s="196"/>
      <c r="CV172" s="196"/>
      <c r="CW172" s="196"/>
      <c r="CX172" s="196"/>
      <c r="CY172" s="196"/>
      <c r="CZ172" s="196"/>
      <c r="DA172" s="196"/>
      <c r="DB172" s="196"/>
      <c r="DC172" s="196"/>
      <c r="DD172" s="196"/>
      <c r="DE172" s="196"/>
      <c r="DF172" s="196"/>
      <c r="DG172" s="196"/>
      <c r="DH172" s="196"/>
      <c r="DI172" s="196"/>
      <c r="DJ172" s="196"/>
      <c r="DK172" s="196"/>
      <c r="DL172" s="196"/>
      <c r="DM172" s="196"/>
      <c r="DN172" s="196"/>
      <c r="DO172" s="196"/>
      <c r="DP172" s="196"/>
      <c r="DQ172" s="196"/>
      <c r="DR172" s="196"/>
      <c r="DS172" s="196"/>
      <c r="DT172" s="196"/>
    </row>
    <row r="173" spans="27:139" x14ac:dyDescent="0.25">
      <c r="BX173" s="196"/>
      <c r="BY173" s="196"/>
      <c r="BZ173" s="196"/>
      <c r="CA173" s="196"/>
      <c r="CB173" s="196"/>
      <c r="CC173" s="196"/>
      <c r="CD173" s="196"/>
      <c r="CE173" s="196"/>
      <c r="CF173" s="196"/>
      <c r="CG173" s="196"/>
      <c r="CH173" s="196"/>
      <c r="CI173" s="196"/>
      <c r="CJ173" s="196"/>
      <c r="CK173" s="196"/>
      <c r="CL173" s="196"/>
      <c r="CM173" s="196"/>
      <c r="CN173" s="196"/>
      <c r="CO173" s="196"/>
      <c r="CP173" s="196"/>
      <c r="CQ173" s="196"/>
      <c r="CR173" s="196"/>
      <c r="CS173" s="196"/>
      <c r="CT173" s="196"/>
      <c r="CU173" s="196"/>
      <c r="CV173" s="196"/>
      <c r="CW173" s="196"/>
      <c r="CX173" s="196"/>
      <c r="CY173" s="196"/>
      <c r="CZ173" s="196"/>
      <c r="DA173" s="196"/>
      <c r="DB173" s="196"/>
      <c r="DC173" s="196"/>
      <c r="DD173" s="196"/>
      <c r="DE173" s="196"/>
      <c r="DF173" s="196"/>
      <c r="DG173" s="196"/>
      <c r="DH173" s="196"/>
      <c r="DI173" s="196"/>
      <c r="DJ173" s="196"/>
      <c r="DK173" s="196"/>
      <c r="DL173" s="196"/>
      <c r="DM173" s="196"/>
      <c r="DN173" s="196"/>
      <c r="DO173" s="196"/>
      <c r="DP173" s="196"/>
      <c r="DQ173" s="196"/>
      <c r="DR173" s="196"/>
      <c r="DS173" s="196"/>
      <c r="DT173" s="196"/>
    </row>
    <row r="174" spans="27:139" x14ac:dyDescent="0.25">
      <c r="BX174" s="196"/>
      <c r="BY174" s="196"/>
      <c r="BZ174" s="196"/>
      <c r="CA174" s="196"/>
      <c r="CB174" s="196"/>
      <c r="CC174" s="196"/>
      <c r="CD174" s="196"/>
      <c r="CE174" s="196"/>
      <c r="CF174" s="196"/>
      <c r="CG174" s="196"/>
      <c r="CH174" s="196"/>
      <c r="CI174" s="196"/>
      <c r="CJ174" s="196"/>
      <c r="CK174" s="196"/>
      <c r="CL174" s="196"/>
      <c r="CM174" s="196"/>
      <c r="CN174" s="196"/>
      <c r="CO174" s="196"/>
      <c r="CP174" s="196"/>
      <c r="CQ174" s="196"/>
      <c r="CR174" s="196"/>
      <c r="CS174" s="196"/>
      <c r="CT174" s="196"/>
      <c r="CU174" s="196"/>
      <c r="CV174" s="196"/>
      <c r="CW174" s="196"/>
      <c r="CX174" s="196"/>
      <c r="CY174" s="196"/>
      <c r="CZ174" s="196"/>
      <c r="DA174" s="196"/>
      <c r="DB174" s="196"/>
      <c r="DC174" s="196"/>
      <c r="DD174" s="196"/>
      <c r="DE174" s="196"/>
      <c r="DF174" s="196"/>
      <c r="DG174" s="196"/>
      <c r="DH174" s="196"/>
      <c r="DI174" s="196"/>
      <c r="DJ174" s="196"/>
      <c r="DK174" s="196"/>
      <c r="DL174" s="196"/>
      <c r="DM174" s="196"/>
      <c r="DN174" s="196"/>
      <c r="DO174" s="196"/>
      <c r="DP174" s="196"/>
      <c r="DQ174" s="196"/>
      <c r="DR174" s="196"/>
      <c r="DS174" s="196"/>
      <c r="DT174" s="196"/>
    </row>
    <row r="175" spans="27:139" x14ac:dyDescent="0.25">
      <c r="BX175" s="196"/>
      <c r="BY175" s="196"/>
      <c r="BZ175" s="196"/>
      <c r="CA175" s="196"/>
      <c r="CB175" s="196"/>
      <c r="CC175" s="196"/>
      <c r="CD175" s="196"/>
      <c r="CE175" s="196"/>
      <c r="CF175" s="196"/>
      <c r="CG175" s="196"/>
      <c r="CH175" s="196"/>
      <c r="CI175" s="196"/>
      <c r="CJ175" s="196"/>
      <c r="CK175" s="196"/>
      <c r="CL175" s="196"/>
      <c r="CM175" s="196"/>
      <c r="CN175" s="196"/>
      <c r="CO175" s="196"/>
      <c r="CP175" s="196"/>
      <c r="CQ175" s="196"/>
      <c r="CR175" s="196"/>
      <c r="CS175" s="196"/>
      <c r="CT175" s="196"/>
      <c r="CU175" s="196"/>
      <c r="CV175" s="196"/>
      <c r="CW175" s="196"/>
      <c r="CX175" s="196"/>
      <c r="CY175" s="196"/>
      <c r="CZ175" s="196"/>
      <c r="DA175" s="196"/>
      <c r="DB175" s="196"/>
      <c r="DC175" s="196"/>
      <c r="DD175" s="196"/>
      <c r="DE175" s="196"/>
      <c r="DF175" s="196"/>
      <c r="DG175" s="196"/>
      <c r="DH175" s="196"/>
      <c r="DI175" s="196"/>
      <c r="DJ175" s="196"/>
      <c r="DK175" s="196"/>
      <c r="DL175" s="196"/>
      <c r="DM175" s="196"/>
      <c r="DN175" s="196"/>
      <c r="DO175" s="196"/>
      <c r="DP175" s="196"/>
      <c r="DQ175" s="196"/>
      <c r="DR175" s="196"/>
      <c r="DS175" s="196"/>
      <c r="DT175" s="196"/>
    </row>
    <row r="176" spans="27:139" x14ac:dyDescent="0.25">
      <c r="BX176" s="196"/>
      <c r="BY176" s="196"/>
      <c r="BZ176" s="196"/>
      <c r="CA176" s="196"/>
      <c r="CB176" s="196"/>
      <c r="CC176" s="196"/>
      <c r="CD176" s="196"/>
      <c r="CE176" s="196"/>
      <c r="CF176" s="196"/>
      <c r="CG176" s="196"/>
      <c r="CH176" s="196"/>
      <c r="CI176" s="196"/>
      <c r="CJ176" s="196"/>
      <c r="CK176" s="196"/>
      <c r="CL176" s="196"/>
      <c r="CM176" s="196"/>
      <c r="CN176" s="196"/>
      <c r="CO176" s="196"/>
      <c r="CP176" s="196"/>
      <c r="CQ176" s="196"/>
      <c r="CR176" s="196"/>
      <c r="CS176" s="196"/>
      <c r="CT176" s="196"/>
      <c r="CU176" s="196"/>
      <c r="CV176" s="196"/>
      <c r="CW176" s="196"/>
      <c r="CX176" s="196"/>
      <c r="CY176" s="196"/>
      <c r="CZ176" s="196"/>
      <c r="DA176" s="196"/>
      <c r="DB176" s="196"/>
      <c r="DC176" s="196"/>
      <c r="DD176" s="196"/>
      <c r="DE176" s="196"/>
      <c r="DF176" s="196"/>
      <c r="DG176" s="196"/>
      <c r="DH176" s="196"/>
      <c r="DI176" s="196"/>
      <c r="DJ176" s="196"/>
      <c r="DK176" s="196"/>
      <c r="DL176" s="196"/>
      <c r="DM176" s="196"/>
      <c r="DN176" s="196"/>
      <c r="DO176" s="196"/>
      <c r="DP176" s="196"/>
      <c r="DQ176" s="196"/>
      <c r="DR176" s="196"/>
      <c r="DS176" s="196"/>
      <c r="DT176" s="196"/>
    </row>
    <row r="177" spans="76:124" x14ac:dyDescent="0.25">
      <c r="BX177" s="196"/>
      <c r="BY177" s="196"/>
      <c r="BZ177" s="196"/>
      <c r="CA177" s="196"/>
      <c r="CB177" s="196"/>
      <c r="CC177" s="196"/>
      <c r="CD177" s="196"/>
      <c r="CE177" s="196"/>
      <c r="CF177" s="196"/>
      <c r="CG177" s="196"/>
      <c r="CH177" s="196"/>
      <c r="CI177" s="196"/>
      <c r="CJ177" s="196"/>
      <c r="CK177" s="196"/>
      <c r="CL177" s="196"/>
      <c r="CM177" s="196"/>
      <c r="CN177" s="196"/>
      <c r="CO177" s="196"/>
      <c r="CP177" s="196"/>
      <c r="CQ177" s="196"/>
      <c r="CR177" s="196"/>
      <c r="CS177" s="196"/>
      <c r="CT177" s="196"/>
      <c r="CU177" s="196"/>
      <c r="CV177" s="196"/>
      <c r="CW177" s="196"/>
      <c r="CX177" s="196"/>
      <c r="CY177" s="196"/>
      <c r="CZ177" s="196"/>
      <c r="DA177" s="196"/>
      <c r="DB177" s="196"/>
      <c r="DC177" s="196"/>
      <c r="DD177" s="196"/>
      <c r="DE177" s="196"/>
      <c r="DF177" s="196"/>
      <c r="DG177" s="196"/>
      <c r="DH177" s="196"/>
      <c r="DI177" s="196"/>
      <c r="DJ177" s="196"/>
      <c r="DK177" s="196"/>
      <c r="DL177" s="196"/>
      <c r="DM177" s="196"/>
      <c r="DN177" s="196"/>
      <c r="DO177" s="196"/>
      <c r="DP177" s="196"/>
      <c r="DQ177" s="196"/>
      <c r="DR177" s="196"/>
      <c r="DS177" s="196"/>
      <c r="DT177" s="196"/>
    </row>
    <row r="178" spans="76:124" x14ac:dyDescent="0.25">
      <c r="BX178" s="196"/>
      <c r="BY178" s="196"/>
      <c r="BZ178" s="196"/>
      <c r="CA178" s="196"/>
      <c r="CB178" s="196"/>
      <c r="CC178" s="196"/>
      <c r="CD178" s="196"/>
      <c r="CE178" s="196"/>
      <c r="CF178" s="196"/>
      <c r="CG178" s="196"/>
      <c r="CH178" s="196"/>
      <c r="CI178" s="196"/>
      <c r="CJ178" s="196"/>
      <c r="CK178" s="196"/>
      <c r="CL178" s="196"/>
      <c r="CM178" s="196"/>
      <c r="CN178" s="196"/>
      <c r="CO178" s="196"/>
      <c r="CP178" s="196"/>
      <c r="CQ178" s="196"/>
      <c r="CR178" s="196"/>
      <c r="CS178" s="196"/>
      <c r="CT178" s="196"/>
      <c r="CU178" s="196"/>
      <c r="CV178" s="196"/>
      <c r="CW178" s="196"/>
      <c r="CX178" s="196"/>
      <c r="CY178" s="196"/>
      <c r="CZ178" s="196"/>
      <c r="DA178" s="196"/>
      <c r="DB178" s="196"/>
      <c r="DC178" s="196"/>
      <c r="DD178" s="196"/>
      <c r="DE178" s="196"/>
      <c r="DF178" s="196"/>
      <c r="DG178" s="196"/>
      <c r="DH178" s="196"/>
      <c r="DI178" s="196"/>
      <c r="DJ178" s="196"/>
      <c r="DK178" s="196"/>
      <c r="DL178" s="196"/>
      <c r="DM178" s="196"/>
      <c r="DN178" s="196"/>
      <c r="DO178" s="196"/>
      <c r="DP178" s="196"/>
      <c r="DQ178" s="196"/>
      <c r="DR178" s="196"/>
      <c r="DS178" s="196"/>
      <c r="DT178" s="196"/>
    </row>
    <row r="179" spans="76:124" x14ac:dyDescent="0.25">
      <c r="BX179" s="196"/>
      <c r="BY179" s="196"/>
      <c r="BZ179" s="196"/>
      <c r="CA179" s="196"/>
      <c r="CB179" s="196"/>
      <c r="CC179" s="196"/>
      <c r="CD179" s="196"/>
      <c r="CE179" s="196"/>
      <c r="CF179" s="196"/>
      <c r="CG179" s="196"/>
      <c r="CH179" s="196"/>
      <c r="CI179" s="196"/>
      <c r="CJ179" s="196"/>
      <c r="CK179" s="196"/>
      <c r="CL179" s="196"/>
      <c r="CM179" s="196"/>
      <c r="CN179" s="196"/>
      <c r="CO179" s="196"/>
      <c r="CP179" s="196"/>
      <c r="CQ179" s="196"/>
      <c r="CR179" s="196"/>
      <c r="CS179" s="196"/>
      <c r="CT179" s="196"/>
      <c r="CU179" s="196"/>
      <c r="CV179" s="196"/>
      <c r="CW179" s="196"/>
      <c r="CX179" s="196"/>
      <c r="CY179" s="196"/>
      <c r="CZ179" s="196"/>
      <c r="DA179" s="196"/>
      <c r="DB179" s="196"/>
      <c r="DC179" s="196"/>
      <c r="DD179" s="196"/>
      <c r="DE179" s="196"/>
      <c r="DF179" s="196"/>
      <c r="DG179" s="196"/>
      <c r="DH179" s="196"/>
      <c r="DI179" s="196"/>
      <c r="DJ179" s="196"/>
      <c r="DK179" s="196"/>
      <c r="DL179" s="196"/>
      <c r="DM179" s="196"/>
      <c r="DN179" s="196"/>
      <c r="DO179" s="196"/>
      <c r="DP179" s="196"/>
      <c r="DQ179" s="196"/>
      <c r="DR179" s="196"/>
      <c r="DS179" s="196"/>
      <c r="DT179" s="196"/>
    </row>
    <row r="180" spans="76:124" x14ac:dyDescent="0.25">
      <c r="BX180" s="196"/>
      <c r="BY180" s="196"/>
      <c r="BZ180" s="196"/>
      <c r="CA180" s="196"/>
      <c r="CB180" s="196"/>
      <c r="CC180" s="196"/>
      <c r="CD180" s="196"/>
      <c r="CE180" s="196"/>
      <c r="CF180" s="196"/>
      <c r="CG180" s="196"/>
      <c r="CH180" s="196"/>
      <c r="CI180" s="196"/>
      <c r="CJ180" s="196"/>
      <c r="CK180" s="196"/>
      <c r="CL180" s="196"/>
      <c r="CM180" s="196"/>
      <c r="CN180" s="196"/>
      <c r="CO180" s="196"/>
      <c r="CP180" s="196"/>
      <c r="CQ180" s="196"/>
      <c r="CR180" s="196"/>
      <c r="CS180" s="196"/>
      <c r="CT180" s="196"/>
      <c r="CU180" s="196"/>
      <c r="CV180" s="196"/>
      <c r="CW180" s="196"/>
      <c r="CX180" s="196"/>
      <c r="CY180" s="196"/>
      <c r="CZ180" s="196"/>
      <c r="DA180" s="196"/>
      <c r="DB180" s="196"/>
      <c r="DC180" s="196"/>
      <c r="DD180" s="196"/>
      <c r="DE180" s="196"/>
      <c r="DF180" s="196"/>
      <c r="DG180" s="196"/>
      <c r="DH180" s="196"/>
      <c r="DI180" s="196"/>
      <c r="DJ180" s="196"/>
      <c r="DK180" s="196"/>
      <c r="DL180" s="196"/>
      <c r="DM180" s="196"/>
      <c r="DN180" s="196"/>
      <c r="DO180" s="196"/>
      <c r="DP180" s="196"/>
      <c r="DQ180" s="196"/>
      <c r="DR180" s="196"/>
      <c r="DS180" s="196"/>
      <c r="DT180" s="196"/>
    </row>
    <row r="181" spans="76:124" x14ac:dyDescent="0.25">
      <c r="BX181" s="196"/>
      <c r="BY181" s="196"/>
      <c r="BZ181" s="196"/>
      <c r="CA181" s="196"/>
      <c r="CB181" s="196"/>
      <c r="CC181" s="196"/>
      <c r="CD181" s="196"/>
      <c r="CE181" s="196"/>
      <c r="CF181" s="196"/>
      <c r="CG181" s="196"/>
      <c r="CH181" s="196"/>
      <c r="CI181" s="196"/>
      <c r="CJ181" s="196"/>
      <c r="CK181" s="196"/>
      <c r="CL181" s="196"/>
      <c r="CM181" s="196"/>
      <c r="CN181" s="196"/>
      <c r="CO181" s="196"/>
      <c r="CP181" s="196"/>
      <c r="CQ181" s="196"/>
      <c r="CR181" s="196"/>
      <c r="CS181" s="196"/>
      <c r="CT181" s="196"/>
      <c r="CU181" s="196"/>
      <c r="CV181" s="196"/>
      <c r="CW181" s="196"/>
      <c r="CX181" s="196"/>
      <c r="CY181" s="196"/>
      <c r="CZ181" s="196"/>
      <c r="DA181" s="196"/>
      <c r="DB181" s="196"/>
      <c r="DC181" s="196"/>
      <c r="DD181" s="196"/>
      <c r="DE181" s="196"/>
      <c r="DF181" s="196"/>
      <c r="DG181" s="196"/>
      <c r="DH181" s="196"/>
      <c r="DI181" s="196"/>
      <c r="DJ181" s="196"/>
      <c r="DK181" s="196"/>
      <c r="DL181" s="196"/>
      <c r="DM181" s="196"/>
      <c r="DN181" s="196"/>
      <c r="DO181" s="196"/>
      <c r="DP181" s="196"/>
      <c r="DQ181" s="196"/>
      <c r="DR181" s="196"/>
      <c r="DS181" s="196"/>
      <c r="DT181" s="196"/>
    </row>
    <row r="182" spans="76:124" x14ac:dyDescent="0.25">
      <c r="BX182" s="196"/>
      <c r="BY182" s="196"/>
      <c r="BZ182" s="196"/>
      <c r="CA182" s="196"/>
      <c r="CB182" s="196"/>
      <c r="CC182" s="196"/>
      <c r="CD182" s="196"/>
      <c r="CE182" s="196"/>
      <c r="CF182" s="196"/>
      <c r="CG182" s="196"/>
      <c r="CH182" s="196"/>
      <c r="CI182" s="196"/>
      <c r="CJ182" s="196"/>
      <c r="CK182" s="196"/>
      <c r="CL182" s="196"/>
      <c r="CM182" s="196"/>
      <c r="CN182" s="196"/>
      <c r="CO182" s="196"/>
      <c r="CP182" s="196"/>
      <c r="CQ182" s="196"/>
      <c r="CR182" s="196"/>
      <c r="CS182" s="196"/>
      <c r="CT182" s="196"/>
      <c r="CU182" s="196"/>
      <c r="CV182" s="196"/>
      <c r="CW182" s="196"/>
      <c r="CX182" s="196"/>
      <c r="CY182" s="196"/>
      <c r="CZ182" s="196"/>
      <c r="DA182" s="196"/>
      <c r="DB182" s="196"/>
      <c r="DC182" s="196"/>
      <c r="DD182" s="196"/>
      <c r="DE182" s="196"/>
      <c r="DF182" s="196"/>
      <c r="DG182" s="196"/>
      <c r="DH182" s="196"/>
      <c r="DI182" s="196"/>
      <c r="DJ182" s="196"/>
      <c r="DK182" s="196"/>
      <c r="DL182" s="196"/>
      <c r="DM182" s="196"/>
      <c r="DN182" s="196"/>
      <c r="DO182" s="196"/>
      <c r="DP182" s="196"/>
      <c r="DQ182" s="196"/>
      <c r="DR182" s="196"/>
      <c r="DS182" s="196"/>
      <c r="DT182" s="196"/>
    </row>
    <row r="183" spans="76:124" x14ac:dyDescent="0.25">
      <c r="BX183" s="196"/>
      <c r="BY183" s="196"/>
      <c r="BZ183" s="196"/>
      <c r="CA183" s="196"/>
      <c r="CB183" s="196"/>
      <c r="CC183" s="196"/>
      <c r="CD183" s="196"/>
      <c r="CE183" s="196"/>
      <c r="CF183" s="196"/>
      <c r="CG183" s="196"/>
      <c r="CH183" s="196"/>
      <c r="CI183" s="196"/>
      <c r="CJ183" s="196"/>
      <c r="CK183" s="196"/>
      <c r="CL183" s="196"/>
      <c r="CM183" s="196"/>
      <c r="CN183" s="196"/>
      <c r="CO183" s="196"/>
      <c r="CP183" s="196"/>
      <c r="CQ183" s="196"/>
      <c r="CR183" s="196"/>
      <c r="CS183" s="196"/>
      <c r="CT183" s="196"/>
      <c r="CU183" s="196"/>
      <c r="CV183" s="196"/>
      <c r="CW183" s="196"/>
      <c r="CX183" s="196"/>
      <c r="CY183" s="196"/>
      <c r="CZ183" s="196"/>
      <c r="DA183" s="196"/>
      <c r="DB183" s="196"/>
      <c r="DC183" s="196"/>
      <c r="DD183" s="196"/>
      <c r="DE183" s="196"/>
      <c r="DF183" s="196"/>
      <c r="DG183" s="196"/>
      <c r="DH183" s="196"/>
      <c r="DI183" s="196"/>
      <c r="DJ183" s="196"/>
      <c r="DK183" s="196"/>
      <c r="DL183" s="196"/>
      <c r="DM183" s="196"/>
      <c r="DN183" s="196"/>
      <c r="DO183" s="196"/>
      <c r="DP183" s="196"/>
      <c r="DQ183" s="196"/>
      <c r="DR183" s="196"/>
      <c r="DS183" s="196"/>
      <c r="DT183" s="196"/>
    </row>
    <row r="184" spans="76:124" x14ac:dyDescent="0.25">
      <c r="BX184" s="196"/>
      <c r="BY184" s="196"/>
      <c r="BZ184" s="196"/>
      <c r="CA184" s="196"/>
      <c r="CB184" s="196"/>
      <c r="CC184" s="196"/>
      <c r="CD184" s="196"/>
      <c r="CE184" s="196"/>
      <c r="CF184" s="196"/>
      <c r="CG184" s="196"/>
      <c r="CH184" s="196"/>
      <c r="CI184" s="196"/>
      <c r="CJ184" s="196"/>
      <c r="CK184" s="196"/>
      <c r="CL184" s="196"/>
      <c r="CM184" s="196"/>
      <c r="CN184" s="196"/>
      <c r="CO184" s="196"/>
      <c r="CP184" s="196"/>
      <c r="CQ184" s="196"/>
      <c r="CR184" s="196"/>
      <c r="CS184" s="196"/>
      <c r="CT184" s="196"/>
      <c r="CU184" s="196"/>
      <c r="CV184" s="196"/>
      <c r="CW184" s="196"/>
      <c r="CX184" s="196"/>
      <c r="CY184" s="196"/>
      <c r="CZ184" s="196"/>
      <c r="DA184" s="196"/>
      <c r="DB184" s="196"/>
      <c r="DC184" s="196"/>
      <c r="DD184" s="196"/>
      <c r="DE184" s="196"/>
      <c r="DF184" s="196"/>
      <c r="DG184" s="196"/>
      <c r="DH184" s="196"/>
      <c r="DI184" s="196"/>
      <c r="DJ184" s="196"/>
      <c r="DK184" s="196"/>
      <c r="DL184" s="196"/>
      <c r="DM184" s="196"/>
      <c r="DN184" s="196"/>
      <c r="DO184" s="196"/>
      <c r="DP184" s="196"/>
      <c r="DQ184" s="196"/>
      <c r="DR184" s="196"/>
      <c r="DS184" s="196"/>
      <c r="DT184" s="196"/>
    </row>
    <row r="185" spans="76:124" x14ac:dyDescent="0.25">
      <c r="BX185" s="196"/>
      <c r="BY185" s="196"/>
      <c r="BZ185" s="196"/>
      <c r="CA185" s="196"/>
      <c r="CB185" s="196"/>
      <c r="CC185" s="196"/>
      <c r="CD185" s="196"/>
      <c r="CE185" s="196"/>
      <c r="CF185" s="196"/>
      <c r="CG185" s="196"/>
      <c r="CH185" s="196"/>
      <c r="CI185" s="196"/>
      <c r="CJ185" s="196"/>
      <c r="CK185" s="196"/>
      <c r="CL185" s="196"/>
      <c r="CM185" s="196"/>
      <c r="CN185" s="196"/>
      <c r="CO185" s="196"/>
      <c r="CP185" s="196"/>
      <c r="CQ185" s="196"/>
      <c r="CR185" s="196"/>
      <c r="CS185" s="196"/>
      <c r="CT185" s="196"/>
      <c r="CU185" s="196"/>
      <c r="CV185" s="196"/>
      <c r="CW185" s="196"/>
      <c r="CX185" s="196"/>
      <c r="CY185" s="196"/>
      <c r="CZ185" s="196"/>
      <c r="DA185" s="196"/>
      <c r="DB185" s="196"/>
      <c r="DC185" s="196"/>
      <c r="DD185" s="196"/>
      <c r="DE185" s="196"/>
      <c r="DF185" s="196"/>
      <c r="DG185" s="196"/>
      <c r="DH185" s="196"/>
      <c r="DI185" s="196"/>
      <c r="DJ185" s="196"/>
      <c r="DK185" s="196"/>
      <c r="DL185" s="196"/>
      <c r="DM185" s="196"/>
      <c r="DN185" s="196"/>
      <c r="DO185" s="196"/>
      <c r="DP185" s="196"/>
      <c r="DQ185" s="196"/>
      <c r="DR185" s="196"/>
      <c r="DS185" s="196"/>
      <c r="DT185" s="196"/>
    </row>
    <row r="186" spans="76:124" x14ac:dyDescent="0.25">
      <c r="BX186" s="196"/>
      <c r="BY186" s="196"/>
      <c r="BZ186" s="196"/>
      <c r="CA186" s="196"/>
      <c r="CB186" s="196"/>
      <c r="CC186" s="196"/>
      <c r="CD186" s="196"/>
      <c r="CE186" s="196"/>
      <c r="CF186" s="196"/>
      <c r="CG186" s="196"/>
      <c r="CH186" s="196"/>
      <c r="CI186" s="196"/>
      <c r="CJ186" s="196"/>
      <c r="CK186" s="196"/>
      <c r="CL186" s="196"/>
      <c r="CM186" s="196"/>
      <c r="CN186" s="196"/>
      <c r="CO186" s="196"/>
      <c r="CP186" s="196"/>
      <c r="CQ186" s="196"/>
      <c r="CR186" s="196"/>
      <c r="CS186" s="196"/>
      <c r="CT186" s="196"/>
      <c r="CU186" s="196"/>
      <c r="CV186" s="196"/>
      <c r="CW186" s="196"/>
      <c r="CX186" s="196"/>
      <c r="CY186" s="196"/>
      <c r="CZ186" s="196"/>
      <c r="DA186" s="196"/>
      <c r="DB186" s="196"/>
      <c r="DC186" s="196"/>
      <c r="DD186" s="196"/>
      <c r="DE186" s="196"/>
      <c r="DF186" s="196"/>
      <c r="DG186" s="196"/>
      <c r="DH186" s="196"/>
      <c r="DI186" s="196"/>
      <c r="DJ186" s="196"/>
      <c r="DK186" s="196"/>
      <c r="DL186" s="196"/>
      <c r="DM186" s="196"/>
      <c r="DN186" s="196"/>
      <c r="DO186" s="196"/>
      <c r="DP186" s="196"/>
      <c r="DQ186" s="196"/>
      <c r="DR186" s="196"/>
      <c r="DS186" s="196"/>
      <c r="DT186" s="196"/>
    </row>
    <row r="187" spans="76:124" x14ac:dyDescent="0.25">
      <c r="BX187" s="196"/>
      <c r="BY187" s="196"/>
      <c r="BZ187" s="196"/>
      <c r="CA187" s="196"/>
      <c r="CB187" s="196"/>
      <c r="CC187" s="196"/>
      <c r="CD187" s="196"/>
      <c r="CE187" s="196"/>
      <c r="CF187" s="196"/>
      <c r="CG187" s="196"/>
      <c r="CH187" s="196"/>
      <c r="CI187" s="196"/>
      <c r="CJ187" s="196"/>
      <c r="CK187" s="196"/>
      <c r="CL187" s="196"/>
      <c r="CM187" s="196"/>
      <c r="CN187" s="196"/>
      <c r="CO187" s="196"/>
      <c r="CP187" s="196"/>
      <c r="CQ187" s="196"/>
      <c r="CR187" s="196"/>
      <c r="CS187" s="196"/>
      <c r="CT187" s="196"/>
      <c r="CU187" s="196"/>
      <c r="CV187" s="196"/>
      <c r="CW187" s="196"/>
      <c r="CX187" s="196"/>
      <c r="CY187" s="196"/>
      <c r="CZ187" s="196"/>
      <c r="DA187" s="196"/>
      <c r="DB187" s="196"/>
      <c r="DC187" s="196"/>
      <c r="DD187" s="196"/>
      <c r="DE187" s="196"/>
      <c r="DF187" s="196"/>
      <c r="DG187" s="196"/>
      <c r="DH187" s="196"/>
      <c r="DI187" s="196"/>
      <c r="DJ187" s="196"/>
      <c r="DK187" s="196"/>
      <c r="DL187" s="196"/>
      <c r="DM187" s="196"/>
      <c r="DN187" s="196"/>
      <c r="DO187" s="196"/>
      <c r="DP187" s="196"/>
      <c r="DQ187" s="196"/>
      <c r="DR187" s="196"/>
      <c r="DS187" s="196"/>
      <c r="DT187" s="196"/>
    </row>
    <row r="188" spans="76:124" x14ac:dyDescent="0.25">
      <c r="BX188" s="196"/>
      <c r="BY188" s="196"/>
      <c r="BZ188" s="196"/>
      <c r="CA188" s="196"/>
      <c r="CB188" s="196"/>
      <c r="CC188" s="196"/>
      <c r="CD188" s="196"/>
      <c r="CE188" s="196"/>
      <c r="CF188" s="196"/>
      <c r="CG188" s="196"/>
      <c r="CH188" s="196"/>
      <c r="CI188" s="196"/>
      <c r="CJ188" s="196"/>
      <c r="CK188" s="196"/>
      <c r="CL188" s="196"/>
      <c r="CM188" s="196"/>
      <c r="CN188" s="196"/>
      <c r="CO188" s="196"/>
      <c r="CP188" s="196"/>
      <c r="CQ188" s="196"/>
      <c r="CR188" s="196"/>
      <c r="CS188" s="196"/>
      <c r="CT188" s="196"/>
      <c r="CU188" s="196"/>
      <c r="CV188" s="196"/>
      <c r="CW188" s="196"/>
      <c r="CX188" s="196"/>
      <c r="CY188" s="196"/>
      <c r="CZ188" s="196"/>
      <c r="DA188" s="196"/>
      <c r="DB188" s="196"/>
      <c r="DC188" s="196"/>
      <c r="DD188" s="196"/>
      <c r="DE188" s="196"/>
      <c r="DF188" s="196"/>
      <c r="DG188" s="196"/>
      <c r="DH188" s="196"/>
      <c r="DI188" s="196"/>
      <c r="DJ188" s="196"/>
      <c r="DK188" s="196"/>
      <c r="DL188" s="196"/>
      <c r="DM188" s="196"/>
      <c r="DN188" s="196"/>
      <c r="DO188" s="196"/>
      <c r="DP188" s="196"/>
      <c r="DQ188" s="196"/>
      <c r="DR188" s="196"/>
      <c r="DS188" s="196"/>
      <c r="DT188" s="196"/>
    </row>
    <row r="189" spans="76:124" x14ac:dyDescent="0.25">
      <c r="BX189" s="196"/>
      <c r="BY189" s="196"/>
      <c r="BZ189" s="196"/>
      <c r="CA189" s="196"/>
      <c r="CB189" s="196"/>
      <c r="CC189" s="196"/>
      <c r="CD189" s="196"/>
      <c r="CE189" s="196"/>
      <c r="CF189" s="196"/>
      <c r="CG189" s="196"/>
      <c r="CH189" s="196"/>
      <c r="CI189" s="196"/>
      <c r="CJ189" s="196"/>
      <c r="CK189" s="196"/>
      <c r="CL189" s="196"/>
      <c r="CM189" s="196"/>
      <c r="CN189" s="196"/>
      <c r="CO189" s="196"/>
      <c r="CP189" s="196"/>
      <c r="CQ189" s="196"/>
      <c r="CR189" s="196"/>
      <c r="CS189" s="196"/>
      <c r="CT189" s="196"/>
      <c r="CU189" s="196"/>
      <c r="CV189" s="196"/>
      <c r="CW189" s="196"/>
      <c r="CX189" s="196"/>
      <c r="CY189" s="196"/>
      <c r="CZ189" s="196"/>
      <c r="DA189" s="196"/>
      <c r="DB189" s="196"/>
      <c r="DC189" s="196"/>
      <c r="DD189" s="196"/>
      <c r="DE189" s="196"/>
      <c r="DF189" s="196"/>
      <c r="DG189" s="196"/>
      <c r="DH189" s="196"/>
      <c r="DI189" s="196"/>
      <c r="DJ189" s="196"/>
      <c r="DK189" s="196"/>
      <c r="DL189" s="196"/>
      <c r="DM189" s="196"/>
      <c r="DN189" s="196"/>
      <c r="DO189" s="196"/>
      <c r="DP189" s="196"/>
      <c r="DQ189" s="196"/>
      <c r="DR189" s="196"/>
      <c r="DS189" s="196"/>
      <c r="DT189" s="196"/>
    </row>
    <row r="190" spans="76:124" x14ac:dyDescent="0.25">
      <c r="BX190" s="196"/>
      <c r="BY190" s="196"/>
      <c r="BZ190" s="196"/>
      <c r="CA190" s="196"/>
      <c r="CB190" s="196"/>
      <c r="CC190" s="196"/>
      <c r="CD190" s="196"/>
      <c r="CE190" s="196"/>
      <c r="CF190" s="196"/>
      <c r="CG190" s="196"/>
      <c r="CH190" s="196"/>
      <c r="CI190" s="196"/>
      <c r="CJ190" s="196"/>
      <c r="CK190" s="196"/>
      <c r="CL190" s="196"/>
      <c r="CM190" s="196"/>
      <c r="CN190" s="196"/>
      <c r="CO190" s="196"/>
      <c r="CP190" s="196"/>
      <c r="CQ190" s="196"/>
      <c r="CR190" s="196"/>
      <c r="CS190" s="196"/>
      <c r="CT190" s="196"/>
      <c r="CU190" s="196"/>
      <c r="CV190" s="196"/>
      <c r="CW190" s="196"/>
      <c r="CX190" s="196"/>
      <c r="CY190" s="196"/>
      <c r="CZ190" s="196"/>
      <c r="DA190" s="196"/>
      <c r="DB190" s="196"/>
      <c r="DC190" s="196"/>
      <c r="DD190" s="196"/>
      <c r="DE190" s="196"/>
      <c r="DF190" s="196"/>
      <c r="DG190" s="196"/>
      <c r="DH190" s="196"/>
      <c r="DI190" s="196"/>
      <c r="DJ190" s="196"/>
      <c r="DK190" s="196"/>
      <c r="DL190" s="196"/>
      <c r="DM190" s="196"/>
      <c r="DN190" s="196"/>
      <c r="DO190" s="196"/>
      <c r="DP190" s="196"/>
      <c r="DQ190" s="196"/>
      <c r="DR190" s="196"/>
      <c r="DS190" s="196"/>
      <c r="DT190" s="196"/>
    </row>
    <row r="191" spans="76:124" x14ac:dyDescent="0.25">
      <c r="BX191" s="196"/>
      <c r="BY191" s="196"/>
      <c r="BZ191" s="196"/>
      <c r="CA191" s="196"/>
      <c r="CB191" s="196"/>
      <c r="CC191" s="196"/>
      <c r="CD191" s="196"/>
      <c r="CE191" s="196"/>
      <c r="CF191" s="196"/>
      <c r="CG191" s="196"/>
      <c r="CH191" s="196"/>
      <c r="CI191" s="196"/>
      <c r="CJ191" s="196"/>
      <c r="CK191" s="196"/>
      <c r="CL191" s="196"/>
      <c r="CM191" s="196"/>
      <c r="CN191" s="196"/>
      <c r="CO191" s="196"/>
      <c r="CP191" s="196"/>
      <c r="CQ191" s="196"/>
      <c r="CR191" s="196"/>
      <c r="CS191" s="196"/>
      <c r="CT191" s="196"/>
      <c r="CU191" s="196"/>
      <c r="CV191" s="196"/>
      <c r="CW191" s="196"/>
      <c r="CX191" s="196"/>
      <c r="CY191" s="196"/>
      <c r="CZ191" s="196"/>
      <c r="DA191" s="196"/>
      <c r="DB191" s="196"/>
      <c r="DC191" s="196"/>
      <c r="DD191" s="196"/>
      <c r="DE191" s="196"/>
      <c r="DF191" s="196"/>
      <c r="DG191" s="196"/>
      <c r="DH191" s="196"/>
      <c r="DI191" s="196"/>
      <c r="DJ191" s="196"/>
      <c r="DK191" s="196"/>
      <c r="DL191" s="196"/>
      <c r="DM191" s="196"/>
      <c r="DN191" s="196"/>
      <c r="DO191" s="196"/>
      <c r="DP191" s="196"/>
      <c r="DQ191" s="196"/>
      <c r="DR191" s="196"/>
      <c r="DS191" s="196"/>
      <c r="DT191" s="196"/>
    </row>
    <row r="192" spans="76:124" x14ac:dyDescent="0.25">
      <c r="BX192" s="196"/>
      <c r="BY192" s="196"/>
      <c r="BZ192" s="196"/>
      <c r="CA192" s="196"/>
      <c r="CB192" s="196"/>
      <c r="CC192" s="196"/>
      <c r="CD192" s="196"/>
      <c r="CE192" s="196"/>
      <c r="CF192" s="196"/>
      <c r="CG192" s="196"/>
      <c r="CH192" s="196"/>
      <c r="CI192" s="196"/>
      <c r="CJ192" s="196"/>
      <c r="CK192" s="196"/>
      <c r="CL192" s="196"/>
      <c r="CM192" s="196"/>
      <c r="CN192" s="196"/>
      <c r="CO192" s="196"/>
      <c r="CP192" s="196"/>
      <c r="CQ192" s="196"/>
      <c r="CR192" s="196"/>
      <c r="CS192" s="196"/>
      <c r="CT192" s="196"/>
      <c r="CU192" s="196"/>
      <c r="CV192" s="196"/>
      <c r="CW192" s="196"/>
      <c r="CX192" s="196"/>
      <c r="CY192" s="196"/>
      <c r="CZ192" s="196"/>
      <c r="DA192" s="196"/>
      <c r="DB192" s="196"/>
      <c r="DC192" s="196"/>
      <c r="DD192" s="196"/>
      <c r="DE192" s="196"/>
      <c r="DF192" s="196"/>
      <c r="DG192" s="196"/>
      <c r="DH192" s="196"/>
      <c r="DI192" s="196"/>
      <c r="DJ192" s="196"/>
      <c r="DK192" s="196"/>
      <c r="DL192" s="196"/>
      <c r="DM192" s="196"/>
      <c r="DN192" s="196"/>
      <c r="DO192" s="196"/>
      <c r="DP192" s="196"/>
      <c r="DQ192" s="196"/>
      <c r="DR192" s="196"/>
      <c r="DS192" s="196"/>
      <c r="DT192" s="196"/>
    </row>
    <row r="193" spans="1:124" x14ac:dyDescent="0.25">
      <c r="BX193" s="196"/>
      <c r="BY193" s="196"/>
      <c r="BZ193" s="196"/>
      <c r="CA193" s="196"/>
      <c r="CB193" s="196"/>
      <c r="CC193" s="196"/>
      <c r="CD193" s="196"/>
      <c r="CE193" s="196"/>
      <c r="CF193" s="196"/>
      <c r="CG193" s="196"/>
      <c r="CH193" s="196"/>
      <c r="CI193" s="196"/>
      <c r="CJ193" s="196"/>
      <c r="CK193" s="196"/>
      <c r="CL193" s="196"/>
      <c r="CM193" s="196"/>
      <c r="CN193" s="196"/>
      <c r="CO193" s="196"/>
      <c r="CP193" s="196"/>
      <c r="CQ193" s="196"/>
      <c r="CR193" s="196"/>
      <c r="CS193" s="196"/>
      <c r="CT193" s="196"/>
      <c r="CU193" s="196"/>
      <c r="CV193" s="196"/>
      <c r="CW193" s="196"/>
      <c r="CX193" s="196"/>
      <c r="CY193" s="196"/>
      <c r="CZ193" s="196"/>
      <c r="DA193" s="196"/>
      <c r="DB193" s="196"/>
      <c r="DC193" s="196"/>
      <c r="DD193" s="196"/>
      <c r="DE193" s="196"/>
      <c r="DF193" s="196"/>
      <c r="DG193" s="196"/>
      <c r="DH193" s="196"/>
      <c r="DI193" s="196"/>
      <c r="DJ193" s="196"/>
      <c r="DK193" s="196"/>
      <c r="DL193" s="196"/>
      <c r="DM193" s="196"/>
      <c r="DN193" s="196"/>
      <c r="DO193" s="196"/>
      <c r="DP193" s="196"/>
      <c r="DQ193" s="196"/>
      <c r="DR193" s="196"/>
      <c r="DS193" s="196"/>
      <c r="DT193" s="196"/>
    </row>
    <row r="194" spans="1:124" x14ac:dyDescent="0.25">
      <c r="BX194" s="196"/>
      <c r="BY194" s="196"/>
      <c r="BZ194" s="196"/>
      <c r="CA194" s="196"/>
      <c r="CB194" s="196"/>
      <c r="CC194" s="196"/>
      <c r="CD194" s="196"/>
      <c r="CE194" s="196"/>
      <c r="CF194" s="196"/>
      <c r="CG194" s="196"/>
      <c r="CH194" s="196"/>
      <c r="CI194" s="196"/>
      <c r="CJ194" s="196"/>
      <c r="CK194" s="196"/>
      <c r="CL194" s="196"/>
      <c r="CM194" s="196"/>
      <c r="CN194" s="196"/>
      <c r="CO194" s="196"/>
      <c r="CP194" s="196"/>
      <c r="CQ194" s="196"/>
      <c r="CR194" s="196"/>
      <c r="CS194" s="196"/>
      <c r="CT194" s="196"/>
      <c r="CU194" s="196"/>
      <c r="CV194" s="196"/>
      <c r="CW194" s="196"/>
      <c r="CX194" s="196"/>
      <c r="CY194" s="196"/>
      <c r="CZ194" s="196"/>
      <c r="DA194" s="196"/>
      <c r="DB194" s="196"/>
      <c r="DC194" s="196"/>
      <c r="DD194" s="196"/>
      <c r="DE194" s="196"/>
      <c r="DF194" s="196"/>
      <c r="DG194" s="196"/>
      <c r="DH194" s="196"/>
      <c r="DI194" s="196"/>
      <c r="DJ194" s="196"/>
      <c r="DK194" s="196"/>
      <c r="DL194" s="196"/>
      <c r="DM194" s="196"/>
      <c r="DN194" s="196"/>
      <c r="DO194" s="196"/>
      <c r="DP194" s="196"/>
      <c r="DQ194" s="196"/>
      <c r="DR194" s="196"/>
      <c r="DS194" s="196"/>
      <c r="DT194" s="196"/>
    </row>
    <row r="195" spans="1:124" x14ac:dyDescent="0.25">
      <c r="BX195" s="196"/>
      <c r="BY195" s="196"/>
      <c r="BZ195" s="196"/>
      <c r="CA195" s="196"/>
      <c r="CB195" s="196"/>
      <c r="CC195" s="196"/>
      <c r="CD195" s="196"/>
      <c r="CE195" s="196"/>
      <c r="CF195" s="196"/>
      <c r="CG195" s="196"/>
      <c r="CH195" s="196"/>
      <c r="CI195" s="196"/>
      <c r="CJ195" s="196"/>
      <c r="CK195" s="196"/>
      <c r="CL195" s="196"/>
      <c r="CM195" s="196"/>
      <c r="CN195" s="196"/>
      <c r="CO195" s="196"/>
      <c r="CP195" s="196"/>
      <c r="CQ195" s="196"/>
      <c r="CR195" s="196"/>
      <c r="CS195" s="196"/>
      <c r="CT195" s="196"/>
      <c r="CU195" s="196"/>
      <c r="CV195" s="196"/>
      <c r="CW195" s="196"/>
      <c r="CX195" s="196"/>
      <c r="CY195" s="196"/>
      <c r="CZ195" s="196"/>
      <c r="DA195" s="196"/>
      <c r="DB195" s="196"/>
      <c r="DC195" s="196"/>
      <c r="DD195" s="196"/>
      <c r="DE195" s="196"/>
      <c r="DF195" s="196"/>
      <c r="DG195" s="196"/>
      <c r="DH195" s="196"/>
      <c r="DI195" s="196"/>
      <c r="DJ195" s="196"/>
      <c r="DK195" s="196"/>
      <c r="DL195" s="196"/>
      <c r="DM195" s="196"/>
      <c r="DN195" s="196"/>
      <c r="DO195" s="196"/>
      <c r="DP195" s="196"/>
      <c r="DQ195" s="196"/>
      <c r="DR195" s="196"/>
      <c r="DS195" s="196"/>
      <c r="DT195" s="196"/>
    </row>
    <row r="196" spans="1:124" x14ac:dyDescent="0.25">
      <c r="BX196" s="196"/>
      <c r="BY196" s="196"/>
      <c r="BZ196" s="196"/>
      <c r="CA196" s="196"/>
      <c r="CB196" s="196"/>
      <c r="CC196" s="196"/>
      <c r="CD196" s="196"/>
      <c r="CE196" s="196"/>
      <c r="CF196" s="196"/>
      <c r="CG196" s="196"/>
      <c r="CH196" s="196"/>
      <c r="CI196" s="196"/>
      <c r="CJ196" s="196"/>
      <c r="CK196" s="196"/>
      <c r="CL196" s="196"/>
      <c r="CM196" s="196"/>
      <c r="CN196" s="196"/>
      <c r="CO196" s="196"/>
      <c r="CP196" s="196"/>
      <c r="CQ196" s="196"/>
      <c r="CR196" s="196"/>
      <c r="CS196" s="196"/>
      <c r="CT196" s="196"/>
      <c r="CU196" s="196"/>
      <c r="CV196" s="196"/>
      <c r="CW196" s="196"/>
      <c r="CX196" s="196"/>
      <c r="CY196" s="196"/>
      <c r="CZ196" s="196"/>
      <c r="DA196" s="196"/>
      <c r="DB196" s="196"/>
      <c r="DC196" s="196"/>
      <c r="DD196" s="196"/>
      <c r="DE196" s="196"/>
      <c r="DF196" s="196"/>
      <c r="DG196" s="196"/>
      <c r="DH196" s="196"/>
      <c r="DI196" s="196"/>
      <c r="DJ196" s="196"/>
      <c r="DK196" s="196"/>
      <c r="DL196" s="196"/>
      <c r="DM196" s="196"/>
      <c r="DN196" s="196"/>
      <c r="DO196" s="196"/>
      <c r="DP196" s="196"/>
      <c r="DQ196" s="196"/>
      <c r="DR196" s="196"/>
      <c r="DS196" s="196"/>
      <c r="DT196" s="196"/>
    </row>
    <row r="197" spans="1:124" x14ac:dyDescent="0.25">
      <c r="BX197" s="196"/>
      <c r="BY197" s="196"/>
      <c r="BZ197" s="196"/>
      <c r="CA197" s="196"/>
      <c r="CB197" s="196"/>
      <c r="CC197" s="196"/>
      <c r="CD197" s="196"/>
      <c r="CE197" s="196"/>
      <c r="CF197" s="196"/>
      <c r="CG197" s="196"/>
      <c r="CH197" s="196"/>
      <c r="CI197" s="196"/>
      <c r="CJ197" s="196"/>
      <c r="CK197" s="196"/>
      <c r="CL197" s="196"/>
      <c r="CM197" s="196"/>
      <c r="CN197" s="196"/>
      <c r="CO197" s="196"/>
      <c r="CP197" s="196"/>
      <c r="CQ197" s="196"/>
      <c r="CR197" s="196"/>
      <c r="CS197" s="196"/>
      <c r="CT197" s="196"/>
      <c r="CU197" s="196"/>
      <c r="CV197" s="196"/>
      <c r="CW197" s="196"/>
      <c r="CX197" s="196"/>
      <c r="CY197" s="196"/>
      <c r="CZ197" s="196"/>
      <c r="DA197" s="196"/>
      <c r="DB197" s="196"/>
      <c r="DC197" s="196"/>
      <c r="DD197" s="196"/>
      <c r="DE197" s="196"/>
      <c r="DF197" s="196"/>
      <c r="DG197" s="196"/>
      <c r="DH197" s="196"/>
      <c r="DI197" s="196"/>
      <c r="DJ197" s="196"/>
      <c r="DK197" s="196"/>
      <c r="DL197" s="196"/>
      <c r="DM197" s="196"/>
      <c r="DN197" s="196"/>
      <c r="DO197" s="196"/>
      <c r="DP197" s="196"/>
      <c r="DQ197" s="196"/>
      <c r="DR197" s="196"/>
      <c r="DS197" s="196"/>
      <c r="DT197" s="196"/>
    </row>
    <row r="198" spans="1:124" x14ac:dyDescent="0.25">
      <c r="BX198" s="196"/>
      <c r="BY198" s="196"/>
      <c r="BZ198" s="196"/>
      <c r="CA198" s="196"/>
      <c r="CB198" s="196"/>
      <c r="CC198" s="196"/>
      <c r="CD198" s="196"/>
      <c r="CE198" s="196"/>
      <c r="CF198" s="196"/>
      <c r="CG198" s="196"/>
      <c r="CH198" s="196"/>
      <c r="CI198" s="196"/>
      <c r="CJ198" s="196"/>
      <c r="CK198" s="196"/>
      <c r="CL198" s="196"/>
      <c r="CM198" s="196"/>
      <c r="CN198" s="196"/>
      <c r="CO198" s="196"/>
      <c r="CP198" s="196"/>
      <c r="CQ198" s="196"/>
      <c r="CR198" s="196"/>
      <c r="CS198" s="196"/>
      <c r="CT198" s="196"/>
      <c r="CU198" s="196"/>
      <c r="CV198" s="196"/>
      <c r="CW198" s="196"/>
      <c r="CX198" s="196"/>
      <c r="CY198" s="196"/>
      <c r="CZ198" s="196"/>
      <c r="DA198" s="196"/>
      <c r="DB198" s="196"/>
      <c r="DC198" s="196"/>
      <c r="DD198" s="196"/>
      <c r="DE198" s="196"/>
      <c r="DF198" s="196"/>
      <c r="DG198" s="196"/>
      <c r="DH198" s="196"/>
      <c r="DI198" s="196"/>
      <c r="DJ198" s="196"/>
      <c r="DK198" s="196"/>
      <c r="DL198" s="196"/>
      <c r="DM198" s="196"/>
      <c r="DN198" s="196"/>
      <c r="DO198" s="196"/>
      <c r="DP198" s="196"/>
      <c r="DQ198" s="196"/>
      <c r="DR198" s="196"/>
      <c r="DS198" s="196"/>
      <c r="DT198" s="196"/>
    </row>
    <row r="199" spans="1:124" x14ac:dyDescent="0.25">
      <c r="BX199" s="196"/>
      <c r="BY199" s="196"/>
      <c r="BZ199" s="196"/>
      <c r="CA199" s="196"/>
      <c r="CB199" s="196"/>
      <c r="CC199" s="196"/>
      <c r="CD199" s="196"/>
      <c r="CE199" s="196"/>
      <c r="CF199" s="196"/>
      <c r="CG199" s="196"/>
      <c r="CH199" s="196"/>
      <c r="CI199" s="196"/>
      <c r="CJ199" s="196"/>
      <c r="CK199" s="196"/>
      <c r="CL199" s="196"/>
      <c r="CM199" s="196"/>
      <c r="CN199" s="196"/>
      <c r="CO199" s="196"/>
      <c r="CP199" s="196"/>
      <c r="CQ199" s="196"/>
      <c r="CR199" s="196"/>
      <c r="CS199" s="196"/>
      <c r="CT199" s="196"/>
      <c r="CU199" s="196"/>
      <c r="CV199" s="196"/>
      <c r="CW199" s="196"/>
      <c r="CX199" s="196"/>
      <c r="CY199" s="196"/>
      <c r="CZ199" s="196"/>
      <c r="DA199" s="196"/>
      <c r="DB199" s="196"/>
      <c r="DC199" s="196"/>
      <c r="DD199" s="196"/>
      <c r="DE199" s="196"/>
      <c r="DF199" s="196"/>
      <c r="DG199" s="196"/>
      <c r="DH199" s="196"/>
      <c r="DI199" s="196"/>
      <c r="DJ199" s="196"/>
      <c r="DK199" s="196"/>
      <c r="DL199" s="196"/>
      <c r="DM199" s="196"/>
      <c r="DN199" s="196"/>
      <c r="DO199" s="196"/>
      <c r="DP199" s="196"/>
      <c r="DQ199" s="196"/>
      <c r="DR199" s="196"/>
      <c r="DS199" s="196"/>
      <c r="DT199" s="196"/>
    </row>
    <row r="200" spans="1:124" x14ac:dyDescent="0.25">
      <c r="A200" s="523" t="s">
        <v>399</v>
      </c>
      <c r="B200" s="523"/>
      <c r="C200" s="523"/>
      <c r="D200" s="523"/>
      <c r="BX200" s="196"/>
      <c r="BY200" s="196"/>
      <c r="BZ200" s="196"/>
      <c r="CA200" s="196"/>
      <c r="CB200" s="196"/>
      <c r="CC200" s="196"/>
      <c r="CD200" s="196"/>
      <c r="CE200" s="196"/>
      <c r="CF200" s="196"/>
      <c r="CG200" s="196"/>
      <c r="CH200" s="196"/>
      <c r="CI200" s="196"/>
      <c r="CJ200" s="196"/>
      <c r="CK200" s="196"/>
      <c r="CL200" s="196"/>
      <c r="CM200" s="196"/>
      <c r="CN200" s="196"/>
      <c r="CO200" s="196"/>
      <c r="CP200" s="196"/>
      <c r="CQ200" s="196"/>
      <c r="CR200" s="196"/>
      <c r="CS200" s="196"/>
      <c r="CT200" s="196"/>
      <c r="CU200" s="196"/>
      <c r="CV200" s="196"/>
      <c r="CW200" s="196"/>
      <c r="CX200" s="196"/>
      <c r="CY200" s="196"/>
      <c r="CZ200" s="196"/>
      <c r="DA200" s="196"/>
      <c r="DB200" s="196"/>
      <c r="DC200" s="196"/>
      <c r="DD200" s="196"/>
      <c r="DE200" s="196"/>
      <c r="DF200" s="196"/>
      <c r="DG200" s="196"/>
      <c r="DH200" s="196"/>
      <c r="DI200" s="196"/>
      <c r="DJ200" s="196"/>
      <c r="DK200" s="196"/>
      <c r="DL200" s="196"/>
      <c r="DM200" s="196"/>
      <c r="DN200" s="196"/>
      <c r="DO200" s="196"/>
      <c r="DP200" s="196"/>
      <c r="DQ200" s="196"/>
      <c r="DR200" s="196"/>
      <c r="DS200" s="196"/>
      <c r="DT200" s="196"/>
    </row>
    <row r="201" spans="1:124" ht="15.75" thickBot="1" x14ac:dyDescent="0.3">
      <c r="BX201" s="196"/>
      <c r="BY201" s="196"/>
      <c r="BZ201" s="196"/>
      <c r="CA201" s="196"/>
      <c r="CB201" s="196"/>
      <c r="CC201" s="196"/>
      <c r="CD201" s="196"/>
      <c r="CE201" s="196"/>
      <c r="CF201" s="196"/>
      <c r="CG201" s="196"/>
      <c r="CH201" s="196"/>
      <c r="CI201" s="196"/>
      <c r="CJ201" s="196"/>
      <c r="CK201" s="196"/>
      <c r="CL201" s="196"/>
      <c r="CM201" s="196"/>
      <c r="CN201" s="196"/>
      <c r="CO201" s="196"/>
      <c r="CP201" s="196"/>
      <c r="CQ201" s="196"/>
      <c r="CR201" s="196"/>
      <c r="CS201" s="196"/>
      <c r="CT201" s="196"/>
      <c r="CU201" s="196"/>
      <c r="CV201" s="196"/>
      <c r="CW201" s="196"/>
      <c r="CX201" s="196"/>
      <c r="CY201" s="196"/>
      <c r="CZ201" s="196"/>
      <c r="DA201" s="196"/>
      <c r="DB201" s="196"/>
      <c r="DC201" s="196"/>
      <c r="DD201" s="196"/>
      <c r="DE201" s="196"/>
      <c r="DF201" s="196"/>
      <c r="DG201" s="196"/>
      <c r="DH201" s="196"/>
      <c r="DI201" s="196"/>
      <c r="DJ201" s="196"/>
      <c r="DK201" s="196"/>
      <c r="DL201" s="196"/>
      <c r="DM201" s="196"/>
      <c r="DN201" s="196"/>
      <c r="DO201" s="196"/>
      <c r="DP201" s="196"/>
      <c r="DQ201" s="196"/>
      <c r="DR201" s="196"/>
      <c r="DS201" s="196"/>
      <c r="DT201" s="196"/>
    </row>
    <row r="202" spans="1:124" ht="15.75" thickBot="1" x14ac:dyDescent="0.3">
      <c r="A202" s="205">
        <v>1.2499999999999999E-2</v>
      </c>
      <c r="B202" s="205">
        <f>A202/1.543</f>
        <v>8.1011017498379776E-3</v>
      </c>
      <c r="C202" s="208">
        <v>0.81593749999999998</v>
      </c>
      <c r="D202" s="205">
        <f>C202+B202</f>
        <v>0.82403860174983801</v>
      </c>
      <c r="E202" s="205">
        <f>C202+A202</f>
        <v>0.82843749999999994</v>
      </c>
      <c r="BX202" s="196"/>
      <c r="BY202" s="196"/>
      <c r="BZ202" s="196"/>
      <c r="CA202" s="196"/>
      <c r="CB202" s="196"/>
      <c r="CC202" s="196"/>
      <c r="CD202" s="196"/>
      <c r="CE202" s="196"/>
      <c r="CF202" s="196"/>
      <c r="CG202" s="196"/>
      <c r="CH202" s="196"/>
      <c r="CI202" s="196"/>
      <c r="CJ202" s="196"/>
      <c r="CK202" s="196"/>
      <c r="CL202" s="196"/>
      <c r="CM202" s="196"/>
      <c r="CN202" s="196"/>
      <c r="CO202" s="196"/>
      <c r="CP202" s="196"/>
      <c r="CQ202" s="196"/>
      <c r="CR202" s="196"/>
      <c r="CS202" s="196"/>
      <c r="CT202" s="196"/>
      <c r="CU202" s="196"/>
      <c r="CV202" s="196"/>
      <c r="CW202" s="196"/>
      <c r="CX202" s="196"/>
      <c r="CY202" s="196"/>
      <c r="CZ202" s="196"/>
      <c r="DA202" s="196"/>
      <c r="DB202" s="196"/>
      <c r="DC202" s="196"/>
      <c r="DD202" s="196"/>
      <c r="DE202" s="196"/>
      <c r="DF202" s="196"/>
      <c r="DG202" s="196"/>
      <c r="DH202" s="196"/>
      <c r="DI202" s="196"/>
      <c r="DJ202" s="196"/>
      <c r="DK202" s="196"/>
      <c r="DL202" s="196"/>
      <c r="DM202" s="196"/>
      <c r="DN202" s="196"/>
      <c r="DO202" s="196"/>
      <c r="DP202" s="196"/>
      <c r="DQ202" s="196"/>
      <c r="DR202" s="196"/>
      <c r="DS202" s="196"/>
      <c r="DT202" s="196"/>
    </row>
    <row r="203" spans="1:124" ht="15.75" thickBot="1" x14ac:dyDescent="0.3">
      <c r="C203" s="196"/>
      <c r="E203" s="196"/>
      <c r="BX203" s="196"/>
      <c r="BY203" s="196"/>
      <c r="BZ203" s="196"/>
      <c r="CA203" s="196"/>
      <c r="CB203" s="196"/>
      <c r="CC203" s="196"/>
      <c r="CD203" s="196"/>
      <c r="CE203" s="196"/>
      <c r="CF203" s="196"/>
      <c r="CG203" s="196"/>
      <c r="CH203" s="196"/>
      <c r="CI203" s="196"/>
      <c r="CJ203" s="196"/>
      <c r="CK203" s="196"/>
      <c r="CL203" s="196"/>
      <c r="CM203" s="196"/>
      <c r="CN203" s="196"/>
      <c r="CO203" s="196"/>
      <c r="CP203" s="196"/>
      <c r="CQ203" s="196"/>
      <c r="CR203" s="196"/>
      <c r="CS203" s="196"/>
      <c r="CT203" s="196"/>
      <c r="CU203" s="196"/>
      <c r="CV203" s="196"/>
      <c r="CW203" s="196"/>
      <c r="CX203" s="196"/>
      <c r="CY203" s="196"/>
      <c r="CZ203" s="196"/>
      <c r="DA203" s="196"/>
      <c r="DB203" s="196"/>
      <c r="DC203" s="196"/>
      <c r="DD203" s="196"/>
      <c r="DE203" s="196"/>
      <c r="DF203" s="196"/>
      <c r="DG203" s="196"/>
      <c r="DH203" s="196"/>
      <c r="DI203" s="196"/>
      <c r="DJ203" s="196"/>
      <c r="DK203" s="196"/>
      <c r="DL203" s="196"/>
      <c r="DM203" s="196"/>
      <c r="DN203" s="196"/>
      <c r="DO203" s="196"/>
      <c r="DP203" s="196"/>
      <c r="DQ203" s="196"/>
      <c r="DR203" s="196"/>
      <c r="DS203" s="196"/>
      <c r="DT203" s="196"/>
    </row>
    <row r="204" spans="1:124" ht="15.75" thickBot="1" x14ac:dyDescent="0.3">
      <c r="A204" s="204">
        <v>7.4421296296296293E-3</v>
      </c>
      <c r="B204" s="206">
        <f>A204/1.499</f>
        <v>4.9647295728016206E-3</v>
      </c>
      <c r="C204" s="208">
        <v>0.74994212962962958</v>
      </c>
      <c r="D204" s="207">
        <f>C204+B204</f>
        <v>0.75490685920243117</v>
      </c>
      <c r="E204" s="207">
        <f>C204+A204</f>
        <v>0.75738425925925923</v>
      </c>
      <c r="BX204" s="196"/>
      <c r="BY204" s="196"/>
      <c r="BZ204" s="196"/>
      <c r="CA204" s="196"/>
      <c r="CB204" s="196"/>
      <c r="CC204" s="196"/>
      <c r="CD204" s="196"/>
      <c r="CE204" s="196"/>
      <c r="CF204" s="196"/>
      <c r="CG204" s="196"/>
      <c r="CH204" s="196"/>
      <c r="CI204" s="196"/>
      <c r="CJ204" s="196"/>
      <c r="CK204" s="196"/>
      <c r="CL204" s="196"/>
      <c r="CM204" s="196"/>
      <c r="CN204" s="196"/>
      <c r="CO204" s="196"/>
      <c r="CP204" s="196"/>
      <c r="CQ204" s="196"/>
      <c r="CR204" s="196"/>
      <c r="CS204" s="196"/>
      <c r="CT204" s="196"/>
      <c r="CU204" s="196"/>
      <c r="CV204" s="196"/>
      <c r="CW204" s="196"/>
      <c r="CX204" s="196"/>
      <c r="CY204" s="196"/>
      <c r="CZ204" s="196"/>
      <c r="DA204" s="196"/>
      <c r="DB204" s="196"/>
      <c r="DC204" s="196"/>
      <c r="DD204" s="196"/>
      <c r="DE204" s="196"/>
      <c r="DF204" s="196"/>
      <c r="DG204" s="196"/>
      <c r="DH204" s="196"/>
      <c r="DI204" s="196"/>
      <c r="DJ204" s="196"/>
      <c r="DK204" s="196"/>
      <c r="DL204" s="196"/>
      <c r="DM204" s="196"/>
      <c r="DN204" s="196"/>
      <c r="DO204" s="196"/>
      <c r="DP204" s="196"/>
      <c r="DQ204" s="196"/>
      <c r="DR204" s="196"/>
      <c r="DS204" s="196"/>
      <c r="DT204" s="196"/>
    </row>
    <row r="205" spans="1:124" x14ac:dyDescent="0.25">
      <c r="BX205" s="196"/>
      <c r="BY205" s="196"/>
      <c r="BZ205" s="196"/>
      <c r="CA205" s="196"/>
      <c r="CB205" s="196"/>
      <c r="CC205" s="196"/>
      <c r="CD205" s="196"/>
      <c r="CE205" s="196"/>
      <c r="CF205" s="196"/>
      <c r="CG205" s="196"/>
      <c r="CH205" s="196"/>
      <c r="CI205" s="196"/>
      <c r="CJ205" s="196"/>
      <c r="CK205" s="196"/>
      <c r="CL205" s="196"/>
      <c r="CM205" s="196"/>
      <c r="CN205" s="196"/>
      <c r="CO205" s="196"/>
      <c r="CP205" s="196"/>
      <c r="CQ205" s="196"/>
      <c r="CR205" s="196"/>
      <c r="CS205" s="196"/>
      <c r="CT205" s="196"/>
      <c r="CU205" s="196"/>
      <c r="CV205" s="196"/>
      <c r="CW205" s="196"/>
      <c r="CX205" s="196"/>
      <c r="CY205" s="196"/>
      <c r="CZ205" s="196"/>
      <c r="DA205" s="196"/>
      <c r="DB205" s="196"/>
      <c r="DC205" s="196"/>
      <c r="DD205" s="196"/>
      <c r="DE205" s="196"/>
      <c r="DF205" s="196"/>
      <c r="DG205" s="196"/>
      <c r="DH205" s="196"/>
      <c r="DI205" s="196"/>
      <c r="DJ205" s="196"/>
      <c r="DK205" s="196"/>
      <c r="DL205" s="196"/>
      <c r="DM205" s="196"/>
      <c r="DN205" s="196"/>
      <c r="DO205" s="196"/>
      <c r="DP205" s="196"/>
      <c r="DQ205" s="196"/>
      <c r="DR205" s="196"/>
      <c r="DS205" s="196"/>
      <c r="DT205" s="196"/>
    </row>
    <row r="206" spans="1:124" x14ac:dyDescent="0.25">
      <c r="BX206" s="196"/>
      <c r="BY206" s="196"/>
      <c r="BZ206" s="196"/>
      <c r="CA206" s="196"/>
      <c r="CB206" s="196"/>
      <c r="CC206" s="196"/>
      <c r="CD206" s="196"/>
      <c r="CE206" s="196"/>
      <c r="CF206" s="196"/>
      <c r="CG206" s="196"/>
      <c r="CH206" s="196"/>
      <c r="CI206" s="196"/>
      <c r="CJ206" s="196"/>
      <c r="CK206" s="196"/>
      <c r="CL206" s="196"/>
      <c r="CM206" s="196"/>
      <c r="CN206" s="196"/>
      <c r="CO206" s="196"/>
      <c r="CP206" s="196"/>
      <c r="CQ206" s="196"/>
      <c r="CR206" s="196"/>
      <c r="CS206" s="196"/>
      <c r="CT206" s="196"/>
      <c r="CU206" s="196"/>
      <c r="CV206" s="196"/>
      <c r="CW206" s="196"/>
      <c r="CX206" s="196"/>
      <c r="CY206" s="196"/>
      <c r="CZ206" s="196"/>
      <c r="DA206" s="196"/>
      <c r="DB206" s="196"/>
      <c r="DC206" s="196"/>
      <c r="DD206" s="196"/>
      <c r="DE206" s="196"/>
      <c r="DF206" s="196"/>
      <c r="DG206" s="196"/>
      <c r="DH206" s="196"/>
      <c r="DI206" s="196"/>
      <c r="DJ206" s="196"/>
      <c r="DK206" s="196"/>
      <c r="DL206" s="196"/>
      <c r="DM206" s="196"/>
      <c r="DN206" s="196"/>
      <c r="DO206" s="196"/>
      <c r="DP206" s="196"/>
      <c r="DQ206" s="196"/>
      <c r="DR206" s="196"/>
      <c r="DS206" s="196"/>
      <c r="DT206" s="196"/>
    </row>
    <row r="207" spans="1:124" x14ac:dyDescent="0.25">
      <c r="C207">
        <f>B202/E202</f>
        <v>9.7787723875826221E-3</v>
      </c>
      <c r="BX207" s="196"/>
      <c r="BY207" s="196"/>
      <c r="BZ207" s="196"/>
      <c r="CA207" s="196"/>
      <c r="CB207" s="196"/>
      <c r="CC207" s="196"/>
      <c r="CD207" s="196"/>
      <c r="CE207" s="196"/>
      <c r="CF207" s="196"/>
      <c r="CG207" s="196"/>
      <c r="CH207" s="196"/>
      <c r="CI207" s="196"/>
      <c r="CJ207" s="196"/>
      <c r="CK207" s="196"/>
      <c r="CL207" s="196"/>
      <c r="CM207" s="196"/>
      <c r="CN207" s="196"/>
      <c r="CO207" s="196"/>
      <c r="CP207" s="196"/>
      <c r="CQ207" s="196"/>
      <c r="CR207" s="196"/>
      <c r="CS207" s="196"/>
      <c r="CT207" s="196"/>
      <c r="CU207" s="196"/>
      <c r="CV207" s="196"/>
      <c r="CW207" s="196"/>
      <c r="CX207" s="196"/>
      <c r="CY207" s="196"/>
      <c r="CZ207" s="196"/>
      <c r="DA207" s="196"/>
      <c r="DB207" s="196"/>
      <c r="DC207" s="196"/>
      <c r="DD207" s="196"/>
      <c r="DE207" s="196"/>
      <c r="DF207" s="196"/>
      <c r="DG207" s="196"/>
      <c r="DH207" s="196"/>
      <c r="DI207" s="196"/>
      <c r="DJ207" s="196"/>
      <c r="DK207" s="196"/>
      <c r="DL207" s="196"/>
      <c r="DM207" s="196"/>
      <c r="DN207" s="196"/>
      <c r="DO207" s="196"/>
      <c r="DP207" s="196"/>
      <c r="DQ207" s="196"/>
      <c r="DR207" s="196"/>
      <c r="DS207" s="196"/>
      <c r="DT207" s="196"/>
    </row>
    <row r="208" spans="1:124" x14ac:dyDescent="0.25">
      <c r="BX208" s="196"/>
      <c r="BY208" s="196"/>
      <c r="BZ208" s="196"/>
      <c r="CA208" s="196"/>
      <c r="CB208" s="196"/>
      <c r="CC208" s="196"/>
      <c r="CD208" s="196"/>
      <c r="CE208" s="196"/>
      <c r="CF208" s="196"/>
      <c r="CG208" s="196"/>
      <c r="CH208" s="196"/>
      <c r="CI208" s="196"/>
      <c r="CJ208" s="196"/>
      <c r="CK208" s="196"/>
      <c r="CL208" s="196"/>
      <c r="CM208" s="196"/>
      <c r="CN208" s="196"/>
      <c r="CO208" s="196"/>
      <c r="CP208" s="196"/>
      <c r="CQ208" s="196"/>
      <c r="CR208" s="196"/>
      <c r="CS208" s="196"/>
      <c r="CT208" s="196"/>
      <c r="CU208" s="196"/>
      <c r="CV208" s="196"/>
      <c r="CW208" s="196"/>
      <c r="CX208" s="196"/>
      <c r="CY208" s="196"/>
      <c r="CZ208" s="196"/>
      <c r="DA208" s="196"/>
      <c r="DB208" s="196"/>
      <c r="DC208" s="196"/>
      <c r="DD208" s="196"/>
      <c r="DE208" s="196"/>
      <c r="DF208" s="196"/>
      <c r="DG208" s="196"/>
      <c r="DH208" s="196"/>
      <c r="DI208" s="196"/>
      <c r="DJ208" s="196"/>
      <c r="DK208" s="196"/>
      <c r="DL208" s="196"/>
      <c r="DM208" s="196"/>
      <c r="DN208" s="196"/>
      <c r="DO208" s="196"/>
      <c r="DP208" s="196"/>
      <c r="DQ208" s="196"/>
      <c r="DR208" s="196"/>
      <c r="DS208" s="196"/>
      <c r="DT208" s="196"/>
    </row>
    <row r="209" spans="27:139" ht="15.75" thickBot="1" x14ac:dyDescent="0.3">
      <c r="BX209" s="196"/>
      <c r="BY209" s="196"/>
      <c r="BZ209" s="196"/>
      <c r="CA209" s="196"/>
      <c r="CB209" s="196"/>
      <c r="CC209" s="196"/>
      <c r="CD209" s="196"/>
      <c r="CE209" s="196"/>
      <c r="CF209" s="196"/>
      <c r="CG209" s="196"/>
      <c r="CH209" s="196"/>
      <c r="CI209" s="196"/>
      <c r="CJ209" s="196"/>
      <c r="CK209" s="196"/>
      <c r="CL209" s="196"/>
      <c r="CM209" s="196"/>
      <c r="CN209" s="196"/>
      <c r="CO209" s="196"/>
      <c r="CP209" s="196"/>
      <c r="CQ209" s="196"/>
      <c r="CR209" s="196"/>
      <c r="CS209" s="196"/>
      <c r="CT209" s="196"/>
      <c r="CU209" s="196"/>
      <c r="CV209" s="196"/>
      <c r="CW209" s="196"/>
      <c r="CX209" s="196"/>
      <c r="CY209" s="196"/>
      <c r="CZ209" s="196"/>
      <c r="DA209" s="196"/>
      <c r="DB209" s="196"/>
      <c r="DC209" s="196"/>
      <c r="DD209" s="196"/>
      <c r="DE209" s="196"/>
      <c r="DF209" s="196"/>
      <c r="DG209" s="196"/>
      <c r="DH209" s="196"/>
      <c r="DI209" s="196"/>
      <c r="DJ209" s="196"/>
      <c r="DK209" s="196"/>
      <c r="DL209" s="196"/>
      <c r="DM209" s="196"/>
      <c r="DN209" s="196"/>
      <c r="DO209" s="196"/>
      <c r="DP209" s="196"/>
      <c r="DQ209" s="196"/>
      <c r="DR209" s="196"/>
      <c r="DS209" s="196"/>
      <c r="DT209" s="196"/>
    </row>
    <row r="210" spans="27:139" ht="15.75" thickBot="1" x14ac:dyDescent="0.3">
      <c r="AA210" s="497" t="s">
        <v>136</v>
      </c>
      <c r="AB210" s="498"/>
      <c r="AC210" s="498"/>
      <c r="AD210" s="498"/>
      <c r="AE210" s="498"/>
      <c r="AF210" s="498"/>
      <c r="AG210" s="499"/>
      <c r="AH210" s="373">
        <f>($AB$212*$AB$213)*$AB$214</f>
        <v>0</v>
      </c>
      <c r="AI210" s="266" t="str">
        <f>IF(OR($A$3=0,$A$3="0",$AB$216=0),"0",IF($AB$216&gt;$A$3,$A$3,$AB$216))</f>
        <v>0</v>
      </c>
      <c r="BA210" s="497" t="s">
        <v>694</v>
      </c>
      <c r="BB210" s="498"/>
      <c r="BC210" s="498"/>
      <c r="BD210" s="498"/>
      <c r="BE210" s="498"/>
      <c r="BF210" s="498"/>
      <c r="BG210" s="499"/>
      <c r="BH210" s="373">
        <f>($BB$212*$BB$213)*$BB$214</f>
        <v>0</v>
      </c>
      <c r="BX210" s="196"/>
      <c r="BY210" s="196"/>
      <c r="BZ210" s="196"/>
      <c r="CA210" s="497" t="s">
        <v>347</v>
      </c>
      <c r="CB210" s="498"/>
      <c r="CC210" s="498"/>
      <c r="CD210" s="498"/>
      <c r="CE210" s="498"/>
      <c r="CF210" s="498"/>
      <c r="CG210" s="499"/>
      <c r="CH210" s="323" t="str">
        <f>IF(OR($A$3=0,$A$3="0",$CB$216=0),"0",IF($CB$216&gt;$A$3,$A$3,$CB$216))</f>
        <v>0</v>
      </c>
      <c r="CI210" s="196"/>
      <c r="CJ210" s="196"/>
      <c r="CK210" s="196"/>
      <c r="CL210" s="196"/>
      <c r="CM210" s="196"/>
      <c r="CN210" s="196"/>
      <c r="CO210" s="196"/>
      <c r="CP210" s="196"/>
      <c r="CQ210" s="196"/>
      <c r="CR210" s="196"/>
      <c r="CS210" s="196"/>
      <c r="CT210" s="196"/>
      <c r="CU210" s="196"/>
      <c r="CV210" s="196"/>
      <c r="CW210" s="196"/>
      <c r="CX210" s="196"/>
      <c r="CY210" s="196"/>
      <c r="CZ210" s="196"/>
      <c r="DA210" s="497" t="s">
        <v>346</v>
      </c>
      <c r="DB210" s="498"/>
      <c r="DC210" s="498"/>
      <c r="DD210" s="498"/>
      <c r="DE210" s="498"/>
      <c r="DF210" s="498"/>
      <c r="DG210" s="499"/>
      <c r="DH210" s="323" t="str">
        <f>IF(OR($A$6=0,$A$6="0",$DB$216=0),"0",IF($DB$216&gt;$A$6,$A$6,$DB$216))</f>
        <v>0</v>
      </c>
      <c r="DI210" s="196"/>
      <c r="DJ210" s="196"/>
      <c r="DK210" s="196"/>
      <c r="DL210" s="196"/>
      <c r="DM210" s="196"/>
      <c r="DN210" s="196"/>
      <c r="DO210" s="196"/>
      <c r="DP210" s="196"/>
      <c r="DQ210" s="196"/>
      <c r="DR210" s="196"/>
      <c r="DS210" s="196"/>
      <c r="DT210" s="196"/>
      <c r="EA210" s="497" t="s">
        <v>412</v>
      </c>
      <c r="EB210" s="498"/>
      <c r="EC210" s="498"/>
      <c r="ED210" s="498"/>
      <c r="EE210" s="498"/>
      <c r="EF210" s="498"/>
      <c r="EG210" s="499"/>
      <c r="EH210" s="11" t="str">
        <f>IF(OR($A$3=0,$A$3="0",$EB$228="",$EB$228="No cumple con Inversión Mínima"),"No cumple con Inversión Mínima",IF($EB$228&gt;$A$3,$A$3,$EB$228))</f>
        <v>No cumple con Inversión Mínima</v>
      </c>
      <c r="EI210" s="262" t="s">
        <v>360</v>
      </c>
    </row>
    <row r="211" spans="27:139" ht="16.5" thickTop="1" thickBot="1" x14ac:dyDescent="0.3">
      <c r="AA211" s="23" t="s">
        <v>27</v>
      </c>
      <c r="AB211" s="18">
        <v>0</v>
      </c>
      <c r="AC211" s="26"/>
      <c r="AD211" s="26"/>
      <c r="AE211" s="26"/>
      <c r="AF211" s="26"/>
      <c r="AG211" s="26"/>
      <c r="AH211" s="36"/>
      <c r="BA211" s="23" t="s">
        <v>27</v>
      </c>
      <c r="BB211" s="18">
        <v>0</v>
      </c>
      <c r="BC211" s="26"/>
      <c r="BD211" s="26"/>
      <c r="BE211" s="26"/>
      <c r="BF211" s="26"/>
      <c r="BG211" s="26"/>
      <c r="BH211" s="36"/>
      <c r="BX211" s="196"/>
      <c r="BY211" s="196"/>
      <c r="BZ211" s="196"/>
      <c r="CA211" s="23" t="s">
        <v>27</v>
      </c>
      <c r="CB211" s="18">
        <v>0</v>
      </c>
      <c r="CC211" s="26"/>
      <c r="CD211" s="26"/>
      <c r="CE211" s="26"/>
      <c r="CF211" s="26"/>
      <c r="CG211" s="26"/>
      <c r="CH211" s="36"/>
      <c r="CI211" s="196"/>
      <c r="CJ211" s="196"/>
      <c r="CK211" s="196"/>
      <c r="CL211" s="196"/>
      <c r="CM211" s="196"/>
      <c r="CN211" s="196"/>
      <c r="CO211" s="196"/>
      <c r="CP211" s="196"/>
      <c r="CQ211" s="196"/>
      <c r="CR211" s="196"/>
      <c r="CS211" s="196"/>
      <c r="CT211" s="196"/>
      <c r="CU211" s="196"/>
      <c r="CV211" s="196"/>
      <c r="CW211" s="196"/>
      <c r="CX211" s="196"/>
      <c r="CY211" s="196"/>
      <c r="CZ211" s="196"/>
      <c r="DA211" s="23" t="s">
        <v>27</v>
      </c>
      <c r="DB211" s="18">
        <v>0</v>
      </c>
      <c r="DC211" s="26"/>
      <c r="DD211" s="26"/>
      <c r="DE211" s="26"/>
      <c r="DF211" s="26"/>
      <c r="DG211" s="26"/>
      <c r="DH211" s="36"/>
      <c r="DI211" s="196"/>
      <c r="DJ211" s="196"/>
      <c r="DK211" s="196"/>
      <c r="DL211" s="196"/>
      <c r="DM211" s="196"/>
      <c r="DN211" s="196"/>
      <c r="DO211" s="196"/>
      <c r="DP211" s="196"/>
      <c r="DQ211" s="196"/>
      <c r="DR211" s="196"/>
      <c r="DS211" s="196"/>
      <c r="DT211" s="196"/>
      <c r="EA211" s="25" t="s">
        <v>370</v>
      </c>
      <c r="EB211" s="18">
        <v>0</v>
      </c>
      <c r="EC211" s="26"/>
      <c r="ED211" s="26"/>
      <c r="EE211" s="26"/>
      <c r="EF211" s="26"/>
      <c r="EG211" s="26"/>
      <c r="EH211" s="36"/>
      <c r="EI211" s="196"/>
    </row>
    <row r="212" spans="27:139" ht="16.5" thickTop="1" thickBot="1" x14ac:dyDescent="0.3">
      <c r="AA212" s="25" t="s">
        <v>52</v>
      </c>
      <c r="AB212" s="26">
        <f>$AB$211/12</f>
        <v>0</v>
      </c>
      <c r="AC212" s="26"/>
      <c r="AD212" s="26"/>
      <c r="AE212" s="26"/>
      <c r="AF212" s="104">
        <v>25</v>
      </c>
      <c r="AG212" s="26"/>
      <c r="AH212" s="36"/>
      <c r="AI212" s="38"/>
      <c r="AJ212" s="38"/>
      <c r="BA212" s="25" t="s">
        <v>52</v>
      </c>
      <c r="BB212" s="26">
        <f>$BB$211/12</f>
        <v>0</v>
      </c>
      <c r="BC212" s="26"/>
      <c r="BD212" s="26"/>
      <c r="BE212" s="26"/>
      <c r="BF212" s="104">
        <v>25</v>
      </c>
      <c r="BG212" s="26"/>
      <c r="BH212" s="36"/>
      <c r="BX212" s="196"/>
      <c r="BY212" s="196"/>
      <c r="BZ212" s="196"/>
      <c r="CA212" s="25" t="s">
        <v>52</v>
      </c>
      <c r="CB212" s="26">
        <f>$CB$211/12</f>
        <v>0</v>
      </c>
      <c r="CC212" s="26"/>
      <c r="CD212" s="26"/>
      <c r="CE212" s="26"/>
      <c r="CF212" s="104">
        <v>25</v>
      </c>
      <c r="CG212" s="26"/>
      <c r="CH212" s="36"/>
      <c r="CI212" s="38"/>
      <c r="CJ212" s="38"/>
      <c r="CK212" s="196"/>
      <c r="CL212" s="196"/>
      <c r="CM212" s="196"/>
      <c r="CN212" s="196"/>
      <c r="CO212" s="196"/>
      <c r="CP212" s="196"/>
      <c r="CQ212" s="196"/>
      <c r="CR212" s="196"/>
      <c r="CS212" s="196"/>
      <c r="CT212" s="196"/>
      <c r="CU212" s="196"/>
      <c r="CV212" s="196"/>
      <c r="CW212" s="196"/>
      <c r="CX212" s="196"/>
      <c r="CY212" s="196"/>
      <c r="CZ212" s="196"/>
      <c r="DA212" s="25" t="s">
        <v>52</v>
      </c>
      <c r="DB212" s="26">
        <f>$DB$211/12</f>
        <v>0</v>
      </c>
      <c r="DC212" s="26"/>
      <c r="DD212" s="26"/>
      <c r="DE212" s="26"/>
      <c r="DF212" s="104">
        <v>25</v>
      </c>
      <c r="DG212" s="26"/>
      <c r="DH212" s="36"/>
      <c r="DI212" s="196"/>
      <c r="DJ212" s="196"/>
      <c r="DK212" s="196"/>
      <c r="DL212" s="196"/>
      <c r="DM212" s="196"/>
      <c r="DN212" s="196"/>
      <c r="DO212" s="196"/>
      <c r="DP212" s="196"/>
      <c r="DQ212" s="196"/>
      <c r="DR212" s="196"/>
      <c r="DS212" s="196"/>
      <c r="DT212" s="196"/>
      <c r="EA212" s="25" t="s">
        <v>371</v>
      </c>
      <c r="EB212" s="18">
        <v>0</v>
      </c>
      <c r="EC212" s="26"/>
      <c r="ED212" s="26"/>
      <c r="EE212" s="26"/>
      <c r="EF212" s="26"/>
      <c r="EG212" s="26"/>
      <c r="EH212" s="36"/>
      <c r="EI212" s="196"/>
    </row>
    <row r="213" spans="27:139" ht="16.5" thickTop="1" thickBot="1" x14ac:dyDescent="0.3">
      <c r="AA213" s="25" t="s">
        <v>50</v>
      </c>
      <c r="AB213" s="40">
        <f>VLOOKUP($AA$211,$A$14:$D$25,2,0)</f>
        <v>0</v>
      </c>
      <c r="AC213" s="62"/>
      <c r="AD213" s="26"/>
      <c r="AE213" s="26"/>
      <c r="AF213" s="104">
        <f>$AB$213*100</f>
        <v>0</v>
      </c>
      <c r="AG213" s="62"/>
      <c r="AH213" s="36"/>
      <c r="BA213" s="25" t="s">
        <v>50</v>
      </c>
      <c r="BB213" s="40">
        <f>VLOOKUP($BA$211,$A$14:$D$25,2,0)</f>
        <v>0</v>
      </c>
      <c r="BC213" s="26"/>
      <c r="BD213" s="26"/>
      <c r="BE213" s="26"/>
      <c r="BF213" s="104">
        <f>$BB$213*100</f>
        <v>0</v>
      </c>
      <c r="BG213" s="62"/>
      <c r="BH213" s="36"/>
      <c r="BX213" s="196"/>
      <c r="BY213" s="196"/>
      <c r="BZ213" s="196"/>
      <c r="CA213" s="25" t="s">
        <v>50</v>
      </c>
      <c r="CB213" s="40">
        <f>VLOOKUP($CA$211,$A$41:$C$51,2,0)</f>
        <v>0</v>
      </c>
      <c r="CC213" s="26"/>
      <c r="CD213" s="26"/>
      <c r="CE213" s="26"/>
      <c r="CF213" s="104">
        <f>$CB$213*100</f>
        <v>0</v>
      </c>
      <c r="CG213" s="62"/>
      <c r="CH213" s="36"/>
      <c r="CI213" s="196"/>
      <c r="CJ213" s="196"/>
      <c r="CK213" s="196"/>
      <c r="CL213" s="196"/>
      <c r="CM213" s="196"/>
      <c r="CN213" s="196"/>
      <c r="CO213" s="196"/>
      <c r="CP213" s="196"/>
      <c r="CQ213" s="196"/>
      <c r="CR213" s="196"/>
      <c r="CS213" s="196"/>
      <c r="CT213" s="196"/>
      <c r="CU213" s="196"/>
      <c r="CV213" s="196"/>
      <c r="CW213" s="196"/>
      <c r="CX213" s="196"/>
      <c r="CY213" s="196"/>
      <c r="CZ213" s="196"/>
      <c r="DA213" s="25" t="s">
        <v>50</v>
      </c>
      <c r="DB213" s="40">
        <f>VLOOKUP($DA$211,$A$41:$C$51,2,0)</f>
        <v>0</v>
      </c>
      <c r="DC213" s="26"/>
      <c r="DD213" s="26"/>
      <c r="DE213" s="26"/>
      <c r="DF213" s="104">
        <f>$DB$213*100</f>
        <v>0</v>
      </c>
      <c r="DG213" s="62"/>
      <c r="DH213" s="36"/>
      <c r="DI213" s="196"/>
      <c r="DJ213" s="196"/>
      <c r="DK213" s="196"/>
      <c r="DL213" s="196"/>
      <c r="DM213" s="196"/>
      <c r="DN213" s="196"/>
      <c r="DO213" s="196"/>
      <c r="DP213" s="196"/>
      <c r="DQ213" s="196"/>
      <c r="DR213" s="196"/>
      <c r="DS213" s="196"/>
      <c r="DT213" s="196"/>
      <c r="EA213" s="25" t="s">
        <v>319</v>
      </c>
      <c r="EB213" s="18">
        <v>0</v>
      </c>
      <c r="EC213" s="26"/>
      <c r="ED213" s="26"/>
      <c r="EE213" s="26"/>
      <c r="EF213" s="26"/>
      <c r="EG213" s="26"/>
      <c r="EH213" s="36"/>
      <c r="EI213" s="196"/>
    </row>
    <row r="214" spans="27:139" ht="16.5" thickTop="1" thickBot="1" x14ac:dyDescent="0.3">
      <c r="AA214" s="25" t="s">
        <v>53</v>
      </c>
      <c r="AB214" s="267">
        <f>$AD$214/100</f>
        <v>0</v>
      </c>
      <c r="AC214" s="269">
        <v>0</v>
      </c>
      <c r="AD214" s="268">
        <f>IF($AC$214&gt;=100,100,$AC$214)</f>
        <v>0</v>
      </c>
      <c r="AE214" s="26"/>
      <c r="AF214" s="105">
        <f>$AB$214*100</f>
        <v>0</v>
      </c>
      <c r="AG214" s="103" t="str">
        <f>IF($AC$214=0,"",IF($AF$214&gt;=$AF$212,"","El Porcentaje de Participacion Minimo para continuar es del 25%"))</f>
        <v/>
      </c>
      <c r="AH214" s="102"/>
      <c r="BA214" s="25" t="s">
        <v>53</v>
      </c>
      <c r="BB214" s="64">
        <f>$BD$214/100</f>
        <v>0</v>
      </c>
      <c r="BC214" s="65">
        <v>0</v>
      </c>
      <c r="BD214" s="66">
        <f>IF($BC$214&gt;=100,100,$BC$214)</f>
        <v>0</v>
      </c>
      <c r="BE214" s="26"/>
      <c r="BF214" s="105">
        <f>$BB$214*100</f>
        <v>0</v>
      </c>
      <c r="BG214" s="103" t="str">
        <f>IF($BC$214=0,"",IF($BF$214&gt;=$BF$212,"","El Porcentaje de Participacion Minimo para continuar es del 25%"))</f>
        <v/>
      </c>
      <c r="BH214" s="102"/>
      <c r="BX214" s="196"/>
      <c r="BY214" s="196"/>
      <c r="BZ214" s="196"/>
      <c r="CA214" s="25" t="s">
        <v>53</v>
      </c>
      <c r="CB214" s="64">
        <f>$CD$214/100</f>
        <v>0</v>
      </c>
      <c r="CC214" s="65">
        <v>0</v>
      </c>
      <c r="CD214" s="66">
        <f>IF($CC$214&gt;=100,100,$CC$214)</f>
        <v>0</v>
      </c>
      <c r="CE214" s="26"/>
      <c r="CF214" s="105">
        <f>$CB$214*100</f>
        <v>0</v>
      </c>
      <c r="CG214" s="103" t="str">
        <f>IF($CC$214=0,"",IF($CF$214&gt;=$CF$212,"","El Porcentaje de Participacion Minimo para continuar es del 25%"))</f>
        <v/>
      </c>
      <c r="CH214" s="102"/>
      <c r="CI214" s="196"/>
      <c r="CJ214" s="196"/>
      <c r="CK214" s="196"/>
      <c r="CL214" s="196"/>
      <c r="CM214" s="196"/>
      <c r="CN214" s="196"/>
      <c r="CO214" s="196"/>
      <c r="CP214" s="196"/>
      <c r="CQ214" s="196"/>
      <c r="CR214" s="196"/>
      <c r="CS214" s="196"/>
      <c r="CT214" s="196"/>
      <c r="CU214" s="196"/>
      <c r="CV214" s="196"/>
      <c r="CW214" s="196"/>
      <c r="CX214" s="196"/>
      <c r="CY214" s="196"/>
      <c r="CZ214" s="196"/>
      <c r="DA214" s="25" t="s">
        <v>53</v>
      </c>
      <c r="DB214" s="64">
        <f>$DD$214/100</f>
        <v>0</v>
      </c>
      <c r="DC214" s="65">
        <v>0</v>
      </c>
      <c r="DD214" s="66">
        <f>IF($DC$214&gt;=100,100,$DC$214)</f>
        <v>0</v>
      </c>
      <c r="DE214" s="26"/>
      <c r="DF214" s="105">
        <f>$DB$214*100</f>
        <v>0</v>
      </c>
      <c r="DG214" s="103" t="str">
        <f>IF($DC$214=0,"",IF($DF$214&gt;=$DF$212,"","El Porcentaje de Participacion Minimo para continuar es del 25%"))</f>
        <v/>
      </c>
      <c r="DH214" s="102"/>
      <c r="DI214" s="196"/>
      <c r="DJ214" s="196"/>
      <c r="DK214" s="196"/>
      <c r="DL214" s="196"/>
      <c r="DM214" s="196"/>
      <c r="DN214" s="196"/>
      <c r="DO214" s="196"/>
      <c r="DP214" s="196"/>
      <c r="DQ214" s="196"/>
      <c r="DR214" s="196"/>
      <c r="DS214" s="196"/>
      <c r="DT214" s="196"/>
      <c r="EA214" s="25" t="s">
        <v>372</v>
      </c>
      <c r="EB214" s="18">
        <v>0</v>
      </c>
      <c r="EC214" s="26"/>
      <c r="ED214" s="26"/>
      <c r="EE214" s="26"/>
      <c r="EF214" s="26"/>
      <c r="EG214" s="26"/>
      <c r="EH214" s="102"/>
      <c r="EI214" s="196"/>
    </row>
    <row r="215" spans="27:139" ht="16.5" thickTop="1" thickBot="1" x14ac:dyDescent="0.3">
      <c r="AA215" s="101"/>
      <c r="AB215" s="62"/>
      <c r="AC215" s="55"/>
      <c r="AD215" s="26"/>
      <c r="AE215" s="26"/>
      <c r="AF215" s="26"/>
      <c r="AG215" s="55"/>
      <c r="AH215" s="36"/>
      <c r="BA215" s="101"/>
      <c r="BB215" s="62"/>
      <c r="BC215" s="26"/>
      <c r="BD215" s="26"/>
      <c r="BE215" s="26"/>
      <c r="BF215" s="26"/>
      <c r="BG215" s="55"/>
      <c r="BH215" s="36"/>
      <c r="BX215" s="196"/>
      <c r="BY215" s="196"/>
      <c r="BZ215" s="196"/>
      <c r="CA215" s="101"/>
      <c r="CB215" s="62"/>
      <c r="CC215" s="26"/>
      <c r="CD215" s="26"/>
      <c r="CE215" s="26"/>
      <c r="CF215" s="26"/>
      <c r="CG215" s="55"/>
      <c r="CH215" s="36"/>
      <c r="CI215" s="196"/>
      <c r="CJ215" s="196"/>
      <c r="CK215" s="196"/>
      <c r="CL215" s="196"/>
      <c r="CM215" s="196"/>
      <c r="CN215" s="196"/>
      <c r="CO215" s="196"/>
      <c r="CP215" s="196"/>
      <c r="CQ215" s="196"/>
      <c r="CR215" s="196"/>
      <c r="CS215" s="196"/>
      <c r="CT215" s="196"/>
      <c r="CU215" s="196"/>
      <c r="CV215" s="196"/>
      <c r="CW215" s="196"/>
      <c r="CX215" s="196"/>
      <c r="CY215" s="196"/>
      <c r="CZ215" s="196"/>
      <c r="DA215" s="101"/>
      <c r="DB215" s="62"/>
      <c r="DC215" s="26"/>
      <c r="DD215" s="26"/>
      <c r="DE215" s="26"/>
      <c r="DF215" s="26"/>
      <c r="DG215" s="55"/>
      <c r="DH215" s="36"/>
      <c r="DI215" s="196"/>
      <c r="DJ215" s="196"/>
      <c r="DK215" s="196"/>
      <c r="DL215" s="196"/>
      <c r="DM215" s="196"/>
      <c r="DN215" s="196"/>
      <c r="DO215" s="196"/>
      <c r="DP215" s="196"/>
      <c r="DQ215" s="196"/>
      <c r="DR215" s="196"/>
      <c r="DS215" s="196"/>
      <c r="DT215" s="196"/>
      <c r="EA215" s="25" t="s">
        <v>375</v>
      </c>
      <c r="EB215" s="62"/>
      <c r="EC215" s="26"/>
      <c r="ED215" s="26"/>
      <c r="EE215" s="26"/>
      <c r="EF215" s="26"/>
      <c r="EG215" s="26"/>
      <c r="EH215" s="36"/>
      <c r="EI215" s="196"/>
    </row>
    <row r="216" spans="27:139" ht="16.5" thickTop="1" thickBot="1" x14ac:dyDescent="0.3">
      <c r="AA216" s="41" t="s">
        <v>51</v>
      </c>
      <c r="AB216" s="42">
        <f>($AB$212*$AB$213)*$AB$214</f>
        <v>0</v>
      </c>
      <c r="AC216" s="100"/>
      <c r="AD216" s="31"/>
      <c r="AE216" s="31"/>
      <c r="AF216" s="31"/>
      <c r="AG216" s="31"/>
      <c r="AH216" s="43"/>
      <c r="BA216" s="41" t="s">
        <v>51</v>
      </c>
      <c r="BB216" s="42">
        <f>($BB$212*$BB$213)*$BB$214</f>
        <v>0</v>
      </c>
      <c r="BC216" s="100"/>
      <c r="BD216" s="31"/>
      <c r="BE216" s="31"/>
      <c r="BF216" s="31"/>
      <c r="BG216" s="31"/>
      <c r="BH216" s="43"/>
      <c r="BX216" s="196"/>
      <c r="BY216" s="196"/>
      <c r="BZ216" s="196"/>
      <c r="CA216" s="41" t="s">
        <v>51</v>
      </c>
      <c r="CB216" s="42">
        <f>($CB$212*$CB$213)*$CB$214</f>
        <v>0</v>
      </c>
      <c r="CC216" s="100"/>
      <c r="CD216" s="31"/>
      <c r="CE216" s="31"/>
      <c r="CF216" s="31"/>
      <c r="CG216" s="31"/>
      <c r="CH216" s="43"/>
      <c r="CI216" s="196"/>
      <c r="CJ216" s="196"/>
      <c r="CK216" s="196"/>
      <c r="CL216" s="196"/>
      <c r="CM216" s="196"/>
      <c r="CN216" s="196"/>
      <c r="CO216" s="196"/>
      <c r="CP216" s="196"/>
      <c r="CQ216" s="196"/>
      <c r="CR216" s="196"/>
      <c r="CS216" s="196"/>
      <c r="CT216" s="196"/>
      <c r="CU216" s="196"/>
      <c r="CV216" s="196"/>
      <c r="CW216" s="196"/>
      <c r="CX216" s="196"/>
      <c r="CY216" s="196"/>
      <c r="CZ216" s="196"/>
      <c r="DA216" s="41" t="s">
        <v>51</v>
      </c>
      <c r="DB216" s="42">
        <f>($DB$212*$DB$213)*$DB$214</f>
        <v>0</v>
      </c>
      <c r="DC216" s="100"/>
      <c r="DD216" s="31"/>
      <c r="DE216" s="31"/>
      <c r="DF216" s="31"/>
      <c r="DG216" s="31"/>
      <c r="DH216" s="43"/>
      <c r="DI216" s="196"/>
      <c r="DJ216" s="196"/>
      <c r="DK216" s="196"/>
      <c r="DL216" s="196"/>
      <c r="DM216" s="196"/>
      <c r="DN216" s="196"/>
      <c r="DO216" s="196"/>
      <c r="DP216" s="196"/>
      <c r="DQ216" s="196"/>
      <c r="DR216" s="196"/>
      <c r="DS216" s="196"/>
      <c r="DT216" s="196"/>
      <c r="EA216" s="25" t="s">
        <v>376</v>
      </c>
      <c r="EB216" s="177">
        <f>$EB$214-$EB$212</f>
        <v>0</v>
      </c>
      <c r="EC216" s="26"/>
      <c r="ED216" s="26"/>
      <c r="EE216" s="26"/>
      <c r="EF216" s="26"/>
      <c r="EG216" s="26"/>
      <c r="EH216" s="36"/>
      <c r="EI216" s="196"/>
    </row>
    <row r="217" spans="27:139" ht="16.5" thickTop="1" thickBot="1" x14ac:dyDescent="0.3">
      <c r="AB217" s="149" t="str">
        <f>IF($AB$216&lt;=$AH$210,"","")</f>
        <v/>
      </c>
      <c r="BB217" s="149" t="str">
        <f>IF($BB$216&lt;=$BH$210,"","")</f>
        <v/>
      </c>
      <c r="BX217" s="196"/>
      <c r="BY217" s="196"/>
      <c r="BZ217" s="196"/>
      <c r="CA217" s="196"/>
      <c r="CB217" s="149" t="str">
        <f>IF($CB$216&lt;=$CH$210,"","El Ingreso se esta topando en base a la cantidad capturada en solicitud")</f>
        <v/>
      </c>
      <c r="CC217" s="196"/>
      <c r="CD217" s="196"/>
      <c r="CE217" s="196"/>
      <c r="CF217" s="196"/>
      <c r="CG217" s="196"/>
      <c r="CH217" s="196"/>
      <c r="CI217" s="196"/>
      <c r="CJ217" s="196"/>
      <c r="CK217" s="196"/>
      <c r="CL217" s="196"/>
      <c r="CM217" s="196"/>
      <c r="CN217" s="196"/>
      <c r="CO217" s="196"/>
      <c r="CP217" s="196"/>
      <c r="CQ217" s="196"/>
      <c r="CR217" s="196"/>
      <c r="CS217" s="196"/>
      <c r="CT217" s="196"/>
      <c r="CU217" s="196"/>
      <c r="CV217" s="196"/>
      <c r="CW217" s="196"/>
      <c r="CX217" s="196"/>
      <c r="CY217" s="196"/>
      <c r="CZ217" s="196"/>
      <c r="DA217" s="196"/>
      <c r="DB217" s="149" t="str">
        <f>IF($DB$216&lt;=$DH$210,"","El Ingreso se esta topando en base a la cantidad capturada en solicitud")</f>
        <v/>
      </c>
      <c r="DC217" s="196"/>
      <c r="DD217" s="196"/>
      <c r="DE217" s="196"/>
      <c r="DF217" s="196"/>
      <c r="DG217" s="196"/>
      <c r="DH217" s="196"/>
      <c r="DI217" s="196"/>
      <c r="DJ217" s="196"/>
      <c r="DK217" s="196"/>
      <c r="DL217" s="196"/>
      <c r="DM217" s="196"/>
      <c r="DN217" s="196"/>
      <c r="DO217" s="196"/>
      <c r="DP217" s="196"/>
      <c r="DQ217" s="196"/>
      <c r="DR217" s="196"/>
      <c r="DS217" s="196"/>
      <c r="DT217" s="196"/>
      <c r="EA217" s="25" t="s">
        <v>377</v>
      </c>
      <c r="EB217" s="62">
        <f>PMT($EB$220/12,$EB$219,-$EB$216)</f>
        <v>0</v>
      </c>
      <c r="EC217" s="26"/>
      <c r="ED217" s="26"/>
      <c r="EE217" s="26"/>
      <c r="EF217" s="26"/>
      <c r="EG217" s="26"/>
      <c r="EH217" s="36"/>
      <c r="EI217" s="196"/>
    </row>
    <row r="218" spans="27:139" ht="16.5" thickTop="1" thickBot="1" x14ac:dyDescent="0.3">
      <c r="BX218" s="196"/>
      <c r="BY218" s="196"/>
      <c r="BZ218" s="196"/>
      <c r="CA218" s="196"/>
      <c r="CB218" s="196"/>
      <c r="CC218" s="196"/>
      <c r="CD218" s="196"/>
      <c r="CE218" s="196"/>
      <c r="CF218" s="196"/>
      <c r="CG218" s="196"/>
      <c r="CH218" s="196"/>
      <c r="CI218" s="196"/>
      <c r="CJ218" s="196"/>
      <c r="CK218" s="196"/>
      <c r="CL218" s="196"/>
      <c r="CM218" s="196"/>
      <c r="CN218" s="196"/>
      <c r="CO218" s="196"/>
      <c r="CP218" s="196"/>
      <c r="CQ218" s="196"/>
      <c r="CR218" s="196"/>
      <c r="CS218" s="196"/>
      <c r="CT218" s="196"/>
      <c r="CU218" s="196"/>
      <c r="CV218" s="196"/>
      <c r="CW218" s="196"/>
      <c r="CX218" s="196"/>
      <c r="CY218" s="196"/>
      <c r="CZ218" s="196"/>
      <c r="DA218" s="196"/>
      <c r="DB218" s="196"/>
      <c r="DC218" s="196"/>
      <c r="DD218" s="196"/>
      <c r="DE218" s="196"/>
      <c r="DF218" s="196"/>
      <c r="DG218" s="196"/>
      <c r="DH218" s="196"/>
      <c r="DI218" s="196"/>
      <c r="DJ218" s="196"/>
      <c r="DK218" s="196"/>
      <c r="DL218" s="196"/>
      <c r="DM218" s="196"/>
      <c r="DN218" s="196"/>
      <c r="DO218" s="196"/>
      <c r="DP218" s="196"/>
      <c r="DQ218" s="196"/>
      <c r="DR218" s="196"/>
      <c r="DS218" s="196"/>
      <c r="DT218" s="196"/>
      <c r="EA218" s="25" t="s">
        <v>378</v>
      </c>
      <c r="EB218" s="187">
        <v>0.52500000000000002</v>
      </c>
      <c r="EC218" s="26"/>
      <c r="ED218" s="26"/>
      <c r="EE218" s="26"/>
      <c r="EF218" s="26"/>
      <c r="EG218" s="26"/>
      <c r="EH218" s="36"/>
      <c r="EI218" s="196"/>
    </row>
    <row r="219" spans="27:139" ht="16.5" thickTop="1" thickBot="1" x14ac:dyDescent="0.3">
      <c r="BX219" s="196"/>
      <c r="BY219" s="196"/>
      <c r="BZ219" s="196"/>
      <c r="CA219" s="196"/>
      <c r="CB219" s="196"/>
      <c r="CC219" s="196"/>
      <c r="CD219" s="196"/>
      <c r="CE219" s="196"/>
      <c r="CF219" s="196"/>
      <c r="CG219" s="196"/>
      <c r="CH219" s="196"/>
      <c r="CI219" s="196"/>
      <c r="CJ219" s="196"/>
      <c r="CK219" s="196"/>
      <c r="CL219" s="196"/>
      <c r="CM219" s="196"/>
      <c r="CN219" s="196"/>
      <c r="CO219" s="196"/>
      <c r="CP219" s="196"/>
      <c r="CQ219" s="196"/>
      <c r="CR219" s="196"/>
      <c r="CS219" s="196"/>
      <c r="CT219" s="196"/>
      <c r="CU219" s="196"/>
      <c r="CV219" s="196"/>
      <c r="CW219" s="196"/>
      <c r="CX219" s="196"/>
      <c r="CY219" s="196"/>
      <c r="CZ219" s="196"/>
      <c r="DA219" s="196"/>
      <c r="DB219" s="196"/>
      <c r="DC219" s="196"/>
      <c r="DD219" s="196"/>
      <c r="DE219" s="196"/>
      <c r="DF219" s="196"/>
      <c r="DG219" s="196"/>
      <c r="DH219" s="196"/>
      <c r="DI219" s="196"/>
      <c r="DJ219" s="196"/>
      <c r="DK219" s="196"/>
      <c r="DL219" s="196"/>
      <c r="DM219" s="196"/>
      <c r="DN219" s="196"/>
      <c r="DO219" s="196"/>
      <c r="DP219" s="196"/>
      <c r="DQ219" s="196"/>
      <c r="DR219" s="196"/>
      <c r="DS219" s="196"/>
      <c r="DT219" s="196"/>
      <c r="EA219" s="25" t="s">
        <v>379</v>
      </c>
      <c r="EB219" s="186">
        <v>56</v>
      </c>
      <c r="EC219" s="26"/>
      <c r="ED219" s="26"/>
      <c r="EE219" s="26"/>
      <c r="EF219" s="26"/>
      <c r="EG219" s="26"/>
      <c r="EH219" s="36"/>
      <c r="EI219" s="196"/>
    </row>
    <row r="220" spans="27:139" ht="16.5" thickTop="1" thickBot="1" x14ac:dyDescent="0.3">
      <c r="BX220" s="196"/>
      <c r="BY220" s="196"/>
      <c r="BZ220" s="196"/>
      <c r="CA220" s="196"/>
      <c r="CB220" s="196"/>
      <c r="CC220" s="196"/>
      <c r="CD220" s="196"/>
      <c r="CE220" s="196"/>
      <c r="CF220" s="196"/>
      <c r="CG220" s="196"/>
      <c r="CH220" s="196"/>
      <c r="CI220" s="196"/>
      <c r="CJ220" s="196"/>
      <c r="CK220" s="196"/>
      <c r="CL220" s="196"/>
      <c r="CM220" s="196"/>
      <c r="CN220" s="196"/>
      <c r="CO220" s="196"/>
      <c r="CP220" s="196"/>
      <c r="CQ220" s="196"/>
      <c r="CR220" s="196"/>
      <c r="CS220" s="196"/>
      <c r="CT220" s="196"/>
      <c r="CU220" s="196"/>
      <c r="CV220" s="196"/>
      <c r="CW220" s="196"/>
      <c r="CX220" s="196"/>
      <c r="CY220" s="196"/>
      <c r="CZ220" s="196"/>
      <c r="DA220" s="196"/>
      <c r="DB220" s="196"/>
      <c r="DC220" s="196"/>
      <c r="DD220" s="196"/>
      <c r="DE220" s="196"/>
      <c r="DF220" s="196"/>
      <c r="DG220" s="196"/>
      <c r="DH220" s="196"/>
      <c r="DI220" s="196"/>
      <c r="DJ220" s="196"/>
      <c r="DK220" s="196"/>
      <c r="DL220" s="196"/>
      <c r="DM220" s="196"/>
      <c r="DN220" s="196"/>
      <c r="DO220" s="196"/>
      <c r="DP220" s="196"/>
      <c r="DQ220" s="196"/>
      <c r="DR220" s="196"/>
      <c r="DS220" s="196"/>
      <c r="DT220" s="196"/>
      <c r="EA220" s="25" t="s">
        <v>380</v>
      </c>
      <c r="EB220" s="188">
        <f>IF($EB$211=$EA$12,0.323,0.249)</f>
        <v>0.249</v>
      </c>
      <c r="EC220" s="26"/>
      <c r="ED220" s="26"/>
      <c r="EE220" s="26"/>
      <c r="EF220" s="26"/>
      <c r="EG220" s="26"/>
      <c r="EH220" s="36"/>
      <c r="EI220" s="196"/>
    </row>
    <row r="221" spans="27:139" ht="16.5" thickTop="1" thickBot="1" x14ac:dyDescent="0.3">
      <c r="BX221" s="196"/>
      <c r="BY221" s="196"/>
      <c r="BZ221" s="196"/>
      <c r="CA221" s="196"/>
      <c r="CB221" s="196"/>
      <c r="CC221" s="196"/>
      <c r="CD221" s="196"/>
      <c r="CE221" s="196"/>
      <c r="CF221" s="196"/>
      <c r="CG221" s="196"/>
      <c r="CH221" s="196"/>
      <c r="CI221" s="196"/>
      <c r="CJ221" s="196"/>
      <c r="CK221" s="196"/>
      <c r="CL221" s="196"/>
      <c r="CM221" s="196"/>
      <c r="CN221" s="196"/>
      <c r="CO221" s="196"/>
      <c r="CP221" s="196"/>
      <c r="CQ221" s="196"/>
      <c r="CR221" s="196"/>
      <c r="CS221" s="196"/>
      <c r="CT221" s="196"/>
      <c r="CU221" s="196"/>
      <c r="CV221" s="196"/>
      <c r="CW221" s="196"/>
      <c r="CX221" s="196"/>
      <c r="CY221" s="196"/>
      <c r="CZ221" s="196"/>
      <c r="DA221" s="196"/>
      <c r="DB221" s="196"/>
      <c r="DC221" s="196"/>
      <c r="DD221" s="196"/>
      <c r="DE221" s="196"/>
      <c r="DF221" s="196"/>
      <c r="DG221" s="196"/>
      <c r="DH221" s="196"/>
      <c r="DI221" s="196"/>
      <c r="DJ221" s="196"/>
      <c r="DK221" s="196"/>
      <c r="DL221" s="196"/>
      <c r="DM221" s="196"/>
      <c r="DN221" s="196"/>
      <c r="DO221" s="196"/>
      <c r="DP221" s="196"/>
      <c r="DQ221" s="196"/>
      <c r="DR221" s="196"/>
      <c r="DS221" s="196"/>
      <c r="DT221" s="196"/>
      <c r="EA221" s="25" t="s">
        <v>384</v>
      </c>
      <c r="EB221" s="62">
        <f>0.07*$EB$214</f>
        <v>0</v>
      </c>
      <c r="EC221" s="26"/>
      <c r="ED221" s="26"/>
      <c r="EE221" s="26"/>
      <c r="EF221" s="26"/>
      <c r="EG221" s="26"/>
      <c r="EH221" s="36"/>
      <c r="EI221" s="196"/>
    </row>
    <row r="222" spans="27:139" ht="16.5" thickTop="1" thickBot="1" x14ac:dyDescent="0.3">
      <c r="BX222" s="196"/>
      <c r="BY222" s="196"/>
      <c r="BZ222" s="196"/>
      <c r="CA222" s="196"/>
      <c r="CB222" s="196"/>
      <c r="CC222" s="196"/>
      <c r="CD222" s="196"/>
      <c r="CE222" s="196"/>
      <c r="CF222" s="196"/>
      <c r="CG222" s="196"/>
      <c r="CH222" s="196"/>
      <c r="CI222" s="196"/>
      <c r="CJ222" s="196"/>
      <c r="CK222" s="196"/>
      <c r="CL222" s="196"/>
      <c r="CM222" s="196"/>
      <c r="CN222" s="196"/>
      <c r="CO222" s="196"/>
      <c r="CP222" s="196"/>
      <c r="CQ222" s="196"/>
      <c r="CR222" s="196"/>
      <c r="CS222" s="196"/>
      <c r="CT222" s="196"/>
      <c r="CU222" s="196"/>
      <c r="CV222" s="196"/>
      <c r="CW222" s="196"/>
      <c r="CX222" s="196"/>
      <c r="CY222" s="196"/>
      <c r="CZ222" s="196"/>
      <c r="DA222" s="196"/>
      <c r="DB222" s="196"/>
      <c r="DC222" s="196"/>
      <c r="DD222" s="196"/>
      <c r="DE222" s="196"/>
      <c r="DF222" s="196"/>
      <c r="DG222" s="196"/>
      <c r="DH222" s="196"/>
      <c r="DI222" s="196"/>
      <c r="DJ222" s="196"/>
      <c r="DK222" s="196"/>
      <c r="DL222" s="196"/>
      <c r="DM222" s="196"/>
      <c r="DN222" s="196"/>
      <c r="DO222" s="196"/>
      <c r="DP222" s="196"/>
      <c r="DQ222" s="196"/>
      <c r="DR222" s="196"/>
      <c r="DS222" s="196"/>
      <c r="DT222" s="196"/>
      <c r="EA222" s="25" t="s">
        <v>383</v>
      </c>
      <c r="EB222" s="62">
        <f>($EB$217+$EB$213)/$EB$218</f>
        <v>0</v>
      </c>
      <c r="EC222" s="26"/>
      <c r="ED222" s="26"/>
      <c r="EE222" s="26"/>
      <c r="EF222" s="26"/>
      <c r="EG222" s="26"/>
      <c r="EH222" s="36"/>
      <c r="EI222" s="196"/>
    </row>
    <row r="223" spans="27:139" ht="16.5" thickTop="1" thickBot="1" x14ac:dyDescent="0.3">
      <c r="BX223" s="196"/>
      <c r="BY223" s="196"/>
      <c r="BZ223" s="196"/>
      <c r="CA223" s="196"/>
      <c r="CB223" s="196"/>
      <c r="CC223" s="196"/>
      <c r="CD223" s="196"/>
      <c r="CE223" s="196"/>
      <c r="CF223" s="196"/>
      <c r="CG223" s="196"/>
      <c r="CH223" s="196"/>
      <c r="CI223" s="196"/>
      <c r="CJ223" s="196"/>
      <c r="CK223" s="196"/>
      <c r="CL223" s="196"/>
      <c r="CM223" s="196"/>
      <c r="CN223" s="196"/>
      <c r="CO223" s="196"/>
      <c r="CP223" s="196"/>
      <c r="CQ223" s="196"/>
      <c r="CR223" s="196"/>
      <c r="CS223" s="196"/>
      <c r="CT223" s="196"/>
      <c r="CU223" s="196"/>
      <c r="CV223" s="196"/>
      <c r="CW223" s="196"/>
      <c r="CX223" s="196"/>
      <c r="CY223" s="196"/>
      <c r="CZ223" s="196"/>
      <c r="DA223" s="196"/>
      <c r="DB223" s="196"/>
      <c r="DC223" s="196"/>
      <c r="DD223" s="196"/>
      <c r="DE223" s="196"/>
      <c r="DF223" s="196"/>
      <c r="DG223" s="196"/>
      <c r="DH223" s="196"/>
      <c r="DI223" s="196"/>
      <c r="DJ223" s="196"/>
      <c r="DK223" s="196"/>
      <c r="DL223" s="196"/>
      <c r="DM223" s="196"/>
      <c r="DN223" s="196"/>
      <c r="DO223" s="196"/>
      <c r="DP223" s="196"/>
      <c r="DQ223" s="196"/>
      <c r="DR223" s="196"/>
      <c r="DS223" s="196"/>
      <c r="DT223" s="196"/>
      <c r="EA223" s="25" t="s">
        <v>381</v>
      </c>
      <c r="EB223" s="62">
        <f>MAX($EB$221,$EB$222)</f>
        <v>0</v>
      </c>
      <c r="EC223" s="26"/>
      <c r="ED223" s="26"/>
      <c r="EE223" s="26"/>
      <c r="EF223" s="26"/>
      <c r="EG223" s="26"/>
      <c r="EH223" s="36"/>
      <c r="EI223" s="196"/>
    </row>
    <row r="224" spans="27:139" ht="16.5" thickTop="1" thickBot="1" x14ac:dyDescent="0.3">
      <c r="BX224" s="196"/>
      <c r="BY224" s="196"/>
      <c r="BZ224" s="196"/>
      <c r="CA224" s="196"/>
      <c r="CB224" s="196"/>
      <c r="CC224" s="196"/>
      <c r="CD224" s="196"/>
      <c r="CE224" s="196"/>
      <c r="CF224" s="196"/>
      <c r="CG224" s="196"/>
      <c r="CH224" s="196"/>
      <c r="CI224" s="196"/>
      <c r="CJ224" s="196"/>
      <c r="CK224" s="196"/>
      <c r="CL224" s="196"/>
      <c r="CM224" s="196"/>
      <c r="CN224" s="196"/>
      <c r="CO224" s="196"/>
      <c r="CP224" s="196"/>
      <c r="CQ224" s="196"/>
      <c r="CR224" s="196"/>
      <c r="CS224" s="196"/>
      <c r="CT224" s="196"/>
      <c r="CU224" s="196"/>
      <c r="CV224" s="196"/>
      <c r="CW224" s="196"/>
      <c r="CX224" s="196"/>
      <c r="CY224" s="196"/>
      <c r="CZ224" s="196"/>
      <c r="DA224" s="196"/>
      <c r="DB224" s="196"/>
      <c r="DC224" s="196"/>
      <c r="DD224" s="196"/>
      <c r="DE224" s="196"/>
      <c r="DF224" s="196"/>
      <c r="DG224" s="196"/>
      <c r="DH224" s="196"/>
      <c r="DI224" s="196"/>
      <c r="DJ224" s="196"/>
      <c r="DK224" s="196"/>
      <c r="DL224" s="196"/>
      <c r="DM224" s="196"/>
      <c r="DN224" s="196"/>
      <c r="DO224" s="196"/>
      <c r="DP224" s="196"/>
      <c r="DQ224" s="196"/>
      <c r="DR224" s="196"/>
      <c r="DS224" s="196"/>
      <c r="DT224" s="196"/>
      <c r="EA224" s="25" t="s">
        <v>382</v>
      </c>
      <c r="EB224" s="62">
        <f>ROUND(IF($EB$211=$EF$228,$EH$228,$EH$229),0)</f>
        <v>0</v>
      </c>
      <c r="EC224" s="26"/>
      <c r="ED224" s="26"/>
      <c r="EE224" s="26"/>
      <c r="EF224" s="26"/>
      <c r="EG224" s="26"/>
      <c r="EH224" s="36"/>
      <c r="EI224" s="196"/>
    </row>
    <row r="225" spans="76:139" ht="16.5" thickTop="1" thickBot="1" x14ac:dyDescent="0.3">
      <c r="BX225" s="196"/>
      <c r="BY225" s="196"/>
      <c r="BZ225" s="196"/>
      <c r="CA225" s="196"/>
      <c r="CB225" s="196"/>
      <c r="CC225" s="196"/>
      <c r="CD225" s="196"/>
      <c r="CE225" s="196"/>
      <c r="CF225" s="196"/>
      <c r="CG225" s="196"/>
      <c r="CH225" s="196"/>
      <c r="CI225" s="196"/>
      <c r="CJ225" s="196"/>
      <c r="CK225" s="196"/>
      <c r="CL225" s="196"/>
      <c r="CM225" s="196"/>
      <c r="CN225" s="196"/>
      <c r="CO225" s="196"/>
      <c r="CP225" s="196"/>
      <c r="CQ225" s="196"/>
      <c r="CR225" s="196"/>
      <c r="CS225" s="196"/>
      <c r="CT225" s="196"/>
      <c r="CU225" s="196"/>
      <c r="CV225" s="196"/>
      <c r="CW225" s="196"/>
      <c r="CX225" s="196"/>
      <c r="CY225" s="196"/>
      <c r="CZ225" s="196"/>
      <c r="DA225" s="196"/>
      <c r="DB225" s="196"/>
      <c r="DC225" s="196"/>
      <c r="DD225" s="196"/>
      <c r="DE225" s="196"/>
      <c r="DF225" s="196"/>
      <c r="DG225" s="196"/>
      <c r="DH225" s="196"/>
      <c r="DI225" s="196"/>
      <c r="DJ225" s="196"/>
      <c r="DK225" s="196"/>
      <c r="DL225" s="196"/>
      <c r="DM225" s="196"/>
      <c r="DN225" s="196"/>
      <c r="DO225" s="196"/>
      <c r="DP225" s="196"/>
      <c r="DQ225" s="196"/>
      <c r="DR225" s="196"/>
      <c r="DS225" s="196"/>
      <c r="DT225" s="196"/>
      <c r="EA225" s="101"/>
      <c r="EB225" s="62"/>
      <c r="EC225" s="26"/>
      <c r="ED225" s="26"/>
      <c r="EE225" s="26"/>
      <c r="EF225" s="26"/>
      <c r="EG225" s="26"/>
      <c r="EH225" s="36"/>
      <c r="EI225" s="196"/>
    </row>
    <row r="226" spans="76:139" ht="16.5" thickTop="1" thickBot="1" x14ac:dyDescent="0.3">
      <c r="BX226" s="196"/>
      <c r="BY226" s="196"/>
      <c r="BZ226" s="196"/>
      <c r="CA226" s="196"/>
      <c r="CB226" s="196"/>
      <c r="CC226" s="196"/>
      <c r="CD226" s="196"/>
      <c r="CE226" s="196"/>
      <c r="CF226" s="196"/>
      <c r="CG226" s="196"/>
      <c r="CH226" s="196"/>
      <c r="CI226" s="196"/>
      <c r="CJ226" s="196"/>
      <c r="CK226" s="196"/>
      <c r="CL226" s="196"/>
      <c r="CM226" s="196"/>
      <c r="CN226" s="196"/>
      <c r="CO226" s="196"/>
      <c r="CP226" s="196"/>
      <c r="CQ226" s="196"/>
      <c r="CR226" s="196"/>
      <c r="CS226" s="196"/>
      <c r="CT226" s="196"/>
      <c r="CU226" s="196"/>
      <c r="CV226" s="196"/>
      <c r="CW226" s="196"/>
      <c r="CX226" s="196"/>
      <c r="CY226" s="196"/>
      <c r="CZ226" s="196"/>
      <c r="DA226" s="196"/>
      <c r="DB226" s="196"/>
      <c r="DC226" s="196"/>
      <c r="DD226" s="196"/>
      <c r="DE226" s="196"/>
      <c r="DF226" s="196"/>
      <c r="DG226" s="196"/>
      <c r="DH226" s="196"/>
      <c r="DI226" s="196"/>
      <c r="DJ226" s="196"/>
      <c r="DK226" s="196"/>
      <c r="DL226" s="196"/>
      <c r="DM226" s="196"/>
      <c r="DN226" s="196"/>
      <c r="DO226" s="196"/>
      <c r="DP226" s="196"/>
      <c r="DQ226" s="196"/>
      <c r="DR226" s="196"/>
      <c r="DS226" s="196"/>
      <c r="DT226" s="196"/>
      <c r="EA226" s="101"/>
      <c r="EB226" s="62"/>
      <c r="EC226" s="26"/>
      <c r="ED226" s="26"/>
      <c r="EE226" s="26"/>
      <c r="EF226" s="26"/>
      <c r="EG226" s="26"/>
      <c r="EH226" s="36"/>
      <c r="EI226" s="196"/>
    </row>
    <row r="227" spans="76:139" ht="16.5" thickTop="1" thickBot="1" x14ac:dyDescent="0.3">
      <c r="BX227" s="196"/>
      <c r="BY227" s="196"/>
      <c r="BZ227" s="196"/>
      <c r="CA227" s="196"/>
      <c r="CB227" s="196"/>
      <c r="CC227" s="196"/>
      <c r="CD227" s="196"/>
      <c r="CE227" s="196"/>
      <c r="CF227" s="196"/>
      <c r="CG227" s="196"/>
      <c r="CH227" s="196"/>
      <c r="CI227" s="196"/>
      <c r="CJ227" s="196"/>
      <c r="CK227" s="196"/>
      <c r="CL227" s="196"/>
      <c r="CM227" s="196"/>
      <c r="CN227" s="196"/>
      <c r="CO227" s="196"/>
      <c r="CP227" s="196"/>
      <c r="CQ227" s="196"/>
      <c r="CR227" s="196"/>
      <c r="CS227" s="196"/>
      <c r="CT227" s="196"/>
      <c r="CU227" s="196"/>
      <c r="CV227" s="196"/>
      <c r="CW227" s="196"/>
      <c r="CX227" s="196"/>
      <c r="CY227" s="196"/>
      <c r="CZ227" s="196"/>
      <c r="DA227" s="196"/>
      <c r="DB227" s="196"/>
      <c r="DC227" s="196"/>
      <c r="DD227" s="196"/>
      <c r="DE227" s="196"/>
      <c r="DF227" s="196"/>
      <c r="DG227" s="196"/>
      <c r="DH227" s="196"/>
      <c r="DI227" s="196"/>
      <c r="DJ227" s="196"/>
      <c r="DK227" s="196"/>
      <c r="DL227" s="196"/>
      <c r="DM227" s="196"/>
      <c r="DN227" s="196"/>
      <c r="DO227" s="196"/>
      <c r="DP227" s="196"/>
      <c r="DQ227" s="196"/>
      <c r="DR227" s="196"/>
      <c r="DS227" s="196"/>
      <c r="DT227" s="196"/>
      <c r="EA227" s="101"/>
      <c r="EB227" s="62"/>
      <c r="EC227" s="26"/>
      <c r="ED227" s="26"/>
      <c r="EE227" s="26"/>
      <c r="EF227" s="26"/>
      <c r="EG227" s="26"/>
      <c r="EH227" s="36" t="s">
        <v>385</v>
      </c>
      <c r="EI227" s="196"/>
    </row>
    <row r="228" spans="76:139" ht="16.5" thickTop="1" thickBot="1" x14ac:dyDescent="0.3">
      <c r="BX228" s="196"/>
      <c r="BY228" s="196"/>
      <c r="BZ228" s="196"/>
      <c r="CA228" s="196"/>
      <c r="CB228" s="196"/>
      <c r="CC228" s="196"/>
      <c r="CD228" s="196"/>
      <c r="CE228" s="196"/>
      <c r="CF228" s="196"/>
      <c r="CG228" s="196"/>
      <c r="CH228" s="196"/>
      <c r="CI228" s="196"/>
      <c r="CJ228" s="196"/>
      <c r="CK228" s="196"/>
      <c r="CL228" s="196"/>
      <c r="CM228" s="196"/>
      <c r="CN228" s="196"/>
      <c r="CO228" s="196"/>
      <c r="CP228" s="196"/>
      <c r="CQ228" s="196"/>
      <c r="CR228" s="196"/>
      <c r="CS228" s="196"/>
      <c r="CT228" s="196"/>
      <c r="CU228" s="196"/>
      <c r="CV228" s="196"/>
      <c r="CW228" s="196"/>
      <c r="CX228" s="196"/>
      <c r="CY228" s="196"/>
      <c r="CZ228" s="196"/>
      <c r="DA228" s="196"/>
      <c r="DB228" s="196"/>
      <c r="DC228" s="196"/>
      <c r="DD228" s="196"/>
      <c r="DE228" s="196"/>
      <c r="DF228" s="196"/>
      <c r="DG228" s="196"/>
      <c r="DH228" s="196"/>
      <c r="DI228" s="196"/>
      <c r="DJ228" s="196"/>
      <c r="DK228" s="196"/>
      <c r="DL228" s="196"/>
      <c r="DM228" s="196"/>
      <c r="DN228" s="196"/>
      <c r="DO228" s="196"/>
      <c r="DP228" s="196"/>
      <c r="DQ228" s="196"/>
      <c r="DR228" s="196"/>
      <c r="DS228" s="196"/>
      <c r="DT228" s="196"/>
      <c r="EA228" s="41" t="s">
        <v>373</v>
      </c>
      <c r="EB228" s="189" t="str">
        <f>IF($EB$211=0,"",IF($EB$211=$A$72,IF($EB$214&lt;100000,"No cumple con Inversión Mínima",$EB$224),IF($EB$214&lt;500000,"No cumple con Inversión Mínima",$EB$224)))</f>
        <v/>
      </c>
      <c r="EC228" s="26"/>
      <c r="ED228" s="26"/>
      <c r="EE228" s="26" t="s">
        <v>386</v>
      </c>
      <c r="EF228" s="26" t="s">
        <v>304</v>
      </c>
      <c r="EG228" s="26">
        <v>360000</v>
      </c>
      <c r="EH228" s="36">
        <f>IF(AND($EB$211=$EF$228,$EB$223&lt;25000),25000,IF($EB$223&gt;$EG$228,$EG$228,$EB$223))</f>
        <v>0</v>
      </c>
      <c r="EI228" s="196"/>
    </row>
    <row r="229" spans="76:139" ht="16.5" thickTop="1" thickBot="1" x14ac:dyDescent="0.3">
      <c r="BX229" s="196"/>
      <c r="BY229" s="196"/>
      <c r="BZ229" s="196"/>
      <c r="CA229" s="196"/>
      <c r="CB229" s="196"/>
      <c r="CC229" s="196"/>
      <c r="CD229" s="196"/>
      <c r="CE229" s="196"/>
      <c r="CF229" s="196"/>
      <c r="CG229" s="196"/>
      <c r="CH229" s="196"/>
      <c r="CI229" s="196"/>
      <c r="CJ229" s="196"/>
      <c r="CK229" s="196"/>
      <c r="CL229" s="196"/>
      <c r="CM229" s="196"/>
      <c r="CN229" s="196"/>
      <c r="CO229" s="196"/>
      <c r="CP229" s="196"/>
      <c r="CQ229" s="196"/>
      <c r="CR229" s="196"/>
      <c r="CS229" s="196"/>
      <c r="CT229" s="196"/>
      <c r="CU229" s="196"/>
      <c r="CV229" s="196"/>
      <c r="CW229" s="196"/>
      <c r="CX229" s="196"/>
      <c r="CY229" s="196"/>
      <c r="CZ229" s="196"/>
      <c r="DA229" s="196"/>
      <c r="DB229" s="196"/>
      <c r="DC229" s="196"/>
      <c r="DD229" s="196"/>
      <c r="DE229" s="196"/>
      <c r="DF229" s="196"/>
      <c r="DG229" s="196"/>
      <c r="DH229" s="196"/>
      <c r="DI229" s="196"/>
      <c r="DJ229" s="196"/>
      <c r="DK229" s="196"/>
      <c r="DL229" s="196"/>
      <c r="DM229" s="196"/>
      <c r="DN229" s="196"/>
      <c r="DO229" s="196"/>
      <c r="DP229" s="196"/>
      <c r="DQ229" s="196"/>
      <c r="DR229" s="196"/>
      <c r="DS229" s="196"/>
      <c r="DT229" s="196"/>
      <c r="EA229" s="41" t="s">
        <v>374</v>
      </c>
      <c r="EB229" s="177" t="str">
        <f>IF($EB$228="", "-----",$EC$229)</f>
        <v>-----</v>
      </c>
      <c r="EC229" s="26" t="str">
        <f>IF($EB$211=$EA$12,IF($EB$228&lt;25000, "Mass", $EA$12), IF($EB$228&lt;56000, $EA$12, $EA$13))</f>
        <v>PREMIER</v>
      </c>
      <c r="ED229" s="26"/>
      <c r="EE229" s="26"/>
      <c r="EF229" s="26" t="s">
        <v>305</v>
      </c>
      <c r="EG229" s="26">
        <v>700000</v>
      </c>
      <c r="EH229" s="36">
        <f>IF(AND($EB$211=$EF$229,$EB$223&lt;56000),56000,IF($EB$223&gt;$EG$229,$EG$229,$EB$223))</f>
        <v>0</v>
      </c>
      <c r="EI229" s="196"/>
    </row>
    <row r="230" spans="76:139" x14ac:dyDescent="0.25">
      <c r="BX230" s="196"/>
      <c r="BY230" s="196"/>
      <c r="BZ230" s="196"/>
      <c r="CA230" s="196"/>
      <c r="CB230" s="196"/>
      <c r="CC230" s="196"/>
      <c r="CD230" s="196"/>
      <c r="CE230" s="196"/>
      <c r="CF230" s="196"/>
      <c r="CG230" s="196"/>
      <c r="CH230" s="196"/>
      <c r="CI230" s="196"/>
      <c r="CJ230" s="196"/>
      <c r="CK230" s="196"/>
      <c r="CL230" s="196"/>
      <c r="CM230" s="196"/>
      <c r="CN230" s="196"/>
      <c r="CO230" s="196"/>
      <c r="CP230" s="196"/>
      <c r="CQ230" s="196"/>
      <c r="CR230" s="196"/>
      <c r="CS230" s="196"/>
      <c r="CT230" s="196"/>
      <c r="CU230" s="196"/>
      <c r="CV230" s="196"/>
      <c r="CW230" s="196"/>
      <c r="CX230" s="196"/>
      <c r="CY230" s="196"/>
      <c r="CZ230" s="196"/>
      <c r="DA230" s="196"/>
      <c r="DB230" s="196"/>
      <c r="DC230" s="196"/>
      <c r="DD230" s="196"/>
      <c r="DE230" s="196"/>
      <c r="DF230" s="196"/>
      <c r="DG230" s="196"/>
      <c r="DH230" s="196"/>
      <c r="DI230" s="196"/>
      <c r="DJ230" s="196"/>
      <c r="DK230" s="196"/>
      <c r="DL230" s="196"/>
      <c r="DM230" s="196"/>
      <c r="DN230" s="196"/>
      <c r="DO230" s="196"/>
      <c r="DP230" s="196"/>
      <c r="DQ230" s="196"/>
      <c r="DR230" s="196"/>
      <c r="DS230" s="196"/>
      <c r="DT230" s="196"/>
      <c r="EA230" s="196"/>
      <c r="EB230" s="149" t="str">
        <f>IF($EB$216&lt;=$EH$210,"","El Ingreso se esta topando en base a la cantidad capturada en solicitud")</f>
        <v/>
      </c>
      <c r="EC230" s="196"/>
      <c r="ED230" s="196"/>
      <c r="EE230" s="196"/>
      <c r="EF230" s="196"/>
      <c r="EG230" s="196"/>
      <c r="EH230" s="196"/>
      <c r="EI230" s="196"/>
    </row>
    <row r="231" spans="76:139" x14ac:dyDescent="0.25">
      <c r="BX231" s="196"/>
      <c r="BY231" s="196"/>
      <c r="BZ231" s="196"/>
      <c r="CA231" s="196"/>
      <c r="CB231" s="196"/>
      <c r="CC231" s="196"/>
      <c r="CD231" s="196"/>
      <c r="CE231" s="196"/>
      <c r="CF231" s="196"/>
      <c r="CG231" s="196"/>
      <c r="CH231" s="196"/>
      <c r="CI231" s="196"/>
      <c r="CJ231" s="196"/>
      <c r="CK231" s="196"/>
      <c r="CL231" s="196"/>
      <c r="CM231" s="196"/>
      <c r="CN231" s="196"/>
      <c r="CO231" s="196"/>
      <c r="CP231" s="196"/>
      <c r="CQ231" s="196"/>
      <c r="CR231" s="196"/>
      <c r="CS231" s="196"/>
      <c r="CT231" s="196"/>
      <c r="CU231" s="196"/>
      <c r="CV231" s="196"/>
      <c r="CW231" s="196"/>
      <c r="CX231" s="196"/>
      <c r="CY231" s="196"/>
      <c r="CZ231" s="196"/>
      <c r="DA231" s="196"/>
      <c r="DB231" s="196"/>
      <c r="DC231" s="196"/>
      <c r="DD231" s="196"/>
      <c r="DE231" s="196"/>
      <c r="DF231" s="196"/>
      <c r="DG231" s="196"/>
      <c r="DH231" s="196"/>
      <c r="DI231" s="196"/>
      <c r="DJ231" s="196"/>
      <c r="DK231" s="196"/>
      <c r="DL231" s="196"/>
      <c r="DM231" s="196"/>
      <c r="DN231" s="196"/>
      <c r="DO231" s="196"/>
      <c r="DP231" s="196"/>
      <c r="DQ231" s="196"/>
      <c r="DR231" s="196"/>
      <c r="DS231" s="196"/>
      <c r="DT231" s="196"/>
      <c r="EA231" s="196"/>
      <c r="EB231" s="196"/>
      <c r="EC231" s="196"/>
      <c r="ED231" s="196"/>
      <c r="EE231" s="196"/>
      <c r="EF231" s="196"/>
      <c r="EG231" s="196"/>
      <c r="EH231" s="196"/>
      <c r="EI231" s="196"/>
    </row>
    <row r="232" spans="76:139" x14ac:dyDescent="0.25">
      <c r="BX232" s="196"/>
      <c r="BY232" s="196"/>
      <c r="BZ232" s="196"/>
      <c r="CA232" s="196"/>
      <c r="CB232" s="196"/>
      <c r="CC232" s="196"/>
      <c r="CD232" s="196"/>
      <c r="CE232" s="196"/>
      <c r="CF232" s="196"/>
      <c r="CG232" s="196"/>
      <c r="CH232" s="196"/>
      <c r="CI232" s="196"/>
      <c r="CJ232" s="196"/>
      <c r="CK232" s="196"/>
      <c r="CL232" s="196"/>
      <c r="CM232" s="196"/>
      <c r="CN232" s="196"/>
      <c r="CO232" s="196"/>
      <c r="CP232" s="196"/>
      <c r="CQ232" s="196"/>
      <c r="CR232" s="196"/>
      <c r="CS232" s="196"/>
      <c r="CT232" s="196"/>
      <c r="CU232" s="196"/>
      <c r="CV232" s="196"/>
      <c r="CW232" s="196"/>
      <c r="CX232" s="196"/>
      <c r="CY232" s="196"/>
      <c r="CZ232" s="196"/>
      <c r="DA232" s="196"/>
      <c r="DB232" s="196"/>
      <c r="DC232" s="196"/>
      <c r="DD232" s="196"/>
      <c r="DE232" s="196"/>
      <c r="DF232" s="196"/>
      <c r="DG232" s="196"/>
      <c r="DH232" s="196"/>
      <c r="DI232" s="196"/>
      <c r="DJ232" s="196"/>
      <c r="DK232" s="196"/>
      <c r="DL232" s="196"/>
      <c r="DM232" s="196"/>
      <c r="DN232" s="196"/>
      <c r="DO232" s="196"/>
      <c r="DP232" s="196"/>
      <c r="DQ232" s="196"/>
      <c r="DR232" s="196"/>
      <c r="DS232" s="196"/>
      <c r="DT232" s="196"/>
      <c r="EA232" s="196"/>
      <c r="EB232" s="196"/>
      <c r="EC232" s="196"/>
      <c r="ED232" s="196"/>
      <c r="EE232" s="196"/>
      <c r="EF232" s="196"/>
      <c r="EG232" s="196"/>
      <c r="EH232" s="196"/>
      <c r="EI232" s="196"/>
    </row>
    <row r="233" spans="76:139" x14ac:dyDescent="0.25">
      <c r="BX233" s="196"/>
      <c r="BY233" s="196"/>
      <c r="BZ233" s="196"/>
      <c r="CA233" s="196"/>
      <c r="CB233" s="196"/>
      <c r="CC233" s="196"/>
      <c r="CD233" s="196"/>
      <c r="CE233" s="196"/>
      <c r="CF233" s="196"/>
      <c r="CG233" s="196"/>
      <c r="CH233" s="196"/>
      <c r="CI233" s="196"/>
      <c r="CJ233" s="196"/>
      <c r="CK233" s="196"/>
      <c r="CL233" s="196"/>
      <c r="CM233" s="196"/>
      <c r="CN233" s="196"/>
      <c r="CO233" s="196"/>
      <c r="CP233" s="196"/>
      <c r="CQ233" s="196"/>
      <c r="CR233" s="196"/>
      <c r="CS233" s="196"/>
      <c r="CT233" s="196"/>
      <c r="CU233" s="196"/>
      <c r="CV233" s="196"/>
      <c r="CW233" s="196"/>
      <c r="CX233" s="196"/>
      <c r="CY233" s="196"/>
      <c r="CZ233" s="196"/>
      <c r="DA233" s="196"/>
      <c r="DB233" s="196"/>
      <c r="DC233" s="196"/>
      <c r="DD233" s="196"/>
      <c r="DE233" s="196"/>
      <c r="DF233" s="196"/>
      <c r="DG233" s="196"/>
      <c r="DH233" s="196"/>
      <c r="DI233" s="196"/>
      <c r="DJ233" s="196"/>
      <c r="DK233" s="196"/>
      <c r="DL233" s="196"/>
      <c r="DM233" s="196"/>
      <c r="DN233" s="196"/>
      <c r="DO233" s="196"/>
      <c r="DP233" s="196"/>
      <c r="DQ233" s="196"/>
      <c r="DR233" s="196"/>
      <c r="DS233" s="196"/>
      <c r="DT233" s="196"/>
      <c r="EA233" s="196"/>
      <c r="EB233" s="196"/>
      <c r="EC233" s="196"/>
      <c r="ED233" s="196"/>
      <c r="EE233" s="196"/>
      <c r="EF233" s="196"/>
      <c r="EG233" s="196"/>
      <c r="EH233" s="196"/>
      <c r="EI233" s="196"/>
    </row>
    <row r="234" spans="76:139" x14ac:dyDescent="0.25">
      <c r="BX234" s="196"/>
      <c r="BY234" s="196"/>
      <c r="BZ234" s="196"/>
      <c r="CA234" s="196"/>
      <c r="CB234" s="196"/>
      <c r="CC234" s="196"/>
      <c r="CD234" s="196"/>
      <c r="CE234" s="196"/>
      <c r="CF234" s="196"/>
      <c r="CG234" s="196"/>
      <c r="CH234" s="196"/>
      <c r="CI234" s="196"/>
      <c r="CJ234" s="196"/>
      <c r="CK234" s="196"/>
      <c r="CL234" s="196"/>
      <c r="CM234" s="196"/>
      <c r="CN234" s="196"/>
      <c r="CO234" s="196"/>
      <c r="CP234" s="196"/>
      <c r="CQ234" s="196"/>
      <c r="CR234" s="196"/>
      <c r="CS234" s="196"/>
      <c r="CT234" s="196"/>
      <c r="CU234" s="196"/>
      <c r="CV234" s="196"/>
      <c r="CW234" s="196"/>
      <c r="CX234" s="196"/>
      <c r="CY234" s="196"/>
      <c r="CZ234" s="196"/>
      <c r="DA234" s="196"/>
      <c r="DB234" s="196"/>
      <c r="DC234" s="196"/>
      <c r="DD234" s="196"/>
      <c r="DE234" s="196"/>
      <c r="DF234" s="196"/>
      <c r="DG234" s="196"/>
      <c r="DH234" s="196"/>
      <c r="DI234" s="196"/>
      <c r="DJ234" s="196"/>
      <c r="DK234" s="196"/>
      <c r="DL234" s="196"/>
      <c r="DM234" s="196"/>
      <c r="DN234" s="196"/>
      <c r="DO234" s="196"/>
      <c r="DP234" s="196"/>
      <c r="DQ234" s="196"/>
      <c r="DR234" s="196"/>
      <c r="DS234" s="196"/>
      <c r="DT234" s="196"/>
      <c r="EA234" s="196"/>
      <c r="EB234" s="196"/>
      <c r="EC234" s="196"/>
      <c r="ED234" s="196"/>
      <c r="EE234" s="196"/>
      <c r="EF234" s="196"/>
      <c r="EG234" s="196"/>
      <c r="EH234" s="196"/>
      <c r="EI234" s="196"/>
    </row>
    <row r="235" spans="76:139" x14ac:dyDescent="0.25">
      <c r="BX235" s="196"/>
      <c r="BY235" s="196"/>
      <c r="BZ235" s="196"/>
      <c r="CA235" s="196"/>
      <c r="CB235" s="196"/>
      <c r="CC235" s="196"/>
      <c r="CD235" s="196"/>
      <c r="CE235" s="196"/>
      <c r="CF235" s="196"/>
      <c r="CG235" s="196"/>
      <c r="CH235" s="196"/>
      <c r="CI235" s="196"/>
      <c r="CJ235" s="196"/>
      <c r="CK235" s="196"/>
      <c r="CL235" s="196"/>
      <c r="CM235" s="196"/>
      <c r="CN235" s="196"/>
      <c r="CO235" s="196"/>
      <c r="CP235" s="196"/>
      <c r="CQ235" s="196"/>
      <c r="CR235" s="196"/>
      <c r="CS235" s="196"/>
      <c r="CT235" s="196"/>
      <c r="CU235" s="196"/>
      <c r="CV235" s="196"/>
      <c r="CW235" s="196"/>
      <c r="CX235" s="196"/>
      <c r="CY235" s="196"/>
      <c r="CZ235" s="196"/>
      <c r="DA235" s="196"/>
      <c r="DB235" s="196"/>
      <c r="DC235" s="196"/>
      <c r="DD235" s="196"/>
      <c r="DE235" s="196"/>
      <c r="DF235" s="196"/>
      <c r="DG235" s="196"/>
      <c r="DH235" s="196"/>
      <c r="DI235" s="196"/>
      <c r="DJ235" s="196"/>
      <c r="DK235" s="196"/>
      <c r="DL235" s="196"/>
      <c r="DM235" s="196"/>
      <c r="DN235" s="196"/>
      <c r="DO235" s="196"/>
      <c r="DP235" s="196"/>
      <c r="DQ235" s="196"/>
      <c r="DR235" s="196"/>
      <c r="DS235" s="196"/>
      <c r="DT235" s="196"/>
      <c r="EA235" s="196"/>
      <c r="EB235" s="196"/>
      <c r="EC235" s="196"/>
      <c r="ED235" s="196"/>
      <c r="EE235" s="196"/>
      <c r="EF235" s="196"/>
      <c r="EG235" s="196"/>
      <c r="EH235" s="196"/>
      <c r="EI235" s="196"/>
    </row>
    <row r="236" spans="76:139" x14ac:dyDescent="0.25">
      <c r="BX236" s="196"/>
      <c r="BY236" s="196"/>
      <c r="BZ236" s="196"/>
      <c r="CA236" s="196"/>
      <c r="CB236" s="196"/>
      <c r="CC236" s="196"/>
      <c r="CD236" s="196"/>
      <c r="CE236" s="196"/>
      <c r="CF236" s="196"/>
      <c r="CG236" s="196"/>
      <c r="CH236" s="196"/>
      <c r="CI236" s="196"/>
      <c r="CJ236" s="196"/>
      <c r="CK236" s="196"/>
      <c r="CL236" s="196"/>
      <c r="CM236" s="196"/>
      <c r="CN236" s="196"/>
      <c r="CO236" s="196"/>
      <c r="CP236" s="196"/>
      <c r="CQ236" s="196"/>
      <c r="CR236" s="196"/>
      <c r="CS236" s="196"/>
      <c r="CT236" s="196"/>
      <c r="CU236" s="196"/>
      <c r="CV236" s="196"/>
      <c r="CW236" s="196"/>
      <c r="CX236" s="196"/>
      <c r="CY236" s="196"/>
      <c r="CZ236" s="196"/>
      <c r="DA236" s="196"/>
      <c r="DB236" s="196"/>
      <c r="DC236" s="196"/>
      <c r="DD236" s="196"/>
      <c r="DE236" s="196"/>
      <c r="DF236" s="196"/>
      <c r="DG236" s="196"/>
      <c r="DH236" s="196"/>
      <c r="DI236" s="196"/>
      <c r="DJ236" s="196"/>
      <c r="DK236" s="196"/>
      <c r="DL236" s="196"/>
      <c r="DM236" s="196"/>
      <c r="DN236" s="196"/>
      <c r="DO236" s="196"/>
      <c r="DP236" s="196"/>
      <c r="DQ236" s="196"/>
      <c r="DR236" s="196"/>
      <c r="DS236" s="196"/>
      <c r="DT236" s="196"/>
      <c r="EA236" s="196"/>
      <c r="EB236" s="196"/>
      <c r="EC236" s="196"/>
      <c r="ED236" s="196"/>
      <c r="EE236" s="196"/>
      <c r="EF236" s="196"/>
      <c r="EG236" s="196"/>
      <c r="EH236" s="196"/>
      <c r="EI236" s="196"/>
    </row>
    <row r="237" spans="76:139" x14ac:dyDescent="0.25">
      <c r="BX237" s="196"/>
      <c r="BY237" s="196"/>
      <c r="BZ237" s="196"/>
      <c r="CA237" s="196"/>
      <c r="CB237" s="196"/>
      <c r="CC237" s="196"/>
      <c r="CD237" s="196"/>
      <c r="CE237" s="196"/>
      <c r="CF237" s="196"/>
      <c r="CG237" s="196"/>
      <c r="CH237" s="196"/>
      <c r="CI237" s="196"/>
      <c r="CJ237" s="196"/>
      <c r="CK237" s="196"/>
      <c r="CL237" s="196"/>
      <c r="CM237" s="196"/>
      <c r="CN237" s="196"/>
      <c r="CO237" s="196"/>
      <c r="CP237" s="196"/>
      <c r="CQ237" s="196"/>
      <c r="CR237" s="196"/>
      <c r="CS237" s="196"/>
      <c r="CT237" s="196"/>
      <c r="CU237" s="196"/>
      <c r="CV237" s="196"/>
      <c r="CW237" s="196"/>
      <c r="CX237" s="196"/>
      <c r="CY237" s="196"/>
      <c r="CZ237" s="196"/>
      <c r="DA237" s="196"/>
      <c r="DB237" s="196"/>
      <c r="DC237" s="196"/>
      <c r="DD237" s="196"/>
      <c r="DE237" s="196"/>
      <c r="DF237" s="196"/>
      <c r="DG237" s="196"/>
      <c r="DH237" s="196"/>
      <c r="DI237" s="196"/>
      <c r="DJ237" s="196"/>
      <c r="DK237" s="196"/>
      <c r="DL237" s="196"/>
      <c r="DM237" s="196"/>
      <c r="DN237" s="196"/>
      <c r="DO237" s="196"/>
      <c r="DP237" s="196"/>
      <c r="DQ237" s="196"/>
      <c r="DR237" s="196"/>
      <c r="DS237" s="196"/>
      <c r="DT237" s="196"/>
      <c r="EA237" s="196"/>
      <c r="EB237" s="196"/>
      <c r="EC237" s="196"/>
      <c r="ED237" s="196"/>
      <c r="EE237" s="196"/>
      <c r="EF237" s="196"/>
      <c r="EG237" s="196"/>
      <c r="EH237" s="196"/>
      <c r="EI237" s="196"/>
    </row>
    <row r="238" spans="76:139" x14ac:dyDescent="0.25">
      <c r="BX238" s="196"/>
      <c r="BY238" s="196"/>
      <c r="BZ238" s="196"/>
      <c r="CA238" s="196"/>
      <c r="CB238" s="196"/>
      <c r="CC238" s="196"/>
      <c r="CD238" s="196"/>
      <c r="CE238" s="196"/>
      <c r="CF238" s="196"/>
      <c r="CG238" s="196"/>
      <c r="CH238" s="196"/>
      <c r="CI238" s="196"/>
      <c r="CJ238" s="196"/>
      <c r="CK238" s="196"/>
      <c r="CL238" s="196"/>
      <c r="CM238" s="196"/>
      <c r="CN238" s="196"/>
      <c r="CO238" s="196"/>
      <c r="CP238" s="196"/>
      <c r="CQ238" s="196"/>
      <c r="CR238" s="196"/>
      <c r="CS238" s="196"/>
      <c r="CT238" s="196"/>
      <c r="CU238" s="196"/>
      <c r="CV238" s="196"/>
      <c r="CW238" s="196"/>
      <c r="CX238" s="196"/>
      <c r="CY238" s="196"/>
      <c r="CZ238" s="196"/>
      <c r="DA238" s="196"/>
      <c r="DB238" s="196"/>
      <c r="DC238" s="196"/>
      <c r="DD238" s="196"/>
      <c r="DE238" s="196"/>
      <c r="DF238" s="196"/>
      <c r="DG238" s="196"/>
      <c r="DH238" s="196"/>
      <c r="DI238" s="196"/>
      <c r="DJ238" s="196"/>
      <c r="DK238" s="196"/>
      <c r="DL238" s="196"/>
      <c r="DM238" s="196"/>
      <c r="DN238" s="196"/>
      <c r="DO238" s="196"/>
      <c r="DP238" s="196"/>
      <c r="DQ238" s="196"/>
      <c r="DR238" s="196"/>
      <c r="DS238" s="196"/>
      <c r="DT238" s="196"/>
      <c r="EA238" s="196"/>
      <c r="EB238" s="196"/>
      <c r="EC238" s="196"/>
      <c r="ED238" s="196"/>
      <c r="EE238" s="196"/>
      <c r="EF238" s="196"/>
      <c r="EG238" s="196"/>
      <c r="EH238" s="196"/>
      <c r="EI238" s="196"/>
    </row>
    <row r="239" spans="76:139" ht="15.75" thickBot="1" x14ac:dyDescent="0.3">
      <c r="BX239" s="196"/>
      <c r="BY239" s="196"/>
      <c r="BZ239" s="196"/>
      <c r="CA239" s="196"/>
      <c r="CB239" s="196"/>
      <c r="CC239" s="196"/>
      <c r="CD239" s="196"/>
      <c r="CE239" s="196"/>
      <c r="CF239" s="196"/>
      <c r="CG239" s="196"/>
      <c r="CH239" s="196"/>
      <c r="CI239" s="196"/>
      <c r="CJ239" s="196"/>
      <c r="CK239" s="196"/>
      <c r="CL239" s="196"/>
      <c r="CM239" s="196"/>
      <c r="CN239" s="196"/>
      <c r="CO239" s="196"/>
      <c r="CP239" s="196"/>
      <c r="CQ239" s="196"/>
      <c r="CR239" s="196"/>
      <c r="CS239" s="196"/>
      <c r="CT239" s="196"/>
      <c r="CU239" s="196"/>
      <c r="CV239" s="196"/>
      <c r="CW239" s="196"/>
      <c r="CX239" s="196"/>
      <c r="CY239" s="196"/>
      <c r="CZ239" s="196"/>
      <c r="DA239" s="196"/>
      <c r="DB239" s="196"/>
      <c r="DC239" s="196"/>
      <c r="DD239" s="196"/>
      <c r="DE239" s="196"/>
      <c r="DF239" s="196"/>
      <c r="DG239" s="196"/>
      <c r="DH239" s="196"/>
      <c r="DI239" s="196"/>
      <c r="DJ239" s="196"/>
      <c r="DK239" s="196"/>
      <c r="DL239" s="196"/>
      <c r="DM239" s="196"/>
      <c r="DN239" s="196"/>
      <c r="DO239" s="196"/>
      <c r="DP239" s="196"/>
      <c r="DQ239" s="196"/>
      <c r="DR239" s="196"/>
      <c r="DS239" s="196"/>
      <c r="DT239" s="196"/>
      <c r="EA239" s="196"/>
      <c r="EB239" s="196"/>
      <c r="EC239" s="196"/>
      <c r="ED239" s="196"/>
      <c r="EE239" s="196"/>
      <c r="EF239" s="196"/>
      <c r="EG239" s="196"/>
      <c r="EH239" s="196"/>
      <c r="EI239" s="196"/>
    </row>
    <row r="240" spans="76:139" ht="15.75" thickBot="1" x14ac:dyDescent="0.3">
      <c r="BX240" s="196"/>
      <c r="BY240" s="196"/>
      <c r="BZ240" s="196"/>
      <c r="CA240" s="196"/>
      <c r="CB240" s="196"/>
      <c r="CC240" s="196"/>
      <c r="CD240" s="196"/>
      <c r="CE240" s="196"/>
      <c r="CF240" s="196"/>
      <c r="CG240" s="196"/>
      <c r="CH240" s="196"/>
      <c r="CI240" s="196"/>
      <c r="CJ240" s="196"/>
      <c r="CK240" s="196"/>
      <c r="CL240" s="196"/>
      <c r="CM240" s="196"/>
      <c r="CN240" s="196"/>
      <c r="CO240" s="196"/>
      <c r="CP240" s="196"/>
      <c r="CQ240" s="196"/>
      <c r="CR240" s="196"/>
      <c r="CS240" s="196"/>
      <c r="CT240" s="196"/>
      <c r="CU240" s="196"/>
      <c r="CV240" s="196"/>
      <c r="CW240" s="196"/>
      <c r="CX240" s="196"/>
      <c r="CY240" s="196"/>
      <c r="CZ240" s="196"/>
      <c r="DA240" s="196"/>
      <c r="DB240" s="196"/>
      <c r="DC240" s="196"/>
      <c r="DD240" s="196"/>
      <c r="DE240" s="196"/>
      <c r="DF240" s="196"/>
      <c r="DG240" s="196"/>
      <c r="DH240" s="196"/>
      <c r="DI240" s="196"/>
      <c r="DJ240" s="196"/>
      <c r="DK240" s="196"/>
      <c r="DL240" s="196"/>
      <c r="DM240" s="196"/>
      <c r="DN240" s="196"/>
      <c r="DO240" s="196"/>
      <c r="DP240" s="196"/>
      <c r="DQ240" s="196"/>
      <c r="DR240" s="196"/>
      <c r="DS240" s="196"/>
      <c r="DT240" s="196"/>
      <c r="EA240" s="497" t="s">
        <v>413</v>
      </c>
      <c r="EB240" s="498"/>
      <c r="EC240" s="498"/>
      <c r="ED240" s="498"/>
      <c r="EE240" s="498"/>
      <c r="EF240" s="498"/>
      <c r="EG240" s="499"/>
      <c r="EH240" s="11" t="str">
        <f>IF(OR($A$3=0,$A$3="0",$EB$258="",$EB$258="No cumple con Inversión Mínima"),"No cumple con Inversión Mínima",IF($EB$258&gt;$A$3,$A$3,$EB$258))</f>
        <v>No cumple con Inversión Mínima</v>
      </c>
      <c r="EI240" s="196"/>
    </row>
    <row r="241" spans="76:139" ht="16.5" thickTop="1" thickBot="1" x14ac:dyDescent="0.3">
      <c r="BX241" s="196"/>
      <c r="BY241" s="196"/>
      <c r="BZ241" s="196"/>
      <c r="CA241" s="196"/>
      <c r="CB241" s="196"/>
      <c r="CC241" s="196"/>
      <c r="CD241" s="196"/>
      <c r="CE241" s="196"/>
      <c r="CF241" s="196"/>
      <c r="CG241" s="196"/>
      <c r="CH241" s="196"/>
      <c r="CI241" s="196"/>
      <c r="CJ241" s="196"/>
      <c r="CK241" s="196"/>
      <c r="CL241" s="196"/>
      <c r="CM241" s="196"/>
      <c r="CN241" s="196"/>
      <c r="CO241" s="196"/>
      <c r="CP241" s="196"/>
      <c r="CQ241" s="196"/>
      <c r="CR241" s="196"/>
      <c r="CS241" s="196"/>
      <c r="CT241" s="196"/>
      <c r="CU241" s="196"/>
      <c r="CV241" s="196"/>
      <c r="CW241" s="196"/>
      <c r="CX241" s="196"/>
      <c r="CY241" s="196"/>
      <c r="CZ241" s="196"/>
      <c r="DA241" s="196"/>
      <c r="DB241" s="196"/>
      <c r="DC241" s="196"/>
      <c r="DD241" s="196"/>
      <c r="DE241" s="196"/>
      <c r="DF241" s="196"/>
      <c r="DG241" s="196"/>
      <c r="DH241" s="196"/>
      <c r="DI241" s="196"/>
      <c r="DJ241" s="196"/>
      <c r="DK241" s="196"/>
      <c r="DL241" s="196"/>
      <c r="DM241" s="196"/>
      <c r="DN241" s="196"/>
      <c r="DO241" s="196"/>
      <c r="DP241" s="196"/>
      <c r="DQ241" s="196"/>
      <c r="DR241" s="196"/>
      <c r="DS241" s="196"/>
      <c r="DT241" s="196"/>
      <c r="EA241" s="25" t="s">
        <v>370</v>
      </c>
      <c r="EB241" s="18">
        <v>0</v>
      </c>
      <c r="EC241" s="26"/>
      <c r="ED241" s="26"/>
      <c r="EE241" s="26"/>
      <c r="EF241" s="26"/>
      <c r="EG241" s="26"/>
      <c r="EH241" s="36"/>
      <c r="EI241" s="196"/>
    </row>
    <row r="242" spans="76:139" ht="16.5" thickTop="1" thickBot="1" x14ac:dyDescent="0.3">
      <c r="BX242" s="196"/>
      <c r="BY242" s="196"/>
      <c r="BZ242" s="196"/>
      <c r="CA242" s="196"/>
      <c r="CB242" s="196"/>
      <c r="CC242" s="196"/>
      <c r="CD242" s="196"/>
      <c r="CE242" s="196"/>
      <c r="CF242" s="196"/>
      <c r="CG242" s="196"/>
      <c r="CH242" s="196"/>
      <c r="CI242" s="196"/>
      <c r="CJ242" s="196"/>
      <c r="CK242" s="196"/>
      <c r="CL242" s="196"/>
      <c r="CM242" s="196"/>
      <c r="CN242" s="196"/>
      <c r="CO242" s="196"/>
      <c r="CP242" s="196"/>
      <c r="CQ242" s="196"/>
      <c r="CR242" s="196"/>
      <c r="CS242" s="196"/>
      <c r="CT242" s="196"/>
      <c r="CU242" s="196"/>
      <c r="CV242" s="196"/>
      <c r="CW242" s="196"/>
      <c r="CX242" s="196"/>
      <c r="CY242" s="196"/>
      <c r="CZ242" s="196"/>
      <c r="DA242" s="196"/>
      <c r="DB242" s="196"/>
      <c r="DC242" s="196"/>
      <c r="DD242" s="196"/>
      <c r="DE242" s="196"/>
      <c r="DF242" s="196"/>
      <c r="DG242" s="196"/>
      <c r="DH242" s="196"/>
      <c r="DI242" s="196"/>
      <c r="DJ242" s="196"/>
      <c r="DK242" s="196"/>
      <c r="DL242" s="196"/>
      <c r="DM242" s="196"/>
      <c r="DN242" s="196"/>
      <c r="DO242" s="196"/>
      <c r="DP242" s="196"/>
      <c r="DQ242" s="196"/>
      <c r="DR242" s="196"/>
      <c r="DS242" s="196"/>
      <c r="DT242" s="196"/>
      <c r="EA242" s="25" t="s">
        <v>371</v>
      </c>
      <c r="EB242" s="18">
        <v>0</v>
      </c>
      <c r="EC242" s="26"/>
      <c r="ED242" s="26"/>
      <c r="EE242" s="26"/>
      <c r="EF242" s="26"/>
      <c r="EG242" s="26"/>
      <c r="EH242" s="36"/>
      <c r="EI242" s="196"/>
    </row>
    <row r="243" spans="76:139" ht="16.5" thickTop="1" thickBot="1" x14ac:dyDescent="0.3">
      <c r="BX243" s="196"/>
      <c r="BY243" s="196"/>
      <c r="BZ243" s="196"/>
      <c r="CA243" s="196"/>
      <c r="CB243" s="196"/>
      <c r="CC243" s="196"/>
      <c r="CD243" s="196"/>
      <c r="CE243" s="196"/>
      <c r="CF243" s="196"/>
      <c r="CG243" s="196"/>
      <c r="CH243" s="196"/>
      <c r="CI243" s="196"/>
      <c r="CJ243" s="196"/>
      <c r="CK243" s="196"/>
      <c r="CL243" s="196"/>
      <c r="CM243" s="196"/>
      <c r="CN243" s="196"/>
      <c r="CO243" s="196"/>
      <c r="CP243" s="196"/>
      <c r="CQ243" s="196"/>
      <c r="CR243" s="196"/>
      <c r="CS243" s="196"/>
      <c r="CT243" s="196"/>
      <c r="CU243" s="196"/>
      <c r="CV243" s="196"/>
      <c r="CW243" s="196"/>
      <c r="CX243" s="196"/>
      <c r="CY243" s="196"/>
      <c r="CZ243" s="196"/>
      <c r="DA243" s="196"/>
      <c r="DB243" s="196"/>
      <c r="DC243" s="196"/>
      <c r="DD243" s="196"/>
      <c r="DE243" s="196"/>
      <c r="DF243" s="196"/>
      <c r="DG243" s="196"/>
      <c r="DH243" s="196"/>
      <c r="DI243" s="196"/>
      <c r="DJ243" s="196"/>
      <c r="DK243" s="196"/>
      <c r="DL243" s="196"/>
      <c r="DM243" s="196"/>
      <c r="DN243" s="196"/>
      <c r="DO243" s="196"/>
      <c r="DP243" s="196"/>
      <c r="DQ243" s="196"/>
      <c r="DR243" s="196"/>
      <c r="DS243" s="196"/>
      <c r="DT243" s="196"/>
      <c r="EA243" s="25" t="s">
        <v>319</v>
      </c>
      <c r="EB243" s="18">
        <v>0</v>
      </c>
      <c r="EC243" s="26"/>
      <c r="ED243" s="26"/>
      <c r="EE243" s="26"/>
      <c r="EF243" s="26"/>
      <c r="EG243" s="26"/>
      <c r="EH243" s="36"/>
      <c r="EI243" s="196"/>
    </row>
    <row r="244" spans="76:139" ht="16.5" thickTop="1" thickBot="1" x14ac:dyDescent="0.3">
      <c r="BX244" s="196"/>
      <c r="BY244" s="196"/>
      <c r="BZ244" s="196"/>
      <c r="CA244" s="196"/>
      <c r="CB244" s="196"/>
      <c r="CC244" s="196"/>
      <c r="CD244" s="196"/>
      <c r="CE244" s="196"/>
      <c r="CF244" s="196"/>
      <c r="CG244" s="196"/>
      <c r="CH244" s="196"/>
      <c r="CI244" s="196"/>
      <c r="CJ244" s="196"/>
      <c r="CK244" s="196"/>
      <c r="CL244" s="196"/>
      <c r="CM244" s="196"/>
      <c r="CN244" s="196"/>
      <c r="CO244" s="196"/>
      <c r="CP244" s="196"/>
      <c r="CQ244" s="196"/>
      <c r="CR244" s="196"/>
      <c r="CS244" s="196"/>
      <c r="CT244" s="196"/>
      <c r="CU244" s="196"/>
      <c r="CV244" s="196"/>
      <c r="CW244" s="196"/>
      <c r="CX244" s="196"/>
      <c r="CY244" s="196"/>
      <c r="CZ244" s="196"/>
      <c r="DA244" s="196"/>
      <c r="DB244" s="196"/>
      <c r="DC244" s="196"/>
      <c r="DD244" s="196"/>
      <c r="DE244" s="196"/>
      <c r="DF244" s="196"/>
      <c r="DG244" s="196"/>
      <c r="DH244" s="196"/>
      <c r="DI244" s="196"/>
      <c r="DJ244" s="196"/>
      <c r="DK244" s="196"/>
      <c r="DL244" s="196"/>
      <c r="DM244" s="196"/>
      <c r="DN244" s="196"/>
      <c r="DO244" s="196"/>
      <c r="DP244" s="196"/>
      <c r="DQ244" s="196"/>
      <c r="DR244" s="196"/>
      <c r="DS244" s="196"/>
      <c r="DT244" s="196"/>
      <c r="EA244" s="25" t="s">
        <v>411</v>
      </c>
      <c r="EB244" s="18">
        <v>0</v>
      </c>
      <c r="EC244" s="26"/>
      <c r="ED244" s="26"/>
      <c r="EE244" s="26"/>
      <c r="EF244" s="26"/>
      <c r="EG244" s="26"/>
      <c r="EH244" s="102"/>
      <c r="EI244" s="196"/>
    </row>
    <row r="245" spans="76:139" ht="16.5" thickTop="1" thickBot="1" x14ac:dyDescent="0.3">
      <c r="BX245" s="196"/>
      <c r="BY245" s="196"/>
      <c r="BZ245" s="196"/>
      <c r="CA245" s="196"/>
      <c r="CB245" s="196"/>
      <c r="CC245" s="196"/>
      <c r="CD245" s="196"/>
      <c r="CE245" s="196"/>
      <c r="CF245" s="196"/>
      <c r="CG245" s="196"/>
      <c r="CH245" s="196"/>
      <c r="CI245" s="196"/>
      <c r="CJ245" s="196"/>
      <c r="CK245" s="196"/>
      <c r="CL245" s="196"/>
      <c r="CM245" s="196"/>
      <c r="CN245" s="196"/>
      <c r="CO245" s="196"/>
      <c r="CP245" s="196"/>
      <c r="CQ245" s="196"/>
      <c r="CR245" s="196"/>
      <c r="CS245" s="196"/>
      <c r="CT245" s="196"/>
      <c r="CU245" s="196"/>
      <c r="CV245" s="196"/>
      <c r="CW245" s="196"/>
      <c r="CX245" s="196"/>
      <c r="CY245" s="196"/>
      <c r="CZ245" s="196"/>
      <c r="DA245" s="196"/>
      <c r="DB245" s="196"/>
      <c r="DC245" s="196"/>
      <c r="DD245" s="196"/>
      <c r="DE245" s="196"/>
      <c r="DF245" s="196"/>
      <c r="DG245" s="196"/>
      <c r="DH245" s="196"/>
      <c r="DI245" s="196"/>
      <c r="DJ245" s="196"/>
      <c r="DK245" s="196"/>
      <c r="DL245" s="196"/>
      <c r="DM245" s="196"/>
      <c r="DN245" s="196"/>
      <c r="DO245" s="196"/>
      <c r="DP245" s="196"/>
      <c r="DQ245" s="196"/>
      <c r="DR245" s="196"/>
      <c r="DS245" s="196"/>
      <c r="DT245" s="196"/>
      <c r="EA245" s="25" t="s">
        <v>375</v>
      </c>
      <c r="EB245" s="18">
        <v>0</v>
      </c>
      <c r="EC245" s="26"/>
      <c r="ED245" s="26"/>
      <c r="EE245" s="26"/>
      <c r="EF245" s="26"/>
      <c r="EG245" s="26"/>
      <c r="EH245" s="36"/>
      <c r="EI245" s="196"/>
    </row>
    <row r="246" spans="76:139" ht="16.5" thickTop="1" thickBot="1" x14ac:dyDescent="0.3">
      <c r="BX246" s="196"/>
      <c r="BY246" s="196"/>
      <c r="BZ246" s="196"/>
      <c r="CA246" s="196"/>
      <c r="CB246" s="196"/>
      <c r="CC246" s="196"/>
      <c r="CD246" s="196"/>
      <c r="CE246" s="196"/>
      <c r="CF246" s="196"/>
      <c r="CG246" s="196"/>
      <c r="CH246" s="196"/>
      <c r="CI246" s="196"/>
      <c r="CJ246" s="196"/>
      <c r="CK246" s="196"/>
      <c r="CL246" s="196"/>
      <c r="CM246" s="196"/>
      <c r="CN246" s="196"/>
      <c r="CO246" s="196"/>
      <c r="CP246" s="196"/>
      <c r="CQ246" s="196"/>
      <c r="CR246" s="196"/>
      <c r="CS246" s="196"/>
      <c r="CT246" s="196"/>
      <c r="CU246" s="196"/>
      <c r="CV246" s="196"/>
      <c r="CW246" s="196"/>
      <c r="CX246" s="196"/>
      <c r="CY246" s="196"/>
      <c r="CZ246" s="196"/>
      <c r="DA246" s="196"/>
      <c r="DB246" s="196"/>
      <c r="DC246" s="196"/>
      <c r="DD246" s="196"/>
      <c r="DE246" s="196"/>
      <c r="DF246" s="196"/>
      <c r="DG246" s="196"/>
      <c r="DH246" s="196"/>
      <c r="DI246" s="196"/>
      <c r="DJ246" s="196"/>
      <c r="DK246" s="196"/>
      <c r="DL246" s="196"/>
      <c r="DM246" s="196"/>
      <c r="DN246" s="196"/>
      <c r="DO246" s="196"/>
      <c r="DP246" s="196"/>
      <c r="DQ246" s="196"/>
      <c r="DR246" s="196"/>
      <c r="DS246" s="196"/>
      <c r="DT246" s="196"/>
      <c r="EA246" s="25" t="s">
        <v>376</v>
      </c>
      <c r="EB246" s="177">
        <f>$EB$244-$EB$242</f>
        <v>0</v>
      </c>
      <c r="EC246" s="26"/>
      <c r="ED246" s="26"/>
      <c r="EE246" s="26"/>
      <c r="EF246" s="26"/>
      <c r="EG246" s="26"/>
      <c r="EH246" s="36"/>
      <c r="EI246" s="196"/>
    </row>
    <row r="247" spans="76:139" ht="16.5" thickTop="1" thickBot="1" x14ac:dyDescent="0.3">
      <c r="BX247" s="196"/>
      <c r="BY247" s="196"/>
      <c r="BZ247" s="196"/>
      <c r="CA247" s="196"/>
      <c r="CB247" s="196"/>
      <c r="CC247" s="196"/>
      <c r="CD247" s="196"/>
      <c r="CE247" s="196"/>
      <c r="CF247" s="196"/>
      <c r="CG247" s="196"/>
      <c r="CH247" s="196"/>
      <c r="CI247" s="196"/>
      <c r="CJ247" s="196"/>
      <c r="CK247" s="196"/>
      <c r="CL247" s="196"/>
      <c r="CM247" s="196"/>
      <c r="CN247" s="196"/>
      <c r="CO247" s="196"/>
      <c r="CP247" s="196"/>
      <c r="CQ247" s="196"/>
      <c r="CR247" s="196"/>
      <c r="CS247" s="196"/>
      <c r="CT247" s="196"/>
      <c r="CU247" s="196"/>
      <c r="CV247" s="196"/>
      <c r="CW247" s="196"/>
      <c r="CX247" s="196"/>
      <c r="CY247" s="196"/>
      <c r="CZ247" s="196"/>
      <c r="DA247" s="196"/>
      <c r="DB247" s="196"/>
      <c r="DC247" s="196"/>
      <c r="DD247" s="196"/>
      <c r="DE247" s="196"/>
      <c r="DF247" s="196"/>
      <c r="DG247" s="196"/>
      <c r="DH247" s="196"/>
      <c r="DI247" s="196"/>
      <c r="DJ247" s="196"/>
      <c r="DK247" s="196"/>
      <c r="DL247" s="196"/>
      <c r="DM247" s="196"/>
      <c r="DN247" s="196"/>
      <c r="DO247" s="196"/>
      <c r="DP247" s="196"/>
      <c r="DQ247" s="196"/>
      <c r="DR247" s="196"/>
      <c r="DS247" s="196"/>
      <c r="DT247" s="196"/>
      <c r="EA247" s="25" t="s">
        <v>377</v>
      </c>
      <c r="EB247" s="62">
        <f>PMT($EB$250/12,$EB$249,-$EB$246)</f>
        <v>0</v>
      </c>
      <c r="EC247" s="26"/>
      <c r="ED247" s="26"/>
      <c r="EE247" s="26"/>
      <c r="EF247" s="26"/>
      <c r="EG247" s="26"/>
      <c r="EH247" s="36"/>
      <c r="EI247" s="196"/>
    </row>
    <row r="248" spans="76:139" ht="16.5" thickTop="1" thickBot="1" x14ac:dyDescent="0.3">
      <c r="BX248" s="196"/>
      <c r="BY248" s="196"/>
      <c r="BZ248" s="196"/>
      <c r="CA248" s="196"/>
      <c r="CB248" s="196"/>
      <c r="CC248" s="196"/>
      <c r="CD248" s="196"/>
      <c r="CE248" s="196"/>
      <c r="CF248" s="196"/>
      <c r="CG248" s="196"/>
      <c r="CH248" s="196"/>
      <c r="CI248" s="196"/>
      <c r="CJ248" s="196"/>
      <c r="CK248" s="196"/>
      <c r="CL248" s="196"/>
      <c r="CM248" s="196"/>
      <c r="CN248" s="196"/>
      <c r="CO248" s="196"/>
      <c r="CP248" s="196"/>
      <c r="CQ248" s="196"/>
      <c r="CR248" s="196"/>
      <c r="CS248" s="196"/>
      <c r="CT248" s="196"/>
      <c r="CU248" s="196"/>
      <c r="CV248" s="196"/>
      <c r="CW248" s="196"/>
      <c r="CX248" s="196"/>
      <c r="CY248" s="196"/>
      <c r="CZ248" s="196"/>
      <c r="DA248" s="196"/>
      <c r="DB248" s="196"/>
      <c r="DC248" s="196"/>
      <c r="DD248" s="196"/>
      <c r="DE248" s="196"/>
      <c r="DF248" s="196"/>
      <c r="DG248" s="196"/>
      <c r="DH248" s="196"/>
      <c r="DI248" s="196"/>
      <c r="DJ248" s="196"/>
      <c r="DK248" s="196"/>
      <c r="DL248" s="196"/>
      <c r="DM248" s="196"/>
      <c r="DN248" s="196"/>
      <c r="DO248" s="196"/>
      <c r="DP248" s="196"/>
      <c r="DQ248" s="196"/>
      <c r="DR248" s="196"/>
      <c r="DS248" s="196"/>
      <c r="DT248" s="196"/>
      <c r="EA248" s="25" t="s">
        <v>378</v>
      </c>
      <c r="EB248" s="187">
        <v>0.52500000000000002</v>
      </c>
      <c r="EC248" s="26"/>
      <c r="ED248" s="26"/>
      <c r="EE248" s="26"/>
      <c r="EF248" s="26"/>
      <c r="EG248" s="26"/>
      <c r="EH248" s="36"/>
      <c r="EI248" s="196"/>
    </row>
    <row r="249" spans="76:139" ht="16.5" thickTop="1" thickBot="1" x14ac:dyDescent="0.3">
      <c r="BX249" s="196"/>
      <c r="BY249" s="196"/>
      <c r="BZ249" s="196"/>
      <c r="CA249" s="196"/>
      <c r="CB249" s="196"/>
      <c r="CC249" s="196"/>
      <c r="CD249" s="196"/>
      <c r="CE249" s="196"/>
      <c r="CF249" s="196"/>
      <c r="CG249" s="196"/>
      <c r="CH249" s="196"/>
      <c r="CI249" s="196"/>
      <c r="CJ249" s="196"/>
      <c r="CK249" s="196"/>
      <c r="CL249" s="196"/>
      <c r="CM249" s="196"/>
      <c r="CN249" s="196"/>
      <c r="CO249" s="196"/>
      <c r="CP249" s="196"/>
      <c r="CQ249" s="196"/>
      <c r="CR249" s="196"/>
      <c r="CS249" s="196"/>
      <c r="CT249" s="196"/>
      <c r="CU249" s="196"/>
      <c r="CV249" s="196"/>
      <c r="CW249" s="196"/>
      <c r="CX249" s="196"/>
      <c r="CY249" s="196"/>
      <c r="CZ249" s="196"/>
      <c r="DA249" s="196"/>
      <c r="DB249" s="196"/>
      <c r="DC249" s="196"/>
      <c r="DD249" s="196"/>
      <c r="DE249" s="196"/>
      <c r="DF249" s="196"/>
      <c r="DG249" s="196"/>
      <c r="DH249" s="196"/>
      <c r="DI249" s="196"/>
      <c r="DJ249" s="196"/>
      <c r="DK249" s="196"/>
      <c r="DL249" s="196"/>
      <c r="DM249" s="196"/>
      <c r="DN249" s="196"/>
      <c r="DO249" s="196"/>
      <c r="DP249" s="196"/>
      <c r="DQ249" s="196"/>
      <c r="DR249" s="196"/>
      <c r="DS249" s="196"/>
      <c r="DT249" s="196"/>
      <c r="EA249" s="25" t="s">
        <v>379</v>
      </c>
      <c r="EB249" s="186">
        <v>56</v>
      </c>
      <c r="EC249" s="26"/>
      <c r="ED249" s="26"/>
      <c r="EE249" s="26"/>
      <c r="EF249" s="26"/>
      <c r="EG249" s="26"/>
      <c r="EH249" s="36"/>
      <c r="EI249" s="196"/>
    </row>
    <row r="250" spans="76:139" ht="16.5" thickTop="1" thickBot="1" x14ac:dyDescent="0.3">
      <c r="BX250" s="196"/>
      <c r="BY250" s="196"/>
      <c r="BZ250" s="196"/>
      <c r="CA250" s="196"/>
      <c r="CB250" s="196"/>
      <c r="CC250" s="196"/>
      <c r="CD250" s="196"/>
      <c r="CE250" s="196"/>
      <c r="CF250" s="196"/>
      <c r="CG250" s="196"/>
      <c r="CH250" s="196"/>
      <c r="CI250" s="196"/>
      <c r="CJ250" s="196"/>
      <c r="CK250" s="196"/>
      <c r="CL250" s="196"/>
      <c r="CM250" s="196"/>
      <c r="CN250" s="196"/>
      <c r="CO250" s="196"/>
      <c r="CP250" s="196"/>
      <c r="CQ250" s="196"/>
      <c r="CR250" s="196"/>
      <c r="CS250" s="196"/>
      <c r="CT250" s="196"/>
      <c r="CU250" s="196"/>
      <c r="CV250" s="196"/>
      <c r="CW250" s="196"/>
      <c r="CX250" s="196"/>
      <c r="CY250" s="196"/>
      <c r="CZ250" s="196"/>
      <c r="DA250" s="196"/>
      <c r="DB250" s="196"/>
      <c r="DC250" s="196"/>
      <c r="DD250" s="196"/>
      <c r="DE250" s="196"/>
      <c r="DF250" s="196"/>
      <c r="DG250" s="196"/>
      <c r="DH250" s="196"/>
      <c r="DI250" s="196"/>
      <c r="DJ250" s="196"/>
      <c r="DK250" s="196"/>
      <c r="DL250" s="196"/>
      <c r="DM250" s="196"/>
      <c r="DN250" s="196"/>
      <c r="DO250" s="196"/>
      <c r="DP250" s="196"/>
      <c r="DQ250" s="196"/>
      <c r="DR250" s="196"/>
      <c r="DS250" s="196"/>
      <c r="DT250" s="196"/>
      <c r="EA250" s="25" t="s">
        <v>380</v>
      </c>
      <c r="EB250" s="188">
        <f>IF($EB$241=$EA$12,0.323,0.249)</f>
        <v>0.249</v>
      </c>
      <c r="EC250" s="26"/>
      <c r="ED250" s="26"/>
      <c r="EE250" s="26"/>
      <c r="EF250" s="26"/>
      <c r="EG250" s="26"/>
      <c r="EH250" s="36"/>
      <c r="EI250" s="196"/>
    </row>
    <row r="251" spans="76:139" ht="16.5" thickTop="1" thickBot="1" x14ac:dyDescent="0.3">
      <c r="BX251" s="196"/>
      <c r="BY251" s="196"/>
      <c r="BZ251" s="196"/>
      <c r="CA251" s="196"/>
      <c r="CB251" s="196"/>
      <c r="CC251" s="196"/>
      <c r="CD251" s="196"/>
      <c r="CE251" s="196"/>
      <c r="CF251" s="196"/>
      <c r="CG251" s="196"/>
      <c r="CH251" s="196"/>
      <c r="CI251" s="196"/>
      <c r="CJ251" s="196"/>
      <c r="CK251" s="196"/>
      <c r="CL251" s="196"/>
      <c r="CM251" s="196"/>
      <c r="CN251" s="196"/>
      <c r="CO251" s="196"/>
      <c r="CP251" s="196"/>
      <c r="CQ251" s="196"/>
      <c r="CR251" s="196"/>
      <c r="CS251" s="196"/>
      <c r="CT251" s="196"/>
      <c r="CU251" s="196"/>
      <c r="CV251" s="196"/>
      <c r="CW251" s="196"/>
      <c r="CX251" s="196"/>
      <c r="CY251" s="196"/>
      <c r="CZ251" s="196"/>
      <c r="DA251" s="196"/>
      <c r="DB251" s="196"/>
      <c r="DC251" s="196"/>
      <c r="DD251" s="196"/>
      <c r="DE251" s="196"/>
      <c r="DF251" s="196"/>
      <c r="DG251" s="196"/>
      <c r="DH251" s="196"/>
      <c r="DI251" s="196"/>
      <c r="DJ251" s="196"/>
      <c r="DK251" s="196"/>
      <c r="DL251" s="196"/>
      <c r="DM251" s="196"/>
      <c r="DN251" s="196"/>
      <c r="DO251" s="196"/>
      <c r="DP251" s="196"/>
      <c r="DQ251" s="196"/>
      <c r="DR251" s="196"/>
      <c r="DS251" s="196"/>
      <c r="DT251" s="196"/>
      <c r="EA251" s="25" t="s">
        <v>384</v>
      </c>
      <c r="EB251" s="62">
        <f>0.07*$EB$244</f>
        <v>0</v>
      </c>
      <c r="EC251" s="26"/>
      <c r="ED251" s="26"/>
      <c r="EE251" s="26"/>
      <c r="EF251" s="26"/>
      <c r="EG251" s="26"/>
      <c r="EH251" s="36"/>
      <c r="EI251" s="196"/>
    </row>
    <row r="252" spans="76:139" ht="16.5" thickTop="1" thickBot="1" x14ac:dyDescent="0.3">
      <c r="BX252" s="196"/>
      <c r="BY252" s="196"/>
      <c r="BZ252" s="196"/>
      <c r="CA252" s="196"/>
      <c r="CB252" s="196"/>
      <c r="CC252" s="196"/>
      <c r="CD252" s="196"/>
      <c r="CE252" s="196"/>
      <c r="CF252" s="196"/>
      <c r="CG252" s="196"/>
      <c r="CH252" s="196"/>
      <c r="CI252" s="196"/>
      <c r="CJ252" s="196"/>
      <c r="CK252" s="196"/>
      <c r="CL252" s="196"/>
      <c r="CM252" s="196"/>
      <c r="CN252" s="196"/>
      <c r="CO252" s="196"/>
      <c r="CP252" s="196"/>
      <c r="CQ252" s="196"/>
      <c r="CR252" s="196"/>
      <c r="CS252" s="196"/>
      <c r="CT252" s="196"/>
      <c r="CU252" s="196"/>
      <c r="CV252" s="196"/>
      <c r="CW252" s="196"/>
      <c r="CX252" s="196"/>
      <c r="CY252" s="196"/>
      <c r="CZ252" s="196"/>
      <c r="DA252" s="196"/>
      <c r="DB252" s="196"/>
      <c r="DC252" s="196"/>
      <c r="DD252" s="196"/>
      <c r="DE252" s="196"/>
      <c r="DF252" s="196"/>
      <c r="DG252" s="196"/>
      <c r="DH252" s="196"/>
      <c r="DI252" s="196"/>
      <c r="DJ252" s="196"/>
      <c r="DK252" s="196"/>
      <c r="DL252" s="196"/>
      <c r="DM252" s="196"/>
      <c r="DN252" s="196"/>
      <c r="DO252" s="196"/>
      <c r="DP252" s="196"/>
      <c r="DQ252" s="196"/>
      <c r="DR252" s="196"/>
      <c r="DS252" s="196"/>
      <c r="DT252" s="196"/>
      <c r="EA252" s="25" t="s">
        <v>383</v>
      </c>
      <c r="EB252" s="62">
        <f>($EB$247+$EB$243)/$EB$248</f>
        <v>0</v>
      </c>
      <c r="EC252" s="26"/>
      <c r="ED252" s="26"/>
      <c r="EE252" s="26"/>
      <c r="EF252" s="26"/>
      <c r="EG252" s="26"/>
      <c r="EH252" s="36"/>
      <c r="EI252" s="196"/>
    </row>
    <row r="253" spans="76:139" ht="16.5" thickTop="1" thickBot="1" x14ac:dyDescent="0.3">
      <c r="BX253" s="196"/>
      <c r="BY253" s="196"/>
      <c r="BZ253" s="196"/>
      <c r="CA253" s="196"/>
      <c r="CB253" s="196"/>
      <c r="CC253" s="196"/>
      <c r="CD253" s="196"/>
      <c r="CE253" s="196"/>
      <c r="CF253" s="196"/>
      <c r="CG253" s="196"/>
      <c r="CH253" s="196"/>
      <c r="CI253" s="196"/>
      <c r="CJ253" s="196"/>
      <c r="CK253" s="196"/>
      <c r="CL253" s="196"/>
      <c r="CM253" s="196"/>
      <c r="CN253" s="196"/>
      <c r="CO253" s="196"/>
      <c r="CP253" s="196"/>
      <c r="CQ253" s="196"/>
      <c r="CR253" s="196"/>
      <c r="CS253" s="196"/>
      <c r="CT253" s="196"/>
      <c r="CU253" s="196"/>
      <c r="CV253" s="196"/>
      <c r="CW253" s="196"/>
      <c r="CX253" s="196"/>
      <c r="CY253" s="196"/>
      <c r="CZ253" s="196"/>
      <c r="DA253" s="196"/>
      <c r="DB253" s="196"/>
      <c r="DC253" s="196"/>
      <c r="DD253" s="196"/>
      <c r="DE253" s="196"/>
      <c r="DF253" s="196"/>
      <c r="DG253" s="196"/>
      <c r="DH253" s="196"/>
      <c r="DI253" s="196"/>
      <c r="DJ253" s="196"/>
      <c r="DK253" s="196"/>
      <c r="DL253" s="196"/>
      <c r="DM253" s="196"/>
      <c r="DN253" s="196"/>
      <c r="DO253" s="196"/>
      <c r="DP253" s="196"/>
      <c r="DQ253" s="196"/>
      <c r="DR253" s="196"/>
      <c r="DS253" s="196"/>
      <c r="DT253" s="196"/>
      <c r="EA253" s="25" t="s">
        <v>381</v>
      </c>
      <c r="EB253" s="62">
        <f>MAX($EB$251,$EB$252)</f>
        <v>0</v>
      </c>
      <c r="EC253" s="26"/>
      <c r="ED253" s="26"/>
      <c r="EE253" s="26"/>
      <c r="EF253" s="26"/>
      <c r="EG253" s="26"/>
      <c r="EH253" s="36"/>
      <c r="EI253" s="196"/>
    </row>
    <row r="254" spans="76:139" ht="16.5" thickTop="1" thickBot="1" x14ac:dyDescent="0.3">
      <c r="BX254" s="196"/>
      <c r="BY254" s="196"/>
      <c r="BZ254" s="196"/>
      <c r="CA254" s="196"/>
      <c r="CB254" s="196"/>
      <c r="CC254" s="196"/>
      <c r="CD254" s="196"/>
      <c r="CE254" s="196"/>
      <c r="CF254" s="196"/>
      <c r="CG254" s="196"/>
      <c r="CH254" s="196"/>
      <c r="CI254" s="196"/>
      <c r="CJ254" s="196"/>
      <c r="CK254" s="196"/>
      <c r="CL254" s="196"/>
      <c r="CM254" s="196"/>
      <c r="CN254" s="196"/>
      <c r="CO254" s="196"/>
      <c r="CP254" s="196"/>
      <c r="CQ254" s="196"/>
      <c r="CR254" s="196"/>
      <c r="CS254" s="196"/>
      <c r="CT254" s="196"/>
      <c r="CU254" s="196"/>
      <c r="CV254" s="196"/>
      <c r="CW254" s="196"/>
      <c r="CX254" s="196"/>
      <c r="CY254" s="196"/>
      <c r="CZ254" s="196"/>
      <c r="DA254" s="196"/>
      <c r="DB254" s="196"/>
      <c r="DC254" s="196"/>
      <c r="DD254" s="196"/>
      <c r="DE254" s="196"/>
      <c r="DF254" s="196"/>
      <c r="DG254" s="196"/>
      <c r="DH254" s="196"/>
      <c r="DI254" s="196"/>
      <c r="DJ254" s="196"/>
      <c r="DK254" s="196"/>
      <c r="DL254" s="196"/>
      <c r="DM254" s="196"/>
      <c r="DN254" s="196"/>
      <c r="DO254" s="196"/>
      <c r="DP254" s="196"/>
      <c r="DQ254" s="196"/>
      <c r="DR254" s="196"/>
      <c r="DS254" s="196"/>
      <c r="DT254" s="196"/>
      <c r="EA254" s="25" t="s">
        <v>382</v>
      </c>
      <c r="EB254" s="62">
        <f>ROUND(IF($EB$241=$EE$258,IF(MIN($EG$258,$EH$258)&lt;25000, 25000,MIN($EG$258,$EH$258)),IF(MIN($EG$259,$EH$259)&lt;56000,56000,MIN(EG259,$EH$259))),0)</f>
        <v>56000</v>
      </c>
      <c r="EC254" s="26"/>
      <c r="ED254" s="26"/>
      <c r="EE254" s="26"/>
      <c r="EF254" s="26"/>
      <c r="EG254" s="26"/>
      <c r="EH254" s="36"/>
      <c r="EI254" s="196"/>
    </row>
    <row r="255" spans="76:139" ht="16.5" thickTop="1" thickBot="1" x14ac:dyDescent="0.3">
      <c r="BX255" s="196"/>
      <c r="BY255" s="196"/>
      <c r="BZ255" s="196"/>
      <c r="CA255" s="196"/>
      <c r="CB255" s="196"/>
      <c r="CC255" s="196"/>
      <c r="CD255" s="196"/>
      <c r="CE255" s="196"/>
      <c r="CF255" s="196"/>
      <c r="CG255" s="196"/>
      <c r="CH255" s="196"/>
      <c r="CI255" s="196"/>
      <c r="CJ255" s="196"/>
      <c r="CK255" s="196"/>
      <c r="CL255" s="196"/>
      <c r="CM255" s="196"/>
      <c r="CN255" s="196"/>
      <c r="CO255" s="196"/>
      <c r="CP255" s="196"/>
      <c r="CQ255" s="196"/>
      <c r="CR255" s="196"/>
      <c r="CS255" s="196"/>
      <c r="CT255" s="196"/>
      <c r="CU255" s="196"/>
      <c r="CV255" s="196"/>
      <c r="CW255" s="196"/>
      <c r="CX255" s="196"/>
      <c r="CY255" s="196"/>
      <c r="CZ255" s="196"/>
      <c r="DA255" s="196"/>
      <c r="DB255" s="196"/>
      <c r="DC255" s="196"/>
      <c r="DD255" s="196"/>
      <c r="DE255" s="196"/>
      <c r="DF255" s="196"/>
      <c r="DG255" s="196"/>
      <c r="DH255" s="196"/>
      <c r="DI255" s="196"/>
      <c r="DJ255" s="196"/>
      <c r="DK255" s="196"/>
      <c r="DL255" s="196"/>
      <c r="DM255" s="196"/>
      <c r="DN255" s="196"/>
      <c r="DO255" s="196"/>
      <c r="DP255" s="196"/>
      <c r="DQ255" s="196"/>
      <c r="DR255" s="196"/>
      <c r="DS255" s="196"/>
      <c r="DT255" s="196"/>
      <c r="EA255" s="101"/>
      <c r="EB255" s="62"/>
      <c r="EC255" s="26"/>
      <c r="ED255" s="26"/>
      <c r="EE255" s="26"/>
      <c r="EF255" s="26"/>
      <c r="EG255" s="26"/>
      <c r="EH255" s="36"/>
      <c r="EI255" s="196"/>
    </row>
    <row r="256" spans="76:139" ht="16.5" thickTop="1" thickBot="1" x14ac:dyDescent="0.3">
      <c r="BX256" s="196"/>
      <c r="BY256" s="196"/>
      <c r="BZ256" s="196"/>
      <c r="CA256" s="196"/>
      <c r="CB256" s="196"/>
      <c r="CC256" s="196"/>
      <c r="CD256" s="196"/>
      <c r="CE256" s="196"/>
      <c r="CF256" s="196"/>
      <c r="CG256" s="196"/>
      <c r="CH256" s="196"/>
      <c r="CI256" s="196"/>
      <c r="CJ256" s="196"/>
      <c r="CK256" s="196"/>
      <c r="CL256" s="196"/>
      <c r="CM256" s="196"/>
      <c r="CN256" s="196"/>
      <c r="CO256" s="196"/>
      <c r="CP256" s="196"/>
      <c r="CQ256" s="196"/>
      <c r="CR256" s="196"/>
      <c r="CS256" s="196"/>
      <c r="CT256" s="196"/>
      <c r="CU256" s="196"/>
      <c r="CV256" s="196"/>
      <c r="CW256" s="196"/>
      <c r="CX256" s="196"/>
      <c r="CY256" s="196"/>
      <c r="CZ256" s="196"/>
      <c r="DA256" s="196"/>
      <c r="DB256" s="196"/>
      <c r="DC256" s="196"/>
      <c r="DD256" s="196"/>
      <c r="DE256" s="196"/>
      <c r="DF256" s="196"/>
      <c r="DG256" s="196"/>
      <c r="DH256" s="196"/>
      <c r="DI256" s="196"/>
      <c r="DJ256" s="196"/>
      <c r="DK256" s="196"/>
      <c r="DL256" s="196"/>
      <c r="DM256" s="196"/>
      <c r="DN256" s="196"/>
      <c r="DO256" s="196"/>
      <c r="DP256" s="196"/>
      <c r="DQ256" s="196"/>
      <c r="DR256" s="196"/>
      <c r="DS256" s="196"/>
      <c r="DT256" s="196"/>
      <c r="EA256" s="101"/>
      <c r="EB256" s="62"/>
      <c r="EC256" s="26"/>
      <c r="ED256" s="26"/>
      <c r="EE256" s="26"/>
      <c r="EF256" s="26"/>
      <c r="EG256" s="26"/>
      <c r="EH256" s="26"/>
      <c r="EI256" s="196"/>
    </row>
    <row r="257" spans="76:139" ht="16.5" thickTop="1" thickBot="1" x14ac:dyDescent="0.3">
      <c r="BX257" s="196"/>
      <c r="BY257" s="196"/>
      <c r="BZ257" s="196"/>
      <c r="CA257" s="196"/>
      <c r="CB257" s="196"/>
      <c r="CC257" s="196"/>
      <c r="CD257" s="196"/>
      <c r="CE257" s="196"/>
      <c r="CF257" s="196"/>
      <c r="CG257" s="196"/>
      <c r="CH257" s="196"/>
      <c r="CI257" s="196"/>
      <c r="CJ257" s="196"/>
      <c r="CK257" s="196"/>
      <c r="CL257" s="196"/>
      <c r="CM257" s="196"/>
      <c r="CN257" s="196"/>
      <c r="CO257" s="196"/>
      <c r="CP257" s="196"/>
      <c r="CQ257" s="196"/>
      <c r="CR257" s="196"/>
      <c r="CS257" s="196"/>
      <c r="CT257" s="196"/>
      <c r="CU257" s="196"/>
      <c r="CV257" s="196"/>
      <c r="CW257" s="196"/>
      <c r="CX257" s="196"/>
      <c r="CY257" s="196"/>
      <c r="CZ257" s="196"/>
      <c r="DA257" s="196"/>
      <c r="DB257" s="196"/>
      <c r="DC257" s="196"/>
      <c r="DD257" s="196"/>
      <c r="DE257" s="196"/>
      <c r="DF257" s="196"/>
      <c r="DG257" s="196"/>
      <c r="DH257" s="196"/>
      <c r="DI257" s="196"/>
      <c r="DJ257" s="196"/>
      <c r="DK257" s="196"/>
      <c r="DL257" s="196"/>
      <c r="DM257" s="196"/>
      <c r="DN257" s="196"/>
      <c r="DO257" s="196"/>
      <c r="DP257" s="196"/>
      <c r="DQ257" s="196"/>
      <c r="DR257" s="196"/>
      <c r="DS257" s="196"/>
      <c r="DT257" s="196"/>
      <c r="EA257" s="101"/>
      <c r="EB257" s="62"/>
      <c r="EC257" s="26"/>
      <c r="ED257" s="26"/>
      <c r="EE257" s="26"/>
      <c r="EF257" s="26"/>
      <c r="EG257" s="26" t="s">
        <v>385</v>
      </c>
      <c r="EH257" s="36" t="s">
        <v>387</v>
      </c>
      <c r="EI257" s="196"/>
    </row>
    <row r="258" spans="76:139" ht="16.5" thickTop="1" thickBot="1" x14ac:dyDescent="0.3">
      <c r="BX258" s="196"/>
      <c r="BY258" s="196"/>
      <c r="BZ258" s="196"/>
      <c r="CA258" s="196"/>
      <c r="CB258" s="196"/>
      <c r="CC258" s="196"/>
      <c r="CD258" s="196"/>
      <c r="CE258" s="196"/>
      <c r="CF258" s="196"/>
      <c r="CG258" s="196"/>
      <c r="CH258" s="196"/>
      <c r="CI258" s="196"/>
      <c r="CJ258" s="196"/>
      <c r="CK258" s="196"/>
      <c r="CL258" s="196"/>
      <c r="CM258" s="196"/>
      <c r="CN258" s="196"/>
      <c r="CO258" s="196"/>
      <c r="CP258" s="196"/>
      <c r="CQ258" s="196"/>
      <c r="CR258" s="196"/>
      <c r="CS258" s="196"/>
      <c r="CT258" s="196"/>
      <c r="CU258" s="196"/>
      <c r="CV258" s="196"/>
      <c r="CW258" s="196"/>
      <c r="CX258" s="196"/>
      <c r="CY258" s="196"/>
      <c r="CZ258" s="196"/>
      <c r="DA258" s="196"/>
      <c r="DB258" s="196"/>
      <c r="DC258" s="196"/>
      <c r="DD258" s="196"/>
      <c r="DE258" s="196"/>
      <c r="DF258" s="196"/>
      <c r="DG258" s="196"/>
      <c r="DH258" s="196"/>
      <c r="DI258" s="196"/>
      <c r="DJ258" s="196"/>
      <c r="DK258" s="196"/>
      <c r="DL258" s="196"/>
      <c r="DM258" s="196"/>
      <c r="DN258" s="196"/>
      <c r="DO258" s="196"/>
      <c r="DP258" s="196"/>
      <c r="DQ258" s="196"/>
      <c r="DR258" s="196"/>
      <c r="DS258" s="196"/>
      <c r="DT258" s="196"/>
      <c r="EA258" s="41" t="s">
        <v>373</v>
      </c>
      <c r="EB258" s="189" t="str">
        <f>IF($EB$241=0,"",IF($EB$241=$A$72,IF($EB$244&lt;100000,"No cumple con Inversión Mínima",$EB$254),IF($EB$244&lt;500000,"No cumple con Inversión Mínima",$EB$254)))</f>
        <v/>
      </c>
      <c r="EC258" s="26"/>
      <c r="ED258" s="26" t="s">
        <v>386</v>
      </c>
      <c r="EE258" s="26" t="s">
        <v>304</v>
      </c>
      <c r="EF258" s="26">
        <v>360000</v>
      </c>
      <c r="EG258" s="26">
        <f>IF(AND($EB$241=$EE$258,$EB$253&lt;25000),25000,IF($EB$253&gt;$EF$258,$EF$258,$EB$253))</f>
        <v>0</v>
      </c>
      <c r="EH258" s="36">
        <f>$EB$245*5</f>
        <v>0</v>
      </c>
      <c r="EI258" s="196"/>
    </row>
    <row r="259" spans="76:139" ht="16.5" thickTop="1" thickBot="1" x14ac:dyDescent="0.3">
      <c r="BX259" s="196"/>
      <c r="BY259" s="196"/>
      <c r="BZ259" s="196"/>
      <c r="CA259" s="196"/>
      <c r="CB259" s="196"/>
      <c r="CC259" s="196"/>
      <c r="CD259" s="196"/>
      <c r="CE259" s="196"/>
      <c r="CF259" s="196"/>
      <c r="CG259" s="196"/>
      <c r="CH259" s="196"/>
      <c r="CI259" s="196"/>
      <c r="CJ259" s="196"/>
      <c r="CK259" s="196"/>
      <c r="CL259" s="196"/>
      <c r="CM259" s="196"/>
      <c r="CN259" s="196"/>
      <c r="CO259" s="196"/>
      <c r="CP259" s="196"/>
      <c r="CQ259" s="196"/>
      <c r="CR259" s="196"/>
      <c r="CS259" s="196"/>
      <c r="CT259" s="196"/>
      <c r="CU259" s="196"/>
      <c r="CV259" s="196"/>
      <c r="CW259" s="196"/>
      <c r="CX259" s="196"/>
      <c r="CY259" s="196"/>
      <c r="CZ259" s="196"/>
      <c r="DA259" s="196"/>
      <c r="DB259" s="196"/>
      <c r="DC259" s="196"/>
      <c r="DD259" s="196"/>
      <c r="DE259" s="196"/>
      <c r="DF259" s="196"/>
      <c r="DG259" s="196"/>
      <c r="DH259" s="196"/>
      <c r="DI259" s="196"/>
      <c r="DJ259" s="196"/>
      <c r="DK259" s="196"/>
      <c r="DL259" s="196"/>
      <c r="DM259" s="196"/>
      <c r="DN259" s="196"/>
      <c r="DO259" s="196"/>
      <c r="DP259" s="196"/>
      <c r="DQ259" s="196"/>
      <c r="DR259" s="196"/>
      <c r="DS259" s="196"/>
      <c r="DT259" s="196"/>
      <c r="EA259" s="41" t="s">
        <v>374</v>
      </c>
      <c r="EB259" s="177" t="str">
        <f>IF($EB$258="", "-----",$EC$259)</f>
        <v>-----</v>
      </c>
      <c r="EC259" s="26" t="str">
        <f>IF($EB$241=$EA$12,IF($EB$258&lt;25000, "Mass", $EA$12), IF($EB$258&lt;56000, $EA$12, $EA$13))</f>
        <v>PREMIER</v>
      </c>
      <c r="ED259" s="26"/>
      <c r="EE259" s="26" t="s">
        <v>305</v>
      </c>
      <c r="EF259" s="26">
        <v>700000</v>
      </c>
      <c r="EG259" s="26">
        <f>IF(AND($EB$241=$EE$259,$EB$253&lt;56000),56000,IF($EB$253&gt;$EF$259,$EF$259,$EB$253))</f>
        <v>0</v>
      </c>
      <c r="EH259" s="36">
        <f>$EB$245*5</f>
        <v>0</v>
      </c>
      <c r="EI259" s="196"/>
    </row>
    <row r="260" spans="76:139" x14ac:dyDescent="0.25">
      <c r="BX260" s="196"/>
      <c r="BY260" s="196"/>
      <c r="BZ260" s="196"/>
      <c r="CA260" s="196"/>
      <c r="CB260" s="196"/>
      <c r="CC260" s="196"/>
      <c r="CD260" s="196"/>
      <c r="CE260" s="196"/>
      <c r="CF260" s="196"/>
      <c r="CG260" s="196"/>
      <c r="CH260" s="196"/>
      <c r="CI260" s="196"/>
      <c r="CJ260" s="196"/>
      <c r="CK260" s="196"/>
      <c r="CL260" s="196"/>
      <c r="CM260" s="196"/>
      <c r="CN260" s="196"/>
      <c r="CO260" s="196"/>
      <c r="CP260" s="196"/>
      <c r="CQ260" s="196"/>
      <c r="CR260" s="196"/>
      <c r="CS260" s="196"/>
      <c r="CT260" s="196"/>
      <c r="CU260" s="196"/>
      <c r="CV260" s="196"/>
      <c r="CW260" s="196"/>
      <c r="CX260" s="196"/>
      <c r="CY260" s="196"/>
      <c r="CZ260" s="196"/>
      <c r="DA260" s="196"/>
      <c r="DB260" s="196"/>
      <c r="DC260" s="196"/>
      <c r="DD260" s="196"/>
      <c r="DE260" s="196"/>
      <c r="DF260" s="196"/>
      <c r="DG260" s="196"/>
      <c r="DH260" s="196"/>
      <c r="DI260" s="196"/>
      <c r="DJ260" s="196"/>
      <c r="DK260" s="196"/>
      <c r="DL260" s="196"/>
      <c r="DM260" s="196"/>
      <c r="DN260" s="196"/>
      <c r="DO260" s="196"/>
      <c r="DP260" s="196"/>
      <c r="DQ260" s="196"/>
      <c r="DR260" s="196"/>
      <c r="DS260" s="196"/>
      <c r="DT260" s="196"/>
      <c r="EA260" s="196"/>
      <c r="EB260" s="149" t="str">
        <f>IF($DB$216&lt;=$DH$210,"","El Ingreso se esta topando en base a la cantidad capturada en solicitud")</f>
        <v/>
      </c>
      <c r="EC260" s="196"/>
      <c r="ED260" s="196"/>
      <c r="EE260" s="196"/>
      <c r="EF260" s="196"/>
      <c r="EG260" s="196"/>
      <c r="EH260" s="196"/>
      <c r="EI260" s="196"/>
    </row>
    <row r="261" spans="76:139" x14ac:dyDescent="0.25">
      <c r="BX261" s="196"/>
      <c r="BY261" s="196"/>
      <c r="BZ261" s="196"/>
      <c r="CA261" s="196"/>
      <c r="CB261" s="196"/>
      <c r="CC261" s="196"/>
      <c r="CD261" s="196"/>
      <c r="CE261" s="196"/>
      <c r="CF261" s="196"/>
      <c r="CG261" s="196"/>
      <c r="CH261" s="196"/>
      <c r="CI261" s="196"/>
      <c r="CJ261" s="196"/>
      <c r="CK261" s="196"/>
      <c r="CL261" s="196"/>
      <c r="CM261" s="196"/>
      <c r="CN261" s="196"/>
      <c r="CO261" s="196"/>
      <c r="CP261" s="196"/>
      <c r="CQ261" s="196"/>
      <c r="CR261" s="196"/>
      <c r="CS261" s="196"/>
      <c r="CT261" s="196"/>
      <c r="CU261" s="196"/>
      <c r="CV261" s="196"/>
      <c r="CW261" s="196"/>
      <c r="CX261" s="196"/>
      <c r="CY261" s="196"/>
      <c r="CZ261" s="196"/>
      <c r="DA261" s="196"/>
      <c r="DB261" s="196"/>
      <c r="DC261" s="196"/>
      <c r="DD261" s="196"/>
      <c r="DE261" s="196"/>
      <c r="DF261" s="196"/>
      <c r="DG261" s="196"/>
      <c r="DH261" s="196"/>
      <c r="DI261" s="196"/>
      <c r="DJ261" s="196"/>
      <c r="DK261" s="196"/>
      <c r="DL261" s="196"/>
      <c r="DM261" s="196"/>
      <c r="DN261" s="196"/>
      <c r="DO261" s="196"/>
      <c r="DP261" s="196"/>
      <c r="DQ261" s="196"/>
      <c r="DR261" s="196"/>
      <c r="DS261" s="196"/>
      <c r="DT261" s="196"/>
      <c r="EA261" s="196"/>
      <c r="EB261" s="196"/>
      <c r="EC261" s="196"/>
      <c r="ED261" s="196"/>
      <c r="EE261" s="196"/>
      <c r="EF261" s="196"/>
      <c r="EG261" s="196"/>
      <c r="EH261" s="196"/>
      <c r="EI261" s="196"/>
    </row>
    <row r="262" spans="76:139" x14ac:dyDescent="0.25">
      <c r="BX262" s="196"/>
      <c r="BY262" s="196"/>
      <c r="BZ262" s="196"/>
      <c r="CA262" s="196"/>
      <c r="CB262" s="196"/>
      <c r="CC262" s="196"/>
      <c r="CD262" s="196"/>
      <c r="CE262" s="196"/>
      <c r="CF262" s="196"/>
      <c r="CG262" s="196"/>
      <c r="CH262" s="196"/>
      <c r="CI262" s="196"/>
      <c r="CJ262" s="196"/>
      <c r="CK262" s="196"/>
      <c r="CL262" s="196"/>
      <c r="CM262" s="196"/>
      <c r="CN262" s="196"/>
      <c r="CO262" s="196"/>
      <c r="CP262" s="196"/>
      <c r="CQ262" s="196"/>
      <c r="CR262" s="196"/>
      <c r="CS262" s="196"/>
      <c r="CT262" s="196"/>
      <c r="CU262" s="196"/>
      <c r="CV262" s="196"/>
      <c r="CW262" s="196"/>
      <c r="CX262" s="196"/>
      <c r="CY262" s="196"/>
      <c r="CZ262" s="196"/>
      <c r="DA262" s="196"/>
      <c r="DB262" s="196"/>
      <c r="DC262" s="196"/>
      <c r="DD262" s="196"/>
      <c r="DE262" s="196"/>
      <c r="DF262" s="196"/>
      <c r="DG262" s="196"/>
      <c r="DH262" s="196"/>
      <c r="DI262" s="196"/>
      <c r="DJ262" s="196"/>
      <c r="DK262" s="196"/>
      <c r="DL262" s="196"/>
      <c r="DM262" s="196"/>
      <c r="DN262" s="196"/>
      <c r="DO262" s="196"/>
      <c r="DP262" s="196"/>
      <c r="DQ262" s="196"/>
      <c r="DR262" s="196"/>
      <c r="DS262" s="196"/>
      <c r="DT262" s="196"/>
      <c r="EA262" s="196"/>
      <c r="EB262" s="196"/>
      <c r="EC262" s="196"/>
      <c r="ED262" s="196"/>
      <c r="EE262" s="196"/>
      <c r="EF262" s="196"/>
      <c r="EG262" s="196"/>
      <c r="EH262" s="196"/>
      <c r="EI262" s="196"/>
    </row>
    <row r="263" spans="76:139" x14ac:dyDescent="0.25">
      <c r="BX263" s="196"/>
      <c r="BY263" s="196"/>
      <c r="BZ263" s="196"/>
      <c r="CA263" s="196"/>
      <c r="CB263" s="196"/>
      <c r="CC263" s="196"/>
      <c r="CD263" s="196"/>
      <c r="CE263" s="196"/>
      <c r="CF263" s="196"/>
      <c r="CG263" s="196"/>
      <c r="CH263" s="196"/>
      <c r="CI263" s="196"/>
      <c r="CJ263" s="196"/>
      <c r="CK263" s="196"/>
      <c r="CL263" s="196"/>
      <c r="CM263" s="196"/>
      <c r="CN263" s="196"/>
      <c r="CO263" s="196"/>
      <c r="CP263" s="196"/>
      <c r="CQ263" s="196"/>
      <c r="CR263" s="196"/>
      <c r="CS263" s="196"/>
      <c r="CT263" s="196"/>
      <c r="CU263" s="196"/>
      <c r="CV263" s="196"/>
      <c r="CW263" s="196"/>
      <c r="CX263" s="196"/>
      <c r="CY263" s="196"/>
      <c r="CZ263" s="196"/>
      <c r="DA263" s="196"/>
      <c r="DB263" s="196"/>
      <c r="DC263" s="196"/>
      <c r="DD263" s="196"/>
      <c r="DE263" s="196"/>
      <c r="DF263" s="196"/>
      <c r="DG263" s="196"/>
      <c r="DH263" s="196"/>
      <c r="DI263" s="196"/>
      <c r="DJ263" s="196"/>
      <c r="DK263" s="196"/>
      <c r="DL263" s="196"/>
      <c r="DM263" s="196"/>
      <c r="DN263" s="196"/>
      <c r="DO263" s="196"/>
      <c r="DP263" s="196"/>
      <c r="DQ263" s="196"/>
      <c r="DR263" s="196"/>
      <c r="DS263" s="196"/>
      <c r="DT263" s="196"/>
      <c r="EA263" s="196"/>
      <c r="EB263" s="196"/>
      <c r="EC263" s="196"/>
      <c r="ED263" s="196"/>
      <c r="EE263" s="196"/>
      <c r="EF263" s="196"/>
      <c r="EG263" s="196"/>
      <c r="EH263" s="196"/>
      <c r="EI263" s="196"/>
    </row>
    <row r="264" spans="76:139" x14ac:dyDescent="0.25">
      <c r="BX264" s="196"/>
      <c r="BY264" s="196"/>
      <c r="BZ264" s="196"/>
      <c r="CA264" s="196"/>
      <c r="CB264" s="196"/>
      <c r="CC264" s="196"/>
      <c r="CD264" s="196"/>
      <c r="CE264" s="196"/>
      <c r="CF264" s="196"/>
      <c r="CG264" s="196"/>
      <c r="CH264" s="196"/>
      <c r="CI264" s="196"/>
      <c r="CJ264" s="196"/>
      <c r="CK264" s="196"/>
      <c r="CL264" s="196"/>
      <c r="CM264" s="196"/>
      <c r="CN264" s="196"/>
      <c r="CO264" s="196"/>
      <c r="CP264" s="196"/>
      <c r="CQ264" s="196"/>
      <c r="CR264" s="196"/>
      <c r="CS264" s="196"/>
      <c r="CT264" s="196"/>
      <c r="CU264" s="196"/>
      <c r="CV264" s="196"/>
      <c r="CW264" s="196"/>
      <c r="CX264" s="196"/>
      <c r="CY264" s="196"/>
      <c r="CZ264" s="196"/>
      <c r="DA264" s="196"/>
      <c r="DB264" s="196"/>
      <c r="DC264" s="196"/>
      <c r="DD264" s="196"/>
      <c r="DE264" s="196"/>
      <c r="DF264" s="196"/>
      <c r="DG264" s="196"/>
      <c r="DH264" s="196"/>
      <c r="DI264" s="196"/>
      <c r="DJ264" s="196"/>
      <c r="DK264" s="196"/>
      <c r="DL264" s="196"/>
      <c r="DM264" s="196"/>
      <c r="DN264" s="196"/>
      <c r="DO264" s="196"/>
      <c r="DP264" s="196"/>
      <c r="DQ264" s="196"/>
      <c r="DR264" s="196"/>
      <c r="DS264" s="196"/>
      <c r="DT264" s="196"/>
      <c r="EA264" s="196"/>
      <c r="EB264" s="196"/>
      <c r="EC264" s="196"/>
      <c r="ED264" s="10"/>
      <c r="EE264" s="196"/>
      <c r="EF264" s="196"/>
      <c r="EG264" s="196"/>
      <c r="EH264" s="196"/>
      <c r="EI264" s="196"/>
    </row>
    <row r="265" spans="76:139" x14ac:dyDescent="0.25">
      <c r="BX265" s="196"/>
      <c r="BY265" s="196"/>
      <c r="BZ265" s="196"/>
      <c r="CA265" s="196"/>
      <c r="CB265" s="196"/>
      <c r="CC265" s="196"/>
      <c r="CD265" s="196"/>
      <c r="CE265" s="196"/>
      <c r="CF265" s="196"/>
      <c r="CG265" s="196"/>
      <c r="CH265" s="196"/>
      <c r="CI265" s="196"/>
      <c r="CJ265" s="196"/>
      <c r="CK265" s="196"/>
      <c r="CL265" s="196"/>
      <c r="CM265" s="196"/>
      <c r="CN265" s="196"/>
      <c r="CO265" s="196"/>
      <c r="CP265" s="196"/>
      <c r="CQ265" s="196"/>
      <c r="CR265" s="196"/>
      <c r="CS265" s="196"/>
      <c r="CT265" s="196"/>
      <c r="CU265" s="196"/>
      <c r="CV265" s="196"/>
      <c r="CW265" s="196"/>
      <c r="CX265" s="196"/>
      <c r="CY265" s="196"/>
      <c r="CZ265" s="196"/>
      <c r="DA265" s="196"/>
      <c r="DB265" s="196"/>
      <c r="DC265" s="196"/>
      <c r="DD265" s="196"/>
      <c r="DE265" s="196"/>
      <c r="DF265" s="196"/>
      <c r="DG265" s="196"/>
      <c r="DH265" s="196"/>
      <c r="DI265" s="196"/>
      <c r="DJ265" s="196"/>
      <c r="DK265" s="196"/>
      <c r="DL265" s="196"/>
      <c r="DM265" s="196"/>
      <c r="DN265" s="196"/>
      <c r="DO265" s="196"/>
      <c r="DP265" s="196"/>
      <c r="DQ265" s="196"/>
      <c r="DR265" s="196"/>
      <c r="DS265" s="196"/>
      <c r="DT265" s="196"/>
      <c r="EA265" s="196"/>
      <c r="EB265" s="196"/>
      <c r="EC265" s="196"/>
      <c r="ED265" s="196"/>
      <c r="EE265" s="196"/>
      <c r="EF265" s="196"/>
      <c r="EG265" s="196"/>
      <c r="EH265" s="196"/>
      <c r="EI265" s="196"/>
    </row>
    <row r="266" spans="76:139" ht="26.25" x14ac:dyDescent="0.4">
      <c r="BX266" s="196"/>
      <c r="BY266" s="196"/>
      <c r="BZ266" s="196"/>
      <c r="CA266" s="196"/>
      <c r="CB266" s="196"/>
      <c r="CC266" s="196"/>
      <c r="CD266" s="196"/>
      <c r="CE266" s="196"/>
      <c r="CF266" s="196"/>
      <c r="CG266" s="196"/>
      <c r="CH266" s="196"/>
      <c r="CI266" s="196"/>
      <c r="CJ266" s="196"/>
      <c r="CK266" s="196"/>
      <c r="CL266" s="196"/>
      <c r="CM266" s="196"/>
      <c r="CN266" s="196"/>
      <c r="CO266" s="196"/>
      <c r="CP266" s="196"/>
      <c r="CQ266" s="196"/>
      <c r="CR266" s="196"/>
      <c r="CS266" s="196"/>
      <c r="CT266" s="196"/>
      <c r="CU266" s="196"/>
      <c r="CV266" s="196"/>
      <c r="CW266" s="196"/>
      <c r="CX266" s="196"/>
      <c r="CY266" s="196"/>
      <c r="CZ266" s="196"/>
      <c r="DA266" s="196"/>
      <c r="DB266" s="196"/>
      <c r="DC266" s="196"/>
      <c r="DD266" s="196"/>
      <c r="DE266" s="196"/>
      <c r="DF266" s="196"/>
      <c r="DG266" s="196"/>
      <c r="DH266" s="196"/>
      <c r="DI266" s="196"/>
      <c r="DJ266" s="196"/>
      <c r="DK266" s="196"/>
      <c r="DL266" s="196"/>
      <c r="DM266" s="196"/>
      <c r="DN266" s="196"/>
      <c r="DO266" s="196"/>
      <c r="DP266" s="196"/>
      <c r="DQ266" s="196"/>
      <c r="DR266" s="196"/>
      <c r="DS266" s="196"/>
      <c r="DT266" s="196"/>
      <c r="EA266" s="196"/>
      <c r="EB266" s="196"/>
      <c r="EC266" s="196"/>
      <c r="ED266" s="225"/>
      <c r="EE266" s="196"/>
      <c r="EF266" s="196"/>
      <c r="EG266" s="196"/>
      <c r="EH266" s="196"/>
      <c r="EI266" s="196"/>
    </row>
    <row r="267" spans="76:139" x14ac:dyDescent="0.25">
      <c r="BX267" s="196"/>
      <c r="BY267" s="196"/>
      <c r="BZ267" s="196"/>
      <c r="CA267" s="196"/>
      <c r="CB267" s="196"/>
      <c r="CC267" s="196"/>
      <c r="CD267" s="196"/>
      <c r="CE267" s="196"/>
      <c r="CF267" s="196"/>
      <c r="CG267" s="196"/>
      <c r="CH267" s="196"/>
      <c r="CI267" s="196"/>
      <c r="CJ267" s="196"/>
      <c r="CK267" s="196"/>
      <c r="CL267" s="196"/>
      <c r="CM267" s="196"/>
      <c r="CN267" s="196"/>
      <c r="CO267" s="196"/>
      <c r="CP267" s="196"/>
      <c r="CQ267" s="196"/>
      <c r="CR267" s="196"/>
      <c r="CS267" s="196"/>
      <c r="CT267" s="196"/>
      <c r="CU267" s="196"/>
      <c r="CV267" s="196"/>
      <c r="CW267" s="196"/>
      <c r="CX267" s="196"/>
      <c r="CY267" s="196"/>
      <c r="CZ267" s="196"/>
      <c r="DA267" s="196"/>
      <c r="DB267" s="196"/>
      <c r="DC267" s="196"/>
      <c r="DD267" s="196"/>
      <c r="DE267" s="196"/>
      <c r="DF267" s="196"/>
      <c r="DG267" s="196"/>
      <c r="DH267" s="196"/>
      <c r="DI267" s="196"/>
      <c r="DJ267" s="196"/>
      <c r="DK267" s="196"/>
      <c r="DL267" s="196"/>
      <c r="DM267" s="196"/>
      <c r="DN267" s="196"/>
      <c r="DO267" s="196"/>
      <c r="DP267" s="196"/>
      <c r="DQ267" s="196"/>
      <c r="DR267" s="196"/>
      <c r="DS267" s="196"/>
      <c r="DT267" s="196"/>
      <c r="EA267" s="196"/>
      <c r="EB267" s="196"/>
      <c r="EC267" s="196"/>
      <c r="ED267" s="196"/>
      <c r="EE267" s="196"/>
      <c r="EF267" s="196"/>
      <c r="EG267" s="196"/>
      <c r="EH267" s="196"/>
      <c r="EI267" s="196"/>
    </row>
    <row r="268" spans="76:139" x14ac:dyDescent="0.25">
      <c r="BX268" s="196"/>
      <c r="BY268" s="196"/>
      <c r="BZ268" s="196"/>
      <c r="CA268" s="196"/>
      <c r="CB268" s="196"/>
      <c r="CC268" s="196"/>
      <c r="CD268" s="196"/>
      <c r="CE268" s="196"/>
      <c r="CF268" s="196"/>
      <c r="CG268" s="196"/>
      <c r="CH268" s="196"/>
      <c r="CI268" s="196"/>
      <c r="CJ268" s="196"/>
      <c r="CK268" s="196"/>
      <c r="CL268" s="196"/>
      <c r="CM268" s="196"/>
      <c r="CN268" s="196"/>
      <c r="CO268" s="196"/>
      <c r="CP268" s="196"/>
      <c r="CQ268" s="196"/>
      <c r="CR268" s="196"/>
      <c r="CS268" s="196"/>
      <c r="CT268" s="196"/>
      <c r="CU268" s="196"/>
      <c r="CV268" s="196"/>
      <c r="CW268" s="196"/>
      <c r="CX268" s="196"/>
      <c r="CY268" s="196"/>
      <c r="CZ268" s="196"/>
      <c r="DA268" s="196"/>
      <c r="DB268" s="196"/>
      <c r="DC268" s="196"/>
      <c r="DD268" s="196"/>
      <c r="DE268" s="196"/>
      <c r="DF268" s="196"/>
      <c r="DG268" s="196"/>
      <c r="DH268" s="196"/>
      <c r="DI268" s="196"/>
      <c r="DJ268" s="196"/>
      <c r="DK268" s="196"/>
      <c r="DL268" s="196"/>
      <c r="DM268" s="196"/>
      <c r="DN268" s="196"/>
      <c r="DO268" s="196"/>
      <c r="DP268" s="196"/>
      <c r="DQ268" s="196"/>
      <c r="DR268" s="196"/>
      <c r="DS268" s="196"/>
      <c r="DT268" s="196"/>
      <c r="EA268" s="196"/>
      <c r="EB268" s="196"/>
      <c r="EC268" s="196"/>
      <c r="ED268" s="196"/>
      <c r="EE268" s="196"/>
      <c r="EF268" s="196"/>
      <c r="EG268" s="175"/>
      <c r="EH268" s="196"/>
      <c r="EI268" s="196"/>
    </row>
    <row r="269" spans="76:139" ht="15.75" thickBot="1" x14ac:dyDescent="0.3">
      <c r="BX269" s="196"/>
      <c r="BY269" s="196"/>
      <c r="BZ269" s="196"/>
      <c r="CA269" s="196"/>
      <c r="CB269" s="196"/>
      <c r="CC269" s="196"/>
      <c r="CD269" s="196"/>
      <c r="CE269" s="196"/>
      <c r="CF269" s="196"/>
      <c r="CG269" s="196"/>
      <c r="CH269" s="196"/>
      <c r="CI269" s="196"/>
      <c r="CJ269" s="196"/>
      <c r="CK269" s="196"/>
      <c r="CL269" s="196"/>
      <c r="CM269" s="196"/>
      <c r="CN269" s="196"/>
      <c r="CO269" s="196"/>
      <c r="CP269" s="196"/>
      <c r="CQ269" s="196"/>
      <c r="CR269" s="196"/>
      <c r="CS269" s="196"/>
      <c r="CT269" s="196"/>
      <c r="CU269" s="196"/>
      <c r="CV269" s="196"/>
      <c r="CW269" s="196"/>
      <c r="CX269" s="196"/>
      <c r="CY269" s="196"/>
      <c r="CZ269" s="196"/>
      <c r="DA269" s="196"/>
      <c r="DB269" s="196"/>
      <c r="DC269" s="196"/>
      <c r="DD269" s="196"/>
      <c r="DE269" s="196"/>
      <c r="DF269" s="196"/>
      <c r="DG269" s="196"/>
      <c r="DH269" s="196"/>
      <c r="DI269" s="196"/>
      <c r="DJ269" s="196"/>
      <c r="DK269" s="196"/>
      <c r="DL269" s="196"/>
      <c r="DM269" s="196"/>
      <c r="DN269" s="196"/>
      <c r="DO269" s="196"/>
      <c r="DP269" s="196"/>
      <c r="DQ269" s="196"/>
      <c r="DR269" s="196"/>
      <c r="DS269" s="196"/>
      <c r="DT269" s="196"/>
      <c r="EA269" s="196"/>
      <c r="EB269" s="196"/>
      <c r="EC269" s="196"/>
      <c r="ED269" s="196"/>
      <c r="EE269" s="196"/>
      <c r="EF269" s="196"/>
      <c r="EG269" s="196"/>
      <c r="EH269" s="196" t="str">
        <f>IF(OR($A$3=0,$A$3="0",$EB$327=0),"0",IF($EB$327&gt;$A$3,$A$3,$EB$327))</f>
        <v>0</v>
      </c>
      <c r="EI269" s="196"/>
    </row>
    <row r="270" spans="76:139" ht="15.75" thickBot="1" x14ac:dyDescent="0.3">
      <c r="BX270" s="196"/>
      <c r="BY270" s="196"/>
      <c r="BZ270" s="196"/>
      <c r="CA270" s="196"/>
      <c r="CB270" s="196"/>
      <c r="CC270" s="196"/>
      <c r="CD270" s="196"/>
      <c r="CE270" s="196"/>
      <c r="CF270" s="196"/>
      <c r="CG270" s="196"/>
      <c r="CH270" s="196"/>
      <c r="CI270" s="196"/>
      <c r="CJ270" s="196"/>
      <c r="CK270" s="196"/>
      <c r="CL270" s="196"/>
      <c r="CM270" s="196"/>
      <c r="CN270" s="196"/>
      <c r="CO270" s="196"/>
      <c r="CP270" s="196"/>
      <c r="CQ270" s="196"/>
      <c r="CR270" s="196"/>
      <c r="CS270" s="196"/>
      <c r="CT270" s="196"/>
      <c r="CU270" s="196"/>
      <c r="CV270" s="196"/>
      <c r="CW270" s="196"/>
      <c r="CX270" s="196"/>
      <c r="CY270" s="196"/>
      <c r="CZ270" s="196"/>
      <c r="DA270" s="196"/>
      <c r="DB270" s="196"/>
      <c r="DC270" s="196"/>
      <c r="DD270" s="196"/>
      <c r="DE270" s="196"/>
      <c r="DF270" s="196"/>
      <c r="DG270" s="196"/>
      <c r="DH270" s="196"/>
      <c r="DI270" s="196"/>
      <c r="DJ270" s="196"/>
      <c r="DK270" s="196"/>
      <c r="DL270" s="196"/>
      <c r="DM270" s="196"/>
      <c r="DN270" s="196"/>
      <c r="DO270" s="196"/>
      <c r="DP270" s="196"/>
      <c r="DQ270" s="196"/>
      <c r="DR270" s="196"/>
      <c r="DS270" s="196"/>
      <c r="DT270" s="196"/>
      <c r="EA270" s="497" t="s">
        <v>414</v>
      </c>
      <c r="EB270" s="498"/>
      <c r="EC270" s="498"/>
      <c r="ED270" s="498"/>
      <c r="EE270" s="498"/>
      <c r="EF270" s="498"/>
      <c r="EG270" s="499"/>
      <c r="EH270" s="11" t="str">
        <f>IF(OR($A$3=0,$A$3="0",$EB$287=0),"0",IF($EB$287="","0",IF($EB$287&gt;$A$3,$A$3,$EB$287)))</f>
        <v>0</v>
      </c>
      <c r="EI270" s="196"/>
    </row>
    <row r="271" spans="76:139" ht="16.5" thickTop="1" thickBot="1" x14ac:dyDescent="0.3">
      <c r="BX271" s="196"/>
      <c r="BY271" s="196"/>
      <c r="BZ271" s="196"/>
      <c r="CA271" s="196"/>
      <c r="CB271" s="196"/>
      <c r="CC271" s="196"/>
      <c r="CD271" s="196"/>
      <c r="CE271" s="196"/>
      <c r="CF271" s="196"/>
      <c r="CG271" s="196"/>
      <c r="CH271" s="196"/>
      <c r="CI271" s="196"/>
      <c r="CJ271" s="196"/>
      <c r="CK271" s="196"/>
      <c r="CL271" s="196"/>
      <c r="CM271" s="196"/>
      <c r="CN271" s="196"/>
      <c r="CO271" s="196"/>
      <c r="CP271" s="196"/>
      <c r="CQ271" s="196"/>
      <c r="CR271" s="196"/>
      <c r="CS271" s="196"/>
      <c r="CT271" s="196"/>
      <c r="CU271" s="196"/>
      <c r="CV271" s="196"/>
      <c r="CW271" s="196"/>
      <c r="CX271" s="196"/>
      <c r="CY271" s="196"/>
      <c r="CZ271" s="196"/>
      <c r="DA271" s="196"/>
      <c r="DB271" s="196"/>
      <c r="DC271" s="196"/>
      <c r="DD271" s="196"/>
      <c r="DE271" s="196"/>
      <c r="DF271" s="196"/>
      <c r="DG271" s="196"/>
      <c r="DH271" s="196"/>
      <c r="DI271" s="196"/>
      <c r="DJ271" s="196"/>
      <c r="DK271" s="196"/>
      <c r="DL271" s="196"/>
      <c r="DM271" s="196"/>
      <c r="DN271" s="196"/>
      <c r="DO271" s="196"/>
      <c r="DP271" s="196"/>
      <c r="DQ271" s="196"/>
      <c r="DR271" s="196"/>
      <c r="DS271" s="196"/>
      <c r="DT271" s="196"/>
      <c r="EA271" s="25" t="s">
        <v>370</v>
      </c>
      <c r="EB271" s="18">
        <v>0</v>
      </c>
      <c r="EC271" s="26"/>
      <c r="ED271" s="26"/>
      <c r="EE271" s="26"/>
      <c r="EF271" s="26"/>
      <c r="EG271" s="26"/>
      <c r="EH271" s="36"/>
      <c r="EI271" s="196"/>
    </row>
    <row r="272" spans="76:139" ht="16.5" thickTop="1" thickBot="1" x14ac:dyDescent="0.3">
      <c r="BX272" s="196"/>
      <c r="BY272" s="196"/>
      <c r="BZ272" s="196"/>
      <c r="CA272" s="196"/>
      <c r="CB272" s="196"/>
      <c r="CC272" s="196"/>
      <c r="CD272" s="196"/>
      <c r="CE272" s="196"/>
      <c r="CF272" s="196"/>
      <c r="CG272" s="196"/>
      <c r="CH272" s="196"/>
      <c r="CI272" s="196"/>
      <c r="CJ272" s="196"/>
      <c r="CK272" s="196"/>
      <c r="CL272" s="196"/>
      <c r="CM272" s="196"/>
      <c r="CN272" s="196"/>
      <c r="CO272" s="196"/>
      <c r="CP272" s="196"/>
      <c r="CQ272" s="196"/>
      <c r="CR272" s="196"/>
      <c r="CS272" s="196"/>
      <c r="CT272" s="196"/>
      <c r="CU272" s="196"/>
      <c r="CV272" s="196"/>
      <c r="CW272" s="196"/>
      <c r="CX272" s="196"/>
      <c r="CY272" s="196"/>
      <c r="CZ272" s="196"/>
      <c r="DA272" s="196"/>
      <c r="DB272" s="196"/>
      <c r="DC272" s="196"/>
      <c r="DD272" s="196"/>
      <c r="DE272" s="196"/>
      <c r="DF272" s="196"/>
      <c r="DG272" s="196"/>
      <c r="DH272" s="196"/>
      <c r="DI272" s="196"/>
      <c r="DJ272" s="196"/>
      <c r="DK272" s="196"/>
      <c r="DL272" s="196"/>
      <c r="DM272" s="196"/>
      <c r="DN272" s="196"/>
      <c r="DO272" s="196"/>
      <c r="DP272" s="196"/>
      <c r="DQ272" s="196"/>
      <c r="DR272" s="196"/>
      <c r="DS272" s="196"/>
      <c r="DT272" s="196"/>
      <c r="EA272" s="25" t="s">
        <v>372</v>
      </c>
      <c r="EB272" s="18">
        <v>0</v>
      </c>
      <c r="EC272" s="26"/>
      <c r="ED272" s="26"/>
      <c r="EE272" s="26"/>
      <c r="EF272" s="26"/>
      <c r="EG272" s="26"/>
      <c r="EH272" s="36"/>
      <c r="EI272" s="196"/>
    </row>
    <row r="273" spans="76:140" ht="16.5" thickTop="1" thickBot="1" x14ac:dyDescent="0.3">
      <c r="BX273" s="196"/>
      <c r="BY273" s="196"/>
      <c r="BZ273" s="196"/>
      <c r="CA273" s="196"/>
      <c r="CB273" s="196"/>
      <c r="CC273" s="196"/>
      <c r="CD273" s="196"/>
      <c r="CE273" s="196"/>
      <c r="CF273" s="196"/>
      <c r="CG273" s="196"/>
      <c r="CH273" s="196"/>
      <c r="CI273" s="196"/>
      <c r="CJ273" s="196"/>
      <c r="CK273" s="196"/>
      <c r="CL273" s="196"/>
      <c r="CM273" s="196"/>
      <c r="CN273" s="196"/>
      <c r="CO273" s="196"/>
      <c r="CP273" s="196"/>
      <c r="CQ273" s="196"/>
      <c r="CR273" s="196"/>
      <c r="CS273" s="196"/>
      <c r="CT273" s="196"/>
      <c r="CU273" s="196"/>
      <c r="CV273" s="196"/>
      <c r="CW273" s="196"/>
      <c r="CX273" s="196"/>
      <c r="CY273" s="196"/>
      <c r="CZ273" s="196"/>
      <c r="DA273" s="196"/>
      <c r="DB273" s="196"/>
      <c r="DC273" s="196"/>
      <c r="DD273" s="196"/>
      <c r="DE273" s="196"/>
      <c r="DF273" s="196"/>
      <c r="DG273" s="196"/>
      <c r="DH273" s="196"/>
      <c r="DI273" s="196"/>
      <c r="DJ273" s="196"/>
      <c r="DK273" s="196"/>
      <c r="DL273" s="196"/>
      <c r="DM273" s="196"/>
      <c r="DN273" s="196"/>
      <c r="DO273" s="196"/>
      <c r="DP273" s="196"/>
      <c r="DQ273" s="196"/>
      <c r="DR273" s="196"/>
      <c r="DS273" s="196"/>
      <c r="DT273" s="196"/>
      <c r="EA273" s="37"/>
      <c r="EB273" s="26"/>
      <c r="EC273" s="26"/>
      <c r="ED273" s="26"/>
      <c r="EE273" s="26"/>
      <c r="EF273" s="26"/>
      <c r="EG273" s="26"/>
      <c r="EH273" s="36"/>
      <c r="EI273" s="196"/>
    </row>
    <row r="274" spans="76:140" ht="16.5" thickTop="1" thickBot="1" x14ac:dyDescent="0.3">
      <c r="BX274" s="196"/>
      <c r="BY274" s="196"/>
      <c r="BZ274" s="196"/>
      <c r="CA274" s="196"/>
      <c r="CB274" s="196"/>
      <c r="CC274" s="196"/>
      <c r="CD274" s="196"/>
      <c r="CE274" s="196"/>
      <c r="CF274" s="196"/>
      <c r="CG274" s="196"/>
      <c r="CH274" s="196"/>
      <c r="CI274" s="196"/>
      <c r="CJ274" s="196"/>
      <c r="CK274" s="196"/>
      <c r="CL274" s="196"/>
      <c r="CM274" s="196"/>
      <c r="CN274" s="196"/>
      <c r="CO274" s="196"/>
      <c r="CP274" s="196"/>
      <c r="CQ274" s="196"/>
      <c r="CR274" s="196"/>
      <c r="CS274" s="196"/>
      <c r="CT274" s="196"/>
      <c r="CU274" s="196"/>
      <c r="CV274" s="196"/>
      <c r="CW274" s="196"/>
      <c r="CX274" s="196"/>
      <c r="CY274" s="196"/>
      <c r="CZ274" s="196"/>
      <c r="DA274" s="196"/>
      <c r="DB274" s="196"/>
      <c r="DC274" s="196"/>
      <c r="DD274" s="196"/>
      <c r="DE274" s="196"/>
      <c r="DF274" s="196"/>
      <c r="DG274" s="196"/>
      <c r="DH274" s="196"/>
      <c r="DI274" s="196"/>
      <c r="DJ274" s="196"/>
      <c r="DK274" s="196"/>
      <c r="DL274" s="196"/>
      <c r="DM274" s="196"/>
      <c r="DN274" s="196"/>
      <c r="DO274" s="196"/>
      <c r="DP274" s="196"/>
      <c r="DQ274" s="196"/>
      <c r="DR274" s="196"/>
      <c r="DS274" s="196"/>
      <c r="DT274" s="196"/>
      <c r="EA274" s="25" t="s">
        <v>304</v>
      </c>
      <c r="EB274" s="62">
        <f>IF(AND(($EB$272*0.06)&gt;=0,($EB$272*0.06)&lt;25000),($EB$272*0.06),IF(AND(($EB$272*0.06)&gt;=25000,($EB$272*0.06)&lt;=50000),($EB$272*0.06),IF(AND(($EB$272*0.06)&gt;50000,($EB$272*0.06)&lt;=50000000000000000000),50000,"")))</f>
        <v>0</v>
      </c>
      <c r="EC274" s="26"/>
      <c r="ED274" s="26"/>
      <c r="EE274" s="26"/>
      <c r="EF274" s="26"/>
      <c r="EG274" s="26"/>
      <c r="EH274" s="102"/>
      <c r="EI274" s="196"/>
    </row>
    <row r="275" spans="76:140" ht="16.5" thickTop="1" thickBot="1" x14ac:dyDescent="0.3">
      <c r="BX275" s="196"/>
      <c r="BY275" s="196"/>
      <c r="BZ275" s="196"/>
      <c r="CA275" s="196"/>
      <c r="CB275" s="196"/>
      <c r="CC275" s="196"/>
      <c r="CD275" s="196"/>
      <c r="CE275" s="196"/>
      <c r="CF275" s="196"/>
      <c r="CG275" s="196"/>
      <c r="CH275" s="196"/>
      <c r="CI275" s="196"/>
      <c r="CJ275" s="196"/>
      <c r="CK275" s="196"/>
      <c r="CL275" s="196"/>
      <c r="CM275" s="196"/>
      <c r="CN275" s="196"/>
      <c r="CO275" s="196"/>
      <c r="CP275" s="196"/>
      <c r="CQ275" s="196"/>
      <c r="CR275" s="196"/>
      <c r="CS275" s="196"/>
      <c r="CT275" s="196"/>
      <c r="CU275" s="196"/>
      <c r="CV275" s="196"/>
      <c r="CW275" s="196"/>
      <c r="CX275" s="196"/>
      <c r="CY275" s="196"/>
      <c r="CZ275" s="196"/>
      <c r="DA275" s="196"/>
      <c r="DB275" s="196"/>
      <c r="DC275" s="196"/>
      <c r="DD275" s="196"/>
      <c r="DE275" s="196"/>
      <c r="DF275" s="196"/>
      <c r="DG275" s="196"/>
      <c r="DH275" s="196"/>
      <c r="DI275" s="196"/>
      <c r="DJ275" s="196"/>
      <c r="DK275" s="196"/>
      <c r="DL275" s="196"/>
      <c r="DM275" s="196"/>
      <c r="DN275" s="196"/>
      <c r="DO275" s="196"/>
      <c r="DP275" s="196"/>
      <c r="DQ275" s="196"/>
      <c r="DR275" s="196"/>
      <c r="DS275" s="196"/>
      <c r="DT275" s="196"/>
      <c r="EA275" s="25" t="s">
        <v>305</v>
      </c>
      <c r="EB275" s="62">
        <f>IF(AND(($EB$272*0.06)&gt;=0,($EB$272*0.06)&lt;56000),($EB$272*0.06),IF(AND(($EB$272*0.06)&gt;=56000,($EB$272*0.06)&lt;=80000),($EB$272*0.06),IF(AND(($EB$272*0.06)&gt;80000,($EB$272*0.06)&lt;=80000000000000000000),80000,"")))</f>
        <v>0</v>
      </c>
      <c r="EC275" s="26"/>
      <c r="ED275" s="26"/>
      <c r="EE275" s="26"/>
      <c r="EF275" s="26"/>
      <c r="EG275" s="26"/>
      <c r="EH275" s="36"/>
    </row>
    <row r="276" spans="76:140" ht="20.25" thickTop="1" thickBot="1" x14ac:dyDescent="0.35">
      <c r="BX276" s="196"/>
      <c r="BY276" s="196"/>
      <c r="BZ276" s="196"/>
      <c r="CA276" s="196"/>
      <c r="CB276" s="196"/>
      <c r="CC276" s="196"/>
      <c r="CD276" s="196"/>
      <c r="CE276" s="196"/>
      <c r="CF276" s="196"/>
      <c r="CG276" s="196"/>
      <c r="CH276" s="196"/>
      <c r="CI276" s="196"/>
      <c r="CJ276" s="196"/>
      <c r="CK276" s="196"/>
      <c r="CL276" s="196"/>
      <c r="CM276" s="196"/>
      <c r="CN276" s="196"/>
      <c r="CO276" s="196"/>
      <c r="CP276" s="196"/>
      <c r="CQ276" s="196"/>
      <c r="CR276" s="196"/>
      <c r="CS276" s="196"/>
      <c r="CT276" s="196"/>
      <c r="CU276" s="196"/>
      <c r="CV276" s="196"/>
      <c r="CW276" s="196"/>
      <c r="CX276" s="196"/>
      <c r="CY276" s="196"/>
      <c r="CZ276" s="196"/>
      <c r="DA276" s="196"/>
      <c r="DB276" s="196"/>
      <c r="DC276" s="196"/>
      <c r="DD276" s="196"/>
      <c r="DE276" s="196"/>
      <c r="DF276" s="196"/>
      <c r="DG276" s="196"/>
      <c r="DH276" s="196"/>
      <c r="DI276" s="196"/>
      <c r="DJ276" s="196"/>
      <c r="DK276" s="196"/>
      <c r="DL276" s="196"/>
      <c r="DM276" s="196"/>
      <c r="DN276" s="196"/>
      <c r="DO276" s="196"/>
      <c r="DP276" s="196"/>
      <c r="DQ276" s="196"/>
      <c r="DR276" s="196"/>
      <c r="DS276" s="196"/>
      <c r="DT276" s="196"/>
      <c r="EA276" s="37"/>
      <c r="EB276" s="26"/>
      <c r="EC276" s="26"/>
      <c r="ED276" s="26"/>
      <c r="EE276" s="26"/>
      <c r="EF276" s="26"/>
      <c r="EG276" s="26"/>
      <c r="EH276" s="36"/>
      <c r="EJ276" s="226"/>
    </row>
    <row r="277" spans="76:140" ht="16.5" thickTop="1" thickBot="1" x14ac:dyDescent="0.3">
      <c r="BX277" s="196"/>
      <c r="BY277" s="196"/>
      <c r="BZ277" s="196"/>
      <c r="CA277" s="196"/>
      <c r="CB277" s="196"/>
      <c r="CC277" s="196"/>
      <c r="CD277" s="196"/>
      <c r="CE277" s="196"/>
      <c r="CF277" s="196"/>
      <c r="CG277" s="196"/>
      <c r="CH277" s="196"/>
      <c r="CI277" s="196"/>
      <c r="CJ277" s="196"/>
      <c r="CK277" s="196"/>
      <c r="CL277" s="196"/>
      <c r="CM277" s="196"/>
      <c r="CN277" s="196"/>
      <c r="CO277" s="196"/>
      <c r="CP277" s="196"/>
      <c r="CQ277" s="196"/>
      <c r="CR277" s="196"/>
      <c r="CS277" s="196"/>
      <c r="CT277" s="196"/>
      <c r="CU277" s="196"/>
      <c r="CV277" s="196"/>
      <c r="CW277" s="196"/>
      <c r="CX277" s="196"/>
      <c r="CY277" s="196"/>
      <c r="CZ277" s="196"/>
      <c r="DA277" s="196"/>
      <c r="DB277" s="196"/>
      <c r="DC277" s="196"/>
      <c r="DD277" s="196"/>
      <c r="DE277" s="196"/>
      <c r="DF277" s="196"/>
      <c r="DG277" s="196"/>
      <c r="DH277" s="196"/>
      <c r="DI277" s="196"/>
      <c r="DJ277" s="196"/>
      <c r="DK277" s="196"/>
      <c r="DL277" s="196"/>
      <c r="DM277" s="196"/>
      <c r="DN277" s="196"/>
      <c r="DO277" s="196"/>
      <c r="DP277" s="196"/>
      <c r="DQ277" s="196"/>
      <c r="DR277" s="196"/>
      <c r="DS277" s="196"/>
      <c r="DT277" s="196"/>
      <c r="EA277" s="25" t="s">
        <v>304</v>
      </c>
      <c r="EB277" s="26" t="b">
        <f>IF($EB$271=$EA$12,IF($EH$270&lt;25000,"No cumple con Ingreso Mínimo",$EA$12))</f>
        <v>0</v>
      </c>
      <c r="EC277" s="26"/>
      <c r="ED277" s="26"/>
      <c r="EE277" s="26"/>
      <c r="EF277" s="26"/>
      <c r="EG277" s="26"/>
      <c r="EH277" s="36"/>
    </row>
    <row r="278" spans="76:140" ht="16.5" thickTop="1" thickBot="1" x14ac:dyDescent="0.3">
      <c r="BX278" s="196"/>
      <c r="BY278" s="196"/>
      <c r="BZ278" s="196"/>
      <c r="CA278" s="196"/>
      <c r="CB278" s="196"/>
      <c r="CC278" s="196"/>
      <c r="CD278" s="196"/>
      <c r="CE278" s="196"/>
      <c r="CF278" s="196"/>
      <c r="CG278" s="196"/>
      <c r="CH278" s="196"/>
      <c r="CI278" s="196"/>
      <c r="CJ278" s="196"/>
      <c r="CK278" s="196"/>
      <c r="CL278" s="196"/>
      <c r="CM278" s="196"/>
      <c r="CN278" s="196"/>
      <c r="CO278" s="196"/>
      <c r="CP278" s="196"/>
      <c r="CQ278" s="196"/>
      <c r="CR278" s="196"/>
      <c r="CS278" s="196"/>
      <c r="CT278" s="196"/>
      <c r="CU278" s="196"/>
      <c r="CV278" s="196"/>
      <c r="CW278" s="196"/>
      <c r="CX278" s="196"/>
      <c r="CY278" s="196"/>
      <c r="CZ278" s="196"/>
      <c r="DA278" s="196"/>
      <c r="DB278" s="196"/>
      <c r="DC278" s="196"/>
      <c r="DD278" s="196"/>
      <c r="DE278" s="196"/>
      <c r="DF278" s="196"/>
      <c r="DG278" s="196"/>
      <c r="DH278" s="196"/>
      <c r="DI278" s="196"/>
      <c r="DJ278" s="196"/>
      <c r="DK278" s="196"/>
      <c r="DL278" s="196"/>
      <c r="DM278" s="196"/>
      <c r="DN278" s="196"/>
      <c r="DO278" s="196"/>
      <c r="DP278" s="196"/>
      <c r="DQ278" s="196"/>
      <c r="DR278" s="196"/>
      <c r="DS278" s="196"/>
      <c r="DT278" s="196"/>
      <c r="EA278" s="25" t="s">
        <v>305</v>
      </c>
      <c r="EB278" s="26" t="b">
        <f>IF($EB$271=$EA$13,IF($EH$270&lt;=56000,"No cumple con Ingreso Mínimo",$EA$13))</f>
        <v>0</v>
      </c>
      <c r="EC278" s="26"/>
      <c r="ED278" s="26"/>
      <c r="EE278" s="26"/>
      <c r="EF278" s="26"/>
      <c r="EG278" s="26"/>
      <c r="EH278" s="36"/>
    </row>
    <row r="279" spans="76:140" ht="16.5" thickTop="1" thickBot="1" x14ac:dyDescent="0.3">
      <c r="BX279" s="196"/>
      <c r="BY279" s="196"/>
      <c r="BZ279" s="196"/>
      <c r="CA279" s="196"/>
      <c r="CB279" s="196"/>
      <c r="CC279" s="196"/>
      <c r="CD279" s="196"/>
      <c r="CE279" s="196"/>
      <c r="CF279" s="196"/>
      <c r="CG279" s="196"/>
      <c r="CH279" s="196"/>
      <c r="CI279" s="196"/>
      <c r="CJ279" s="196"/>
      <c r="CK279" s="196"/>
      <c r="CL279" s="196"/>
      <c r="CM279" s="196"/>
      <c r="CN279" s="196"/>
      <c r="CO279" s="196"/>
      <c r="CP279" s="196"/>
      <c r="CQ279" s="196"/>
      <c r="CR279" s="196"/>
      <c r="CS279" s="196"/>
      <c r="CT279" s="196"/>
      <c r="CU279" s="196"/>
      <c r="CV279" s="196"/>
      <c r="CW279" s="196"/>
      <c r="CX279" s="196"/>
      <c r="CY279" s="196"/>
      <c r="CZ279" s="196"/>
      <c r="DA279" s="196"/>
      <c r="DB279" s="196"/>
      <c r="DC279" s="196"/>
      <c r="DD279" s="196"/>
      <c r="DE279" s="196"/>
      <c r="DF279" s="196"/>
      <c r="DG279" s="196"/>
      <c r="DH279" s="196"/>
      <c r="DI279" s="196"/>
      <c r="DJ279" s="196"/>
      <c r="DK279" s="196"/>
      <c r="DL279" s="196"/>
      <c r="DM279" s="196"/>
      <c r="DN279" s="196"/>
      <c r="DO279" s="196"/>
      <c r="DP279" s="196"/>
      <c r="DQ279" s="196"/>
      <c r="DR279" s="196"/>
      <c r="DS279" s="196"/>
      <c r="DT279" s="196"/>
      <c r="EA279" s="37"/>
      <c r="EB279" s="26"/>
      <c r="EC279" s="26"/>
      <c r="ED279" s="26"/>
      <c r="EE279" s="26"/>
      <c r="EF279" s="26"/>
      <c r="EG279" s="26"/>
      <c r="EH279" s="36"/>
    </row>
    <row r="280" spans="76:140" ht="16.5" thickTop="1" thickBot="1" x14ac:dyDescent="0.3">
      <c r="BX280" s="196"/>
      <c r="BY280" s="196"/>
      <c r="BZ280" s="196"/>
      <c r="CA280" s="196"/>
      <c r="CB280" s="196"/>
      <c r="CC280" s="196"/>
      <c r="CD280" s="196"/>
      <c r="CE280" s="196"/>
      <c r="CF280" s="196"/>
      <c r="CG280" s="196"/>
      <c r="CH280" s="196"/>
      <c r="CI280" s="196"/>
      <c r="CJ280" s="196"/>
      <c r="CK280" s="196"/>
      <c r="CL280" s="196"/>
      <c r="CM280" s="196"/>
      <c r="CN280" s="196"/>
      <c r="CO280" s="196"/>
      <c r="CP280" s="196"/>
      <c r="CQ280" s="196"/>
      <c r="CR280" s="196"/>
      <c r="CS280" s="196"/>
      <c r="CT280" s="196"/>
      <c r="CU280" s="196"/>
      <c r="CV280" s="196"/>
      <c r="CW280" s="196"/>
      <c r="CX280" s="196"/>
      <c r="CY280" s="196"/>
      <c r="CZ280" s="196"/>
      <c r="DA280" s="196"/>
      <c r="DB280" s="196"/>
      <c r="DC280" s="196"/>
      <c r="DD280" s="196"/>
      <c r="DE280" s="196"/>
      <c r="DF280" s="196"/>
      <c r="DG280" s="196"/>
      <c r="DH280" s="196"/>
      <c r="DI280" s="196"/>
      <c r="DJ280" s="196"/>
      <c r="DK280" s="196"/>
      <c r="DL280" s="196"/>
      <c r="DM280" s="196"/>
      <c r="DN280" s="196"/>
      <c r="DO280" s="196"/>
      <c r="DP280" s="196"/>
      <c r="DQ280" s="196"/>
      <c r="DR280" s="196"/>
      <c r="DS280" s="196"/>
      <c r="DT280" s="196"/>
      <c r="EA280" s="228">
        <v>416666.67</v>
      </c>
      <c r="EB280" s="228">
        <f>EA280*0.06</f>
        <v>25000.000199999999</v>
      </c>
      <c r="EC280" s="26"/>
      <c r="ED280" s="26"/>
      <c r="EE280" s="26"/>
      <c r="EF280" s="26"/>
      <c r="EG280" s="26"/>
      <c r="EH280" s="36"/>
    </row>
    <row r="281" spans="76:140" ht="16.5" thickTop="1" thickBot="1" x14ac:dyDescent="0.3">
      <c r="BX281" s="196"/>
      <c r="BY281" s="196"/>
      <c r="BZ281" s="196"/>
      <c r="CA281" s="196"/>
      <c r="CB281" s="196"/>
      <c r="CC281" s="196"/>
      <c r="CD281" s="196"/>
      <c r="CE281" s="196"/>
      <c r="CF281" s="196"/>
      <c r="CG281" s="196"/>
      <c r="CH281" s="196"/>
      <c r="CI281" s="196"/>
      <c r="CJ281" s="196"/>
      <c r="CK281" s="196"/>
      <c r="CL281" s="196"/>
      <c r="CM281" s="196"/>
      <c r="CN281" s="196"/>
      <c r="CO281" s="196"/>
      <c r="CP281" s="196"/>
      <c r="CQ281" s="196"/>
      <c r="CR281" s="196"/>
      <c r="CS281" s="196"/>
      <c r="CT281" s="196"/>
      <c r="CU281" s="196"/>
      <c r="CV281" s="196"/>
      <c r="CW281" s="196"/>
      <c r="CX281" s="196"/>
      <c r="CY281" s="196"/>
      <c r="CZ281" s="196"/>
      <c r="DA281" s="196"/>
      <c r="DB281" s="196"/>
      <c r="DC281" s="196"/>
      <c r="DD281" s="196"/>
      <c r="DE281" s="196"/>
      <c r="DF281" s="196"/>
      <c r="DG281" s="196"/>
      <c r="DH281" s="196"/>
      <c r="DI281" s="196"/>
      <c r="DJ281" s="196"/>
      <c r="DK281" s="196"/>
      <c r="DL281" s="196"/>
      <c r="DM281" s="196"/>
      <c r="DN281" s="196"/>
      <c r="DO281" s="196"/>
      <c r="DP281" s="196"/>
      <c r="DQ281" s="196"/>
      <c r="DR281" s="196"/>
      <c r="DS281" s="196"/>
      <c r="DT281" s="196"/>
      <c r="EA281" s="228">
        <v>833333.34</v>
      </c>
      <c r="EB281" s="228">
        <f>EA281*0.06</f>
        <v>50000.000399999997</v>
      </c>
      <c r="EC281" s="26"/>
      <c r="ED281" s="26"/>
      <c r="EE281" s="26"/>
      <c r="EF281" s="26"/>
      <c r="EG281" s="26"/>
      <c r="EH281" s="36"/>
    </row>
    <row r="282" spans="76:140" ht="16.5" thickTop="1" thickBot="1" x14ac:dyDescent="0.3">
      <c r="BX282" s="196"/>
      <c r="BY282" s="196"/>
      <c r="BZ282" s="196"/>
      <c r="CA282" s="196"/>
      <c r="CB282" s="196"/>
      <c r="CC282" s="196"/>
      <c r="CD282" s="196"/>
      <c r="CE282" s="196"/>
      <c r="CF282" s="196"/>
      <c r="CG282" s="196"/>
      <c r="CH282" s="196"/>
      <c r="CI282" s="196"/>
      <c r="CJ282" s="196"/>
      <c r="CK282" s="196"/>
      <c r="CL282" s="196"/>
      <c r="CM282" s="196"/>
      <c r="CN282" s="196"/>
      <c r="CO282" s="196"/>
      <c r="CP282" s="196"/>
      <c r="CQ282" s="196"/>
      <c r="CR282" s="196"/>
      <c r="CS282" s="196"/>
      <c r="CT282" s="196"/>
      <c r="CU282" s="196"/>
      <c r="CV282" s="196"/>
      <c r="CW282" s="196"/>
      <c r="CX282" s="196"/>
      <c r="CY282" s="196"/>
      <c r="CZ282" s="196"/>
      <c r="DA282" s="196"/>
      <c r="DB282" s="196"/>
      <c r="DC282" s="196"/>
      <c r="DD282" s="196"/>
      <c r="DE282" s="196"/>
      <c r="DF282" s="196"/>
      <c r="DG282" s="196"/>
      <c r="DH282" s="196"/>
      <c r="DI282" s="196"/>
      <c r="DJ282" s="196"/>
      <c r="DK282" s="196"/>
      <c r="DL282" s="196"/>
      <c r="DM282" s="196"/>
      <c r="DN282" s="196"/>
      <c r="DO282" s="196"/>
      <c r="DP282" s="196"/>
      <c r="DQ282" s="196"/>
      <c r="DR282" s="196"/>
      <c r="DS282" s="196"/>
      <c r="DT282" s="196"/>
      <c r="EA282" s="228"/>
      <c r="EB282" s="26"/>
      <c r="EC282" s="26"/>
      <c r="ED282" s="26"/>
      <c r="EE282" s="26"/>
      <c r="EF282" s="26"/>
      <c r="EG282" s="26"/>
      <c r="EH282" s="36"/>
    </row>
    <row r="283" spans="76:140" ht="16.5" thickTop="1" thickBot="1" x14ac:dyDescent="0.3">
      <c r="BX283" s="196"/>
      <c r="BY283" s="196"/>
      <c r="BZ283" s="196"/>
      <c r="CA283" s="196"/>
      <c r="CB283" s="196"/>
      <c r="CC283" s="196"/>
      <c r="CD283" s="196"/>
      <c r="CE283" s="196"/>
      <c r="CF283" s="196"/>
      <c r="CG283" s="196"/>
      <c r="CH283" s="196"/>
      <c r="CI283" s="196"/>
      <c r="CJ283" s="196"/>
      <c r="CK283" s="196"/>
      <c r="CL283" s="196"/>
      <c r="CM283" s="196"/>
      <c r="CN283" s="196"/>
      <c r="CO283" s="196"/>
      <c r="CP283" s="196"/>
      <c r="CQ283" s="196"/>
      <c r="CR283" s="196"/>
      <c r="CS283" s="196"/>
      <c r="CT283" s="196"/>
      <c r="CU283" s="196"/>
      <c r="CV283" s="196"/>
      <c r="CW283" s="196"/>
      <c r="CX283" s="196"/>
      <c r="CY283" s="196"/>
      <c r="CZ283" s="196"/>
      <c r="DA283" s="196"/>
      <c r="DB283" s="196"/>
      <c r="DC283" s="196"/>
      <c r="DD283" s="196"/>
      <c r="DE283" s="196"/>
      <c r="DF283" s="196"/>
      <c r="DG283" s="196"/>
      <c r="DH283" s="196"/>
      <c r="DI283" s="196"/>
      <c r="DJ283" s="196"/>
      <c r="DK283" s="196"/>
      <c r="DL283" s="196"/>
      <c r="DM283" s="196"/>
      <c r="DN283" s="196"/>
      <c r="DO283" s="196"/>
      <c r="DP283" s="196"/>
      <c r="DQ283" s="196"/>
      <c r="DR283" s="196"/>
      <c r="DS283" s="196"/>
      <c r="DT283" s="196"/>
      <c r="EA283" s="228">
        <v>933333.34</v>
      </c>
      <c r="EB283" s="228">
        <f>EA283*0.06</f>
        <v>56000.000399999997</v>
      </c>
      <c r="EC283" s="26"/>
      <c r="ED283" s="26"/>
      <c r="EE283" s="26"/>
      <c r="EF283" s="26"/>
      <c r="EG283" s="26"/>
      <c r="EH283" s="36"/>
    </row>
    <row r="284" spans="76:140" ht="16.5" thickTop="1" thickBot="1" x14ac:dyDescent="0.3">
      <c r="BX284" s="196"/>
      <c r="BY284" s="196"/>
      <c r="BZ284" s="196"/>
      <c r="CA284" s="196"/>
      <c r="CB284" s="196"/>
      <c r="CC284" s="196"/>
      <c r="CD284" s="196"/>
      <c r="CE284" s="196"/>
      <c r="CF284" s="196"/>
      <c r="CG284" s="196"/>
      <c r="CH284" s="196"/>
      <c r="CI284" s="196"/>
      <c r="CJ284" s="196"/>
      <c r="CK284" s="196"/>
      <c r="CL284" s="196"/>
      <c r="CM284" s="196"/>
      <c r="CN284" s="196"/>
      <c r="CO284" s="196"/>
      <c r="CP284" s="196"/>
      <c r="CQ284" s="196"/>
      <c r="CR284" s="196"/>
      <c r="CS284" s="196"/>
      <c r="CT284" s="196"/>
      <c r="CU284" s="196"/>
      <c r="CV284" s="196"/>
      <c r="CW284" s="196"/>
      <c r="CX284" s="196"/>
      <c r="CY284" s="196"/>
      <c r="CZ284" s="196"/>
      <c r="DA284" s="196"/>
      <c r="DB284" s="196"/>
      <c r="DC284" s="196"/>
      <c r="DD284" s="196"/>
      <c r="DE284" s="196"/>
      <c r="DF284" s="196"/>
      <c r="DG284" s="196"/>
      <c r="DH284" s="196"/>
      <c r="DI284" s="196"/>
      <c r="DJ284" s="196"/>
      <c r="DK284" s="196"/>
      <c r="DL284" s="196"/>
      <c r="DM284" s="196"/>
      <c r="DN284" s="196"/>
      <c r="DO284" s="196"/>
      <c r="DP284" s="196"/>
      <c r="DQ284" s="196"/>
      <c r="DR284" s="196"/>
      <c r="DS284" s="196"/>
      <c r="DT284" s="196"/>
      <c r="EA284" s="228">
        <v>1333333.3333999999</v>
      </c>
      <c r="EB284" s="228">
        <f>EA284*0.06</f>
        <v>80000.000003999987</v>
      </c>
      <c r="EC284" s="26"/>
      <c r="ED284" s="26"/>
      <c r="EE284" s="26"/>
      <c r="EF284" s="26"/>
      <c r="EG284" s="26"/>
      <c r="EH284" s="36"/>
    </row>
    <row r="285" spans="76:140" ht="16.5" thickTop="1" thickBot="1" x14ac:dyDescent="0.3">
      <c r="BX285" s="196"/>
      <c r="BY285" s="196"/>
      <c r="BZ285" s="196"/>
      <c r="CA285" s="196"/>
      <c r="CB285" s="196"/>
      <c r="CC285" s="196"/>
      <c r="CD285" s="196"/>
      <c r="CE285" s="196"/>
      <c r="CF285" s="196"/>
      <c r="CG285" s="196"/>
      <c r="CH285" s="196"/>
      <c r="CI285" s="196"/>
      <c r="CJ285" s="196"/>
      <c r="CK285" s="196"/>
      <c r="CL285" s="196"/>
      <c r="CM285" s="196"/>
      <c r="CN285" s="196"/>
      <c r="CO285" s="196"/>
      <c r="CP285" s="196"/>
      <c r="CQ285" s="196"/>
      <c r="CR285" s="196"/>
      <c r="CS285" s="196"/>
      <c r="CT285" s="196"/>
      <c r="CU285" s="196"/>
      <c r="CV285" s="196"/>
      <c r="CW285" s="196"/>
      <c r="CX285" s="196"/>
      <c r="CY285" s="196"/>
      <c r="CZ285" s="196"/>
      <c r="DA285" s="196"/>
      <c r="DB285" s="196"/>
      <c r="DC285" s="196"/>
      <c r="DD285" s="196"/>
      <c r="DE285" s="196"/>
      <c r="DF285" s="196"/>
      <c r="DG285" s="196"/>
      <c r="DH285" s="196"/>
      <c r="DI285" s="196"/>
      <c r="DJ285" s="196"/>
      <c r="DK285" s="196"/>
      <c r="DL285" s="196"/>
      <c r="DM285" s="196"/>
      <c r="DN285" s="196"/>
      <c r="DO285" s="196"/>
      <c r="DP285" s="196"/>
      <c r="DQ285" s="196"/>
      <c r="DR285" s="196"/>
      <c r="DS285" s="196"/>
      <c r="DT285" s="196"/>
      <c r="EA285" s="37"/>
      <c r="EB285" s="26"/>
      <c r="EC285" s="26"/>
      <c r="ED285" s="26"/>
      <c r="EE285" s="26"/>
      <c r="EF285" s="26"/>
      <c r="EG285" s="26"/>
      <c r="EH285" s="36"/>
    </row>
    <row r="286" spans="76:140" ht="16.5" thickTop="1" thickBot="1" x14ac:dyDescent="0.3">
      <c r="BX286" s="196"/>
      <c r="BY286" s="196"/>
      <c r="BZ286" s="196"/>
      <c r="CA286" s="196"/>
      <c r="CB286" s="196"/>
      <c r="CC286" s="196"/>
      <c r="CD286" s="196"/>
      <c r="CE286" s="196"/>
      <c r="CF286" s="196"/>
      <c r="CG286" s="196"/>
      <c r="CH286" s="196"/>
      <c r="CI286" s="196"/>
      <c r="CJ286" s="196"/>
      <c r="CK286" s="196"/>
      <c r="CL286" s="196"/>
      <c r="CM286" s="196"/>
      <c r="CN286" s="196"/>
      <c r="CO286" s="196"/>
      <c r="CP286" s="196"/>
      <c r="CQ286" s="196"/>
      <c r="CR286" s="196"/>
      <c r="CS286" s="196"/>
      <c r="CT286" s="196"/>
      <c r="CU286" s="196"/>
      <c r="CV286" s="196"/>
      <c r="CW286" s="196"/>
      <c r="CX286" s="196"/>
      <c r="CY286" s="196"/>
      <c r="CZ286" s="196"/>
      <c r="DA286" s="196"/>
      <c r="DB286" s="196"/>
      <c r="DC286" s="196"/>
      <c r="DD286" s="196"/>
      <c r="DE286" s="196"/>
      <c r="DF286" s="196"/>
      <c r="DG286" s="196"/>
      <c r="DH286" s="196"/>
      <c r="DI286" s="196"/>
      <c r="DJ286" s="196"/>
      <c r="DK286" s="196"/>
      <c r="DL286" s="196"/>
      <c r="DM286" s="196"/>
      <c r="DN286" s="196"/>
      <c r="DO286" s="196"/>
      <c r="DP286" s="196"/>
      <c r="DQ286" s="196"/>
      <c r="DR286" s="196"/>
      <c r="DS286" s="196"/>
      <c r="DT286" s="196"/>
      <c r="EA286" s="37"/>
      <c r="EB286" s="26"/>
      <c r="EC286" s="26"/>
      <c r="ED286" s="26"/>
      <c r="EE286" s="26"/>
      <c r="EF286" s="26"/>
      <c r="EG286" s="26"/>
      <c r="EH286" s="36"/>
    </row>
    <row r="287" spans="76:140" ht="16.5" thickTop="1" thickBot="1" x14ac:dyDescent="0.3">
      <c r="BX287" s="196"/>
      <c r="BY287" s="196"/>
      <c r="BZ287" s="196"/>
      <c r="CA287" s="196"/>
      <c r="CB287" s="196"/>
      <c r="CC287" s="196"/>
      <c r="CD287" s="196"/>
      <c r="CE287" s="196"/>
      <c r="CF287" s="196"/>
      <c r="CG287" s="196"/>
      <c r="CH287" s="196"/>
      <c r="CI287" s="196"/>
      <c r="CJ287" s="196"/>
      <c r="CK287" s="196"/>
      <c r="CL287" s="196"/>
      <c r="CM287" s="196"/>
      <c r="CN287" s="196"/>
      <c r="CO287" s="196"/>
      <c r="CP287" s="196"/>
      <c r="CQ287" s="196"/>
      <c r="CR287" s="196"/>
      <c r="CS287" s="196"/>
      <c r="CT287" s="196"/>
      <c r="CU287" s="196"/>
      <c r="CV287" s="196"/>
      <c r="CW287" s="196"/>
      <c r="CX287" s="196"/>
      <c r="CY287" s="196"/>
      <c r="CZ287" s="196"/>
      <c r="DA287" s="196"/>
      <c r="DB287" s="196"/>
      <c r="DC287" s="196"/>
      <c r="DD287" s="196"/>
      <c r="DE287" s="196"/>
      <c r="DF287" s="196"/>
      <c r="DG287" s="196"/>
      <c r="DH287" s="196"/>
      <c r="DI287" s="196"/>
      <c r="DJ287" s="196"/>
      <c r="DK287" s="196"/>
      <c r="DL287" s="196"/>
      <c r="DM287" s="196"/>
      <c r="DN287" s="196"/>
      <c r="DO287" s="196"/>
      <c r="DP287" s="196"/>
      <c r="DQ287" s="196"/>
      <c r="DR287" s="196"/>
      <c r="DS287" s="196"/>
      <c r="DT287" s="196"/>
      <c r="EA287" s="41" t="s">
        <v>392</v>
      </c>
      <c r="EB287" s="189" t="str">
        <f>IF($EB$271=$EA$12,$EB$274,IF($EB$271=$EA$13,$EB$275,""))</f>
        <v/>
      </c>
      <c r="EC287" s="26"/>
      <c r="ED287" s="26"/>
      <c r="EE287" s="26"/>
      <c r="EF287" s="26"/>
      <c r="EG287" s="26"/>
      <c r="EH287" s="36"/>
    </row>
    <row r="288" spans="76:140" ht="16.5" thickTop="1" thickBot="1" x14ac:dyDescent="0.3">
      <c r="BX288" s="196"/>
      <c r="BY288" s="196"/>
      <c r="BZ288" s="196"/>
      <c r="CA288" s="196"/>
      <c r="CB288" s="196"/>
      <c r="CC288" s="196"/>
      <c r="CD288" s="196"/>
      <c r="CE288" s="196"/>
      <c r="CF288" s="196"/>
      <c r="CG288" s="196"/>
      <c r="CH288" s="196"/>
      <c r="CI288" s="196"/>
      <c r="CJ288" s="196"/>
      <c r="CK288" s="196"/>
      <c r="CL288" s="196"/>
      <c r="CM288" s="196"/>
      <c r="CN288" s="196"/>
      <c r="CO288" s="196"/>
      <c r="CP288" s="196"/>
      <c r="CQ288" s="196"/>
      <c r="CR288" s="196"/>
      <c r="CS288" s="196"/>
      <c r="CT288" s="196"/>
      <c r="CU288" s="196"/>
      <c r="CV288" s="196"/>
      <c r="CW288" s="196"/>
      <c r="CX288" s="196"/>
      <c r="CY288" s="196"/>
      <c r="CZ288" s="196"/>
      <c r="DA288" s="196"/>
      <c r="DB288" s="196"/>
      <c r="DC288" s="196"/>
      <c r="DD288" s="196"/>
      <c r="DE288" s="196"/>
      <c r="DF288" s="196"/>
      <c r="DG288" s="196"/>
      <c r="DH288" s="196"/>
      <c r="DI288" s="196"/>
      <c r="DJ288" s="196"/>
      <c r="DK288" s="196"/>
      <c r="DL288" s="196"/>
      <c r="DM288" s="196"/>
      <c r="DN288" s="196"/>
      <c r="DO288" s="196"/>
      <c r="DP288" s="196"/>
      <c r="DQ288" s="196"/>
      <c r="DR288" s="196"/>
      <c r="DS288" s="196"/>
      <c r="DT288" s="196"/>
      <c r="EA288" s="37"/>
      <c r="EB288" s="26"/>
      <c r="EC288" s="26"/>
      <c r="ED288" s="26"/>
      <c r="EE288" s="26"/>
      <c r="EF288" s="26"/>
      <c r="EG288" s="26"/>
      <c r="EH288" s="36"/>
    </row>
    <row r="289" spans="54:138" ht="16.5" thickTop="1" thickBot="1" x14ac:dyDescent="0.3">
      <c r="BX289" s="196"/>
      <c r="BY289" s="196"/>
      <c r="BZ289" s="196"/>
      <c r="CA289" s="196"/>
      <c r="CB289" s="196"/>
      <c r="CC289" s="196"/>
      <c r="CD289" s="196"/>
      <c r="CE289" s="196"/>
      <c r="CF289" s="196"/>
      <c r="CG289" s="196"/>
      <c r="CH289" s="196"/>
      <c r="CI289" s="196"/>
      <c r="CJ289" s="196"/>
      <c r="CK289" s="196"/>
      <c r="CL289" s="196"/>
      <c r="CM289" s="196"/>
      <c r="CN289" s="196"/>
      <c r="CO289" s="196"/>
      <c r="CP289" s="196"/>
      <c r="CQ289" s="196"/>
      <c r="CR289" s="196"/>
      <c r="CS289" s="196"/>
      <c r="CT289" s="196"/>
      <c r="CU289" s="196"/>
      <c r="CV289" s="196"/>
      <c r="CW289" s="196"/>
      <c r="CX289" s="196"/>
      <c r="CY289" s="196"/>
      <c r="CZ289" s="196"/>
      <c r="DA289" s="196"/>
      <c r="DB289" s="196"/>
      <c r="DC289" s="196"/>
      <c r="DD289" s="196"/>
      <c r="DE289" s="196"/>
      <c r="DF289" s="196"/>
      <c r="DG289" s="196"/>
      <c r="DH289" s="196"/>
      <c r="DI289" s="196"/>
      <c r="DJ289" s="196"/>
      <c r="DK289" s="196"/>
      <c r="DL289" s="196"/>
      <c r="DM289" s="196"/>
      <c r="DN289" s="196"/>
      <c r="DO289" s="196"/>
      <c r="DP289" s="196"/>
      <c r="DQ289" s="196"/>
      <c r="DR289" s="196"/>
      <c r="DS289" s="196"/>
      <c r="DT289" s="196"/>
      <c r="EA289" s="41" t="s">
        <v>374</v>
      </c>
      <c r="EB289" s="227" t="str">
        <f>IF($EB$271=$EA$12,$EB$277,IF($EB$271=$EA$13,$EB$278,""))</f>
        <v/>
      </c>
      <c r="EC289" s="26"/>
      <c r="ED289" s="26"/>
      <c r="EE289" s="26"/>
      <c r="EF289" s="26"/>
      <c r="EG289" s="26"/>
      <c r="EH289" s="36"/>
    </row>
    <row r="290" spans="54:138" x14ac:dyDescent="0.25">
      <c r="BX290" s="196"/>
      <c r="BY290" s="196"/>
      <c r="BZ290" s="196"/>
      <c r="CA290" s="196"/>
      <c r="CB290" s="196"/>
      <c r="CC290" s="196"/>
      <c r="CD290" s="196"/>
      <c r="CE290" s="196"/>
      <c r="CF290" s="196"/>
      <c r="CG290" s="196"/>
      <c r="CH290" s="196"/>
      <c r="CI290" s="196"/>
      <c r="CJ290" s="196"/>
      <c r="CK290" s="196"/>
      <c r="CL290" s="196"/>
      <c r="CM290" s="196"/>
      <c r="CN290" s="196"/>
      <c r="CO290" s="196"/>
      <c r="CP290" s="196"/>
      <c r="CQ290" s="196"/>
      <c r="CR290" s="196"/>
      <c r="CS290" s="196"/>
      <c r="CT290" s="196"/>
      <c r="CU290" s="196"/>
      <c r="CV290" s="196"/>
      <c r="CW290" s="196"/>
      <c r="CX290" s="196"/>
      <c r="CY290" s="196"/>
      <c r="CZ290" s="196"/>
      <c r="DA290" s="196"/>
      <c r="DB290" s="196"/>
      <c r="DC290" s="196"/>
      <c r="DD290" s="196"/>
      <c r="DE290" s="196"/>
      <c r="DF290" s="196"/>
      <c r="DG290" s="196"/>
      <c r="DH290" s="196"/>
      <c r="DI290" s="196"/>
      <c r="DJ290" s="196"/>
      <c r="DK290" s="196"/>
      <c r="DL290" s="196"/>
      <c r="DM290" s="196"/>
      <c r="DN290" s="196"/>
      <c r="DO290" s="196"/>
      <c r="DP290" s="196"/>
      <c r="DQ290" s="196"/>
      <c r="DR290" s="196"/>
      <c r="DS290" s="196"/>
      <c r="DT290" s="196"/>
    </row>
    <row r="291" spans="54:138" x14ac:dyDescent="0.25">
      <c r="BX291" s="196"/>
      <c r="BY291" s="196"/>
      <c r="BZ291" s="196"/>
      <c r="CA291" s="196"/>
      <c r="CB291" s="196"/>
      <c r="CC291" s="196"/>
      <c r="CD291" s="196"/>
      <c r="CE291" s="196"/>
      <c r="CF291" s="196"/>
      <c r="CG291" s="196"/>
      <c r="CH291" s="196"/>
      <c r="CI291" s="196"/>
      <c r="CJ291" s="196"/>
      <c r="CK291" s="196"/>
      <c r="CL291" s="196"/>
      <c r="CM291" s="196"/>
      <c r="CN291" s="196"/>
      <c r="CO291" s="196"/>
      <c r="CP291" s="196"/>
      <c r="CQ291" s="196"/>
      <c r="CR291" s="196"/>
      <c r="CS291" s="196"/>
      <c r="CT291" s="196"/>
      <c r="CU291" s="196"/>
      <c r="CV291" s="196"/>
      <c r="CW291" s="196"/>
      <c r="CX291" s="196"/>
      <c r="CY291" s="196"/>
      <c r="CZ291" s="196"/>
      <c r="DA291" s="196"/>
      <c r="DB291" s="196"/>
      <c r="DC291" s="196"/>
      <c r="DD291" s="196"/>
      <c r="DE291" s="196"/>
      <c r="DF291" s="196"/>
      <c r="DG291" s="196"/>
      <c r="DH291" s="196"/>
      <c r="DI291" s="196"/>
      <c r="DJ291" s="196"/>
      <c r="DK291" s="196"/>
      <c r="DL291" s="196"/>
      <c r="DM291" s="196"/>
      <c r="DN291" s="196"/>
      <c r="DO291" s="196"/>
      <c r="DP291" s="196"/>
      <c r="DQ291" s="196"/>
      <c r="DR291" s="196"/>
      <c r="DS291" s="196"/>
      <c r="DT291" s="196"/>
    </row>
    <row r="292" spans="54:138" x14ac:dyDescent="0.25">
      <c r="BX292" s="196"/>
      <c r="BY292" s="196"/>
      <c r="BZ292" s="196"/>
      <c r="CA292" s="196"/>
      <c r="CB292" s="196"/>
      <c r="CC292" s="196"/>
      <c r="CD292" s="196"/>
      <c r="CE292" s="196"/>
      <c r="CF292" s="196"/>
      <c r="CG292" s="196"/>
      <c r="CH292" s="196"/>
      <c r="CI292" s="196"/>
      <c r="CJ292" s="196"/>
      <c r="CK292" s="196"/>
      <c r="CL292" s="196"/>
      <c r="CM292" s="196"/>
      <c r="CN292" s="196"/>
      <c r="CO292" s="196"/>
      <c r="CP292" s="196"/>
      <c r="CQ292" s="196"/>
      <c r="CR292" s="196"/>
      <c r="CS292" s="196"/>
      <c r="CT292" s="196"/>
      <c r="CU292" s="196"/>
      <c r="CV292" s="196"/>
      <c r="CW292" s="196"/>
      <c r="CX292" s="196"/>
      <c r="CY292" s="196"/>
      <c r="CZ292" s="196"/>
      <c r="DA292" s="196"/>
      <c r="DB292" s="196"/>
      <c r="DC292" s="196"/>
      <c r="DD292" s="196"/>
      <c r="DE292" s="196"/>
      <c r="DF292" s="196"/>
      <c r="DG292" s="196"/>
      <c r="DH292" s="196"/>
      <c r="DI292" s="196"/>
      <c r="DJ292" s="196"/>
      <c r="DK292" s="196"/>
      <c r="DL292" s="196"/>
      <c r="DM292" s="196"/>
      <c r="DN292" s="196"/>
      <c r="DO292" s="196"/>
      <c r="DP292" s="196"/>
      <c r="DQ292" s="196"/>
      <c r="DR292" s="196"/>
      <c r="DS292" s="196"/>
      <c r="DT292" s="196"/>
    </row>
    <row r="293" spans="54:138" x14ac:dyDescent="0.25">
      <c r="BX293" s="196"/>
      <c r="BY293" s="196"/>
      <c r="BZ293" s="196"/>
      <c r="CA293" s="196"/>
      <c r="CB293" s="196"/>
      <c r="CC293" s="196"/>
      <c r="CD293" s="196"/>
      <c r="CE293" s="196"/>
      <c r="CF293" s="196"/>
      <c r="CG293" s="196"/>
      <c r="CH293" s="196"/>
      <c r="CI293" s="196"/>
      <c r="CJ293" s="196"/>
      <c r="CK293" s="196"/>
      <c r="CL293" s="196"/>
      <c r="CM293" s="196"/>
      <c r="CN293" s="196"/>
      <c r="CO293" s="196"/>
      <c r="CP293" s="196"/>
      <c r="CQ293" s="196"/>
      <c r="CR293" s="196"/>
      <c r="CS293" s="196"/>
      <c r="CT293" s="196"/>
      <c r="CU293" s="196"/>
      <c r="CV293" s="196"/>
      <c r="CW293" s="196"/>
      <c r="CX293" s="196"/>
      <c r="CY293" s="196"/>
      <c r="CZ293" s="196"/>
      <c r="DA293" s="196"/>
      <c r="DB293" s="196"/>
      <c r="DC293" s="196"/>
      <c r="DD293" s="196"/>
      <c r="DE293" s="196"/>
      <c r="DF293" s="196"/>
      <c r="DG293" s="196"/>
      <c r="DH293" s="196"/>
      <c r="DI293" s="196"/>
      <c r="DJ293" s="196"/>
      <c r="DK293" s="196"/>
      <c r="DL293" s="196"/>
      <c r="DM293" s="196"/>
      <c r="DN293" s="196"/>
      <c r="DO293" s="196"/>
      <c r="DP293" s="196"/>
      <c r="DQ293" s="196"/>
      <c r="DR293" s="196"/>
      <c r="DS293" s="196"/>
      <c r="DT293" s="196"/>
    </row>
    <row r="294" spans="54:138" x14ac:dyDescent="0.25">
      <c r="BX294" s="196"/>
      <c r="BY294" s="196"/>
      <c r="BZ294" s="196"/>
      <c r="CA294" s="196"/>
      <c r="CB294" s="196"/>
      <c r="CC294" s="196"/>
      <c r="CD294" s="196"/>
      <c r="CE294" s="196"/>
      <c r="CF294" s="196"/>
      <c r="CG294" s="196"/>
      <c r="CH294" s="196"/>
      <c r="CI294" s="196"/>
      <c r="CJ294" s="196"/>
      <c r="CK294" s="196"/>
      <c r="CL294" s="196"/>
      <c r="CM294" s="196"/>
      <c r="CN294" s="196"/>
      <c r="CO294" s="196"/>
      <c r="CP294" s="196"/>
      <c r="CQ294" s="196"/>
      <c r="CR294" s="196"/>
      <c r="CS294" s="196"/>
      <c r="CT294" s="196"/>
      <c r="CU294" s="196"/>
      <c r="CV294" s="196"/>
      <c r="CW294" s="196"/>
      <c r="CX294" s="196"/>
      <c r="CY294" s="196"/>
      <c r="CZ294" s="196"/>
      <c r="DA294" s="196"/>
      <c r="DB294" s="196"/>
      <c r="DC294" s="196"/>
      <c r="DD294" s="196"/>
      <c r="DE294" s="196"/>
      <c r="DF294" s="196"/>
      <c r="DG294" s="196"/>
      <c r="DH294" s="196"/>
      <c r="DI294" s="196"/>
      <c r="DJ294" s="196"/>
      <c r="DK294" s="196"/>
      <c r="DL294" s="196"/>
      <c r="DM294" s="196"/>
      <c r="DN294" s="196"/>
      <c r="DO294" s="196"/>
      <c r="DP294" s="196"/>
      <c r="DQ294" s="196"/>
      <c r="DR294" s="196"/>
      <c r="DS294" s="196"/>
      <c r="DT294" s="196"/>
    </row>
    <row r="295" spans="54:138" x14ac:dyDescent="0.25">
      <c r="BX295" s="196"/>
      <c r="BY295" s="196"/>
      <c r="BZ295" s="196"/>
      <c r="CA295" s="196"/>
      <c r="CB295" s="196"/>
      <c r="CC295" s="196"/>
      <c r="CD295" s="196"/>
      <c r="CE295" s="196"/>
      <c r="CF295" s="196"/>
      <c r="CG295" s="196"/>
      <c r="CH295" s="196"/>
      <c r="CI295" s="196"/>
      <c r="CJ295" s="196"/>
      <c r="CK295" s="196"/>
      <c r="CL295" s="196"/>
      <c r="CM295" s="196"/>
      <c r="CN295" s="196"/>
      <c r="CO295" s="196"/>
      <c r="CP295" s="196"/>
      <c r="CQ295" s="196"/>
      <c r="CR295" s="196"/>
      <c r="CS295" s="196"/>
      <c r="CT295" s="196"/>
      <c r="CU295" s="196"/>
      <c r="CV295" s="196"/>
      <c r="CW295" s="196"/>
      <c r="CX295" s="196"/>
      <c r="CY295" s="196"/>
      <c r="CZ295" s="196"/>
      <c r="DA295" s="196"/>
      <c r="DB295" s="196"/>
      <c r="DC295" s="196"/>
      <c r="DD295" s="196"/>
      <c r="DE295" s="196"/>
      <c r="DF295" s="196"/>
      <c r="DG295" s="196"/>
      <c r="DH295" s="196"/>
      <c r="DI295" s="196"/>
      <c r="DJ295" s="196"/>
      <c r="DK295" s="196"/>
      <c r="DL295" s="196"/>
      <c r="DM295" s="196"/>
      <c r="DN295" s="196"/>
      <c r="DO295" s="196"/>
      <c r="DP295" s="196"/>
      <c r="DQ295" s="196"/>
      <c r="DR295" s="196"/>
      <c r="DS295" s="196"/>
      <c r="DT295" s="196"/>
    </row>
    <row r="296" spans="54:138" x14ac:dyDescent="0.25">
      <c r="BX296" s="196"/>
      <c r="BY296" s="196"/>
      <c r="BZ296" s="196"/>
      <c r="CA296" s="196"/>
      <c r="CB296" s="196"/>
      <c r="CC296" s="196"/>
      <c r="CD296" s="196"/>
      <c r="CE296" s="196"/>
      <c r="CF296" s="196"/>
      <c r="CG296" s="196"/>
      <c r="CH296" s="196"/>
      <c r="CI296" s="196"/>
      <c r="CJ296" s="196"/>
      <c r="CK296" s="196"/>
      <c r="CL296" s="196"/>
      <c r="CM296" s="196"/>
      <c r="CN296" s="196"/>
      <c r="CO296" s="196"/>
      <c r="CP296" s="196"/>
      <c r="CQ296" s="196"/>
      <c r="CR296" s="196"/>
      <c r="CS296" s="196"/>
      <c r="CT296" s="196"/>
      <c r="CU296" s="196"/>
      <c r="CV296" s="196"/>
      <c r="CW296" s="196"/>
      <c r="CX296" s="196"/>
      <c r="CY296" s="196"/>
      <c r="CZ296" s="196"/>
      <c r="DA296" s="196"/>
      <c r="DB296" s="196"/>
      <c r="DC296" s="196"/>
      <c r="DD296" s="196"/>
      <c r="DE296" s="196"/>
      <c r="DF296" s="196"/>
      <c r="DG296" s="196"/>
      <c r="DH296" s="196"/>
      <c r="DI296" s="196"/>
      <c r="DJ296" s="196"/>
      <c r="DK296" s="196"/>
      <c r="DL296" s="196"/>
      <c r="DM296" s="196"/>
      <c r="DN296" s="196"/>
      <c r="DO296" s="196"/>
      <c r="DP296" s="196"/>
      <c r="DQ296" s="196"/>
      <c r="DR296" s="196"/>
      <c r="DS296" s="196"/>
      <c r="DT296" s="196"/>
    </row>
    <row r="297" spans="54:138" x14ac:dyDescent="0.25">
      <c r="BX297" s="196"/>
      <c r="BY297" s="196"/>
      <c r="BZ297" s="196"/>
      <c r="CA297" s="196"/>
      <c r="CB297" s="196"/>
      <c r="CC297" s="196"/>
      <c r="CD297" s="196"/>
      <c r="CE297" s="196"/>
      <c r="CF297" s="196"/>
      <c r="CG297" s="196"/>
      <c r="CH297" s="196"/>
      <c r="CI297" s="196"/>
      <c r="CJ297" s="196"/>
      <c r="CK297" s="196"/>
      <c r="CL297" s="196"/>
      <c r="CM297" s="196"/>
      <c r="CN297" s="196"/>
      <c r="CO297" s="196"/>
      <c r="CP297" s="196"/>
      <c r="CQ297" s="196"/>
      <c r="CR297" s="196"/>
      <c r="CS297" s="196"/>
      <c r="CT297" s="196"/>
      <c r="CU297" s="196"/>
      <c r="CV297" s="196"/>
      <c r="CW297" s="196"/>
      <c r="CX297" s="196"/>
      <c r="CY297" s="196"/>
      <c r="CZ297" s="196"/>
      <c r="DA297" s="196"/>
      <c r="DB297" s="196"/>
      <c r="DC297" s="196"/>
      <c r="DD297" s="196"/>
      <c r="DE297" s="196"/>
      <c r="DF297" s="196"/>
      <c r="DG297" s="196"/>
      <c r="DH297" s="196"/>
      <c r="DI297" s="196"/>
      <c r="DJ297" s="196"/>
      <c r="DK297" s="196"/>
      <c r="DL297" s="196"/>
      <c r="DM297" s="196"/>
      <c r="DN297" s="196"/>
      <c r="DO297" s="196"/>
      <c r="DP297" s="196"/>
      <c r="DQ297" s="196"/>
      <c r="DR297" s="196"/>
      <c r="DS297" s="196"/>
      <c r="DT297" s="196"/>
    </row>
    <row r="298" spans="54:138" x14ac:dyDescent="0.25">
      <c r="BX298" s="196"/>
      <c r="BY298" s="196"/>
      <c r="BZ298" s="196"/>
      <c r="CA298" s="196"/>
      <c r="CB298" s="196"/>
      <c r="CC298" s="196"/>
      <c r="CD298" s="196"/>
      <c r="CE298" s="196"/>
      <c r="CF298" s="196"/>
      <c r="CG298" s="196"/>
      <c r="CH298" s="196"/>
      <c r="CI298" s="196"/>
      <c r="CJ298" s="196"/>
      <c r="CK298" s="196"/>
      <c r="CL298" s="196"/>
      <c r="CM298" s="196"/>
      <c r="CN298" s="196"/>
      <c r="CO298" s="196"/>
      <c r="CP298" s="196"/>
      <c r="CQ298" s="196"/>
      <c r="CR298" s="196"/>
      <c r="CS298" s="196"/>
      <c r="CT298" s="196"/>
      <c r="CU298" s="196"/>
      <c r="CV298" s="196"/>
      <c r="CW298" s="196"/>
      <c r="CX298" s="196"/>
      <c r="CY298" s="196"/>
      <c r="CZ298" s="196"/>
      <c r="DA298" s="196"/>
      <c r="DB298" s="196"/>
      <c r="DC298" s="196"/>
      <c r="DD298" s="196"/>
      <c r="DE298" s="196"/>
      <c r="DF298" s="196"/>
      <c r="DG298" s="196"/>
      <c r="DH298" s="196"/>
      <c r="DI298" s="196"/>
      <c r="DJ298" s="196"/>
      <c r="DK298" s="196"/>
      <c r="DL298" s="196"/>
      <c r="DM298" s="196"/>
      <c r="DN298" s="196"/>
      <c r="DO298" s="196"/>
      <c r="DP298" s="196"/>
      <c r="DQ298" s="196"/>
      <c r="DR298" s="196"/>
      <c r="DS298" s="196"/>
      <c r="DT298" s="196"/>
    </row>
    <row r="299" spans="54:138" x14ac:dyDescent="0.25">
      <c r="BX299" s="196"/>
      <c r="BY299" s="196"/>
      <c r="BZ299" s="196"/>
      <c r="CA299" s="196"/>
      <c r="CB299" s="196"/>
      <c r="CC299" s="196"/>
      <c r="CD299" s="196"/>
      <c r="CE299" s="196"/>
      <c r="CF299" s="196"/>
      <c r="CG299" s="196"/>
      <c r="CH299" s="196"/>
      <c r="CI299" s="196"/>
      <c r="CJ299" s="196"/>
      <c r="CK299" s="196"/>
      <c r="CL299" s="196"/>
      <c r="CM299" s="196"/>
      <c r="CN299" s="196"/>
      <c r="CO299" s="196"/>
      <c r="CP299" s="196"/>
      <c r="CQ299" s="196"/>
      <c r="CR299" s="196"/>
      <c r="CS299" s="196"/>
      <c r="CT299" s="196"/>
      <c r="CU299" s="196"/>
      <c r="CV299" s="196"/>
      <c r="CW299" s="196"/>
      <c r="CX299" s="196"/>
      <c r="CY299" s="196"/>
      <c r="CZ299" s="196"/>
      <c r="DA299" s="196"/>
      <c r="DB299" s="196"/>
      <c r="DC299" s="196"/>
      <c r="DD299" s="196"/>
      <c r="DE299" s="196"/>
      <c r="DF299" s="196"/>
      <c r="DG299" s="196"/>
      <c r="DH299" s="196"/>
      <c r="DI299" s="196"/>
      <c r="DJ299" s="196"/>
      <c r="DK299" s="196"/>
      <c r="DL299" s="196"/>
      <c r="DM299" s="196"/>
      <c r="DN299" s="196"/>
      <c r="DO299" s="196"/>
      <c r="DP299" s="196"/>
      <c r="DQ299" s="196"/>
      <c r="DR299" s="196"/>
      <c r="DS299" s="196"/>
      <c r="DT299" s="196"/>
    </row>
    <row r="300" spans="54:138" x14ac:dyDescent="0.25">
      <c r="BX300" s="196"/>
      <c r="BY300" s="196"/>
      <c r="BZ300" s="196"/>
      <c r="CA300" s="196"/>
      <c r="CB300" s="196"/>
      <c r="CC300" s="196"/>
      <c r="CD300" s="196"/>
      <c r="CE300" s="196"/>
      <c r="CF300" s="196"/>
      <c r="CG300" s="196"/>
      <c r="CH300" s="196"/>
      <c r="CI300" s="196"/>
      <c r="CJ300" s="196"/>
      <c r="CK300" s="196"/>
      <c r="CL300" s="196"/>
      <c r="CM300" s="196"/>
      <c r="CN300" s="196"/>
      <c r="CO300" s="196"/>
      <c r="CP300" s="196"/>
      <c r="CQ300" s="196"/>
      <c r="CR300" s="196"/>
      <c r="CS300" s="196"/>
      <c r="CT300" s="196"/>
      <c r="CU300" s="196"/>
      <c r="CV300" s="196"/>
      <c r="CW300" s="196"/>
      <c r="CX300" s="196"/>
      <c r="CY300" s="196"/>
      <c r="CZ300" s="196"/>
      <c r="DA300" s="196"/>
      <c r="DB300" s="196"/>
      <c r="DC300" s="196"/>
      <c r="DD300" s="196"/>
      <c r="DE300" s="196"/>
      <c r="DF300" s="196"/>
      <c r="DG300" s="196"/>
      <c r="DH300" s="196"/>
      <c r="DI300" s="196"/>
      <c r="DJ300" s="196"/>
      <c r="DK300" s="196"/>
      <c r="DL300" s="196"/>
      <c r="DM300" s="196"/>
      <c r="DN300" s="196"/>
      <c r="DO300" s="196"/>
      <c r="DP300" s="196"/>
      <c r="DQ300" s="196"/>
      <c r="DR300" s="196"/>
      <c r="DS300" s="196"/>
      <c r="DT300" s="196"/>
    </row>
    <row r="301" spans="54:138" x14ac:dyDescent="0.25">
      <c r="BX301" s="196"/>
      <c r="BY301" s="196"/>
      <c r="BZ301" s="196"/>
      <c r="CA301" s="196"/>
      <c r="CB301" s="196"/>
      <c r="CC301" s="196"/>
      <c r="CD301" s="196"/>
      <c r="CE301" s="196"/>
      <c r="CF301" s="196"/>
      <c r="CG301" s="196"/>
      <c r="CH301" s="196"/>
      <c r="CI301" s="196"/>
      <c r="CJ301" s="196"/>
      <c r="CK301" s="196"/>
      <c r="CL301" s="196"/>
      <c r="CM301" s="196"/>
      <c r="CN301" s="196"/>
      <c r="CO301" s="196"/>
      <c r="CP301" s="196"/>
      <c r="CQ301" s="196"/>
      <c r="CR301" s="196"/>
      <c r="CS301" s="196"/>
      <c r="CT301" s="196"/>
      <c r="CU301" s="196"/>
      <c r="CV301" s="196"/>
      <c r="CW301" s="196"/>
      <c r="CX301" s="196"/>
      <c r="CY301" s="196"/>
      <c r="CZ301" s="196"/>
      <c r="DA301" s="196"/>
      <c r="DB301" s="196"/>
      <c r="DC301" s="196"/>
      <c r="DD301" s="196"/>
      <c r="DE301" s="196"/>
      <c r="DF301" s="196"/>
      <c r="DG301" s="196"/>
      <c r="DH301" s="196"/>
      <c r="DI301" s="196"/>
      <c r="DJ301" s="196"/>
      <c r="DK301" s="196"/>
      <c r="DL301" s="196"/>
      <c r="DM301" s="196"/>
      <c r="DN301" s="196"/>
      <c r="DO301" s="196"/>
      <c r="DP301" s="196"/>
      <c r="DQ301" s="196"/>
      <c r="DR301" s="196"/>
      <c r="DS301" s="196"/>
      <c r="DT301" s="196"/>
    </row>
    <row r="302" spans="54:138" x14ac:dyDescent="0.25">
      <c r="BX302" s="196"/>
      <c r="BY302" s="196"/>
      <c r="BZ302" s="196"/>
      <c r="CA302" s="196"/>
      <c r="CB302" s="196"/>
      <c r="CC302" s="196"/>
      <c r="CD302" s="196"/>
      <c r="CE302" s="196"/>
      <c r="CF302" s="196"/>
      <c r="CG302" s="196"/>
      <c r="CH302" s="196"/>
      <c r="CI302" s="196"/>
      <c r="CJ302" s="196"/>
      <c r="CK302" s="196"/>
      <c r="CL302" s="196"/>
      <c r="CM302" s="196"/>
      <c r="CN302" s="196"/>
      <c r="CO302" s="196"/>
      <c r="CP302" s="196"/>
      <c r="CQ302" s="196"/>
      <c r="CR302" s="196"/>
      <c r="CS302" s="196"/>
      <c r="CT302" s="196"/>
      <c r="CU302" s="196"/>
      <c r="CV302" s="196"/>
      <c r="CW302" s="196"/>
      <c r="CX302" s="196"/>
      <c r="CY302" s="196"/>
      <c r="CZ302" s="196"/>
      <c r="DA302" s="196"/>
      <c r="DB302" s="196"/>
      <c r="DC302" s="196"/>
      <c r="DD302" s="196"/>
      <c r="DE302" s="196"/>
      <c r="DF302" s="196"/>
      <c r="DG302" s="196"/>
      <c r="DH302" s="196"/>
      <c r="DI302" s="196"/>
      <c r="DJ302" s="196"/>
      <c r="DK302" s="196"/>
      <c r="DL302" s="196"/>
      <c r="DM302" s="196"/>
      <c r="DN302" s="196"/>
      <c r="DO302" s="196"/>
      <c r="DP302" s="196"/>
      <c r="DQ302" s="196"/>
      <c r="DR302" s="196"/>
      <c r="DS302" s="196"/>
      <c r="DT302" s="196"/>
    </row>
    <row r="303" spans="54:138" x14ac:dyDescent="0.25">
      <c r="BB303" s="166"/>
      <c r="BX303" s="196"/>
      <c r="BY303" s="196"/>
      <c r="BZ303" s="196"/>
      <c r="CA303" s="196"/>
      <c r="CB303" s="196"/>
      <c r="CC303" s="196"/>
      <c r="CD303" s="196"/>
      <c r="CE303" s="196"/>
      <c r="CF303" s="196"/>
      <c r="CG303" s="196"/>
      <c r="CH303" s="196"/>
      <c r="CI303" s="196"/>
      <c r="CJ303" s="196"/>
      <c r="CK303" s="196"/>
      <c r="CL303" s="196"/>
      <c r="CM303" s="196"/>
      <c r="CN303" s="196"/>
      <c r="CO303" s="196"/>
      <c r="CP303" s="196"/>
      <c r="CQ303" s="196"/>
      <c r="CR303" s="196"/>
      <c r="CS303" s="196"/>
      <c r="CT303" s="196"/>
      <c r="CU303" s="196"/>
      <c r="CV303" s="196"/>
      <c r="CW303" s="196"/>
      <c r="CX303" s="196"/>
      <c r="CY303" s="196"/>
      <c r="CZ303" s="196"/>
      <c r="DA303" s="196"/>
      <c r="DB303" s="196"/>
      <c r="DC303" s="196"/>
      <c r="DD303" s="196"/>
      <c r="DE303" s="196"/>
      <c r="DF303" s="196"/>
      <c r="DG303" s="196"/>
      <c r="DH303" s="196"/>
      <c r="DI303" s="196"/>
      <c r="DJ303" s="196"/>
      <c r="DK303" s="196"/>
      <c r="DL303" s="196"/>
      <c r="DM303" s="196"/>
      <c r="DN303" s="196"/>
      <c r="DO303" s="196"/>
      <c r="DP303" s="196"/>
      <c r="DQ303" s="196"/>
      <c r="DR303" s="196"/>
      <c r="DS303" s="196"/>
      <c r="DT303" s="196"/>
    </row>
    <row r="304" spans="54:138" x14ac:dyDescent="0.25">
      <c r="BX304" s="196"/>
      <c r="BY304" s="196"/>
      <c r="BZ304" s="196"/>
      <c r="CA304" s="196"/>
      <c r="CB304" s="196"/>
      <c r="CC304" s="196"/>
      <c r="CD304" s="196"/>
      <c r="CE304" s="196"/>
      <c r="CF304" s="196"/>
      <c r="CG304" s="196"/>
      <c r="CH304" s="196"/>
      <c r="CI304" s="196"/>
      <c r="CJ304" s="196"/>
      <c r="CK304" s="196"/>
      <c r="CL304" s="196"/>
      <c r="CM304" s="196"/>
      <c r="CN304" s="196"/>
      <c r="CO304" s="196"/>
      <c r="CP304" s="196"/>
      <c r="CQ304" s="196"/>
      <c r="CR304" s="196"/>
      <c r="CS304" s="196"/>
      <c r="CT304" s="196"/>
      <c r="CU304" s="196"/>
      <c r="CV304" s="196"/>
      <c r="CW304" s="196"/>
      <c r="CX304" s="196"/>
      <c r="CY304" s="196"/>
      <c r="CZ304" s="196"/>
      <c r="DA304" s="196"/>
      <c r="DB304" s="196"/>
      <c r="DC304" s="196"/>
      <c r="DD304" s="196"/>
      <c r="DE304" s="196"/>
      <c r="DF304" s="196"/>
      <c r="DG304" s="196"/>
      <c r="DH304" s="196"/>
      <c r="DI304" s="196"/>
      <c r="DJ304" s="196"/>
      <c r="DK304" s="196"/>
      <c r="DL304" s="196"/>
      <c r="DM304" s="196"/>
      <c r="DN304" s="196"/>
      <c r="DO304" s="196"/>
      <c r="DP304" s="196"/>
      <c r="DQ304" s="196"/>
      <c r="DR304" s="196"/>
      <c r="DS304" s="196"/>
      <c r="DT304" s="196"/>
    </row>
    <row r="305" spans="27:139" x14ac:dyDescent="0.25">
      <c r="BX305" s="196"/>
      <c r="BY305" s="196"/>
      <c r="BZ305" s="196"/>
      <c r="CA305" s="196"/>
      <c r="CB305" s="196"/>
      <c r="CC305" s="196"/>
      <c r="CD305" s="196"/>
      <c r="CE305" s="196"/>
      <c r="CF305" s="196"/>
      <c r="CG305" s="196"/>
      <c r="CH305" s="196"/>
      <c r="CI305" s="196"/>
      <c r="CJ305" s="196"/>
      <c r="CK305" s="196"/>
      <c r="CL305" s="196"/>
      <c r="CM305" s="196"/>
      <c r="CN305" s="196"/>
      <c r="CO305" s="196"/>
      <c r="CP305" s="196"/>
      <c r="CQ305" s="196"/>
      <c r="CR305" s="196"/>
      <c r="CS305" s="196"/>
      <c r="CT305" s="196"/>
      <c r="CU305" s="196"/>
      <c r="CV305" s="196"/>
      <c r="CW305" s="196"/>
      <c r="CX305" s="196"/>
      <c r="CY305" s="196"/>
      <c r="CZ305" s="196"/>
      <c r="DA305" s="196"/>
      <c r="DB305" s="196"/>
      <c r="DC305" s="196"/>
      <c r="DD305" s="196"/>
      <c r="DE305" s="196"/>
      <c r="DF305" s="196"/>
      <c r="DG305" s="196"/>
      <c r="DH305" s="196"/>
      <c r="DI305" s="196"/>
      <c r="DJ305" s="196"/>
      <c r="DK305" s="196"/>
      <c r="DL305" s="196"/>
      <c r="DM305" s="196"/>
      <c r="DN305" s="196"/>
      <c r="DO305" s="196"/>
      <c r="DP305" s="196"/>
      <c r="DQ305" s="196"/>
      <c r="DR305" s="196"/>
      <c r="DS305" s="196"/>
      <c r="DT305" s="196"/>
    </row>
    <row r="306" spans="27:139" x14ac:dyDescent="0.25">
      <c r="BX306" s="196"/>
      <c r="BY306" s="196"/>
      <c r="BZ306" s="196"/>
      <c r="CA306" s="196"/>
      <c r="CB306" s="196"/>
      <c r="CC306" s="196"/>
      <c r="CD306" s="196"/>
      <c r="CE306" s="196"/>
      <c r="CF306" s="196"/>
      <c r="CG306" s="196"/>
      <c r="CH306" s="196"/>
      <c r="CI306" s="196"/>
      <c r="CJ306" s="196"/>
      <c r="CK306" s="196"/>
      <c r="CL306" s="196"/>
      <c r="CM306" s="196"/>
      <c r="CN306" s="196"/>
      <c r="CO306" s="196"/>
      <c r="CP306" s="196"/>
      <c r="CQ306" s="196"/>
      <c r="CR306" s="196"/>
      <c r="CS306" s="196"/>
      <c r="CT306" s="196"/>
      <c r="CU306" s="196"/>
      <c r="CV306" s="196"/>
      <c r="CW306" s="196"/>
      <c r="CX306" s="196"/>
      <c r="CY306" s="196"/>
      <c r="CZ306" s="196"/>
      <c r="DA306" s="196"/>
      <c r="DB306" s="196"/>
      <c r="DC306" s="196"/>
      <c r="DD306" s="196"/>
      <c r="DE306" s="196"/>
      <c r="DF306" s="196"/>
      <c r="DG306" s="196"/>
      <c r="DH306" s="196"/>
      <c r="DI306" s="196"/>
      <c r="DJ306" s="196"/>
      <c r="DK306" s="196"/>
      <c r="DL306" s="196"/>
      <c r="DM306" s="196"/>
      <c r="DN306" s="196"/>
      <c r="DO306" s="196"/>
      <c r="DP306" s="196"/>
      <c r="DQ306" s="196"/>
      <c r="DR306" s="196"/>
      <c r="DS306" s="196"/>
      <c r="DT306" s="196"/>
    </row>
    <row r="307" spans="27:139" x14ac:dyDescent="0.25">
      <c r="BX307" s="196"/>
      <c r="BY307" s="196"/>
      <c r="BZ307" s="196"/>
      <c r="CA307" s="196"/>
      <c r="CB307" s="196"/>
      <c r="CC307" s="196"/>
      <c r="CD307" s="196"/>
      <c r="CE307" s="196"/>
      <c r="CF307" s="196"/>
      <c r="CG307" s="196"/>
      <c r="CH307" s="196"/>
      <c r="CI307" s="196"/>
      <c r="CJ307" s="196"/>
      <c r="CK307" s="196"/>
      <c r="CL307" s="196"/>
      <c r="CM307" s="196"/>
      <c r="CN307" s="196"/>
      <c r="CO307" s="196"/>
      <c r="CP307" s="196"/>
      <c r="CQ307" s="196"/>
      <c r="CR307" s="196"/>
      <c r="CS307" s="196"/>
      <c r="CT307" s="196"/>
      <c r="CU307" s="196"/>
      <c r="CV307" s="196"/>
      <c r="CW307" s="196"/>
      <c r="CX307" s="196"/>
      <c r="CY307" s="196"/>
      <c r="CZ307" s="196"/>
      <c r="DA307" s="196"/>
      <c r="DB307" s="196"/>
      <c r="DC307" s="196"/>
      <c r="DD307" s="196"/>
      <c r="DE307" s="196"/>
      <c r="DF307" s="196"/>
      <c r="DG307" s="196"/>
      <c r="DH307" s="196"/>
      <c r="DI307" s="196"/>
      <c r="DJ307" s="196"/>
      <c r="DK307" s="196"/>
      <c r="DL307" s="196"/>
      <c r="DM307" s="196"/>
      <c r="DN307" s="196"/>
      <c r="DO307" s="196"/>
      <c r="DP307" s="196"/>
      <c r="DQ307" s="196"/>
      <c r="DR307" s="196"/>
      <c r="DS307" s="196"/>
      <c r="DT307" s="196"/>
    </row>
    <row r="308" spans="27:139" x14ac:dyDescent="0.25">
      <c r="BX308" s="196"/>
      <c r="BY308" s="196"/>
      <c r="BZ308" s="196"/>
      <c r="CA308" s="196"/>
      <c r="CB308" s="196"/>
      <c r="CC308" s="196"/>
      <c r="CD308" s="196"/>
      <c r="CE308" s="196"/>
      <c r="CF308" s="196"/>
      <c r="CG308" s="196"/>
      <c r="CH308" s="196"/>
      <c r="CI308" s="196"/>
      <c r="CJ308" s="196"/>
      <c r="CK308" s="196"/>
      <c r="CL308" s="196"/>
      <c r="CM308" s="196"/>
      <c r="CN308" s="196"/>
      <c r="CO308" s="196"/>
      <c r="CP308" s="196"/>
      <c r="CQ308" s="196"/>
      <c r="CR308" s="196"/>
      <c r="CS308" s="196"/>
      <c r="CT308" s="196"/>
      <c r="CU308" s="196"/>
      <c r="CV308" s="196"/>
      <c r="CW308" s="196"/>
      <c r="CX308" s="196"/>
      <c r="CY308" s="196"/>
      <c r="CZ308" s="196"/>
      <c r="DA308" s="196"/>
      <c r="DB308" s="196"/>
      <c r="DC308" s="196"/>
      <c r="DD308" s="196"/>
      <c r="DE308" s="196"/>
      <c r="DF308" s="196"/>
      <c r="DG308" s="196"/>
      <c r="DH308" s="196"/>
      <c r="DI308" s="196"/>
      <c r="DJ308" s="196"/>
      <c r="DK308" s="196"/>
      <c r="DL308" s="196"/>
      <c r="DM308" s="196"/>
      <c r="DN308" s="196"/>
      <c r="DO308" s="196"/>
      <c r="DP308" s="196"/>
      <c r="DQ308" s="196"/>
      <c r="DR308" s="196"/>
      <c r="DS308" s="196"/>
      <c r="DT308" s="196"/>
    </row>
    <row r="309" spans="27:139" ht="15.75" thickBot="1" x14ac:dyDescent="0.3">
      <c r="BX309" s="196"/>
      <c r="BY309" s="196"/>
      <c r="BZ309" s="196"/>
      <c r="CA309" s="196"/>
      <c r="CB309" s="196"/>
      <c r="CC309" s="196"/>
      <c r="CD309" s="196"/>
      <c r="CE309" s="196"/>
      <c r="CF309" s="196"/>
      <c r="CG309" s="196"/>
      <c r="CH309" s="196"/>
      <c r="CI309" s="196"/>
      <c r="CJ309" s="196"/>
      <c r="CK309" s="196"/>
      <c r="CL309" s="196"/>
      <c r="CM309" s="196"/>
      <c r="CN309" s="196"/>
      <c r="CO309" s="196"/>
      <c r="CP309" s="196"/>
      <c r="CQ309" s="196"/>
      <c r="CR309" s="196"/>
      <c r="CS309" s="196"/>
      <c r="CT309" s="196"/>
      <c r="CU309" s="196"/>
      <c r="CV309" s="196"/>
      <c r="CW309" s="196"/>
      <c r="CX309" s="196"/>
      <c r="CY309" s="196"/>
      <c r="CZ309" s="196"/>
      <c r="DA309" s="196"/>
      <c r="DB309" s="196"/>
      <c r="DC309" s="196"/>
      <c r="DD309" s="196"/>
      <c r="DE309" s="196"/>
      <c r="DF309" s="196"/>
      <c r="DG309" s="196"/>
      <c r="DH309" s="196"/>
      <c r="DI309" s="196"/>
      <c r="DJ309" s="196"/>
      <c r="DK309" s="196"/>
      <c r="DL309" s="196"/>
      <c r="DM309" s="196"/>
      <c r="DN309" s="196"/>
      <c r="DO309" s="196"/>
      <c r="DP309" s="196"/>
      <c r="DQ309" s="196"/>
      <c r="DR309" s="196"/>
      <c r="DS309" s="196"/>
      <c r="DT309" s="196"/>
    </row>
    <row r="310" spans="27:139" ht="15.75" thickBot="1" x14ac:dyDescent="0.3">
      <c r="AA310" s="497" t="s">
        <v>139</v>
      </c>
      <c r="AB310" s="498"/>
      <c r="AC310" s="498"/>
      <c r="AD310" s="498"/>
      <c r="AE310" s="498"/>
      <c r="AF310" s="498"/>
      <c r="AG310" s="499"/>
      <c r="AH310" s="11">
        <v>0</v>
      </c>
      <c r="BA310" s="497" t="s">
        <v>140</v>
      </c>
      <c r="BB310" s="498"/>
      <c r="BC310" s="498"/>
      <c r="BD310" s="498"/>
      <c r="BE310" s="498"/>
      <c r="BF310" s="498"/>
      <c r="BG310" s="499"/>
      <c r="BH310" s="11">
        <v>0</v>
      </c>
      <c r="BX310" s="196"/>
      <c r="BY310" s="196"/>
      <c r="BZ310" s="196"/>
      <c r="CA310" s="497" t="s">
        <v>141</v>
      </c>
      <c r="CB310" s="498"/>
      <c r="CC310" s="498"/>
      <c r="CD310" s="498"/>
      <c r="CE310" s="498"/>
      <c r="CF310" s="498"/>
      <c r="CG310" s="499"/>
      <c r="CH310" s="323" t="s">
        <v>104</v>
      </c>
      <c r="CI310" s="196"/>
      <c r="CJ310" s="196"/>
      <c r="CK310" s="196"/>
      <c r="CL310" s="196"/>
      <c r="CM310" s="196"/>
      <c r="CN310" s="196"/>
      <c r="CO310" s="196"/>
      <c r="CP310" s="196"/>
      <c r="CQ310" s="196"/>
      <c r="CR310" s="196"/>
      <c r="CS310" s="196"/>
      <c r="CT310" s="196"/>
      <c r="CU310" s="196"/>
      <c r="CV310" s="196"/>
      <c r="CW310" s="196"/>
      <c r="CX310" s="196"/>
      <c r="CY310" s="196"/>
      <c r="CZ310" s="196"/>
      <c r="DA310" s="497" t="s">
        <v>142</v>
      </c>
      <c r="DB310" s="498"/>
      <c r="DC310" s="498"/>
      <c r="DD310" s="498"/>
      <c r="DE310" s="498"/>
      <c r="DF310" s="498"/>
      <c r="DG310" s="499"/>
      <c r="DH310" s="323" t="s">
        <v>104</v>
      </c>
      <c r="DI310" s="196"/>
      <c r="DJ310" s="196"/>
      <c r="DK310" s="196"/>
      <c r="DL310" s="196"/>
      <c r="DM310" s="196"/>
      <c r="DN310" s="196"/>
      <c r="DO310" s="196"/>
      <c r="DP310" s="196"/>
      <c r="DQ310" s="196"/>
      <c r="DR310" s="196"/>
      <c r="DS310" s="196"/>
      <c r="DT310" s="196"/>
      <c r="EA310" s="497" t="s">
        <v>355</v>
      </c>
      <c r="EB310" s="498"/>
      <c r="EC310" s="498"/>
      <c r="ED310" s="498"/>
      <c r="EE310" s="498"/>
      <c r="EF310" s="498"/>
      <c r="EG310" s="499"/>
      <c r="EH310" s="185" t="str">
        <f>IF(OR($A$3=0,$A$3="0",$EB$327=0),"0",IF($EB$327&gt;$A$3,$A$3,$EB$327))</f>
        <v>0</v>
      </c>
      <c r="EI310" s="262" t="s">
        <v>429</v>
      </c>
    </row>
    <row r="311" spans="27:139" ht="16.5" thickTop="1" thickBot="1" x14ac:dyDescent="0.3">
      <c r="AA311" s="25" t="s">
        <v>31</v>
      </c>
      <c r="AB311" s="26">
        <f>AVERAGE($AC$311:$AD$311)</f>
        <v>0</v>
      </c>
      <c r="AC311" s="35">
        <f>SUM($AC$312:$AC$321)</f>
        <v>0</v>
      </c>
      <c r="AD311" s="35">
        <f>SUM($AD$312:$AD$321)</f>
        <v>0</v>
      </c>
      <c r="AE311" s="26"/>
      <c r="AF311" s="26"/>
      <c r="AG311" s="61" t="s">
        <v>430</v>
      </c>
      <c r="AH311" s="36"/>
      <c r="AI311" s="417">
        <f>AB311*0.3</f>
        <v>0</v>
      </c>
      <c r="BA311" s="25" t="s">
        <v>31</v>
      </c>
      <c r="BB311" s="26">
        <f>AVERAGE($BC$311:$BD$311)</f>
        <v>0</v>
      </c>
      <c r="BC311" s="35">
        <f>SUM($BC$312:$BC$321)</f>
        <v>0</v>
      </c>
      <c r="BD311" s="35">
        <f>SUM($BD$312:$BD$321)</f>
        <v>0</v>
      </c>
      <c r="BE311" s="26"/>
      <c r="BF311" s="26"/>
      <c r="BG311" s="61" t="s">
        <v>430</v>
      </c>
      <c r="BH311" s="36"/>
      <c r="BX311" s="196"/>
      <c r="BY311" s="196"/>
      <c r="BZ311" s="196"/>
      <c r="CA311" s="25" t="s">
        <v>31</v>
      </c>
      <c r="CB311" s="26">
        <f>AVERAGE($CC$311:$CD$311)</f>
        <v>0</v>
      </c>
      <c r="CC311" s="35">
        <f>SUM($CC$312:$CC$321)</f>
        <v>0</v>
      </c>
      <c r="CD311" s="35">
        <f>SUM($CD$312:$CD$321)</f>
        <v>0</v>
      </c>
      <c r="CE311" s="26"/>
      <c r="CF311" s="26"/>
      <c r="CG311" s="61" t="s">
        <v>408</v>
      </c>
      <c r="CH311" s="36"/>
      <c r="CI311" s="196"/>
      <c r="CJ311" s="196"/>
      <c r="CK311" s="196"/>
      <c r="CL311" s="196"/>
      <c r="CM311" s="196"/>
      <c r="CN311" s="196"/>
      <c r="CO311" s="196"/>
      <c r="CP311" s="196"/>
      <c r="CQ311" s="196"/>
      <c r="CR311" s="196"/>
      <c r="CS311" s="196"/>
      <c r="CT311" s="196"/>
      <c r="CU311" s="196"/>
      <c r="CV311" s="196"/>
      <c r="CW311" s="196"/>
      <c r="CX311" s="196"/>
      <c r="CY311" s="196"/>
      <c r="CZ311" s="196"/>
      <c r="DA311" s="25" t="s">
        <v>31</v>
      </c>
      <c r="DB311" s="26">
        <f>AVERAGE($DC$311:$DD$311)</f>
        <v>0</v>
      </c>
      <c r="DC311" s="35">
        <f>SUM($DC$312:$DC$321)</f>
        <v>0</v>
      </c>
      <c r="DD311" s="35">
        <f>SUM($DD$312:$DD$321)</f>
        <v>0</v>
      </c>
      <c r="DE311" s="26"/>
      <c r="DF311" s="26"/>
      <c r="DG311" s="61" t="s">
        <v>408</v>
      </c>
      <c r="DH311" s="36"/>
      <c r="DI311" s="196"/>
      <c r="DJ311" s="196"/>
      <c r="DK311" s="196"/>
      <c r="DL311" s="196"/>
      <c r="DM311" s="196"/>
      <c r="DN311" s="196"/>
      <c r="DO311" s="196"/>
      <c r="DP311" s="196"/>
      <c r="DQ311" s="196"/>
      <c r="DR311" s="196"/>
      <c r="DS311" s="196"/>
      <c r="DT311" s="196"/>
      <c r="EA311" s="25" t="s">
        <v>31</v>
      </c>
      <c r="EB311" s="26">
        <f>AVERAGE($EC$311:$ED$311)</f>
        <v>0</v>
      </c>
      <c r="EC311" s="35">
        <f>SUM($EC$312:$EC$321)</f>
        <v>0</v>
      </c>
      <c r="ED311" s="35">
        <f>SUM($ED$312:$ED$321)</f>
        <v>0</v>
      </c>
      <c r="EE311" s="26"/>
      <c r="EF311" s="26"/>
      <c r="EG311" s="61" t="str">
        <f>IF($EB$327&gt;=$A$3,"El Ingreso se esta topando en base a la cantidad capturada en solicitud","")</f>
        <v>El Ingreso se esta topando en base a la cantidad capturada en solicitud</v>
      </c>
      <c r="EH311" s="36"/>
    </row>
    <row r="312" spans="27:139" ht="16.5" thickTop="1" thickBot="1" x14ac:dyDescent="0.3">
      <c r="AA312" s="27">
        <f>$B$29</f>
        <v>0.3</v>
      </c>
      <c r="AB312" s="26">
        <f>($AB$311*$AA$312)+$AB$311</f>
        <v>0</v>
      </c>
      <c r="AC312" s="18">
        <v>0</v>
      </c>
      <c r="AD312" s="18">
        <v>0</v>
      </c>
      <c r="AE312" s="26"/>
      <c r="AF312" s="26"/>
      <c r="AG312" s="26"/>
      <c r="AH312" s="36"/>
      <c r="BA312" s="27">
        <f>$B$29</f>
        <v>0.3</v>
      </c>
      <c r="BB312" s="26">
        <f>($BB$311*$BA$312)+$BB$311</f>
        <v>0</v>
      </c>
      <c r="BC312" s="18">
        <v>0</v>
      </c>
      <c r="BD312" s="18">
        <v>0</v>
      </c>
      <c r="BE312" s="26"/>
      <c r="BF312" s="26"/>
      <c r="BG312" s="26"/>
      <c r="BH312" s="36"/>
      <c r="BX312" s="196"/>
      <c r="BY312" s="196"/>
      <c r="BZ312" s="196"/>
      <c r="CA312" s="27">
        <f>$B$29</f>
        <v>0.3</v>
      </c>
      <c r="CB312" s="26">
        <f>($CB$311*$CA$312)+$CB$311</f>
        <v>0</v>
      </c>
      <c r="CC312" s="18">
        <v>0</v>
      </c>
      <c r="CD312" s="18">
        <v>0</v>
      </c>
      <c r="CE312" s="26"/>
      <c r="CF312" s="26"/>
      <c r="CG312" s="26"/>
      <c r="CH312" s="36"/>
      <c r="CI312" s="196"/>
      <c r="CJ312" s="196"/>
      <c r="CK312" s="196"/>
      <c r="CL312" s="196"/>
      <c r="CM312" s="196"/>
      <c r="CN312" s="196"/>
      <c r="CO312" s="196"/>
      <c r="CP312" s="196"/>
      <c r="CQ312" s="196"/>
      <c r="CR312" s="196"/>
      <c r="CS312" s="196"/>
      <c r="CT312" s="196"/>
      <c r="CU312" s="196"/>
      <c r="CV312" s="196"/>
      <c r="CW312" s="196"/>
      <c r="CX312" s="196"/>
      <c r="CY312" s="196"/>
      <c r="CZ312" s="196"/>
      <c r="DA312" s="27">
        <f>$B$29</f>
        <v>0.3</v>
      </c>
      <c r="DB312" s="26">
        <f>($DB$311*$DA$312)+$DB$311</f>
        <v>0</v>
      </c>
      <c r="DC312" s="18">
        <v>0</v>
      </c>
      <c r="DD312" s="18">
        <v>0</v>
      </c>
      <c r="DE312" s="26"/>
      <c r="DF312" s="26"/>
      <c r="DG312" s="26"/>
      <c r="DH312" s="36"/>
      <c r="DI312" s="196"/>
      <c r="DJ312" s="196"/>
      <c r="DK312" s="196"/>
      <c r="DL312" s="196"/>
      <c r="DM312" s="196"/>
      <c r="DN312" s="196"/>
      <c r="DO312" s="196"/>
      <c r="DP312" s="196"/>
      <c r="DQ312" s="196"/>
      <c r="DR312" s="196"/>
      <c r="DS312" s="196"/>
      <c r="DT312" s="196"/>
      <c r="EA312" s="27">
        <f>$B$29</f>
        <v>0.3</v>
      </c>
      <c r="EB312" s="26">
        <f>($EB$311*$EA$312)+$EB$311</f>
        <v>0</v>
      </c>
      <c r="EC312" s="18">
        <v>0</v>
      </c>
      <c r="ED312" s="18">
        <v>0</v>
      </c>
      <c r="EE312" s="26"/>
      <c r="EF312" s="26"/>
      <c r="EG312" s="26"/>
      <c r="EH312" s="36"/>
    </row>
    <row r="313" spans="27:139" ht="16.5" thickTop="1" thickBot="1" x14ac:dyDescent="0.3">
      <c r="AA313" s="25" t="s">
        <v>32</v>
      </c>
      <c r="AB313" s="26">
        <f>IF($AC$311&lt;$AB$312,$AC$311,$AB$312)</f>
        <v>0</v>
      </c>
      <c r="AC313" s="18">
        <v>0</v>
      </c>
      <c r="AD313" s="18">
        <v>0</v>
      </c>
      <c r="AE313" s="26"/>
      <c r="AF313" s="26"/>
      <c r="AG313" s="26"/>
      <c r="AH313" s="36"/>
      <c r="BA313" s="25" t="s">
        <v>32</v>
      </c>
      <c r="BB313" s="26">
        <f>IF($BC$311&lt;$BB$312,$BC$311,$BB$312)</f>
        <v>0</v>
      </c>
      <c r="BC313" s="18">
        <v>0</v>
      </c>
      <c r="BD313" s="18">
        <v>0</v>
      </c>
      <c r="BE313" s="26"/>
      <c r="BF313" s="26"/>
      <c r="BG313" s="26"/>
      <c r="BH313" s="36"/>
      <c r="BX313" s="196"/>
      <c r="BY313" s="196"/>
      <c r="BZ313" s="196"/>
      <c r="CA313" s="25" t="s">
        <v>32</v>
      </c>
      <c r="CB313" s="26" t="str">
        <f>IF($CC$311&lt;$CB$312,$CC$311,"")</f>
        <v/>
      </c>
      <c r="CC313" s="18">
        <v>0</v>
      </c>
      <c r="CD313" s="18">
        <v>0</v>
      </c>
      <c r="CE313" s="26"/>
      <c r="CF313" s="26"/>
      <c r="CG313" s="26"/>
      <c r="CH313" s="36"/>
      <c r="CI313" s="196"/>
      <c r="CJ313" s="196"/>
      <c r="CK313" s="196"/>
      <c r="CL313" s="196"/>
      <c r="CM313" s="196"/>
      <c r="CN313" s="196"/>
      <c r="CO313" s="196"/>
      <c r="CP313" s="196"/>
      <c r="CQ313" s="196"/>
      <c r="CR313" s="196"/>
      <c r="CS313" s="196"/>
      <c r="CT313" s="196"/>
      <c r="CU313" s="196"/>
      <c r="CV313" s="196"/>
      <c r="CW313" s="196"/>
      <c r="CX313" s="196"/>
      <c r="CY313" s="196"/>
      <c r="CZ313" s="196"/>
      <c r="DA313" s="25" t="s">
        <v>32</v>
      </c>
      <c r="DB313" s="26" t="str">
        <f>IF($DC$311&lt;$DB$312,$DC$311,"")</f>
        <v/>
      </c>
      <c r="DC313" s="18">
        <v>0</v>
      </c>
      <c r="DD313" s="18">
        <v>0</v>
      </c>
      <c r="DE313" s="26"/>
      <c r="DF313" s="26"/>
      <c r="DG313" s="26"/>
      <c r="DH313" s="36"/>
      <c r="DI313" s="196"/>
      <c r="DJ313" s="196"/>
      <c r="DK313" s="196"/>
      <c r="DL313" s="196"/>
      <c r="DM313" s="196"/>
      <c r="DN313" s="196"/>
      <c r="DO313" s="196"/>
      <c r="DP313" s="196"/>
      <c r="DQ313" s="196"/>
      <c r="DR313" s="196"/>
      <c r="DS313" s="196"/>
      <c r="DT313" s="196"/>
      <c r="EA313" s="25" t="s">
        <v>32</v>
      </c>
      <c r="EB313" s="26" t="str">
        <f>IF($EC$311&lt;$EB$312,$EC$311,"")</f>
        <v/>
      </c>
      <c r="EC313" s="18">
        <v>0</v>
      </c>
      <c r="ED313" s="18">
        <v>0</v>
      </c>
      <c r="EE313" s="26"/>
      <c r="EF313" s="26"/>
      <c r="EG313" s="26"/>
      <c r="EH313" s="36"/>
    </row>
    <row r="314" spans="27:139" ht="16.5" thickTop="1" thickBot="1" x14ac:dyDescent="0.3">
      <c r="AA314" s="25" t="s">
        <v>34</v>
      </c>
      <c r="AB314" s="26">
        <f>IF($AD$311&lt;$AB$312,$AD$311,$AB$312)</f>
        <v>0</v>
      </c>
      <c r="AC314" s="18">
        <v>0</v>
      </c>
      <c r="AD314" s="18">
        <v>0</v>
      </c>
      <c r="AE314" s="26"/>
      <c r="AF314" s="26"/>
      <c r="AG314" s="26"/>
      <c r="AH314" s="36"/>
      <c r="BA314" s="25" t="s">
        <v>34</v>
      </c>
      <c r="BB314" s="26">
        <f>IF($BD$311&lt;$BB$312,$BD$311,$BB$312)</f>
        <v>0</v>
      </c>
      <c r="BC314" s="18">
        <v>0</v>
      </c>
      <c r="BD314" s="18">
        <v>0</v>
      </c>
      <c r="BE314" s="26"/>
      <c r="BF314" s="26"/>
      <c r="BG314" s="26"/>
      <c r="BH314" s="36"/>
      <c r="BX314" s="196"/>
      <c r="BY314" s="196"/>
      <c r="BZ314" s="196"/>
      <c r="CA314" s="25" t="s">
        <v>34</v>
      </c>
      <c r="CB314" s="26" t="str">
        <f>IF($CD$311&lt;$CB$312,$CD$311,"")</f>
        <v/>
      </c>
      <c r="CC314" s="18">
        <v>0</v>
      </c>
      <c r="CD314" s="18">
        <v>0</v>
      </c>
      <c r="CE314" s="26"/>
      <c r="CF314" s="26"/>
      <c r="CG314" s="26"/>
      <c r="CH314" s="36"/>
      <c r="CI314" s="196"/>
      <c r="CJ314" s="196"/>
      <c r="CK314" s="196"/>
      <c r="CL314" s="196"/>
      <c r="CM314" s="196"/>
      <c r="CN314" s="196"/>
      <c r="CO314" s="196"/>
      <c r="CP314" s="196"/>
      <c r="CQ314" s="196"/>
      <c r="CR314" s="196"/>
      <c r="CS314" s="196"/>
      <c r="CT314" s="196"/>
      <c r="CU314" s="196"/>
      <c r="CV314" s="196"/>
      <c r="CW314" s="196"/>
      <c r="CX314" s="196"/>
      <c r="CY314" s="196"/>
      <c r="CZ314" s="196"/>
      <c r="DA314" s="25" t="s">
        <v>34</v>
      </c>
      <c r="DB314" s="26" t="str">
        <f>IF($DD$311&lt;$DB$312,$DD$311,"")</f>
        <v/>
      </c>
      <c r="DC314" s="18">
        <v>0</v>
      </c>
      <c r="DD314" s="18">
        <v>0</v>
      </c>
      <c r="DE314" s="26"/>
      <c r="DF314" s="26"/>
      <c r="DG314" s="26"/>
      <c r="DH314" s="36"/>
      <c r="DI314" s="196"/>
      <c r="DJ314" s="196"/>
      <c r="DK314" s="196"/>
      <c r="DL314" s="196"/>
      <c r="DM314" s="196"/>
      <c r="DN314" s="196"/>
      <c r="DO314" s="196"/>
      <c r="DP314" s="196"/>
      <c r="DQ314" s="196"/>
      <c r="DR314" s="196"/>
      <c r="DS314" s="196"/>
      <c r="DT314" s="196"/>
      <c r="EA314" s="25" t="s">
        <v>34</v>
      </c>
      <c r="EB314" s="26" t="str">
        <f>IF($ED$311&lt;$EB$312,$ED$311,"")</f>
        <v/>
      </c>
      <c r="EC314" s="18">
        <v>0</v>
      </c>
      <c r="ED314" s="18">
        <v>0</v>
      </c>
      <c r="EE314" s="26"/>
      <c r="EF314" s="26"/>
      <c r="EG314" s="26"/>
      <c r="EH314" s="36"/>
    </row>
    <row r="315" spans="27:139" ht="16.5" thickTop="1" thickBot="1" x14ac:dyDescent="0.3">
      <c r="AA315" s="37" t="s">
        <v>45</v>
      </c>
      <c r="AB315" s="26"/>
      <c r="AC315" s="18">
        <v>0</v>
      </c>
      <c r="AD315" s="18">
        <v>0</v>
      </c>
      <c r="AE315" s="26"/>
      <c r="AF315" s="26"/>
      <c r="AG315" s="26"/>
      <c r="AH315" s="36"/>
      <c r="BA315" s="37" t="s">
        <v>45</v>
      </c>
      <c r="BB315" s="26"/>
      <c r="BC315" s="18">
        <v>0</v>
      </c>
      <c r="BD315" s="18">
        <v>0</v>
      </c>
      <c r="BE315" s="26"/>
      <c r="BF315" s="26"/>
      <c r="BG315" s="26"/>
      <c r="BH315" s="36"/>
      <c r="BX315" s="196"/>
      <c r="BY315" s="196"/>
      <c r="BZ315" s="196"/>
      <c r="CA315" s="37" t="s">
        <v>45</v>
      </c>
      <c r="CB315" s="26"/>
      <c r="CC315" s="18">
        <v>0</v>
      </c>
      <c r="CD315" s="18">
        <v>0</v>
      </c>
      <c r="CE315" s="26"/>
      <c r="CF315" s="26"/>
      <c r="CG315" s="26"/>
      <c r="CH315" s="36"/>
      <c r="CI315" s="196"/>
      <c r="CJ315" s="196"/>
      <c r="CK315" s="196"/>
      <c r="CL315" s="196"/>
      <c r="CM315" s="196"/>
      <c r="CN315" s="196"/>
      <c r="CO315" s="196"/>
      <c r="CP315" s="196"/>
      <c r="CQ315" s="196"/>
      <c r="CR315" s="196"/>
      <c r="CS315" s="196"/>
      <c r="CT315" s="196"/>
      <c r="CU315" s="196"/>
      <c r="CV315" s="196"/>
      <c r="CW315" s="196"/>
      <c r="CX315" s="196"/>
      <c r="CY315" s="196"/>
      <c r="CZ315" s="196"/>
      <c r="DA315" s="37" t="s">
        <v>45</v>
      </c>
      <c r="DB315" s="26"/>
      <c r="DC315" s="18">
        <v>0</v>
      </c>
      <c r="DD315" s="18">
        <v>0</v>
      </c>
      <c r="DE315" s="26"/>
      <c r="DF315" s="26"/>
      <c r="DG315" s="26"/>
      <c r="DH315" s="36"/>
      <c r="DI315" s="196"/>
      <c r="DJ315" s="196"/>
      <c r="DK315" s="196"/>
      <c r="DL315" s="196"/>
      <c r="DM315" s="196"/>
      <c r="DN315" s="196"/>
      <c r="DO315" s="196"/>
      <c r="DP315" s="196"/>
      <c r="DQ315" s="196"/>
      <c r="DR315" s="196"/>
      <c r="DS315" s="196"/>
      <c r="DT315" s="196"/>
      <c r="EA315" s="37" t="s">
        <v>45</v>
      </c>
      <c r="EB315" s="26"/>
      <c r="EC315" s="18">
        <v>0</v>
      </c>
      <c r="ED315" s="18">
        <v>0</v>
      </c>
      <c r="EE315" s="26"/>
      <c r="EF315" s="26"/>
      <c r="EG315" s="26"/>
      <c r="EH315" s="36"/>
    </row>
    <row r="316" spans="27:139" ht="16.5" thickTop="1" thickBot="1" x14ac:dyDescent="0.3">
      <c r="AA316" s="37" t="s">
        <v>46</v>
      </c>
      <c r="AB316" s="26"/>
      <c r="AC316" s="18">
        <v>0</v>
      </c>
      <c r="AD316" s="18">
        <v>0</v>
      </c>
      <c r="AE316" s="26"/>
      <c r="AF316" s="26"/>
      <c r="AG316" s="26"/>
      <c r="AH316" s="36"/>
      <c r="BA316" s="37" t="s">
        <v>46</v>
      </c>
      <c r="BB316" s="26"/>
      <c r="BC316" s="18">
        <v>0</v>
      </c>
      <c r="BD316" s="18">
        <v>0</v>
      </c>
      <c r="BE316" s="26"/>
      <c r="BF316" s="26"/>
      <c r="BG316" s="26"/>
      <c r="BH316" s="36"/>
      <c r="BX316" s="196"/>
      <c r="BY316" s="196"/>
      <c r="BZ316" s="196"/>
      <c r="CA316" s="37" t="s">
        <v>46</v>
      </c>
      <c r="CB316" s="26"/>
      <c r="CC316" s="18">
        <v>0</v>
      </c>
      <c r="CD316" s="18">
        <v>0</v>
      </c>
      <c r="CE316" s="26"/>
      <c r="CF316" s="26"/>
      <c r="CG316" s="26"/>
      <c r="CH316" s="36"/>
      <c r="CI316" s="196"/>
      <c r="CJ316" s="196"/>
      <c r="CK316" s="196"/>
      <c r="CL316" s="196"/>
      <c r="CM316" s="196"/>
      <c r="CN316" s="196"/>
      <c r="CO316" s="196"/>
      <c r="CP316" s="196"/>
      <c r="CQ316" s="196"/>
      <c r="CR316" s="196"/>
      <c r="CS316" s="196"/>
      <c r="CT316" s="196"/>
      <c r="CU316" s="196"/>
      <c r="CV316" s="196"/>
      <c r="CW316" s="196"/>
      <c r="CX316" s="196"/>
      <c r="CY316" s="196"/>
      <c r="CZ316" s="196"/>
      <c r="DA316" s="37" t="s">
        <v>46</v>
      </c>
      <c r="DB316" s="26"/>
      <c r="DC316" s="18">
        <v>0</v>
      </c>
      <c r="DD316" s="18">
        <v>0</v>
      </c>
      <c r="DE316" s="26"/>
      <c r="DF316" s="26"/>
      <c r="DG316" s="26"/>
      <c r="DH316" s="36"/>
      <c r="DI316" s="196"/>
      <c r="DJ316" s="196"/>
      <c r="DK316" s="196"/>
      <c r="DL316" s="196"/>
      <c r="DM316" s="196"/>
      <c r="DN316" s="196"/>
      <c r="DO316" s="196"/>
      <c r="DP316" s="196"/>
      <c r="DQ316" s="196"/>
      <c r="DR316" s="196"/>
      <c r="DS316" s="196"/>
      <c r="DT316" s="196"/>
      <c r="EA316" s="37" t="s">
        <v>46</v>
      </c>
      <c r="EB316" s="26"/>
      <c r="EC316" s="18">
        <v>0</v>
      </c>
      <c r="ED316" s="18">
        <v>0</v>
      </c>
      <c r="EE316" s="26"/>
      <c r="EF316" s="26"/>
      <c r="EG316" s="26"/>
      <c r="EH316" s="36"/>
    </row>
    <row r="317" spans="27:139" ht="16.5" thickTop="1" thickBot="1" x14ac:dyDescent="0.3">
      <c r="AA317" s="37" t="s">
        <v>48</v>
      </c>
      <c r="AB317" s="26"/>
      <c r="AC317" s="18">
        <v>0</v>
      </c>
      <c r="AD317" s="18">
        <v>0</v>
      </c>
      <c r="AE317" s="74"/>
      <c r="AF317" s="74"/>
      <c r="AG317" s="74"/>
      <c r="AH317" s="36"/>
      <c r="BA317" s="37" t="s">
        <v>48</v>
      </c>
      <c r="BB317" s="26"/>
      <c r="BC317" s="18">
        <v>0</v>
      </c>
      <c r="BD317" s="18">
        <v>0</v>
      </c>
      <c r="BE317" s="74"/>
      <c r="BF317" s="74"/>
      <c r="BG317" s="74"/>
      <c r="BH317" s="36"/>
      <c r="BX317" s="196"/>
      <c r="BY317" s="196"/>
      <c r="BZ317" s="196"/>
      <c r="CA317" s="37" t="s">
        <v>48</v>
      </c>
      <c r="CB317" s="26"/>
      <c r="CC317" s="18">
        <v>0</v>
      </c>
      <c r="CD317" s="18">
        <v>0</v>
      </c>
      <c r="CE317" s="74"/>
      <c r="CF317" s="74"/>
      <c r="CG317" s="74"/>
      <c r="CH317" s="36"/>
      <c r="CI317" s="196"/>
      <c r="CJ317" s="196"/>
      <c r="CK317" s="196"/>
      <c r="CL317" s="196"/>
      <c r="CM317" s="196"/>
      <c r="CN317" s="196"/>
      <c r="CO317" s="196"/>
      <c r="CP317" s="196"/>
      <c r="CQ317" s="196"/>
      <c r="CR317" s="196"/>
      <c r="CS317" s="196"/>
      <c r="CT317" s="196"/>
      <c r="CU317" s="196"/>
      <c r="CV317" s="196"/>
      <c r="CW317" s="196"/>
      <c r="CX317" s="196"/>
      <c r="CY317" s="196"/>
      <c r="CZ317" s="196"/>
      <c r="DA317" s="37" t="s">
        <v>48</v>
      </c>
      <c r="DB317" s="26"/>
      <c r="DC317" s="18">
        <v>0</v>
      </c>
      <c r="DD317" s="18">
        <v>0</v>
      </c>
      <c r="DE317" s="74"/>
      <c r="DF317" s="74"/>
      <c r="DG317" s="74"/>
      <c r="DH317" s="36"/>
      <c r="DI317" s="196"/>
      <c r="DJ317" s="196"/>
      <c r="DK317" s="196"/>
      <c r="DL317" s="196"/>
      <c r="DM317" s="196"/>
      <c r="DN317" s="196"/>
      <c r="DO317" s="196"/>
      <c r="DP317" s="196"/>
      <c r="DQ317" s="196"/>
      <c r="DR317" s="196"/>
      <c r="DS317" s="196"/>
      <c r="DT317" s="196"/>
      <c r="EA317" s="37" t="s">
        <v>48</v>
      </c>
      <c r="EB317" s="26"/>
      <c r="EC317" s="18">
        <v>0</v>
      </c>
      <c r="ED317" s="18">
        <v>0</v>
      </c>
      <c r="EE317" s="74"/>
      <c r="EF317" s="74"/>
      <c r="EG317" s="74"/>
      <c r="EH317" s="36"/>
    </row>
    <row r="318" spans="27:139" ht="16.5" thickTop="1" thickBot="1" x14ac:dyDescent="0.3">
      <c r="AA318" s="37" t="s">
        <v>49</v>
      </c>
      <c r="AB318" s="26"/>
      <c r="AC318" s="18">
        <v>0</v>
      </c>
      <c r="AD318" s="18">
        <v>0</v>
      </c>
      <c r="AE318" s="26"/>
      <c r="AF318" s="26"/>
      <c r="AG318" s="26"/>
      <c r="AH318" s="36"/>
      <c r="BA318" s="37" t="s">
        <v>49</v>
      </c>
      <c r="BB318" s="26"/>
      <c r="BC318" s="18">
        <v>0</v>
      </c>
      <c r="BD318" s="18">
        <v>0</v>
      </c>
      <c r="BE318" s="26"/>
      <c r="BF318" s="26"/>
      <c r="BG318" s="26"/>
      <c r="BH318" s="36"/>
      <c r="BX318" s="196"/>
      <c r="BY318" s="196"/>
      <c r="BZ318" s="196"/>
      <c r="CA318" s="37" t="s">
        <v>49</v>
      </c>
      <c r="CB318" s="26"/>
      <c r="CC318" s="18">
        <v>0</v>
      </c>
      <c r="CD318" s="18">
        <v>0</v>
      </c>
      <c r="CE318" s="26"/>
      <c r="CF318" s="26"/>
      <c r="CG318" s="26"/>
      <c r="CH318" s="36"/>
      <c r="CI318" s="196"/>
      <c r="CJ318" s="196"/>
      <c r="CK318" s="196"/>
      <c r="CL318" s="196"/>
      <c r="CM318" s="196"/>
      <c r="CN318" s="196"/>
      <c r="CO318" s="196"/>
      <c r="CP318" s="196"/>
      <c r="CQ318" s="196"/>
      <c r="CR318" s="196"/>
      <c r="CS318" s="196"/>
      <c r="CT318" s="196"/>
      <c r="CU318" s="196"/>
      <c r="CV318" s="196"/>
      <c r="CW318" s="196"/>
      <c r="CX318" s="196"/>
      <c r="CY318" s="196"/>
      <c r="CZ318" s="196"/>
      <c r="DA318" s="37" t="s">
        <v>49</v>
      </c>
      <c r="DB318" s="26"/>
      <c r="DC318" s="18">
        <v>0</v>
      </c>
      <c r="DD318" s="18">
        <v>0</v>
      </c>
      <c r="DE318" s="26"/>
      <c r="DF318" s="26"/>
      <c r="DG318" s="26"/>
      <c r="DH318" s="36"/>
      <c r="DI318" s="196"/>
      <c r="DJ318" s="196"/>
      <c r="DK318" s="196"/>
      <c r="DL318" s="196"/>
      <c r="DM318" s="196"/>
      <c r="DN318" s="196"/>
      <c r="DO318" s="196"/>
      <c r="DP318" s="196"/>
      <c r="DQ318" s="196"/>
      <c r="DR318" s="196"/>
      <c r="DS318" s="196"/>
      <c r="DT318" s="196"/>
      <c r="EA318" s="37" t="s">
        <v>49</v>
      </c>
      <c r="EB318" s="26"/>
      <c r="EC318" s="18">
        <v>0</v>
      </c>
      <c r="ED318" s="18">
        <v>0</v>
      </c>
      <c r="EE318" s="26"/>
      <c r="EF318" s="26"/>
      <c r="EG318" s="26"/>
      <c r="EH318" s="36"/>
    </row>
    <row r="319" spans="27:139" ht="16.5" thickTop="1" thickBot="1" x14ac:dyDescent="0.3">
      <c r="AA319" s="25" t="s">
        <v>35</v>
      </c>
      <c r="AB319" s="26">
        <f>IF($AB$313&amp;$AB$314="","0",AVERAGE($AB$313:$AB$314))</f>
        <v>0</v>
      </c>
      <c r="AC319" s="18">
        <v>0</v>
      </c>
      <c r="AD319" s="18">
        <v>0</v>
      </c>
      <c r="AE319" s="26"/>
      <c r="AF319" s="149" t="str">
        <f>IF($AB$321&lt;=$AH$319,"","")</f>
        <v/>
      </c>
      <c r="AG319" s="26"/>
      <c r="AH319" s="106">
        <f>$AB$321</f>
        <v>0</v>
      </c>
      <c r="AI319" s="266" t="str">
        <f>IF(OR($A$3=0,$A$3="0",$AB$321=0),"0",IF($AB$321&gt;$A$3,$A$3,$AB$321))</f>
        <v>0</v>
      </c>
      <c r="BA319" s="25" t="s">
        <v>35</v>
      </c>
      <c r="BB319" s="26">
        <f>IF($BB$313&amp;$BB$314="","0",AVERAGE($BB$313:$BB$314))</f>
        <v>0</v>
      </c>
      <c r="BC319" s="18">
        <v>0</v>
      </c>
      <c r="BD319" s="18">
        <v>0</v>
      </c>
      <c r="BE319" s="26"/>
      <c r="BF319" s="149" t="str">
        <f>IF($BB$321&lt;=$BH$319,"","")</f>
        <v/>
      </c>
      <c r="BG319" s="26"/>
      <c r="BH319" s="106">
        <f>$BB$321</f>
        <v>0</v>
      </c>
      <c r="BX319" s="196"/>
      <c r="BY319" s="196"/>
      <c r="BZ319" s="196"/>
      <c r="CA319" s="25" t="s">
        <v>35</v>
      </c>
      <c r="CB319" s="26" t="str">
        <f>IF($CB$313&amp;$CB$314="","0",AVERAGE($CB$313:$CB$314))</f>
        <v>0</v>
      </c>
      <c r="CC319" s="18">
        <v>0</v>
      </c>
      <c r="CD319" s="18">
        <v>0</v>
      </c>
      <c r="CE319" s="26"/>
      <c r="CF319" s="149" t="str">
        <f>IF($CB$321&lt;=$CH$319,"","El Ingreso se esta topando en base a la cantidad capturada en solicitud")</f>
        <v/>
      </c>
      <c r="CG319" s="26"/>
      <c r="CH319" s="106" t="str">
        <f>IF(OR($A$3=0,$A$3="0",$CB$321=0),"0",IF($CB$321&gt;$A$3,$A$3,$CB$321))</f>
        <v>0</v>
      </c>
      <c r="CI319" s="196"/>
      <c r="CJ319" s="196"/>
      <c r="CK319" s="196"/>
      <c r="CL319" s="196"/>
      <c r="CM319" s="196"/>
      <c r="CN319" s="196"/>
      <c r="CO319" s="196"/>
      <c r="CP319" s="196"/>
      <c r="CQ319" s="196"/>
      <c r="CR319" s="196"/>
      <c r="CS319" s="196"/>
      <c r="CT319" s="196"/>
      <c r="CU319" s="196"/>
      <c r="CV319" s="196"/>
      <c r="CW319" s="196"/>
      <c r="CX319" s="196"/>
      <c r="CY319" s="196"/>
      <c r="CZ319" s="196"/>
      <c r="DA319" s="25" t="s">
        <v>35</v>
      </c>
      <c r="DB319" s="26" t="str">
        <f>IF($DB$313&amp;$DB$314="","0",AVERAGE($DB$313:$DB$314))</f>
        <v>0</v>
      </c>
      <c r="DC319" s="18">
        <v>0</v>
      </c>
      <c r="DD319" s="18">
        <v>0</v>
      </c>
      <c r="DE319" s="26"/>
      <c r="DF319" s="149" t="str">
        <f>IF($DB$321&lt;=$DH$319,"","El Ingreso se esta topando en base a la cantidad capturada en solicitud")</f>
        <v/>
      </c>
      <c r="DG319" s="26"/>
      <c r="DH319" s="106" t="str">
        <f>IF(OR($A$6=0,$A$6="0",$DB$321=0),"0",IF($DB$321&gt;$A$6,$A$6,$DB$321))</f>
        <v>0</v>
      </c>
      <c r="DI319" s="196"/>
      <c r="DJ319" s="196"/>
      <c r="DK319" s="196"/>
      <c r="DL319" s="196"/>
      <c r="DM319" s="196"/>
      <c r="DN319" s="196"/>
      <c r="DO319" s="196"/>
      <c r="DP319" s="196"/>
      <c r="DQ319" s="196"/>
      <c r="DR319" s="196"/>
      <c r="DS319" s="196"/>
      <c r="DT319" s="196"/>
      <c r="EA319" s="25" t="s">
        <v>35</v>
      </c>
      <c r="EB319" s="26" t="str">
        <f>IF($EB$313&amp;$EB$314="","0",AVERAGE($EB$313:$EB$314))</f>
        <v>0</v>
      </c>
      <c r="EC319" s="18">
        <v>0</v>
      </c>
      <c r="ED319" s="18">
        <v>0</v>
      </c>
      <c r="EE319" s="26"/>
      <c r="EF319" s="26"/>
      <c r="EG319" s="26"/>
      <c r="EH319" s="36"/>
    </row>
    <row r="320" spans="27:139" ht="16.5" thickTop="1" thickBot="1" x14ac:dyDescent="0.3">
      <c r="AA320" s="37" t="s">
        <v>50</v>
      </c>
      <c r="AB320" s="47">
        <v>1</v>
      </c>
      <c r="AC320" s="18">
        <v>0</v>
      </c>
      <c r="AD320" s="18">
        <v>0</v>
      </c>
      <c r="AE320" s="74"/>
      <c r="AF320" s="74"/>
      <c r="AG320" s="74"/>
      <c r="AH320" s="36"/>
      <c r="BA320" s="37" t="s">
        <v>50</v>
      </c>
      <c r="BB320" s="47">
        <v>1</v>
      </c>
      <c r="BC320" s="18">
        <v>0</v>
      </c>
      <c r="BD320" s="18">
        <v>0</v>
      </c>
      <c r="BE320" s="74"/>
      <c r="BF320" s="74"/>
      <c r="BG320" s="74"/>
      <c r="BH320" s="36"/>
      <c r="BX320" s="196"/>
      <c r="BY320" s="196"/>
      <c r="BZ320" s="196"/>
      <c r="CA320" s="37" t="s">
        <v>50</v>
      </c>
      <c r="CB320" s="47">
        <v>1</v>
      </c>
      <c r="CC320" s="18">
        <v>0</v>
      </c>
      <c r="CD320" s="18">
        <v>0</v>
      </c>
      <c r="CE320" s="74"/>
      <c r="CF320" s="74"/>
      <c r="CG320" s="74"/>
      <c r="CH320" s="36"/>
      <c r="CI320" s="196"/>
      <c r="CJ320" s="196"/>
      <c r="CK320" s="196"/>
      <c r="CL320" s="196"/>
      <c r="CM320" s="196"/>
      <c r="CN320" s="196"/>
      <c r="CO320" s="196"/>
      <c r="CP320" s="196"/>
      <c r="CQ320" s="196"/>
      <c r="CR320" s="196"/>
      <c r="CS320" s="196"/>
      <c r="CT320" s="196"/>
      <c r="CU320" s="196"/>
      <c r="CV320" s="196"/>
      <c r="CW320" s="196"/>
      <c r="CX320" s="196"/>
      <c r="CY320" s="196"/>
      <c r="CZ320" s="196"/>
      <c r="DA320" s="37" t="s">
        <v>50</v>
      </c>
      <c r="DB320" s="47">
        <v>1</v>
      </c>
      <c r="DC320" s="18">
        <v>0</v>
      </c>
      <c r="DD320" s="18">
        <v>0</v>
      </c>
      <c r="DE320" s="74"/>
      <c r="DF320" s="74"/>
      <c r="DG320" s="74"/>
      <c r="DH320" s="36"/>
      <c r="DI320" s="196"/>
      <c r="DJ320" s="196"/>
      <c r="DK320" s="196"/>
      <c r="DL320" s="196"/>
      <c r="DM320" s="196"/>
      <c r="DN320" s="196"/>
      <c r="DO320" s="196"/>
      <c r="DP320" s="196"/>
      <c r="DQ320" s="196"/>
      <c r="DR320" s="196"/>
      <c r="DS320" s="196"/>
      <c r="DT320" s="196"/>
      <c r="EA320" s="27">
        <f>$B$58</f>
        <v>0.9</v>
      </c>
      <c r="EB320" s="176">
        <f>$A$3*$EA$320</f>
        <v>0</v>
      </c>
      <c r="EC320" s="18">
        <v>0</v>
      </c>
      <c r="ED320" s="18">
        <v>0</v>
      </c>
      <c r="EE320" s="74"/>
      <c r="EF320" s="26"/>
      <c r="EG320" s="74"/>
      <c r="EH320" s="36"/>
    </row>
    <row r="321" spans="27:140" ht="16.5" thickTop="1" thickBot="1" x14ac:dyDescent="0.3">
      <c r="AA321" s="53" t="s">
        <v>54</v>
      </c>
      <c r="AB321" s="5">
        <f>$AB$319*$AB$320</f>
        <v>0</v>
      </c>
      <c r="AC321" s="63">
        <v>0</v>
      </c>
      <c r="AD321" s="18">
        <v>0</v>
      </c>
      <c r="AE321" s="26"/>
      <c r="AF321" s="149" t="str">
        <f>IF($AB$323&lt;=$AH$321,"","")</f>
        <v/>
      </c>
      <c r="AG321" s="26"/>
      <c r="AH321" s="106">
        <f>$AB$323</f>
        <v>0</v>
      </c>
      <c r="AI321" s="266" t="str">
        <f>IF(OR($A$3=0,$A$3="0",$AB$323=0),"0",IF($AB$323&gt;$A$3,$A$3,$AB$323))</f>
        <v>0</v>
      </c>
      <c r="BA321" s="53" t="s">
        <v>54</v>
      </c>
      <c r="BB321" s="5">
        <f>$BB$319*$BB$320</f>
        <v>0</v>
      </c>
      <c r="BC321" s="63">
        <v>0</v>
      </c>
      <c r="BD321" s="18">
        <v>0</v>
      </c>
      <c r="BE321" s="26"/>
      <c r="BF321" s="149" t="str">
        <f>IF($BB$323&lt;=$BH$321,"","")</f>
        <v/>
      </c>
      <c r="BG321" s="26"/>
      <c r="BH321" s="106">
        <f>$BB$323</f>
        <v>0</v>
      </c>
      <c r="BX321" s="196"/>
      <c r="BY321" s="196"/>
      <c r="BZ321" s="196"/>
      <c r="CA321" s="53" t="s">
        <v>54</v>
      </c>
      <c r="CB321" s="5">
        <f>$CB$319*$CB$320</f>
        <v>0</v>
      </c>
      <c r="CC321" s="63">
        <v>0</v>
      </c>
      <c r="CD321" s="18">
        <v>0</v>
      </c>
      <c r="CE321" s="26"/>
      <c r="CF321" s="149" t="str">
        <f>IF($CB$323&lt;=$CH$321,"","El Ingreso se esta topando en base a la cantidad capturada en solicitud")</f>
        <v/>
      </c>
      <c r="CG321" s="26"/>
      <c r="CH321" s="106" t="str">
        <f>IF(OR($A$3=0,$A$3="0",$CB$323=0),"0",IF($CB$323&gt;$A$3,$A$3,$CB$323))</f>
        <v>0</v>
      </c>
      <c r="CI321" s="196"/>
      <c r="CJ321" s="196"/>
      <c r="CK321" s="196"/>
      <c r="CL321" s="196"/>
      <c r="CM321" s="196"/>
      <c r="CN321" s="196"/>
      <c r="CO321" s="196"/>
      <c r="CP321" s="196"/>
      <c r="CQ321" s="196"/>
      <c r="CR321" s="196"/>
      <c r="CS321" s="196"/>
      <c r="CT321" s="196"/>
      <c r="CU321" s="196"/>
      <c r="CV321" s="196"/>
      <c r="CW321" s="196"/>
      <c r="CX321" s="196"/>
      <c r="CY321" s="196"/>
      <c r="CZ321" s="196"/>
      <c r="DA321" s="53" t="s">
        <v>54</v>
      </c>
      <c r="DB321" s="5">
        <f>$DB$319*$DB$320</f>
        <v>0</v>
      </c>
      <c r="DC321" s="63">
        <v>0</v>
      </c>
      <c r="DD321" s="18">
        <v>0</v>
      </c>
      <c r="DE321" s="26"/>
      <c r="DF321" s="149" t="str">
        <f>IF($DB$323&lt;=$DH$321,"","El Ingreso se esta topando en base a la cantidad capturada en solicitud")</f>
        <v/>
      </c>
      <c r="DG321" s="26"/>
      <c r="DH321" s="106" t="str">
        <f>IF(OR($A$6=0,$A$6="0",$DB$323=0),"0",IF($DB$323&gt;$A$6,$A$6,$DB$323))</f>
        <v>0</v>
      </c>
      <c r="DI321" s="196"/>
      <c r="DJ321" s="196"/>
      <c r="DK321" s="196"/>
      <c r="DL321" s="196"/>
      <c r="DM321" s="196"/>
      <c r="DN321" s="196"/>
      <c r="DO321" s="196"/>
      <c r="DP321" s="196"/>
      <c r="DQ321" s="196"/>
      <c r="DR321" s="196"/>
      <c r="DS321" s="196"/>
      <c r="DT321" s="196"/>
      <c r="EA321" s="53" t="s">
        <v>390</v>
      </c>
      <c r="EB321" s="26" t="str">
        <f>IF($EB$319="0","0",IF($EB$319="0","0",$EE$321))</f>
        <v>0</v>
      </c>
      <c r="EC321" s="18">
        <v>0</v>
      </c>
      <c r="ED321" s="18">
        <v>0</v>
      </c>
      <c r="EE321" s="177">
        <f>IF($EB$319&gt;=$EB$320,$A$3,$EB$319)</f>
        <v>0</v>
      </c>
      <c r="EF321" s="26"/>
      <c r="EG321" s="74"/>
      <c r="EH321" s="36"/>
    </row>
    <row r="322" spans="27:140" ht="16.5" thickTop="1" thickBot="1" x14ac:dyDescent="0.3">
      <c r="AA322" s="37" t="s">
        <v>102</v>
      </c>
      <c r="AB322" s="26"/>
      <c r="AC322" s="26"/>
      <c r="AD322" s="26"/>
      <c r="AE322" s="26"/>
      <c r="AF322" s="26"/>
      <c r="AG322" s="26"/>
      <c r="AH322" s="36"/>
      <c r="BA322" s="37" t="s">
        <v>102</v>
      </c>
      <c r="BB322" s="26"/>
      <c r="BC322" s="26"/>
      <c r="BD322" s="26"/>
      <c r="BE322" s="26"/>
      <c r="BF322" s="26"/>
      <c r="BG322" s="26"/>
      <c r="BH322" s="36"/>
      <c r="BX322" s="196"/>
      <c r="BY322" s="196"/>
      <c r="BZ322" s="196"/>
      <c r="CA322" s="37" t="s">
        <v>102</v>
      </c>
      <c r="CB322" s="26"/>
      <c r="CC322" s="26"/>
      <c r="CD322" s="26"/>
      <c r="CE322" s="26"/>
      <c r="CF322" s="26"/>
      <c r="CG322" s="26"/>
      <c r="CH322" s="36"/>
      <c r="CI322" s="196"/>
      <c r="CJ322" s="196"/>
      <c r="CK322" s="196"/>
      <c r="CL322" s="196"/>
      <c r="CM322" s="196"/>
      <c r="CN322" s="196"/>
      <c r="CO322" s="196"/>
      <c r="CP322" s="196"/>
      <c r="CQ322" s="196"/>
      <c r="CR322" s="196"/>
      <c r="CS322" s="196"/>
      <c r="CT322" s="196"/>
      <c r="CU322" s="196"/>
      <c r="CV322" s="196"/>
      <c r="CW322" s="196"/>
      <c r="CX322" s="196"/>
      <c r="CY322" s="196"/>
      <c r="CZ322" s="196"/>
      <c r="DA322" s="37" t="s">
        <v>102</v>
      </c>
      <c r="DB322" s="26"/>
      <c r="DC322" s="26"/>
      <c r="DD322" s="26"/>
      <c r="DE322" s="26"/>
      <c r="DF322" s="26"/>
      <c r="DG322" s="26"/>
      <c r="DH322" s="36"/>
      <c r="DI322" s="196"/>
      <c r="DJ322" s="196"/>
      <c r="DK322" s="196"/>
      <c r="DL322" s="196"/>
      <c r="DM322" s="196"/>
      <c r="DN322" s="196"/>
      <c r="DO322" s="196"/>
      <c r="DP322" s="196"/>
      <c r="DQ322" s="196"/>
      <c r="DR322" s="196"/>
      <c r="DS322" s="196"/>
      <c r="DT322" s="196"/>
      <c r="EA322" s="23" t="s">
        <v>426</v>
      </c>
      <c r="EB322" s="26">
        <f>IF($EA$322="PJ",($EB$321*0.25),0)</f>
        <v>0</v>
      </c>
      <c r="EC322" s="74"/>
      <c r="ED322" s="74"/>
      <c r="EE322" s="74"/>
      <c r="EF322" s="26"/>
      <c r="EG322" s="74"/>
      <c r="EH322" s="36"/>
    </row>
    <row r="323" spans="27:140" ht="16.5" thickTop="1" thickBot="1" x14ac:dyDescent="0.3">
      <c r="AA323" s="41" t="s">
        <v>103</v>
      </c>
      <c r="AB323" s="87">
        <f>$AB$321+$AC$323</f>
        <v>0</v>
      </c>
      <c r="AC323" s="107">
        <f>$AB$321*0.25</f>
        <v>0</v>
      </c>
      <c r="AD323" s="31"/>
      <c r="AE323" s="31"/>
      <c r="AF323" s="31"/>
      <c r="AG323" s="31"/>
      <c r="AH323" s="43"/>
      <c r="BA323" s="41" t="s">
        <v>103</v>
      </c>
      <c r="BB323" s="87">
        <f>$BB$321+$BC$323</f>
        <v>0</v>
      </c>
      <c r="BC323" s="107">
        <f>$BB$321*0.25</f>
        <v>0</v>
      </c>
      <c r="BD323" s="31"/>
      <c r="BE323" s="31"/>
      <c r="BF323" s="31"/>
      <c r="BG323" s="31"/>
      <c r="BH323" s="43"/>
      <c r="BX323" s="196"/>
      <c r="BY323" s="196"/>
      <c r="BZ323" s="196"/>
      <c r="CA323" s="41" t="s">
        <v>103</v>
      </c>
      <c r="CB323" s="87">
        <f>$CB$321+$CC$323</f>
        <v>0</v>
      </c>
      <c r="CC323" s="107">
        <f>$CB$321*0.25</f>
        <v>0</v>
      </c>
      <c r="CD323" s="31"/>
      <c r="CE323" s="31"/>
      <c r="CF323" s="31"/>
      <c r="CG323" s="31"/>
      <c r="CH323" s="43"/>
      <c r="CI323" s="196"/>
      <c r="CJ323" s="196"/>
      <c r="CK323" s="196"/>
      <c r="CL323" s="196"/>
      <c r="CM323" s="196"/>
      <c r="CN323" s="196"/>
      <c r="CO323" s="196"/>
      <c r="CP323" s="196"/>
      <c r="CQ323" s="196"/>
      <c r="CR323" s="196"/>
      <c r="CS323" s="196"/>
      <c r="CT323" s="196"/>
      <c r="CU323" s="196"/>
      <c r="CV323" s="196"/>
      <c r="CW323" s="196"/>
      <c r="CX323" s="196"/>
      <c r="CY323" s="196"/>
      <c r="CZ323" s="196"/>
      <c r="DA323" s="41" t="s">
        <v>103</v>
      </c>
      <c r="DB323" s="87">
        <f>$DB$321+$DC$323</f>
        <v>0</v>
      </c>
      <c r="DC323" s="107">
        <f>$DB$321*0.25</f>
        <v>0</v>
      </c>
      <c r="DD323" s="31"/>
      <c r="DE323" s="31"/>
      <c r="DF323" s="31"/>
      <c r="DG323" s="31"/>
      <c r="DH323" s="43"/>
      <c r="DI323" s="196"/>
      <c r="DJ323" s="196"/>
      <c r="DK323" s="196"/>
      <c r="DL323" s="196"/>
      <c r="DM323" s="196"/>
      <c r="DN323" s="196"/>
      <c r="DO323" s="196"/>
      <c r="DP323" s="196"/>
      <c r="DQ323" s="196"/>
      <c r="DR323" s="196"/>
      <c r="DS323" s="196"/>
      <c r="DT323" s="196"/>
      <c r="EA323" s="25" t="s">
        <v>64</v>
      </c>
      <c r="EB323" s="109">
        <v>0</v>
      </c>
      <c r="EC323" s="74"/>
      <c r="ED323" s="74"/>
      <c r="EE323" s="74"/>
      <c r="EF323" s="26"/>
      <c r="EG323" s="74"/>
      <c r="EH323" s="36"/>
      <c r="EJ323" s="164"/>
    </row>
    <row r="324" spans="27:140" ht="16.5" thickTop="1" thickBot="1" x14ac:dyDescent="0.3">
      <c r="BX324" s="196"/>
      <c r="BY324" s="196"/>
      <c r="BZ324" s="196"/>
      <c r="CA324" s="196"/>
      <c r="CB324" s="196"/>
      <c r="CC324" s="196"/>
      <c r="CD324" s="196"/>
      <c r="CE324" s="196"/>
      <c r="CF324" s="196"/>
      <c r="CG324" s="196"/>
      <c r="CH324" s="196"/>
      <c r="CI324" s="196"/>
      <c r="CJ324" s="196"/>
      <c r="CK324" s="196"/>
      <c r="CL324" s="196"/>
      <c r="CM324" s="196"/>
      <c r="CN324" s="196"/>
      <c r="CO324" s="196"/>
      <c r="CP324" s="196"/>
      <c r="CQ324" s="196"/>
      <c r="CR324" s="196"/>
      <c r="CS324" s="196"/>
      <c r="CT324" s="196"/>
      <c r="CU324" s="196"/>
      <c r="CV324" s="196"/>
      <c r="CW324" s="196"/>
      <c r="CX324" s="196"/>
      <c r="CY324" s="196"/>
      <c r="CZ324" s="196"/>
      <c r="DA324" s="196"/>
      <c r="DB324" s="196"/>
      <c r="DC324" s="196"/>
      <c r="DD324" s="196"/>
      <c r="DE324" s="196"/>
      <c r="DF324" s="196"/>
      <c r="DG324" s="196"/>
      <c r="DH324" s="196"/>
      <c r="DI324" s="196"/>
      <c r="DJ324" s="196"/>
      <c r="DK324" s="196"/>
      <c r="DL324" s="196"/>
      <c r="DM324" s="196"/>
      <c r="DN324" s="196"/>
      <c r="DO324" s="196"/>
      <c r="DP324" s="196"/>
      <c r="DQ324" s="196"/>
      <c r="DR324" s="196"/>
      <c r="DS324" s="196"/>
      <c r="DT324" s="196"/>
      <c r="EA324" s="53" t="s">
        <v>369</v>
      </c>
      <c r="EB324" s="177">
        <f>$EB$321+$EB$322+$EB$323</f>
        <v>0</v>
      </c>
      <c r="EC324" s="26"/>
      <c r="ED324" s="26"/>
      <c r="EE324" s="26"/>
      <c r="EF324" s="26"/>
      <c r="EG324" s="74"/>
      <c r="EH324" s="36"/>
      <c r="EJ324" s="164"/>
    </row>
    <row r="325" spans="27:140" ht="16.5" thickTop="1" thickBot="1" x14ac:dyDescent="0.3">
      <c r="BX325" s="196"/>
      <c r="BY325" s="196"/>
      <c r="BZ325" s="196"/>
      <c r="CA325" s="196"/>
      <c r="CB325" s="196"/>
      <c r="CC325" s="196"/>
      <c r="CD325" s="196"/>
      <c r="CE325" s="196"/>
      <c r="CF325" s="196"/>
      <c r="CG325" s="196"/>
      <c r="CH325" s="196"/>
      <c r="CI325" s="196"/>
      <c r="CJ325" s="196"/>
      <c r="CK325" s="196"/>
      <c r="CL325" s="196"/>
      <c r="CM325" s="196"/>
      <c r="CN325" s="196"/>
      <c r="CO325" s="196"/>
      <c r="CP325" s="196"/>
      <c r="CQ325" s="196"/>
      <c r="CR325" s="196"/>
      <c r="CS325" s="196"/>
      <c r="CT325" s="196"/>
      <c r="CU325" s="196"/>
      <c r="CV325" s="196"/>
      <c r="CW325" s="196"/>
      <c r="CX325" s="196"/>
      <c r="CY325" s="196"/>
      <c r="CZ325" s="196"/>
      <c r="DA325" s="196"/>
      <c r="DB325" s="196"/>
      <c r="DC325" s="196"/>
      <c r="DD325" s="196"/>
      <c r="DE325" s="196"/>
      <c r="DF325" s="196"/>
      <c r="DG325" s="196"/>
      <c r="DH325" s="196"/>
      <c r="DI325" s="196"/>
      <c r="DJ325" s="196"/>
      <c r="DK325" s="196"/>
      <c r="DL325" s="196"/>
      <c r="DM325" s="196"/>
      <c r="DN325" s="196"/>
      <c r="DO325" s="196"/>
      <c r="DP325" s="196"/>
      <c r="DQ325" s="196"/>
      <c r="DR325" s="196"/>
      <c r="DS325" s="196"/>
      <c r="DT325" s="196"/>
      <c r="EA325" s="41" t="s">
        <v>368</v>
      </c>
      <c r="EB325" s="183">
        <f>IF($EB$324&lt;=18000,($EB$324*1.05),IF(AND($EB$324&gt;=18001,$EB$324&lt;=40000),$EB$324,IF(AND($EB$324&gt;=40001,$EB$324&lt;=70000),$EB$324-($EB$324*0.1),IF($EB$324&gt;=70001,($EB$324-($EB$324*0.2))))))</f>
        <v>0</v>
      </c>
      <c r="EC325" s="31"/>
      <c r="ED325" s="31"/>
      <c r="EE325" s="31"/>
      <c r="EF325" s="26"/>
      <c r="EG325" s="74"/>
      <c r="EH325" s="36"/>
      <c r="EJ325" s="164"/>
    </row>
    <row r="326" spans="27:140" ht="16.5" thickTop="1" thickBot="1" x14ac:dyDescent="0.3">
      <c r="BX326" s="196"/>
      <c r="BY326" s="196"/>
      <c r="BZ326" s="196"/>
      <c r="CA326" s="196"/>
      <c r="CB326" s="196"/>
      <c r="CC326" s="196"/>
      <c r="CD326" s="196"/>
      <c r="CE326" s="196"/>
      <c r="CF326" s="196"/>
      <c r="CG326" s="196"/>
      <c r="CH326" s="196"/>
      <c r="CI326" s="196"/>
      <c r="CJ326" s="196"/>
      <c r="CK326" s="196"/>
      <c r="CL326" s="196"/>
      <c r="CM326" s="196"/>
      <c r="CN326" s="196"/>
      <c r="CO326" s="196"/>
      <c r="CP326" s="196"/>
      <c r="CQ326" s="196"/>
      <c r="CR326" s="196"/>
      <c r="CS326" s="196"/>
      <c r="CT326" s="196"/>
      <c r="CU326" s="196"/>
      <c r="CV326" s="196"/>
      <c r="CW326" s="196"/>
      <c r="CX326" s="196"/>
      <c r="CY326" s="196"/>
      <c r="CZ326" s="196"/>
      <c r="DA326" s="196"/>
      <c r="DB326" s="196"/>
      <c r="DC326" s="196"/>
      <c r="DD326" s="196"/>
      <c r="DE326" s="196"/>
      <c r="DF326" s="196"/>
      <c r="DG326" s="196"/>
      <c r="DH326" s="196"/>
      <c r="DI326" s="196"/>
      <c r="DJ326" s="196"/>
      <c r="DK326" s="196"/>
      <c r="DL326" s="196"/>
      <c r="DM326" s="196"/>
      <c r="DN326" s="196"/>
      <c r="DO326" s="196"/>
      <c r="DP326" s="196"/>
      <c r="DQ326" s="196"/>
      <c r="DR326" s="196"/>
      <c r="DS326" s="196"/>
      <c r="DT326" s="196"/>
      <c r="DZ326" s="164"/>
      <c r="EA326" s="37"/>
      <c r="EB326" s="62"/>
      <c r="EC326" s="31"/>
      <c r="ED326" s="31"/>
      <c r="EE326" s="31"/>
      <c r="EF326" s="26"/>
      <c r="EG326" s="74"/>
      <c r="EH326" s="36"/>
      <c r="EI326" s="164"/>
      <c r="EJ326" s="164"/>
    </row>
    <row r="327" spans="27:140" ht="16.5" thickTop="1" thickBot="1" x14ac:dyDescent="0.3">
      <c r="BX327" s="196"/>
      <c r="BY327" s="196"/>
      <c r="BZ327" s="196"/>
      <c r="CA327" s="196"/>
      <c r="CB327" s="196"/>
      <c r="CC327" s="196"/>
      <c r="CD327" s="196"/>
      <c r="CE327" s="196"/>
      <c r="CF327" s="196"/>
      <c r="CG327" s="196"/>
      <c r="CH327" s="196"/>
      <c r="CI327" s="196"/>
      <c r="CJ327" s="196"/>
      <c r="CK327" s="196"/>
      <c r="CL327" s="196"/>
      <c r="CM327" s="196"/>
      <c r="CN327" s="196"/>
      <c r="CO327" s="196"/>
      <c r="CP327" s="196"/>
      <c r="CQ327" s="196"/>
      <c r="CR327" s="196"/>
      <c r="CS327" s="196"/>
      <c r="CT327" s="196"/>
      <c r="CU327" s="196"/>
      <c r="CV327" s="196"/>
      <c r="CW327" s="196"/>
      <c r="CX327" s="196"/>
      <c r="CY327" s="196"/>
      <c r="CZ327" s="196"/>
      <c r="DA327" s="196"/>
      <c r="DB327" s="196"/>
      <c r="DC327" s="196"/>
      <c r="DD327" s="196"/>
      <c r="DE327" s="196"/>
      <c r="DF327" s="196"/>
      <c r="DG327" s="196"/>
      <c r="DH327" s="196"/>
      <c r="DI327" s="196"/>
      <c r="DJ327" s="196"/>
      <c r="DK327" s="196"/>
      <c r="DL327" s="196"/>
      <c r="DM327" s="196"/>
      <c r="DN327" s="196"/>
      <c r="DO327" s="196"/>
      <c r="DP327" s="196"/>
      <c r="DQ327" s="196"/>
      <c r="DR327" s="196"/>
      <c r="DS327" s="196"/>
      <c r="DT327" s="196"/>
      <c r="EA327" s="184" t="s">
        <v>369</v>
      </c>
      <c r="EB327" s="42">
        <f>VLOOKUP($EA$327,$EA$324:$EB$325,2,0)</f>
        <v>0</v>
      </c>
      <c r="EC327" s="100"/>
      <c r="ED327" s="31"/>
      <c r="EE327" s="31"/>
      <c r="EF327" s="31"/>
      <c r="EG327" s="31"/>
      <c r="EH327" s="43" t="s">
        <v>318</v>
      </c>
      <c r="EJ327" s="164"/>
    </row>
    <row r="328" spans="27:140" x14ac:dyDescent="0.25">
      <c r="AC328" s="73"/>
      <c r="AD328" s="73"/>
      <c r="BX328" s="196"/>
      <c r="BY328" s="196"/>
      <c r="BZ328" s="196"/>
      <c r="CA328" s="196"/>
      <c r="CB328" s="196"/>
      <c r="CC328" s="196"/>
      <c r="CD328" s="196"/>
      <c r="CE328" s="196"/>
      <c r="CF328" s="196"/>
      <c r="CG328" s="196"/>
      <c r="CH328" s="196"/>
      <c r="CI328" s="196"/>
      <c r="CJ328" s="196"/>
      <c r="CK328" s="196"/>
      <c r="CL328" s="196"/>
      <c r="CM328" s="196"/>
      <c r="CN328" s="196"/>
      <c r="CO328" s="196"/>
      <c r="CP328" s="196"/>
      <c r="CQ328" s="196"/>
      <c r="CR328" s="196"/>
      <c r="CS328" s="196"/>
      <c r="CT328" s="196"/>
      <c r="CU328" s="196"/>
      <c r="CV328" s="196"/>
      <c r="CW328" s="196"/>
      <c r="CX328" s="196"/>
      <c r="CY328" s="196"/>
      <c r="CZ328" s="196"/>
      <c r="DA328" s="196"/>
      <c r="DB328" s="196"/>
      <c r="DC328" s="196"/>
      <c r="DD328" s="196"/>
      <c r="DE328" s="196"/>
      <c r="DF328" s="196"/>
      <c r="DG328" s="196"/>
      <c r="DH328" s="196"/>
      <c r="DI328" s="196"/>
      <c r="DJ328" s="196"/>
      <c r="DK328" s="196"/>
      <c r="DL328" s="196"/>
      <c r="DM328" s="196"/>
      <c r="DN328" s="196"/>
      <c r="DO328" s="196"/>
      <c r="DP328" s="196"/>
      <c r="DQ328" s="196"/>
      <c r="DR328" s="196"/>
      <c r="DS328" s="196"/>
      <c r="DT328" s="196"/>
      <c r="EA328" s="164"/>
      <c r="EB328" s="164"/>
      <c r="EC328" s="164"/>
      <c r="ED328" s="164"/>
      <c r="EE328" s="164"/>
      <c r="EF328" s="164"/>
      <c r="EG328" s="164"/>
      <c r="EH328" s="164"/>
    </row>
    <row r="329" spans="27:140" x14ac:dyDescent="0.25">
      <c r="AC329" s="73"/>
      <c r="AD329" s="73"/>
      <c r="BX329" s="196"/>
      <c r="BY329" s="196"/>
      <c r="BZ329" s="196"/>
      <c r="CA329" s="196"/>
      <c r="CB329" s="196"/>
      <c r="CC329" s="196"/>
      <c r="CD329" s="196"/>
      <c r="CE329" s="196"/>
      <c r="CF329" s="196"/>
      <c r="CG329" s="196"/>
      <c r="CH329" s="196"/>
      <c r="CI329" s="196"/>
      <c r="CJ329" s="196"/>
      <c r="CK329" s="196"/>
      <c r="CL329" s="196"/>
      <c r="CM329" s="196"/>
      <c r="CN329" s="196"/>
      <c r="CO329" s="196"/>
      <c r="CP329" s="196"/>
      <c r="CQ329" s="196"/>
      <c r="CR329" s="196"/>
      <c r="CS329" s="196"/>
      <c r="CT329" s="196"/>
      <c r="CU329" s="196"/>
      <c r="CV329" s="196"/>
      <c r="CW329" s="196"/>
      <c r="CX329" s="196"/>
      <c r="CY329" s="196"/>
      <c r="CZ329" s="196"/>
      <c r="DA329" s="196"/>
      <c r="DB329" s="196"/>
      <c r="DC329" s="196"/>
      <c r="DD329" s="196"/>
      <c r="DE329" s="196"/>
      <c r="DF329" s="196"/>
      <c r="DG329" s="196"/>
      <c r="DH329" s="196"/>
      <c r="DI329" s="196"/>
      <c r="DJ329" s="196"/>
      <c r="DK329" s="196"/>
      <c r="DL329" s="196"/>
      <c r="DM329" s="196"/>
      <c r="DN329" s="196"/>
      <c r="DO329" s="196"/>
      <c r="DP329" s="196"/>
      <c r="DQ329" s="196"/>
      <c r="DR329" s="196"/>
      <c r="DS329" s="196"/>
      <c r="DT329" s="196"/>
      <c r="EA329" s="164"/>
      <c r="EB329" s="164"/>
      <c r="EC329" s="164"/>
      <c r="ED329" s="164"/>
      <c r="EE329" s="164"/>
      <c r="EF329" s="164"/>
      <c r="EG329" s="164"/>
      <c r="EH329" s="164"/>
    </row>
    <row r="330" spans="27:140" x14ac:dyDescent="0.25">
      <c r="BX330" s="196"/>
      <c r="BY330" s="196"/>
      <c r="BZ330" s="196"/>
      <c r="CA330" s="196"/>
      <c r="CB330" s="196"/>
      <c r="CC330" s="196"/>
      <c r="CD330" s="196"/>
      <c r="CE330" s="196"/>
      <c r="CF330" s="196"/>
      <c r="CG330" s="196"/>
      <c r="CH330" s="196"/>
      <c r="CI330" s="196"/>
      <c r="CJ330" s="196"/>
      <c r="CK330" s="196"/>
      <c r="CL330" s="196"/>
      <c r="CM330" s="196"/>
      <c r="CN330" s="196"/>
      <c r="CO330" s="196"/>
      <c r="CP330" s="196"/>
      <c r="CQ330" s="196"/>
      <c r="CR330" s="196"/>
      <c r="CS330" s="196"/>
      <c r="CT330" s="196"/>
      <c r="CU330" s="196"/>
      <c r="CV330" s="196"/>
      <c r="CW330" s="196"/>
      <c r="CX330" s="196"/>
      <c r="CY330" s="196"/>
      <c r="CZ330" s="196"/>
      <c r="DA330" s="196"/>
      <c r="DB330" s="196"/>
      <c r="DC330" s="196"/>
      <c r="DD330" s="196"/>
      <c r="DE330" s="196"/>
      <c r="DF330" s="196"/>
      <c r="DG330" s="196"/>
      <c r="DH330" s="196"/>
      <c r="DI330" s="196"/>
      <c r="DJ330" s="196"/>
      <c r="DK330" s="196"/>
      <c r="DL330" s="196"/>
      <c r="DM330" s="196"/>
      <c r="DN330" s="196"/>
      <c r="DO330" s="196"/>
      <c r="DP330" s="196"/>
      <c r="DQ330" s="196"/>
      <c r="DR330" s="196"/>
      <c r="DS330" s="196"/>
      <c r="DT330" s="196"/>
      <c r="EA330" s="164"/>
      <c r="EB330" s="164"/>
      <c r="EC330" s="164"/>
      <c r="ED330" s="164"/>
      <c r="EE330" s="164"/>
      <c r="EF330" s="164"/>
      <c r="EG330" s="164"/>
      <c r="EH330" s="164"/>
    </row>
    <row r="331" spans="27:140" x14ac:dyDescent="0.25">
      <c r="BX331" s="196"/>
      <c r="BY331" s="196"/>
      <c r="BZ331" s="196"/>
      <c r="CA331" s="196"/>
      <c r="CB331" s="196"/>
      <c r="CC331" s="196"/>
      <c r="CD331" s="196"/>
      <c r="CE331" s="196"/>
      <c r="CF331" s="196"/>
      <c r="CG331" s="196"/>
      <c r="CH331" s="196"/>
      <c r="CI331" s="196"/>
      <c r="CJ331" s="196"/>
      <c r="CK331" s="196"/>
      <c r="CL331" s="196"/>
      <c r="CM331" s="196"/>
      <c r="CN331" s="196"/>
      <c r="CO331" s="196"/>
      <c r="CP331" s="196"/>
      <c r="CQ331" s="196"/>
      <c r="CR331" s="196"/>
      <c r="CS331" s="196"/>
      <c r="CT331" s="196"/>
      <c r="CU331" s="196"/>
      <c r="CV331" s="196"/>
      <c r="CW331" s="196"/>
      <c r="CX331" s="196"/>
      <c r="CY331" s="196"/>
      <c r="CZ331" s="196"/>
      <c r="DA331" s="196"/>
      <c r="DB331" s="196"/>
      <c r="DC331" s="196"/>
      <c r="DD331" s="196"/>
      <c r="DE331" s="196"/>
      <c r="DF331" s="196"/>
      <c r="DG331" s="196"/>
      <c r="DH331" s="196"/>
      <c r="DI331" s="196"/>
      <c r="DJ331" s="196"/>
      <c r="DK331" s="196"/>
      <c r="DL331" s="196"/>
      <c r="DM331" s="196"/>
      <c r="DN331" s="196"/>
      <c r="DO331" s="196"/>
      <c r="DP331" s="196"/>
      <c r="DQ331" s="196"/>
      <c r="DR331" s="196"/>
      <c r="DS331" s="196"/>
      <c r="DT331" s="196"/>
      <c r="EA331" s="164"/>
      <c r="EB331" s="164"/>
      <c r="EC331" s="164"/>
      <c r="ED331" s="164"/>
      <c r="EE331" s="164"/>
      <c r="EF331" s="164"/>
      <c r="EG331" s="164"/>
      <c r="EH331" s="164"/>
    </row>
    <row r="332" spans="27:140" x14ac:dyDescent="0.25">
      <c r="BX332" s="196"/>
      <c r="BY332" s="196"/>
      <c r="BZ332" s="196"/>
      <c r="CA332" s="196"/>
      <c r="CB332" s="196"/>
      <c r="CC332" s="196"/>
      <c r="CD332" s="196"/>
      <c r="CE332" s="196"/>
      <c r="CF332" s="196"/>
      <c r="CG332" s="196"/>
      <c r="CH332" s="196"/>
      <c r="CI332" s="196"/>
      <c r="CJ332" s="196"/>
      <c r="CK332" s="196"/>
      <c r="CL332" s="196"/>
      <c r="CM332" s="196"/>
      <c r="CN332" s="196"/>
      <c r="CO332" s="196"/>
      <c r="CP332" s="196"/>
      <c r="CQ332" s="196"/>
      <c r="CR332" s="196"/>
      <c r="CS332" s="196"/>
      <c r="CT332" s="196"/>
      <c r="CU332" s="196"/>
      <c r="CV332" s="196"/>
      <c r="CW332" s="196"/>
      <c r="CX332" s="196"/>
      <c r="CY332" s="196"/>
      <c r="CZ332" s="196"/>
      <c r="DA332" s="196"/>
      <c r="DB332" s="196"/>
      <c r="DC332" s="196"/>
      <c r="DD332" s="196"/>
      <c r="DE332" s="196"/>
      <c r="DF332" s="196"/>
      <c r="DG332" s="196"/>
      <c r="DH332" s="196"/>
      <c r="DI332" s="196"/>
      <c r="DJ332" s="196"/>
      <c r="DK332" s="196"/>
      <c r="DL332" s="196"/>
      <c r="DM332" s="196"/>
      <c r="DN332" s="196"/>
      <c r="DO332" s="196"/>
      <c r="DP332" s="196"/>
      <c r="DQ332" s="196"/>
      <c r="DR332" s="196"/>
      <c r="DS332" s="196"/>
      <c r="DT332" s="196"/>
      <c r="EA332" s="164"/>
      <c r="EB332" s="164"/>
      <c r="EC332" s="164"/>
      <c r="ED332" s="164"/>
      <c r="EE332" s="164"/>
      <c r="EF332" s="164"/>
      <c r="EG332" s="164"/>
      <c r="EH332" s="164"/>
    </row>
    <row r="333" spans="27:140" x14ac:dyDescent="0.25">
      <c r="BX333" s="196"/>
      <c r="BY333" s="196"/>
      <c r="BZ333" s="196"/>
      <c r="CA333" s="196"/>
      <c r="CB333" s="196"/>
      <c r="CC333" s="196"/>
      <c r="CD333" s="196"/>
      <c r="CE333" s="196"/>
      <c r="CF333" s="196"/>
      <c r="CG333" s="196"/>
      <c r="CH333" s="196"/>
      <c r="CI333" s="196"/>
      <c r="CJ333" s="196"/>
      <c r="CK333" s="196"/>
      <c r="CL333" s="196"/>
      <c r="CM333" s="196"/>
      <c r="CN333" s="196"/>
      <c r="CO333" s="196"/>
      <c r="CP333" s="196"/>
      <c r="CQ333" s="196"/>
      <c r="CR333" s="196"/>
      <c r="CS333" s="196"/>
      <c r="CT333" s="196"/>
      <c r="CU333" s="196"/>
      <c r="CV333" s="196"/>
      <c r="CW333" s="196"/>
      <c r="CX333" s="196"/>
      <c r="CY333" s="196"/>
      <c r="CZ333" s="196"/>
      <c r="DA333" s="196"/>
      <c r="DB333" s="196"/>
      <c r="DC333" s="196"/>
      <c r="DD333" s="196"/>
      <c r="DE333" s="196"/>
      <c r="DF333" s="196"/>
      <c r="DG333" s="196"/>
      <c r="DH333" s="196"/>
      <c r="DI333" s="196"/>
      <c r="DJ333" s="196"/>
      <c r="DK333" s="196"/>
      <c r="DL333" s="196"/>
      <c r="DM333" s="196"/>
      <c r="DN333" s="196"/>
      <c r="DO333" s="196"/>
      <c r="DP333" s="196"/>
      <c r="DQ333" s="196"/>
      <c r="DR333" s="196"/>
      <c r="DS333" s="196"/>
      <c r="DT333" s="196"/>
      <c r="EA333" s="164"/>
      <c r="EB333" s="164"/>
      <c r="EC333" s="164"/>
      <c r="ED333" s="164"/>
      <c r="EE333" s="164"/>
      <c r="EF333" s="164"/>
      <c r="EG333" s="164"/>
      <c r="EH333" s="164"/>
    </row>
    <row r="334" spans="27:140" x14ac:dyDescent="0.25">
      <c r="BX334" s="196"/>
      <c r="BY334" s="196"/>
      <c r="BZ334" s="196"/>
      <c r="CA334" s="196"/>
      <c r="CB334" s="196"/>
      <c r="CC334" s="196"/>
      <c r="CD334" s="196"/>
      <c r="CE334" s="196"/>
      <c r="CF334" s="196"/>
      <c r="CG334" s="196"/>
      <c r="CH334" s="196"/>
      <c r="CI334" s="196"/>
      <c r="CJ334" s="196"/>
      <c r="CK334" s="196"/>
      <c r="CL334" s="196"/>
      <c r="CM334" s="196"/>
      <c r="CN334" s="196"/>
      <c r="CO334" s="196"/>
      <c r="CP334" s="196"/>
      <c r="CQ334" s="196"/>
      <c r="CR334" s="196"/>
      <c r="CS334" s="196"/>
      <c r="CT334" s="196"/>
      <c r="CU334" s="196"/>
      <c r="CV334" s="196"/>
      <c r="CW334" s="196"/>
      <c r="CX334" s="196"/>
      <c r="CY334" s="196"/>
      <c r="CZ334" s="196"/>
      <c r="DA334" s="196"/>
      <c r="DB334" s="196"/>
      <c r="DC334" s="196"/>
      <c r="DD334" s="196"/>
      <c r="DE334" s="196"/>
      <c r="DF334" s="196"/>
      <c r="DG334" s="196"/>
      <c r="DH334" s="196"/>
      <c r="DI334" s="196"/>
      <c r="DJ334" s="196"/>
      <c r="DK334" s="196"/>
      <c r="DL334" s="196"/>
      <c r="DM334" s="196"/>
      <c r="DN334" s="196"/>
      <c r="DO334" s="196"/>
      <c r="DP334" s="196"/>
      <c r="DQ334" s="196"/>
      <c r="DR334" s="196"/>
      <c r="DS334" s="196"/>
      <c r="DT334" s="196"/>
      <c r="EA334" s="164"/>
      <c r="EB334" s="164"/>
      <c r="EC334" s="164"/>
      <c r="ED334" s="164"/>
      <c r="EE334" s="164"/>
      <c r="EF334" s="164"/>
      <c r="EG334" s="164"/>
      <c r="EH334" s="164"/>
    </row>
    <row r="335" spans="27:140" x14ac:dyDescent="0.25">
      <c r="BX335" s="196"/>
      <c r="BY335" s="196"/>
      <c r="BZ335" s="196"/>
      <c r="CA335" s="196"/>
      <c r="CB335" s="196"/>
      <c r="CC335" s="196"/>
      <c r="CD335" s="196"/>
      <c r="CE335" s="196"/>
      <c r="CF335" s="196"/>
      <c r="CG335" s="196"/>
      <c r="CH335" s="196"/>
      <c r="CI335" s="196"/>
      <c r="CJ335" s="196"/>
      <c r="CK335" s="196"/>
      <c r="CL335" s="196"/>
      <c r="CM335" s="196"/>
      <c r="CN335" s="196"/>
      <c r="CO335" s="196"/>
      <c r="CP335" s="196"/>
      <c r="CQ335" s="196"/>
      <c r="CR335" s="196"/>
      <c r="CS335" s="196"/>
      <c r="CT335" s="196"/>
      <c r="CU335" s="196"/>
      <c r="CV335" s="196"/>
      <c r="CW335" s="196"/>
      <c r="CX335" s="196"/>
      <c r="CY335" s="196"/>
      <c r="CZ335" s="196"/>
      <c r="DA335" s="196"/>
      <c r="DB335" s="196"/>
      <c r="DC335" s="196"/>
      <c r="DD335" s="196"/>
      <c r="DE335" s="196"/>
      <c r="DF335" s="196"/>
      <c r="DG335" s="196"/>
      <c r="DH335" s="196"/>
      <c r="DI335" s="196"/>
      <c r="DJ335" s="196"/>
      <c r="DK335" s="196"/>
      <c r="DL335" s="196"/>
      <c r="DM335" s="196"/>
      <c r="DN335" s="196"/>
      <c r="DO335" s="196"/>
      <c r="DP335" s="196"/>
      <c r="DQ335" s="196"/>
      <c r="DR335" s="196"/>
      <c r="DS335" s="196"/>
      <c r="DT335" s="196"/>
    </row>
    <row r="336" spans="27:140" x14ac:dyDescent="0.25">
      <c r="BX336" s="196"/>
      <c r="BY336" s="196"/>
      <c r="BZ336" s="196"/>
      <c r="CA336" s="196"/>
      <c r="CB336" s="196"/>
      <c r="CC336" s="196"/>
      <c r="CD336" s="196"/>
      <c r="CE336" s="196"/>
      <c r="CF336" s="196"/>
      <c r="CG336" s="196"/>
      <c r="CH336" s="196"/>
      <c r="CI336" s="196"/>
      <c r="CJ336" s="196"/>
      <c r="CK336" s="196"/>
      <c r="CL336" s="196"/>
      <c r="CM336" s="196"/>
      <c r="CN336" s="196"/>
      <c r="CO336" s="196"/>
      <c r="CP336" s="196"/>
      <c r="CQ336" s="196"/>
      <c r="CR336" s="196"/>
      <c r="CS336" s="196"/>
      <c r="CT336" s="196"/>
      <c r="CU336" s="196"/>
      <c r="CV336" s="196"/>
      <c r="CW336" s="196"/>
      <c r="CX336" s="196"/>
      <c r="CY336" s="196"/>
      <c r="CZ336" s="196"/>
      <c r="DA336" s="196"/>
      <c r="DB336" s="196"/>
      <c r="DC336" s="196"/>
      <c r="DD336" s="196"/>
      <c r="DE336" s="196"/>
      <c r="DF336" s="196"/>
      <c r="DG336" s="196"/>
      <c r="DH336" s="196"/>
      <c r="DI336" s="196"/>
      <c r="DJ336" s="196"/>
      <c r="DK336" s="196"/>
      <c r="DL336" s="196"/>
      <c r="DM336" s="196"/>
      <c r="DN336" s="196"/>
      <c r="DO336" s="196"/>
      <c r="DP336" s="196"/>
      <c r="DQ336" s="196"/>
      <c r="DR336" s="196"/>
      <c r="DS336" s="196"/>
      <c r="DT336" s="196"/>
    </row>
    <row r="337" spans="76:124" x14ac:dyDescent="0.25">
      <c r="BX337" s="196"/>
      <c r="BY337" s="196"/>
      <c r="BZ337" s="196"/>
      <c r="CA337" s="196"/>
      <c r="CB337" s="196"/>
      <c r="CC337" s="196"/>
      <c r="CD337" s="196"/>
      <c r="CE337" s="196"/>
      <c r="CF337" s="196"/>
      <c r="CG337" s="196"/>
      <c r="CH337" s="196"/>
      <c r="CI337" s="196"/>
      <c r="CJ337" s="196"/>
      <c r="CK337" s="196"/>
      <c r="CL337" s="196"/>
      <c r="CM337" s="196"/>
      <c r="CN337" s="196"/>
      <c r="CO337" s="196"/>
      <c r="CP337" s="196"/>
      <c r="CQ337" s="196"/>
      <c r="CR337" s="196"/>
      <c r="CS337" s="196"/>
      <c r="CT337" s="196"/>
      <c r="CU337" s="196"/>
      <c r="CV337" s="196"/>
      <c r="CW337" s="196"/>
      <c r="CX337" s="196"/>
      <c r="CY337" s="196"/>
      <c r="CZ337" s="196"/>
      <c r="DA337" s="196"/>
      <c r="DB337" s="196"/>
      <c r="DC337" s="196"/>
      <c r="DD337" s="196"/>
      <c r="DE337" s="196"/>
      <c r="DF337" s="196"/>
      <c r="DG337" s="196"/>
      <c r="DH337" s="196"/>
      <c r="DI337" s="196"/>
      <c r="DJ337" s="196"/>
      <c r="DK337" s="196"/>
      <c r="DL337" s="196"/>
      <c r="DM337" s="196"/>
      <c r="DN337" s="196"/>
      <c r="DO337" s="196"/>
      <c r="DP337" s="196"/>
      <c r="DQ337" s="196"/>
      <c r="DR337" s="196"/>
      <c r="DS337" s="196"/>
      <c r="DT337" s="196"/>
    </row>
    <row r="338" spans="76:124" x14ac:dyDescent="0.25">
      <c r="BX338" s="196"/>
      <c r="BY338" s="196"/>
      <c r="BZ338" s="196"/>
      <c r="CA338" s="196"/>
      <c r="CB338" s="196"/>
      <c r="CC338" s="196"/>
      <c r="CD338" s="196"/>
      <c r="CE338" s="196"/>
      <c r="CF338" s="196"/>
      <c r="CG338" s="196"/>
      <c r="CH338" s="196"/>
      <c r="CI338" s="196"/>
      <c r="CJ338" s="196"/>
      <c r="CK338" s="196"/>
      <c r="CL338" s="196"/>
      <c r="CM338" s="196"/>
      <c r="CN338" s="196"/>
      <c r="CO338" s="196"/>
      <c r="CP338" s="196"/>
      <c r="CQ338" s="196"/>
      <c r="CR338" s="196"/>
      <c r="CS338" s="196"/>
      <c r="CT338" s="196"/>
      <c r="CU338" s="196"/>
      <c r="CV338" s="196"/>
      <c r="CW338" s="196"/>
      <c r="CX338" s="196"/>
      <c r="CY338" s="196"/>
      <c r="CZ338" s="196"/>
      <c r="DA338" s="196"/>
      <c r="DB338" s="196"/>
      <c r="DC338" s="196"/>
      <c r="DD338" s="196"/>
      <c r="DE338" s="196"/>
      <c r="DF338" s="196"/>
      <c r="DG338" s="196"/>
      <c r="DH338" s="196"/>
      <c r="DI338" s="196"/>
      <c r="DJ338" s="196"/>
      <c r="DK338" s="196"/>
      <c r="DL338" s="196"/>
      <c r="DM338" s="196"/>
      <c r="DN338" s="196"/>
      <c r="DO338" s="196"/>
      <c r="DP338" s="196"/>
      <c r="DQ338" s="196"/>
      <c r="DR338" s="196"/>
      <c r="DS338" s="196"/>
      <c r="DT338" s="196"/>
    </row>
    <row r="339" spans="76:124" x14ac:dyDescent="0.25">
      <c r="BX339" s="196"/>
      <c r="BY339" s="196"/>
      <c r="BZ339" s="196"/>
      <c r="CA339" s="196"/>
      <c r="CB339" s="196"/>
      <c r="CC339" s="196"/>
      <c r="CD339" s="196"/>
      <c r="CE339" s="196"/>
      <c r="CF339" s="196"/>
      <c r="CG339" s="196"/>
      <c r="CH339" s="196"/>
      <c r="CI339" s="196"/>
      <c r="CJ339" s="196"/>
      <c r="CK339" s="196"/>
      <c r="CL339" s="196"/>
      <c r="CM339" s="196"/>
      <c r="CN339" s="196"/>
      <c r="CO339" s="196"/>
      <c r="CP339" s="196"/>
      <c r="CQ339" s="196"/>
      <c r="CR339" s="196"/>
      <c r="CS339" s="196"/>
      <c r="CT339" s="196"/>
      <c r="CU339" s="196"/>
      <c r="CV339" s="196"/>
      <c r="CW339" s="196"/>
      <c r="CX339" s="196"/>
      <c r="CY339" s="196"/>
      <c r="CZ339" s="196"/>
      <c r="DA339" s="196"/>
      <c r="DB339" s="196"/>
      <c r="DC339" s="196"/>
      <c r="DD339" s="196"/>
      <c r="DE339" s="196"/>
      <c r="DF339" s="196"/>
      <c r="DG339" s="196"/>
      <c r="DH339" s="196"/>
      <c r="DI339" s="196"/>
      <c r="DJ339" s="196"/>
      <c r="DK339" s="196"/>
      <c r="DL339" s="196"/>
      <c r="DM339" s="196"/>
      <c r="DN339" s="196"/>
      <c r="DO339" s="196"/>
      <c r="DP339" s="196"/>
      <c r="DQ339" s="196"/>
      <c r="DR339" s="196"/>
      <c r="DS339" s="196"/>
      <c r="DT339" s="196"/>
    </row>
    <row r="340" spans="76:124" x14ac:dyDescent="0.25">
      <c r="BX340" s="196"/>
      <c r="BY340" s="196"/>
      <c r="BZ340" s="196"/>
      <c r="CA340" s="196"/>
      <c r="CB340" s="196"/>
      <c r="CC340" s="196"/>
      <c r="CD340" s="196"/>
      <c r="CE340" s="196"/>
      <c r="CF340" s="196"/>
      <c r="CG340" s="196"/>
      <c r="CH340" s="196"/>
      <c r="CI340" s="196"/>
      <c r="CJ340" s="196"/>
      <c r="CK340" s="196"/>
      <c r="CL340" s="196"/>
      <c r="CM340" s="196"/>
      <c r="CN340" s="196"/>
      <c r="CO340" s="196"/>
      <c r="CP340" s="196"/>
      <c r="CQ340" s="196"/>
      <c r="CR340" s="196"/>
      <c r="CS340" s="196"/>
      <c r="CT340" s="196"/>
      <c r="CU340" s="196"/>
      <c r="CV340" s="196"/>
      <c r="CW340" s="196"/>
      <c r="CX340" s="196"/>
      <c r="CY340" s="196"/>
      <c r="CZ340" s="196"/>
      <c r="DA340" s="196"/>
      <c r="DB340" s="196"/>
      <c r="DC340" s="196"/>
      <c r="DD340" s="196"/>
      <c r="DE340" s="196"/>
      <c r="DF340" s="196"/>
      <c r="DG340" s="196"/>
      <c r="DH340" s="196"/>
      <c r="DI340" s="196"/>
      <c r="DJ340" s="196"/>
      <c r="DK340" s="196"/>
      <c r="DL340" s="196"/>
      <c r="DM340" s="196"/>
      <c r="DN340" s="196"/>
      <c r="DO340" s="196"/>
      <c r="DP340" s="196"/>
      <c r="DQ340" s="196"/>
      <c r="DR340" s="196"/>
      <c r="DS340" s="196"/>
      <c r="DT340" s="196"/>
    </row>
    <row r="341" spans="76:124" x14ac:dyDescent="0.25">
      <c r="BX341" s="196"/>
      <c r="BY341" s="196"/>
      <c r="BZ341" s="196"/>
      <c r="CA341" s="196"/>
      <c r="CB341" s="196"/>
      <c r="CC341" s="196"/>
      <c r="CD341" s="196"/>
      <c r="CE341" s="196"/>
      <c r="CF341" s="196"/>
      <c r="CG341" s="196"/>
      <c r="CH341" s="196"/>
      <c r="CI341" s="196"/>
      <c r="CJ341" s="196"/>
      <c r="CK341" s="196"/>
      <c r="CL341" s="196"/>
      <c r="CM341" s="196"/>
      <c r="CN341" s="196"/>
      <c r="CO341" s="196"/>
      <c r="CP341" s="196"/>
      <c r="CQ341" s="196"/>
      <c r="CR341" s="196"/>
      <c r="CS341" s="196"/>
      <c r="CT341" s="196"/>
      <c r="CU341" s="196"/>
      <c r="CV341" s="196"/>
      <c r="CW341" s="196"/>
      <c r="CX341" s="196"/>
      <c r="CY341" s="196"/>
      <c r="CZ341" s="196"/>
      <c r="DA341" s="196"/>
      <c r="DB341" s="196"/>
      <c r="DC341" s="196"/>
      <c r="DD341" s="196"/>
      <c r="DE341" s="196"/>
      <c r="DF341" s="196"/>
      <c r="DG341" s="196"/>
      <c r="DH341" s="196"/>
      <c r="DI341" s="196"/>
      <c r="DJ341" s="196"/>
      <c r="DK341" s="196"/>
      <c r="DL341" s="196"/>
      <c r="DM341" s="196"/>
      <c r="DN341" s="196"/>
      <c r="DO341" s="196"/>
      <c r="DP341" s="196"/>
      <c r="DQ341" s="196"/>
      <c r="DR341" s="196"/>
      <c r="DS341" s="196"/>
      <c r="DT341" s="196"/>
    </row>
    <row r="342" spans="76:124" x14ac:dyDescent="0.25">
      <c r="BX342" s="196"/>
      <c r="BY342" s="196"/>
      <c r="BZ342" s="196"/>
      <c r="CA342" s="196"/>
      <c r="CB342" s="196"/>
      <c r="CC342" s="196"/>
      <c r="CD342" s="196"/>
      <c r="CE342" s="196"/>
      <c r="CF342" s="196"/>
      <c r="CG342" s="196"/>
      <c r="CH342" s="196"/>
      <c r="CI342" s="196"/>
      <c r="CJ342" s="196"/>
      <c r="CK342" s="196"/>
      <c r="CL342" s="196"/>
      <c r="CM342" s="196"/>
      <c r="CN342" s="196"/>
      <c r="CO342" s="196"/>
      <c r="CP342" s="196"/>
      <c r="CQ342" s="196"/>
      <c r="CR342" s="196"/>
      <c r="CS342" s="196"/>
      <c r="CT342" s="196"/>
      <c r="CU342" s="196"/>
      <c r="CV342" s="196"/>
      <c r="CW342" s="196"/>
      <c r="CX342" s="196"/>
      <c r="CY342" s="196"/>
      <c r="CZ342" s="196"/>
      <c r="DA342" s="196"/>
      <c r="DB342" s="196"/>
      <c r="DC342" s="196"/>
      <c r="DD342" s="196"/>
      <c r="DE342" s="196"/>
      <c r="DF342" s="196"/>
      <c r="DG342" s="196"/>
      <c r="DH342" s="196"/>
      <c r="DI342" s="196"/>
      <c r="DJ342" s="196"/>
      <c r="DK342" s="196"/>
      <c r="DL342" s="196"/>
      <c r="DM342" s="196"/>
      <c r="DN342" s="196"/>
      <c r="DO342" s="196"/>
      <c r="DP342" s="196"/>
      <c r="DQ342" s="196"/>
      <c r="DR342" s="196"/>
      <c r="DS342" s="196"/>
      <c r="DT342" s="196"/>
    </row>
    <row r="343" spans="76:124" x14ac:dyDescent="0.25">
      <c r="BX343" s="196"/>
      <c r="BY343" s="196"/>
      <c r="BZ343" s="196"/>
      <c r="CA343" s="196"/>
      <c r="CB343" s="196"/>
      <c r="CC343" s="196"/>
      <c r="CD343" s="196"/>
      <c r="CE343" s="196"/>
      <c r="CF343" s="196"/>
      <c r="CG343" s="196"/>
      <c r="CH343" s="196"/>
      <c r="CI343" s="196"/>
      <c r="CJ343" s="196"/>
      <c r="CK343" s="196"/>
      <c r="CL343" s="196"/>
      <c r="CM343" s="196"/>
      <c r="CN343" s="196"/>
      <c r="CO343" s="196"/>
      <c r="CP343" s="196"/>
      <c r="CQ343" s="196"/>
      <c r="CR343" s="196"/>
      <c r="CS343" s="196"/>
      <c r="CT343" s="196"/>
      <c r="CU343" s="196"/>
      <c r="CV343" s="196"/>
      <c r="CW343" s="196"/>
      <c r="CX343" s="196"/>
      <c r="CY343" s="196"/>
      <c r="CZ343" s="196"/>
      <c r="DA343" s="196"/>
      <c r="DB343" s="196"/>
      <c r="DC343" s="196"/>
      <c r="DD343" s="196"/>
      <c r="DE343" s="196"/>
      <c r="DF343" s="196"/>
      <c r="DG343" s="196"/>
      <c r="DH343" s="196"/>
      <c r="DI343" s="196"/>
      <c r="DJ343" s="196"/>
      <c r="DK343" s="196"/>
      <c r="DL343" s="196"/>
      <c r="DM343" s="196"/>
      <c r="DN343" s="196"/>
      <c r="DO343" s="196"/>
      <c r="DP343" s="196"/>
      <c r="DQ343" s="196"/>
      <c r="DR343" s="196"/>
      <c r="DS343" s="196"/>
      <c r="DT343" s="196"/>
    </row>
    <row r="344" spans="76:124" x14ac:dyDescent="0.25">
      <c r="BX344" s="196"/>
      <c r="BY344" s="196"/>
      <c r="BZ344" s="196"/>
      <c r="CA344" s="196"/>
      <c r="CB344" s="196"/>
      <c r="CC344" s="196"/>
      <c r="CD344" s="196"/>
      <c r="CE344" s="196"/>
      <c r="CF344" s="196"/>
      <c r="CG344" s="196"/>
      <c r="CH344" s="196"/>
      <c r="CI344" s="196"/>
      <c r="CJ344" s="196"/>
      <c r="CK344" s="196"/>
      <c r="CL344" s="196"/>
      <c r="CM344" s="196"/>
      <c r="CN344" s="196"/>
      <c r="CO344" s="196"/>
      <c r="CP344" s="196"/>
      <c r="CQ344" s="196"/>
      <c r="CR344" s="196"/>
      <c r="CS344" s="196"/>
      <c r="CT344" s="196"/>
      <c r="CU344" s="196"/>
      <c r="CV344" s="196"/>
      <c r="CW344" s="196"/>
      <c r="CX344" s="196"/>
      <c r="CY344" s="196"/>
      <c r="CZ344" s="196"/>
      <c r="DA344" s="196"/>
      <c r="DB344" s="196"/>
      <c r="DC344" s="196"/>
      <c r="DD344" s="196"/>
      <c r="DE344" s="196"/>
      <c r="DF344" s="196"/>
      <c r="DG344" s="196"/>
      <c r="DH344" s="196"/>
      <c r="DI344" s="196"/>
      <c r="DJ344" s="196"/>
      <c r="DK344" s="196"/>
      <c r="DL344" s="196"/>
      <c r="DM344" s="196"/>
      <c r="DN344" s="196"/>
      <c r="DO344" s="196"/>
      <c r="DP344" s="196"/>
      <c r="DQ344" s="196"/>
      <c r="DR344" s="196"/>
      <c r="DS344" s="196"/>
      <c r="DT344" s="196"/>
    </row>
    <row r="345" spans="76:124" x14ac:dyDescent="0.25">
      <c r="BX345" s="196"/>
      <c r="BY345" s="196"/>
      <c r="BZ345" s="196"/>
      <c r="CA345" s="196"/>
      <c r="CB345" s="196"/>
      <c r="CC345" s="196"/>
      <c r="CD345" s="196"/>
      <c r="CE345" s="196"/>
      <c r="CF345" s="196"/>
      <c r="CG345" s="196"/>
      <c r="CH345" s="196"/>
      <c r="CI345" s="196"/>
      <c r="CJ345" s="196"/>
      <c r="CK345" s="196"/>
      <c r="CL345" s="196"/>
      <c r="CM345" s="196"/>
      <c r="CN345" s="196"/>
      <c r="CO345" s="196"/>
      <c r="CP345" s="196"/>
      <c r="CQ345" s="196"/>
      <c r="CR345" s="196"/>
      <c r="CS345" s="196"/>
      <c r="CT345" s="196"/>
      <c r="CU345" s="196"/>
      <c r="CV345" s="196"/>
      <c r="CW345" s="196"/>
      <c r="CX345" s="196"/>
      <c r="CY345" s="196"/>
      <c r="CZ345" s="196"/>
      <c r="DA345" s="196"/>
      <c r="DB345" s="196"/>
      <c r="DC345" s="196"/>
      <c r="DD345" s="196"/>
      <c r="DE345" s="196"/>
      <c r="DF345" s="196"/>
      <c r="DG345" s="196"/>
      <c r="DH345" s="196"/>
      <c r="DI345" s="196"/>
      <c r="DJ345" s="196"/>
      <c r="DK345" s="196"/>
      <c r="DL345" s="196"/>
      <c r="DM345" s="196"/>
      <c r="DN345" s="196"/>
      <c r="DO345" s="196"/>
      <c r="DP345" s="196"/>
      <c r="DQ345" s="196"/>
      <c r="DR345" s="196"/>
      <c r="DS345" s="196"/>
      <c r="DT345" s="196"/>
    </row>
    <row r="346" spans="76:124" x14ac:dyDescent="0.25">
      <c r="BX346" s="196"/>
      <c r="BY346" s="196"/>
      <c r="BZ346" s="196"/>
      <c r="CA346" s="196"/>
      <c r="CB346" s="196"/>
      <c r="CC346" s="196"/>
      <c r="CD346" s="196"/>
      <c r="CE346" s="196"/>
      <c r="CF346" s="196"/>
      <c r="CG346" s="196"/>
      <c r="CH346" s="196"/>
      <c r="CI346" s="196"/>
      <c r="CJ346" s="196"/>
      <c r="CK346" s="196"/>
      <c r="CL346" s="196"/>
      <c r="CM346" s="196"/>
      <c r="CN346" s="196"/>
      <c r="CO346" s="196"/>
      <c r="CP346" s="196"/>
      <c r="CQ346" s="196"/>
      <c r="CR346" s="196"/>
      <c r="CS346" s="196"/>
      <c r="CT346" s="196"/>
      <c r="CU346" s="196"/>
      <c r="CV346" s="196"/>
      <c r="CW346" s="196"/>
      <c r="CX346" s="196"/>
      <c r="CY346" s="196"/>
      <c r="CZ346" s="196"/>
      <c r="DA346" s="196"/>
      <c r="DB346" s="196"/>
      <c r="DC346" s="196"/>
      <c r="DD346" s="196"/>
      <c r="DE346" s="196"/>
      <c r="DF346" s="196"/>
      <c r="DG346" s="196"/>
      <c r="DH346" s="196"/>
      <c r="DI346" s="196"/>
      <c r="DJ346" s="196"/>
      <c r="DK346" s="196"/>
      <c r="DL346" s="196"/>
      <c r="DM346" s="196"/>
      <c r="DN346" s="196"/>
      <c r="DO346" s="196"/>
      <c r="DP346" s="196"/>
      <c r="DQ346" s="196"/>
      <c r="DR346" s="196"/>
      <c r="DS346" s="196"/>
      <c r="DT346" s="196"/>
    </row>
    <row r="347" spans="76:124" x14ac:dyDescent="0.25">
      <c r="BX347" s="196"/>
      <c r="BY347" s="196"/>
      <c r="BZ347" s="196"/>
      <c r="CA347" s="196"/>
      <c r="CB347" s="196"/>
      <c r="CC347" s="196"/>
      <c r="CD347" s="196"/>
      <c r="CE347" s="196"/>
      <c r="CF347" s="196"/>
      <c r="CG347" s="196"/>
      <c r="CH347" s="196"/>
      <c r="CI347" s="196"/>
      <c r="CJ347" s="196"/>
      <c r="CK347" s="196"/>
      <c r="CL347" s="196"/>
      <c r="CM347" s="196"/>
      <c r="CN347" s="196"/>
      <c r="CO347" s="196"/>
      <c r="CP347" s="196"/>
      <c r="CQ347" s="196"/>
      <c r="CR347" s="196"/>
      <c r="CS347" s="196"/>
      <c r="CT347" s="196"/>
      <c r="CU347" s="196"/>
      <c r="CV347" s="196"/>
      <c r="CW347" s="196"/>
      <c r="CX347" s="196"/>
      <c r="CY347" s="196"/>
      <c r="CZ347" s="196"/>
      <c r="DA347" s="196"/>
      <c r="DB347" s="196"/>
      <c r="DC347" s="196"/>
      <c r="DD347" s="196"/>
      <c r="DE347" s="196"/>
      <c r="DF347" s="196"/>
      <c r="DG347" s="196"/>
      <c r="DH347" s="196"/>
      <c r="DI347" s="196"/>
      <c r="DJ347" s="196"/>
      <c r="DK347" s="196"/>
      <c r="DL347" s="196"/>
      <c r="DM347" s="196"/>
      <c r="DN347" s="196"/>
      <c r="DO347" s="196"/>
      <c r="DP347" s="196"/>
      <c r="DQ347" s="196"/>
      <c r="DR347" s="196"/>
      <c r="DS347" s="196"/>
      <c r="DT347" s="196"/>
    </row>
    <row r="348" spans="76:124" x14ac:dyDescent="0.25">
      <c r="BX348" s="196"/>
      <c r="BY348" s="196"/>
      <c r="BZ348" s="196"/>
      <c r="CA348" s="196"/>
      <c r="CB348" s="196"/>
      <c r="CC348" s="196"/>
      <c r="CD348" s="196"/>
      <c r="CE348" s="196"/>
      <c r="CF348" s="196"/>
      <c r="CG348" s="196"/>
      <c r="CH348" s="196"/>
      <c r="CI348" s="196"/>
      <c r="CJ348" s="196"/>
      <c r="CK348" s="196"/>
      <c r="CL348" s="196"/>
      <c r="CM348" s="196"/>
      <c r="CN348" s="196"/>
      <c r="CO348" s="196"/>
      <c r="CP348" s="196"/>
      <c r="CQ348" s="196"/>
      <c r="CR348" s="196"/>
      <c r="CS348" s="196"/>
      <c r="CT348" s="196"/>
      <c r="CU348" s="196"/>
      <c r="CV348" s="196"/>
      <c r="CW348" s="196"/>
      <c r="CX348" s="196"/>
      <c r="CY348" s="196"/>
      <c r="CZ348" s="196"/>
      <c r="DA348" s="196"/>
      <c r="DB348" s="196"/>
      <c r="DC348" s="196"/>
      <c r="DD348" s="196"/>
      <c r="DE348" s="196"/>
      <c r="DF348" s="196"/>
      <c r="DG348" s="196"/>
      <c r="DH348" s="196"/>
      <c r="DI348" s="196"/>
      <c r="DJ348" s="196"/>
      <c r="DK348" s="196"/>
      <c r="DL348" s="196"/>
      <c r="DM348" s="196"/>
      <c r="DN348" s="196"/>
      <c r="DO348" s="196"/>
      <c r="DP348" s="196"/>
      <c r="DQ348" s="196"/>
      <c r="DR348" s="196"/>
      <c r="DS348" s="196"/>
      <c r="DT348" s="196"/>
    </row>
    <row r="349" spans="76:124" x14ac:dyDescent="0.25">
      <c r="BX349" s="196"/>
      <c r="BY349" s="196"/>
      <c r="BZ349" s="196"/>
      <c r="CA349" s="196"/>
      <c r="CB349" s="196"/>
      <c r="CC349" s="196"/>
      <c r="CD349" s="196"/>
      <c r="CE349" s="196"/>
      <c r="CF349" s="196"/>
      <c r="CG349" s="196"/>
      <c r="CH349" s="196"/>
      <c r="CI349" s="196"/>
      <c r="CJ349" s="196"/>
      <c r="CK349" s="196"/>
      <c r="CL349" s="196"/>
      <c r="CM349" s="196"/>
      <c r="CN349" s="196"/>
      <c r="CO349" s="196"/>
      <c r="CP349" s="196"/>
      <c r="CQ349" s="196"/>
      <c r="CR349" s="196"/>
      <c r="CS349" s="196"/>
      <c r="CT349" s="196"/>
      <c r="CU349" s="196"/>
      <c r="CV349" s="196"/>
      <c r="CW349" s="196"/>
      <c r="CX349" s="196"/>
      <c r="CY349" s="196"/>
      <c r="CZ349" s="196"/>
      <c r="DA349" s="196"/>
      <c r="DB349" s="196"/>
      <c r="DC349" s="196"/>
      <c r="DD349" s="196"/>
      <c r="DE349" s="196"/>
      <c r="DF349" s="196"/>
      <c r="DG349" s="196"/>
      <c r="DH349" s="196"/>
      <c r="DI349" s="196"/>
      <c r="DJ349" s="196"/>
      <c r="DK349" s="196"/>
      <c r="DL349" s="196"/>
      <c r="DM349" s="196"/>
      <c r="DN349" s="196"/>
      <c r="DO349" s="196"/>
      <c r="DP349" s="196"/>
      <c r="DQ349" s="196"/>
      <c r="DR349" s="196"/>
      <c r="DS349" s="196"/>
      <c r="DT349" s="196"/>
    </row>
    <row r="350" spans="76:124" x14ac:dyDescent="0.25">
      <c r="BX350" s="196"/>
      <c r="BY350" s="196"/>
      <c r="BZ350" s="196"/>
      <c r="CA350" s="196"/>
      <c r="CB350" s="196"/>
      <c r="CC350" s="196"/>
      <c r="CD350" s="196"/>
      <c r="CE350" s="196"/>
      <c r="CF350" s="196"/>
      <c r="CG350" s="196"/>
      <c r="CH350" s="196"/>
      <c r="CI350" s="196"/>
      <c r="CJ350" s="196"/>
      <c r="CK350" s="196"/>
      <c r="CL350" s="196"/>
      <c r="CM350" s="196"/>
      <c r="CN350" s="196"/>
      <c r="CO350" s="196"/>
      <c r="CP350" s="196"/>
      <c r="CQ350" s="196"/>
      <c r="CR350" s="196"/>
      <c r="CS350" s="196"/>
      <c r="CT350" s="196"/>
      <c r="CU350" s="196"/>
      <c r="CV350" s="196"/>
      <c r="CW350" s="196"/>
      <c r="CX350" s="196"/>
      <c r="CY350" s="196"/>
      <c r="CZ350" s="196"/>
      <c r="DA350" s="196"/>
      <c r="DB350" s="196"/>
      <c r="DC350" s="196"/>
      <c r="DD350" s="196"/>
      <c r="DE350" s="196"/>
      <c r="DF350" s="196"/>
      <c r="DG350" s="196"/>
      <c r="DH350" s="196"/>
      <c r="DI350" s="196"/>
      <c r="DJ350" s="196"/>
      <c r="DK350" s="196"/>
      <c r="DL350" s="196"/>
      <c r="DM350" s="196"/>
      <c r="DN350" s="196"/>
      <c r="DO350" s="196"/>
      <c r="DP350" s="196"/>
      <c r="DQ350" s="196"/>
      <c r="DR350" s="196"/>
      <c r="DS350" s="196"/>
      <c r="DT350" s="196"/>
    </row>
    <row r="351" spans="76:124" x14ac:dyDescent="0.25">
      <c r="BX351" s="196"/>
      <c r="BY351" s="196"/>
      <c r="BZ351" s="196"/>
      <c r="CA351" s="196"/>
      <c r="CB351" s="196"/>
      <c r="CC351" s="196"/>
      <c r="CD351" s="196"/>
      <c r="CE351" s="196"/>
      <c r="CF351" s="196"/>
      <c r="CG351" s="196"/>
      <c r="CH351" s="196"/>
      <c r="CI351" s="196"/>
      <c r="CJ351" s="196"/>
      <c r="CK351" s="196"/>
      <c r="CL351" s="196"/>
      <c r="CM351" s="196"/>
      <c r="CN351" s="196"/>
      <c r="CO351" s="196"/>
      <c r="CP351" s="196"/>
      <c r="CQ351" s="196"/>
      <c r="CR351" s="196"/>
      <c r="CS351" s="196"/>
      <c r="CT351" s="196"/>
      <c r="CU351" s="196"/>
      <c r="CV351" s="196"/>
      <c r="CW351" s="196"/>
      <c r="CX351" s="196"/>
      <c r="CY351" s="196"/>
      <c r="CZ351" s="196"/>
      <c r="DA351" s="196"/>
      <c r="DB351" s="196"/>
      <c r="DC351" s="196"/>
      <c r="DD351" s="196"/>
      <c r="DE351" s="196"/>
      <c r="DF351" s="196"/>
      <c r="DG351" s="196"/>
      <c r="DH351" s="196"/>
      <c r="DI351" s="196"/>
      <c r="DJ351" s="196"/>
      <c r="DK351" s="196"/>
      <c r="DL351" s="196"/>
      <c r="DM351" s="196"/>
      <c r="DN351" s="196"/>
      <c r="DO351" s="196"/>
      <c r="DP351" s="196"/>
      <c r="DQ351" s="196"/>
      <c r="DR351" s="196"/>
      <c r="DS351" s="196"/>
      <c r="DT351" s="196"/>
    </row>
    <row r="352" spans="76:124" x14ac:dyDescent="0.25">
      <c r="BX352" s="196"/>
      <c r="BY352" s="196"/>
      <c r="BZ352" s="196"/>
      <c r="CA352" s="196"/>
      <c r="CB352" s="196"/>
      <c r="CC352" s="196"/>
      <c r="CD352" s="196"/>
      <c r="CE352" s="196"/>
      <c r="CF352" s="196"/>
      <c r="CG352" s="196"/>
      <c r="CH352" s="196"/>
      <c r="CI352" s="196"/>
      <c r="CJ352" s="196"/>
      <c r="CK352" s="196"/>
      <c r="CL352" s="196"/>
      <c r="CM352" s="196"/>
      <c r="CN352" s="196"/>
      <c r="CO352" s="196"/>
      <c r="CP352" s="196"/>
      <c r="CQ352" s="196"/>
      <c r="CR352" s="196"/>
      <c r="CS352" s="196"/>
      <c r="CT352" s="196"/>
      <c r="CU352" s="196"/>
      <c r="CV352" s="196"/>
      <c r="CW352" s="196"/>
      <c r="CX352" s="196"/>
      <c r="CY352" s="196"/>
      <c r="CZ352" s="196"/>
      <c r="DA352" s="196"/>
      <c r="DB352" s="196"/>
      <c r="DC352" s="196"/>
      <c r="DD352" s="196"/>
      <c r="DE352" s="196"/>
      <c r="DF352" s="196"/>
      <c r="DG352" s="196"/>
      <c r="DH352" s="196"/>
      <c r="DI352" s="196"/>
      <c r="DJ352" s="196"/>
      <c r="DK352" s="196"/>
      <c r="DL352" s="196"/>
      <c r="DM352" s="196"/>
      <c r="DN352" s="196"/>
      <c r="DO352" s="196"/>
      <c r="DP352" s="196"/>
      <c r="DQ352" s="196"/>
      <c r="DR352" s="196"/>
      <c r="DS352" s="196"/>
      <c r="DT352" s="196"/>
    </row>
    <row r="353" spans="76:124" x14ac:dyDescent="0.25">
      <c r="BX353" s="196"/>
      <c r="BY353" s="196"/>
      <c r="BZ353" s="196"/>
      <c r="CA353" s="196"/>
      <c r="CB353" s="196"/>
      <c r="CC353" s="196"/>
      <c r="CD353" s="196"/>
      <c r="CE353" s="196"/>
      <c r="CF353" s="196"/>
      <c r="CG353" s="196"/>
      <c r="CH353" s="196"/>
      <c r="CI353" s="196"/>
      <c r="CJ353" s="196"/>
      <c r="CK353" s="196"/>
      <c r="CL353" s="196"/>
      <c r="CM353" s="196"/>
      <c r="CN353" s="196"/>
      <c r="CO353" s="196"/>
      <c r="CP353" s="196"/>
      <c r="CQ353" s="196"/>
      <c r="CR353" s="196"/>
      <c r="CS353" s="196"/>
      <c r="CT353" s="196"/>
      <c r="CU353" s="196"/>
      <c r="CV353" s="196"/>
      <c r="CW353" s="196"/>
      <c r="CX353" s="196"/>
      <c r="CY353" s="196"/>
      <c r="CZ353" s="196"/>
      <c r="DA353" s="196"/>
      <c r="DB353" s="196"/>
      <c r="DC353" s="196"/>
      <c r="DD353" s="196"/>
      <c r="DE353" s="196"/>
      <c r="DF353" s="196"/>
      <c r="DG353" s="196"/>
      <c r="DH353" s="196"/>
      <c r="DI353" s="196"/>
      <c r="DJ353" s="196"/>
      <c r="DK353" s="196"/>
      <c r="DL353" s="196"/>
      <c r="DM353" s="196"/>
      <c r="DN353" s="196"/>
      <c r="DO353" s="196"/>
      <c r="DP353" s="196"/>
      <c r="DQ353" s="196"/>
      <c r="DR353" s="196"/>
      <c r="DS353" s="196"/>
      <c r="DT353" s="196"/>
    </row>
    <row r="354" spans="76:124" x14ac:dyDescent="0.25">
      <c r="BX354" s="196"/>
      <c r="BY354" s="196"/>
      <c r="BZ354" s="196"/>
      <c r="CA354" s="196"/>
      <c r="CB354" s="196"/>
      <c r="CC354" s="196"/>
      <c r="CD354" s="196"/>
      <c r="CE354" s="196"/>
      <c r="CF354" s="196"/>
      <c r="CG354" s="196"/>
      <c r="CH354" s="196"/>
      <c r="CI354" s="196"/>
      <c r="CJ354" s="196"/>
      <c r="CK354" s="196"/>
      <c r="CL354" s="196"/>
      <c r="CM354" s="196"/>
      <c r="CN354" s="196"/>
      <c r="CO354" s="196"/>
      <c r="CP354" s="196"/>
      <c r="CQ354" s="196"/>
      <c r="CR354" s="196"/>
      <c r="CS354" s="196"/>
      <c r="CT354" s="196"/>
      <c r="CU354" s="196"/>
      <c r="CV354" s="196"/>
      <c r="CW354" s="196"/>
      <c r="CX354" s="196"/>
      <c r="CY354" s="196"/>
      <c r="CZ354" s="196"/>
      <c r="DA354" s="196"/>
      <c r="DB354" s="196"/>
      <c r="DC354" s="196"/>
      <c r="DD354" s="196"/>
      <c r="DE354" s="196"/>
      <c r="DF354" s="196"/>
      <c r="DG354" s="196"/>
      <c r="DH354" s="196"/>
      <c r="DI354" s="196"/>
      <c r="DJ354" s="196"/>
      <c r="DK354" s="196"/>
      <c r="DL354" s="196"/>
      <c r="DM354" s="196"/>
      <c r="DN354" s="196"/>
      <c r="DO354" s="196"/>
      <c r="DP354" s="196"/>
      <c r="DQ354" s="196"/>
      <c r="DR354" s="196"/>
      <c r="DS354" s="196"/>
      <c r="DT354" s="196"/>
    </row>
    <row r="355" spans="76:124" x14ac:dyDescent="0.25">
      <c r="BX355" s="196"/>
      <c r="BY355" s="196"/>
      <c r="BZ355" s="196"/>
      <c r="CA355" s="196"/>
      <c r="CB355" s="196"/>
      <c r="CC355" s="196"/>
      <c r="CD355" s="196"/>
      <c r="CE355" s="196"/>
      <c r="CF355" s="196"/>
      <c r="CG355" s="196"/>
      <c r="CH355" s="196"/>
      <c r="CI355" s="196"/>
      <c r="CJ355" s="196"/>
      <c r="CK355" s="196"/>
      <c r="CL355" s="196"/>
      <c r="CM355" s="196"/>
      <c r="CN355" s="196"/>
      <c r="CO355" s="196"/>
      <c r="CP355" s="196"/>
      <c r="CQ355" s="196"/>
      <c r="CR355" s="196"/>
      <c r="CS355" s="196"/>
      <c r="CT355" s="196"/>
      <c r="CU355" s="196"/>
      <c r="CV355" s="196"/>
      <c r="CW355" s="196"/>
      <c r="CX355" s="196"/>
      <c r="CY355" s="196"/>
      <c r="CZ355" s="196"/>
      <c r="DA355" s="196"/>
      <c r="DB355" s="196"/>
      <c r="DC355" s="196"/>
      <c r="DD355" s="196"/>
      <c r="DE355" s="196"/>
      <c r="DF355" s="196"/>
      <c r="DG355" s="196"/>
      <c r="DH355" s="196"/>
      <c r="DI355" s="196"/>
      <c r="DJ355" s="196"/>
      <c r="DK355" s="196"/>
      <c r="DL355" s="196"/>
      <c r="DM355" s="196"/>
      <c r="DN355" s="196"/>
      <c r="DO355" s="196"/>
      <c r="DP355" s="196"/>
      <c r="DQ355" s="196"/>
      <c r="DR355" s="196"/>
      <c r="DS355" s="196"/>
      <c r="DT355" s="196"/>
    </row>
    <row r="356" spans="76:124" x14ac:dyDescent="0.25">
      <c r="BX356" s="196"/>
      <c r="BY356" s="196"/>
      <c r="BZ356" s="196"/>
      <c r="CA356" s="196"/>
      <c r="CB356" s="196"/>
      <c r="CC356" s="196"/>
      <c r="CD356" s="196"/>
      <c r="CE356" s="196"/>
      <c r="CF356" s="196"/>
      <c r="CG356" s="196"/>
      <c r="CH356" s="196"/>
      <c r="CI356" s="196"/>
      <c r="CJ356" s="196"/>
      <c r="CK356" s="196"/>
      <c r="CL356" s="196"/>
      <c r="CM356" s="196"/>
      <c r="CN356" s="196"/>
      <c r="CO356" s="196"/>
      <c r="CP356" s="196"/>
      <c r="CQ356" s="196"/>
      <c r="CR356" s="196"/>
      <c r="CS356" s="196"/>
      <c r="CT356" s="196"/>
      <c r="CU356" s="196"/>
      <c r="CV356" s="196"/>
      <c r="CW356" s="196"/>
      <c r="CX356" s="196"/>
      <c r="CY356" s="196"/>
      <c r="CZ356" s="196"/>
      <c r="DA356" s="196"/>
      <c r="DB356" s="196"/>
      <c r="DC356" s="196"/>
      <c r="DD356" s="196"/>
      <c r="DE356" s="196"/>
      <c r="DF356" s="196"/>
      <c r="DG356" s="196"/>
      <c r="DH356" s="196"/>
      <c r="DI356" s="196"/>
      <c r="DJ356" s="196"/>
      <c r="DK356" s="196"/>
      <c r="DL356" s="196"/>
      <c r="DM356" s="196"/>
      <c r="DN356" s="196"/>
      <c r="DO356" s="196"/>
      <c r="DP356" s="196"/>
      <c r="DQ356" s="196"/>
      <c r="DR356" s="196"/>
      <c r="DS356" s="196"/>
      <c r="DT356" s="196"/>
    </row>
    <row r="357" spans="76:124" x14ac:dyDescent="0.25">
      <c r="BX357" s="196"/>
      <c r="BY357" s="196"/>
      <c r="BZ357" s="196"/>
      <c r="CA357" s="196"/>
      <c r="CB357" s="196"/>
      <c r="CC357" s="196"/>
      <c r="CD357" s="196"/>
      <c r="CE357" s="196"/>
      <c r="CF357" s="196"/>
      <c r="CG357" s="196"/>
      <c r="CH357" s="196"/>
      <c r="CI357" s="196"/>
      <c r="CJ357" s="196"/>
      <c r="CK357" s="196"/>
      <c r="CL357" s="196"/>
      <c r="CM357" s="196"/>
      <c r="CN357" s="196"/>
      <c r="CO357" s="196"/>
      <c r="CP357" s="196"/>
      <c r="CQ357" s="196"/>
      <c r="CR357" s="196"/>
      <c r="CS357" s="196"/>
      <c r="CT357" s="196"/>
      <c r="CU357" s="196"/>
      <c r="CV357" s="196"/>
      <c r="CW357" s="196"/>
      <c r="CX357" s="196"/>
      <c r="CY357" s="196"/>
      <c r="CZ357" s="196"/>
      <c r="DA357" s="196"/>
      <c r="DB357" s="196"/>
      <c r="DC357" s="196"/>
      <c r="DD357" s="196"/>
      <c r="DE357" s="196"/>
      <c r="DF357" s="196"/>
      <c r="DG357" s="196"/>
      <c r="DH357" s="196"/>
      <c r="DI357" s="196"/>
      <c r="DJ357" s="196"/>
      <c r="DK357" s="196"/>
      <c r="DL357" s="196"/>
      <c r="DM357" s="196"/>
      <c r="DN357" s="196"/>
      <c r="DO357" s="196"/>
      <c r="DP357" s="196"/>
      <c r="DQ357" s="196"/>
      <c r="DR357" s="196"/>
      <c r="DS357" s="196"/>
      <c r="DT357" s="196"/>
    </row>
    <row r="358" spans="76:124" x14ac:dyDescent="0.25">
      <c r="BX358" s="196"/>
      <c r="BY358" s="196"/>
      <c r="BZ358" s="196"/>
      <c r="CA358" s="196"/>
      <c r="CB358" s="196"/>
      <c r="CC358" s="196"/>
      <c r="CD358" s="196"/>
      <c r="CE358" s="196"/>
      <c r="CF358" s="196"/>
      <c r="CG358" s="196"/>
      <c r="CH358" s="196"/>
      <c r="CI358" s="196"/>
      <c r="CJ358" s="196"/>
      <c r="CK358" s="196"/>
      <c r="CL358" s="196"/>
      <c r="CM358" s="196"/>
      <c r="CN358" s="196"/>
      <c r="CO358" s="196"/>
      <c r="CP358" s="196"/>
      <c r="CQ358" s="196"/>
      <c r="CR358" s="196"/>
      <c r="CS358" s="196"/>
      <c r="CT358" s="196"/>
      <c r="CU358" s="196"/>
      <c r="CV358" s="196"/>
      <c r="CW358" s="196"/>
      <c r="CX358" s="196"/>
      <c r="CY358" s="196"/>
      <c r="CZ358" s="196"/>
      <c r="DA358" s="196"/>
      <c r="DB358" s="196"/>
      <c r="DC358" s="196"/>
      <c r="DD358" s="196"/>
      <c r="DE358" s="196"/>
      <c r="DF358" s="196"/>
      <c r="DG358" s="196"/>
      <c r="DH358" s="196"/>
      <c r="DI358" s="196"/>
      <c r="DJ358" s="196"/>
      <c r="DK358" s="196"/>
      <c r="DL358" s="196"/>
      <c r="DM358" s="196"/>
      <c r="DN358" s="196"/>
      <c r="DO358" s="196"/>
      <c r="DP358" s="196"/>
      <c r="DQ358" s="196"/>
      <c r="DR358" s="196"/>
      <c r="DS358" s="196"/>
      <c r="DT358" s="196"/>
    </row>
    <row r="359" spans="76:124" x14ac:dyDescent="0.25">
      <c r="BX359" s="196"/>
      <c r="BY359" s="196"/>
      <c r="BZ359" s="196"/>
      <c r="CA359" s="196"/>
      <c r="CB359" s="196"/>
      <c r="CC359" s="196"/>
      <c r="CD359" s="196"/>
      <c r="CE359" s="196"/>
      <c r="CF359" s="196"/>
      <c r="CG359" s="196"/>
      <c r="CH359" s="196"/>
      <c r="CI359" s="196"/>
      <c r="CJ359" s="196"/>
      <c r="CK359" s="196"/>
      <c r="CL359" s="196"/>
      <c r="CM359" s="196"/>
      <c r="CN359" s="196"/>
      <c r="CO359" s="196"/>
      <c r="CP359" s="196"/>
      <c r="CQ359" s="196"/>
      <c r="CR359" s="196"/>
      <c r="CS359" s="196"/>
      <c r="CT359" s="196"/>
      <c r="CU359" s="196"/>
      <c r="CV359" s="196"/>
      <c r="CW359" s="196"/>
      <c r="CX359" s="196"/>
      <c r="CY359" s="196"/>
      <c r="CZ359" s="196"/>
      <c r="DA359" s="196"/>
      <c r="DB359" s="196"/>
      <c r="DC359" s="196"/>
      <c r="DD359" s="196"/>
      <c r="DE359" s="196"/>
      <c r="DF359" s="196"/>
      <c r="DG359" s="196"/>
      <c r="DH359" s="196"/>
      <c r="DI359" s="196"/>
      <c r="DJ359" s="196"/>
      <c r="DK359" s="196"/>
      <c r="DL359" s="196"/>
      <c r="DM359" s="196"/>
      <c r="DN359" s="196"/>
      <c r="DO359" s="196"/>
      <c r="DP359" s="196"/>
      <c r="DQ359" s="196"/>
      <c r="DR359" s="196"/>
      <c r="DS359" s="196"/>
      <c r="DT359" s="196"/>
    </row>
    <row r="360" spans="76:124" x14ac:dyDescent="0.25">
      <c r="BX360" s="196"/>
      <c r="BY360" s="196"/>
      <c r="BZ360" s="196"/>
      <c r="CA360" s="196"/>
      <c r="CB360" s="196"/>
      <c r="CC360" s="196"/>
      <c r="CD360" s="196"/>
      <c r="CE360" s="196"/>
      <c r="CF360" s="196"/>
      <c r="CG360" s="196"/>
      <c r="CH360" s="196"/>
      <c r="CI360" s="196"/>
      <c r="CJ360" s="196"/>
      <c r="CK360" s="196"/>
      <c r="CL360" s="196"/>
      <c r="CM360" s="196"/>
      <c r="CN360" s="196"/>
      <c r="CO360" s="196"/>
      <c r="CP360" s="196"/>
      <c r="CQ360" s="196"/>
      <c r="CR360" s="196"/>
      <c r="CS360" s="196"/>
      <c r="CT360" s="196"/>
      <c r="CU360" s="196"/>
      <c r="CV360" s="196"/>
      <c r="CW360" s="196"/>
      <c r="CX360" s="196"/>
      <c r="CY360" s="196"/>
      <c r="CZ360" s="196"/>
      <c r="DA360" s="196"/>
      <c r="DB360" s="196"/>
      <c r="DC360" s="196"/>
      <c r="DD360" s="196"/>
      <c r="DE360" s="196"/>
      <c r="DF360" s="196"/>
      <c r="DG360" s="196"/>
      <c r="DH360" s="196"/>
      <c r="DI360" s="196"/>
      <c r="DJ360" s="196"/>
      <c r="DK360" s="196"/>
      <c r="DL360" s="196"/>
      <c r="DM360" s="196"/>
      <c r="DN360" s="196"/>
      <c r="DO360" s="196"/>
      <c r="DP360" s="196"/>
      <c r="DQ360" s="196"/>
      <c r="DR360" s="196"/>
      <c r="DS360" s="196"/>
      <c r="DT360" s="196"/>
    </row>
    <row r="361" spans="76:124" x14ac:dyDescent="0.25">
      <c r="BX361" s="196"/>
      <c r="BY361" s="196"/>
      <c r="BZ361" s="196"/>
      <c r="CA361" s="196"/>
      <c r="CB361" s="196"/>
      <c r="CC361" s="196"/>
      <c r="CD361" s="196"/>
      <c r="CE361" s="196"/>
      <c r="CF361" s="196"/>
      <c r="CG361" s="196"/>
      <c r="CH361" s="196"/>
      <c r="CI361" s="196"/>
      <c r="CJ361" s="196"/>
      <c r="CK361" s="196"/>
      <c r="CL361" s="196"/>
      <c r="CM361" s="196"/>
      <c r="CN361" s="196"/>
      <c r="CO361" s="196"/>
      <c r="CP361" s="196"/>
      <c r="CQ361" s="196"/>
      <c r="CR361" s="196"/>
      <c r="CS361" s="196"/>
      <c r="CT361" s="196"/>
      <c r="CU361" s="196"/>
      <c r="CV361" s="196"/>
      <c r="CW361" s="196"/>
      <c r="CX361" s="196"/>
      <c r="CY361" s="196"/>
      <c r="CZ361" s="196"/>
      <c r="DA361" s="196"/>
      <c r="DB361" s="196"/>
      <c r="DC361" s="196"/>
      <c r="DD361" s="196"/>
      <c r="DE361" s="196"/>
      <c r="DF361" s="196"/>
      <c r="DG361" s="196"/>
      <c r="DH361" s="196"/>
      <c r="DI361" s="196"/>
      <c r="DJ361" s="196"/>
      <c r="DK361" s="196"/>
      <c r="DL361" s="196"/>
      <c r="DM361" s="196"/>
      <c r="DN361" s="196"/>
      <c r="DO361" s="196"/>
      <c r="DP361" s="196"/>
      <c r="DQ361" s="196"/>
      <c r="DR361" s="196"/>
      <c r="DS361" s="196"/>
      <c r="DT361" s="196"/>
    </row>
    <row r="362" spans="76:124" x14ac:dyDescent="0.25">
      <c r="BX362" s="196"/>
      <c r="BY362" s="196"/>
      <c r="BZ362" s="196"/>
      <c r="CA362" s="196"/>
      <c r="CB362" s="196"/>
      <c r="CC362" s="196"/>
      <c r="CD362" s="196"/>
      <c r="CE362" s="196"/>
      <c r="CF362" s="196"/>
      <c r="CG362" s="196"/>
      <c r="CH362" s="196"/>
      <c r="CI362" s="196"/>
      <c r="CJ362" s="196"/>
      <c r="CK362" s="196"/>
      <c r="CL362" s="196"/>
      <c r="CM362" s="196"/>
      <c r="CN362" s="196"/>
      <c r="CO362" s="196"/>
      <c r="CP362" s="196"/>
      <c r="CQ362" s="196"/>
      <c r="CR362" s="196"/>
      <c r="CS362" s="196"/>
      <c r="CT362" s="196"/>
      <c r="CU362" s="196"/>
      <c r="CV362" s="196"/>
      <c r="CW362" s="196"/>
      <c r="CX362" s="196"/>
      <c r="CY362" s="196"/>
      <c r="CZ362" s="196"/>
      <c r="DA362" s="196"/>
      <c r="DB362" s="196"/>
      <c r="DC362" s="196"/>
      <c r="DD362" s="196"/>
      <c r="DE362" s="196"/>
      <c r="DF362" s="196"/>
      <c r="DG362" s="196"/>
      <c r="DH362" s="196"/>
      <c r="DI362" s="196"/>
      <c r="DJ362" s="196"/>
      <c r="DK362" s="196"/>
      <c r="DL362" s="196"/>
      <c r="DM362" s="196"/>
      <c r="DN362" s="196"/>
      <c r="DO362" s="196"/>
      <c r="DP362" s="196"/>
      <c r="DQ362" s="196"/>
      <c r="DR362" s="196"/>
      <c r="DS362" s="196"/>
      <c r="DT362" s="196"/>
    </row>
    <row r="363" spans="76:124" x14ac:dyDescent="0.25">
      <c r="BX363" s="196"/>
      <c r="BY363" s="196"/>
      <c r="BZ363" s="196"/>
      <c r="CA363" s="196"/>
      <c r="CB363" s="196"/>
      <c r="CC363" s="196"/>
      <c r="CD363" s="196"/>
      <c r="CE363" s="196"/>
      <c r="CF363" s="196"/>
      <c r="CG363" s="196"/>
      <c r="CH363" s="196"/>
      <c r="CI363" s="196"/>
      <c r="CJ363" s="196"/>
      <c r="CK363" s="196"/>
      <c r="CL363" s="196"/>
      <c r="CM363" s="196"/>
      <c r="CN363" s="196"/>
      <c r="CO363" s="196"/>
      <c r="CP363" s="196"/>
      <c r="CQ363" s="196"/>
      <c r="CR363" s="196"/>
      <c r="CS363" s="196"/>
      <c r="CT363" s="196"/>
      <c r="CU363" s="196"/>
      <c r="CV363" s="196"/>
      <c r="CW363" s="196"/>
      <c r="CX363" s="196"/>
      <c r="CY363" s="196"/>
      <c r="CZ363" s="196"/>
      <c r="DA363" s="196"/>
      <c r="DB363" s="196"/>
      <c r="DC363" s="196"/>
      <c r="DD363" s="196"/>
      <c r="DE363" s="196"/>
      <c r="DF363" s="196"/>
      <c r="DG363" s="196"/>
      <c r="DH363" s="196"/>
      <c r="DI363" s="196"/>
      <c r="DJ363" s="196"/>
      <c r="DK363" s="196"/>
      <c r="DL363" s="196"/>
      <c r="DM363" s="196"/>
      <c r="DN363" s="196"/>
      <c r="DO363" s="196"/>
      <c r="DP363" s="196"/>
      <c r="DQ363" s="196"/>
      <c r="DR363" s="196"/>
      <c r="DS363" s="196"/>
      <c r="DT363" s="196"/>
    </row>
    <row r="364" spans="76:124" x14ac:dyDescent="0.25">
      <c r="BX364" s="196"/>
      <c r="BY364" s="196"/>
      <c r="BZ364" s="196"/>
      <c r="CA364" s="196"/>
      <c r="CB364" s="196"/>
      <c r="CC364" s="196"/>
      <c r="CD364" s="196"/>
      <c r="CE364" s="196"/>
      <c r="CF364" s="196"/>
      <c r="CG364" s="196"/>
      <c r="CH364" s="196"/>
      <c r="CI364" s="196"/>
      <c r="CJ364" s="196"/>
      <c r="CK364" s="196"/>
      <c r="CL364" s="196"/>
      <c r="CM364" s="196"/>
      <c r="CN364" s="196"/>
      <c r="CO364" s="196"/>
      <c r="CP364" s="196"/>
      <c r="CQ364" s="196"/>
      <c r="CR364" s="196"/>
      <c r="CS364" s="196"/>
      <c r="CT364" s="196"/>
      <c r="CU364" s="196"/>
      <c r="CV364" s="196"/>
      <c r="CW364" s="196"/>
      <c r="CX364" s="196"/>
      <c r="CY364" s="196"/>
      <c r="CZ364" s="196"/>
      <c r="DA364" s="196"/>
      <c r="DB364" s="196"/>
      <c r="DC364" s="196"/>
      <c r="DD364" s="196"/>
      <c r="DE364" s="196"/>
      <c r="DF364" s="196"/>
      <c r="DG364" s="196"/>
      <c r="DH364" s="196"/>
      <c r="DI364" s="196"/>
      <c r="DJ364" s="196"/>
      <c r="DK364" s="196"/>
      <c r="DL364" s="196"/>
      <c r="DM364" s="196"/>
      <c r="DN364" s="196"/>
      <c r="DO364" s="196"/>
      <c r="DP364" s="196"/>
      <c r="DQ364" s="196"/>
      <c r="DR364" s="196"/>
      <c r="DS364" s="196"/>
      <c r="DT364" s="196"/>
    </row>
    <row r="365" spans="76:124" x14ac:dyDescent="0.25">
      <c r="BX365" s="196"/>
      <c r="BY365" s="196"/>
      <c r="BZ365" s="196"/>
      <c r="CA365" s="196"/>
      <c r="CB365" s="196"/>
      <c r="CC365" s="196"/>
      <c r="CD365" s="196"/>
      <c r="CE365" s="196"/>
      <c r="CF365" s="196"/>
      <c r="CG365" s="196"/>
      <c r="CH365" s="196"/>
      <c r="CI365" s="196"/>
      <c r="CJ365" s="196"/>
      <c r="CK365" s="196"/>
      <c r="CL365" s="196"/>
      <c r="CM365" s="196"/>
      <c r="CN365" s="196"/>
      <c r="CO365" s="196"/>
      <c r="CP365" s="196"/>
      <c r="CQ365" s="196"/>
      <c r="CR365" s="196"/>
      <c r="CS365" s="196"/>
      <c r="CT365" s="196"/>
      <c r="CU365" s="196"/>
      <c r="CV365" s="196"/>
      <c r="CW365" s="196"/>
      <c r="CX365" s="196"/>
      <c r="CY365" s="196"/>
      <c r="CZ365" s="196"/>
      <c r="DA365" s="196"/>
      <c r="DB365" s="196"/>
      <c r="DC365" s="196"/>
      <c r="DD365" s="196"/>
      <c r="DE365" s="196"/>
      <c r="DF365" s="196"/>
      <c r="DG365" s="196"/>
      <c r="DH365" s="196"/>
      <c r="DI365" s="196"/>
      <c r="DJ365" s="196"/>
      <c r="DK365" s="196"/>
      <c r="DL365" s="196"/>
      <c r="DM365" s="196"/>
      <c r="DN365" s="196"/>
      <c r="DO365" s="196"/>
      <c r="DP365" s="196"/>
      <c r="DQ365" s="196"/>
      <c r="DR365" s="196"/>
      <c r="DS365" s="196"/>
      <c r="DT365" s="196"/>
    </row>
    <row r="366" spans="76:124" x14ac:dyDescent="0.25">
      <c r="BX366" s="196"/>
      <c r="BY366" s="196"/>
      <c r="BZ366" s="196"/>
      <c r="CA366" s="196"/>
      <c r="CB366" s="196"/>
      <c r="CC366" s="196"/>
      <c r="CD366" s="196"/>
      <c r="CE366" s="196"/>
      <c r="CF366" s="196"/>
      <c r="CG366" s="196"/>
      <c r="CH366" s="196"/>
      <c r="CI366" s="196"/>
      <c r="CJ366" s="196"/>
      <c r="CK366" s="196"/>
      <c r="CL366" s="196"/>
      <c r="CM366" s="196"/>
      <c r="CN366" s="196"/>
      <c r="CO366" s="196"/>
      <c r="CP366" s="196"/>
      <c r="CQ366" s="196"/>
      <c r="CR366" s="196"/>
      <c r="CS366" s="196"/>
      <c r="CT366" s="196"/>
      <c r="CU366" s="196"/>
      <c r="CV366" s="196"/>
      <c r="CW366" s="196"/>
      <c r="CX366" s="196"/>
      <c r="CY366" s="196"/>
      <c r="CZ366" s="196"/>
      <c r="DA366" s="196"/>
      <c r="DB366" s="196"/>
      <c r="DC366" s="196"/>
      <c r="DD366" s="196"/>
      <c r="DE366" s="196"/>
      <c r="DF366" s="196"/>
      <c r="DG366" s="196"/>
      <c r="DH366" s="196"/>
      <c r="DI366" s="196"/>
      <c r="DJ366" s="196"/>
      <c r="DK366" s="196"/>
      <c r="DL366" s="196"/>
      <c r="DM366" s="196"/>
      <c r="DN366" s="196"/>
      <c r="DO366" s="196"/>
      <c r="DP366" s="196"/>
      <c r="DQ366" s="196"/>
      <c r="DR366" s="196"/>
      <c r="DS366" s="196"/>
      <c r="DT366" s="196"/>
    </row>
    <row r="367" spans="76:124" x14ac:dyDescent="0.25">
      <c r="BX367" s="196"/>
      <c r="BY367" s="196"/>
      <c r="BZ367" s="196"/>
      <c r="CA367" s="196"/>
      <c r="CB367" s="196"/>
      <c r="CC367" s="196"/>
      <c r="CD367" s="196"/>
      <c r="CE367" s="196"/>
      <c r="CF367" s="196"/>
      <c r="CG367" s="196"/>
      <c r="CH367" s="196"/>
      <c r="CI367" s="196"/>
      <c r="CJ367" s="196"/>
      <c r="CK367" s="196"/>
      <c r="CL367" s="196"/>
      <c r="CM367" s="196"/>
      <c r="CN367" s="196"/>
      <c r="CO367" s="196"/>
      <c r="CP367" s="196"/>
      <c r="CQ367" s="196"/>
      <c r="CR367" s="196"/>
      <c r="CS367" s="196"/>
      <c r="CT367" s="196"/>
      <c r="CU367" s="196"/>
      <c r="CV367" s="196"/>
      <c r="CW367" s="196"/>
      <c r="CX367" s="196"/>
      <c r="CY367" s="196"/>
      <c r="CZ367" s="196"/>
      <c r="DA367" s="196"/>
      <c r="DB367" s="196"/>
      <c r="DC367" s="196"/>
      <c r="DD367" s="196"/>
      <c r="DE367" s="196"/>
      <c r="DF367" s="196"/>
      <c r="DG367" s="196"/>
      <c r="DH367" s="196"/>
      <c r="DI367" s="196"/>
      <c r="DJ367" s="196"/>
      <c r="DK367" s="196"/>
      <c r="DL367" s="196"/>
      <c r="DM367" s="196"/>
      <c r="DN367" s="196"/>
      <c r="DO367" s="196"/>
      <c r="DP367" s="196"/>
      <c r="DQ367" s="196"/>
      <c r="DR367" s="196"/>
      <c r="DS367" s="196"/>
      <c r="DT367" s="196"/>
    </row>
    <row r="368" spans="76:124" x14ac:dyDescent="0.25">
      <c r="BX368" s="196"/>
      <c r="BY368" s="196"/>
      <c r="BZ368" s="196"/>
      <c r="CA368" s="196"/>
      <c r="CB368" s="196"/>
      <c r="CC368" s="196"/>
      <c r="CD368" s="196"/>
      <c r="CE368" s="196"/>
      <c r="CF368" s="196"/>
      <c r="CG368" s="196"/>
      <c r="CH368" s="196"/>
      <c r="CI368" s="196"/>
      <c r="CJ368" s="196"/>
      <c r="CK368" s="196"/>
      <c r="CL368" s="196"/>
      <c r="CM368" s="196"/>
      <c r="CN368" s="196"/>
      <c r="CO368" s="196"/>
      <c r="CP368" s="196"/>
      <c r="CQ368" s="196"/>
      <c r="CR368" s="196"/>
      <c r="CS368" s="196"/>
      <c r="CT368" s="196"/>
      <c r="CU368" s="196"/>
      <c r="CV368" s="196"/>
      <c r="CW368" s="196"/>
      <c r="CX368" s="196"/>
      <c r="CY368" s="196"/>
      <c r="CZ368" s="196"/>
      <c r="DA368" s="196"/>
      <c r="DB368" s="196"/>
      <c r="DC368" s="196"/>
      <c r="DD368" s="196"/>
      <c r="DE368" s="196"/>
      <c r="DF368" s="196"/>
      <c r="DG368" s="196"/>
      <c r="DH368" s="196"/>
      <c r="DI368" s="196"/>
      <c r="DJ368" s="196"/>
      <c r="DK368" s="196"/>
      <c r="DL368" s="196"/>
      <c r="DM368" s="196"/>
      <c r="DN368" s="196"/>
      <c r="DO368" s="196"/>
      <c r="DP368" s="196"/>
      <c r="DQ368" s="196"/>
      <c r="DR368" s="196"/>
      <c r="DS368" s="196"/>
      <c r="DT368" s="196"/>
    </row>
    <row r="369" spans="76:124" x14ac:dyDescent="0.25">
      <c r="BX369" s="196"/>
      <c r="BY369" s="196"/>
      <c r="BZ369" s="196"/>
      <c r="CA369" s="196"/>
      <c r="CB369" s="196"/>
      <c r="CC369" s="196"/>
      <c r="CD369" s="196"/>
      <c r="CE369" s="196"/>
      <c r="CF369" s="196"/>
      <c r="CG369" s="196"/>
      <c r="CH369" s="196"/>
      <c r="CI369" s="196"/>
      <c r="CJ369" s="196"/>
      <c r="CK369" s="196"/>
      <c r="CL369" s="196"/>
      <c r="CM369" s="196"/>
      <c r="CN369" s="196"/>
      <c r="CO369" s="196"/>
      <c r="CP369" s="196"/>
      <c r="CQ369" s="196"/>
      <c r="CR369" s="196"/>
      <c r="CS369" s="196"/>
      <c r="CT369" s="196"/>
      <c r="CU369" s="196"/>
      <c r="CV369" s="196"/>
      <c r="CW369" s="196"/>
      <c r="CX369" s="196"/>
      <c r="CY369" s="196"/>
      <c r="CZ369" s="196"/>
      <c r="DA369" s="196"/>
      <c r="DB369" s="196"/>
      <c r="DC369" s="196"/>
      <c r="DD369" s="196"/>
      <c r="DE369" s="196"/>
      <c r="DF369" s="196"/>
      <c r="DG369" s="196"/>
      <c r="DH369" s="196"/>
      <c r="DI369" s="196"/>
      <c r="DJ369" s="196"/>
      <c r="DK369" s="196"/>
      <c r="DL369" s="196"/>
      <c r="DM369" s="196"/>
      <c r="DN369" s="196"/>
      <c r="DO369" s="196"/>
      <c r="DP369" s="196"/>
      <c r="DQ369" s="196"/>
      <c r="DR369" s="196"/>
      <c r="DS369" s="196"/>
      <c r="DT369" s="196"/>
    </row>
    <row r="370" spans="76:124" x14ac:dyDescent="0.25">
      <c r="BX370" s="196"/>
      <c r="BY370" s="196"/>
      <c r="BZ370" s="196"/>
      <c r="CA370" s="196"/>
      <c r="CB370" s="196"/>
      <c r="CC370" s="196"/>
      <c r="CD370" s="196"/>
      <c r="CE370" s="196"/>
      <c r="CF370" s="196"/>
      <c r="CG370" s="196"/>
      <c r="CH370" s="196"/>
      <c r="CI370" s="196"/>
      <c r="CJ370" s="196"/>
      <c r="CK370" s="196"/>
      <c r="CL370" s="196"/>
      <c r="CM370" s="196"/>
      <c r="CN370" s="196"/>
      <c r="CO370" s="196"/>
      <c r="CP370" s="196"/>
      <c r="CQ370" s="196"/>
      <c r="CR370" s="196"/>
      <c r="CS370" s="196"/>
      <c r="CT370" s="196"/>
      <c r="CU370" s="196"/>
      <c r="CV370" s="196"/>
      <c r="CW370" s="196"/>
      <c r="CX370" s="196"/>
      <c r="CY370" s="196"/>
      <c r="CZ370" s="196"/>
      <c r="DA370" s="196"/>
      <c r="DB370" s="196"/>
      <c r="DC370" s="196"/>
      <c r="DD370" s="196"/>
      <c r="DE370" s="196"/>
      <c r="DF370" s="196"/>
      <c r="DG370" s="196"/>
      <c r="DH370" s="196"/>
      <c r="DI370" s="196"/>
      <c r="DJ370" s="196"/>
      <c r="DK370" s="196"/>
      <c r="DL370" s="196"/>
      <c r="DM370" s="196"/>
      <c r="DN370" s="196"/>
      <c r="DO370" s="196"/>
      <c r="DP370" s="196"/>
      <c r="DQ370" s="196"/>
      <c r="DR370" s="196"/>
      <c r="DS370" s="196"/>
      <c r="DT370" s="196"/>
    </row>
    <row r="371" spans="76:124" x14ac:dyDescent="0.25">
      <c r="BX371" s="196"/>
      <c r="BY371" s="196"/>
      <c r="BZ371" s="196"/>
      <c r="CA371" s="196"/>
      <c r="CB371" s="196"/>
      <c r="CC371" s="196"/>
      <c r="CD371" s="196"/>
      <c r="CE371" s="196"/>
      <c r="CF371" s="196"/>
      <c r="CG371" s="196"/>
      <c r="CH371" s="196"/>
      <c r="CI371" s="196"/>
      <c r="CJ371" s="196"/>
      <c r="CK371" s="196"/>
      <c r="CL371" s="196"/>
      <c r="CM371" s="196"/>
      <c r="CN371" s="196"/>
      <c r="CO371" s="196"/>
      <c r="CP371" s="196"/>
      <c r="CQ371" s="196"/>
      <c r="CR371" s="196"/>
      <c r="CS371" s="196"/>
      <c r="CT371" s="196"/>
      <c r="CU371" s="196"/>
      <c r="CV371" s="196"/>
      <c r="CW371" s="196"/>
      <c r="CX371" s="196"/>
      <c r="CY371" s="196"/>
      <c r="CZ371" s="196"/>
      <c r="DA371" s="196"/>
      <c r="DB371" s="196"/>
      <c r="DC371" s="196"/>
      <c r="DD371" s="196"/>
      <c r="DE371" s="196"/>
      <c r="DF371" s="196"/>
      <c r="DG371" s="196"/>
      <c r="DH371" s="196"/>
      <c r="DI371" s="196"/>
      <c r="DJ371" s="196"/>
      <c r="DK371" s="196"/>
      <c r="DL371" s="196"/>
      <c r="DM371" s="196"/>
      <c r="DN371" s="196"/>
      <c r="DO371" s="196"/>
      <c r="DP371" s="196"/>
      <c r="DQ371" s="196"/>
      <c r="DR371" s="196"/>
      <c r="DS371" s="196"/>
      <c r="DT371" s="196"/>
    </row>
    <row r="372" spans="76:124" x14ac:dyDescent="0.25">
      <c r="BX372" s="196"/>
      <c r="BY372" s="196"/>
      <c r="BZ372" s="196"/>
      <c r="CA372" s="196"/>
      <c r="CB372" s="196"/>
      <c r="CC372" s="196"/>
      <c r="CD372" s="196"/>
      <c r="CE372" s="196"/>
      <c r="CF372" s="196"/>
      <c r="CG372" s="196"/>
      <c r="CH372" s="196"/>
      <c r="CI372" s="196"/>
      <c r="CJ372" s="196"/>
      <c r="CK372" s="196"/>
      <c r="CL372" s="196"/>
      <c r="CM372" s="196"/>
      <c r="CN372" s="196"/>
      <c r="CO372" s="196"/>
      <c r="CP372" s="196"/>
      <c r="CQ372" s="196"/>
      <c r="CR372" s="196"/>
      <c r="CS372" s="196"/>
      <c r="CT372" s="196"/>
      <c r="CU372" s="196"/>
      <c r="CV372" s="196"/>
      <c r="CW372" s="196"/>
      <c r="CX372" s="196"/>
      <c r="CY372" s="196"/>
      <c r="CZ372" s="196"/>
      <c r="DA372" s="196"/>
      <c r="DB372" s="196"/>
      <c r="DC372" s="196"/>
      <c r="DD372" s="196"/>
      <c r="DE372" s="196"/>
      <c r="DF372" s="196"/>
      <c r="DG372" s="196"/>
      <c r="DH372" s="196"/>
      <c r="DI372" s="196"/>
      <c r="DJ372" s="196"/>
      <c r="DK372" s="196"/>
      <c r="DL372" s="196"/>
      <c r="DM372" s="196"/>
      <c r="DN372" s="196"/>
      <c r="DO372" s="196"/>
      <c r="DP372" s="196"/>
      <c r="DQ372" s="196"/>
      <c r="DR372" s="196"/>
      <c r="DS372" s="196"/>
      <c r="DT372" s="196"/>
    </row>
    <row r="373" spans="76:124" x14ac:dyDescent="0.25">
      <c r="BX373" s="196"/>
      <c r="BY373" s="196"/>
      <c r="BZ373" s="196"/>
      <c r="CA373" s="196"/>
      <c r="CB373" s="196"/>
      <c r="CC373" s="196"/>
      <c r="CD373" s="196"/>
      <c r="CE373" s="196"/>
      <c r="CF373" s="196"/>
      <c r="CG373" s="196"/>
      <c r="CH373" s="196"/>
      <c r="CI373" s="196"/>
      <c r="CJ373" s="196"/>
      <c r="CK373" s="196"/>
      <c r="CL373" s="196"/>
      <c r="CM373" s="196"/>
      <c r="CN373" s="196"/>
      <c r="CO373" s="196"/>
      <c r="CP373" s="196"/>
      <c r="CQ373" s="196"/>
      <c r="CR373" s="196"/>
      <c r="CS373" s="196"/>
      <c r="CT373" s="196"/>
      <c r="CU373" s="196"/>
      <c r="CV373" s="196"/>
      <c r="CW373" s="196"/>
      <c r="CX373" s="196"/>
      <c r="CY373" s="196"/>
      <c r="CZ373" s="196"/>
      <c r="DA373" s="196"/>
      <c r="DB373" s="196"/>
      <c r="DC373" s="196"/>
      <c r="DD373" s="196"/>
      <c r="DE373" s="196"/>
      <c r="DF373" s="196"/>
      <c r="DG373" s="196"/>
      <c r="DH373" s="196"/>
      <c r="DI373" s="196"/>
      <c r="DJ373" s="196"/>
      <c r="DK373" s="196"/>
      <c r="DL373" s="196"/>
      <c r="DM373" s="196"/>
      <c r="DN373" s="196"/>
      <c r="DO373" s="196"/>
      <c r="DP373" s="196"/>
      <c r="DQ373" s="196"/>
      <c r="DR373" s="196"/>
      <c r="DS373" s="196"/>
      <c r="DT373" s="196"/>
    </row>
    <row r="374" spans="76:124" x14ac:dyDescent="0.25">
      <c r="BX374" s="196"/>
      <c r="BY374" s="196"/>
      <c r="BZ374" s="196"/>
      <c r="CA374" s="196"/>
      <c r="CB374" s="196"/>
      <c r="CC374" s="196"/>
      <c r="CD374" s="196"/>
      <c r="CE374" s="196"/>
      <c r="CF374" s="196"/>
      <c r="CG374" s="196"/>
      <c r="CH374" s="196"/>
      <c r="CI374" s="196"/>
      <c r="CJ374" s="196"/>
      <c r="CK374" s="196"/>
      <c r="CL374" s="196"/>
      <c r="CM374" s="196"/>
      <c r="CN374" s="196"/>
      <c r="CO374" s="196"/>
      <c r="CP374" s="196"/>
      <c r="CQ374" s="196"/>
      <c r="CR374" s="196"/>
      <c r="CS374" s="196"/>
      <c r="CT374" s="196"/>
      <c r="CU374" s="196"/>
      <c r="CV374" s="196"/>
      <c r="CW374" s="196"/>
      <c r="CX374" s="196"/>
      <c r="CY374" s="196"/>
      <c r="CZ374" s="196"/>
      <c r="DA374" s="196"/>
      <c r="DB374" s="196"/>
      <c r="DC374" s="196"/>
      <c r="DD374" s="196"/>
      <c r="DE374" s="196"/>
      <c r="DF374" s="196"/>
      <c r="DG374" s="196"/>
      <c r="DH374" s="196"/>
      <c r="DI374" s="196"/>
      <c r="DJ374" s="196"/>
      <c r="DK374" s="196"/>
      <c r="DL374" s="196"/>
      <c r="DM374" s="196"/>
      <c r="DN374" s="196"/>
      <c r="DO374" s="196"/>
      <c r="DP374" s="196"/>
      <c r="DQ374" s="196"/>
      <c r="DR374" s="196"/>
      <c r="DS374" s="196"/>
      <c r="DT374" s="196"/>
    </row>
    <row r="375" spans="76:124" x14ac:dyDescent="0.25">
      <c r="BX375" s="196"/>
      <c r="BY375" s="196"/>
      <c r="BZ375" s="196"/>
      <c r="CA375" s="196"/>
      <c r="CB375" s="196"/>
      <c r="CC375" s="196"/>
      <c r="CD375" s="196"/>
      <c r="CE375" s="196"/>
      <c r="CF375" s="196"/>
      <c r="CG375" s="196"/>
      <c r="CH375" s="196"/>
      <c r="CI375" s="196"/>
      <c r="CJ375" s="196"/>
      <c r="CK375" s="196"/>
      <c r="CL375" s="196"/>
      <c r="CM375" s="196"/>
      <c r="CN375" s="196"/>
      <c r="CO375" s="196"/>
      <c r="CP375" s="196"/>
      <c r="CQ375" s="196"/>
      <c r="CR375" s="196"/>
      <c r="CS375" s="196"/>
      <c r="CT375" s="196"/>
      <c r="CU375" s="196"/>
      <c r="CV375" s="196"/>
      <c r="CW375" s="196"/>
      <c r="CX375" s="196"/>
      <c r="CY375" s="196"/>
      <c r="CZ375" s="196"/>
      <c r="DA375" s="196"/>
      <c r="DB375" s="196"/>
      <c r="DC375" s="196"/>
      <c r="DD375" s="196"/>
      <c r="DE375" s="196"/>
      <c r="DF375" s="196"/>
      <c r="DG375" s="196"/>
      <c r="DH375" s="196"/>
      <c r="DI375" s="196"/>
      <c r="DJ375" s="196"/>
      <c r="DK375" s="196"/>
      <c r="DL375" s="196"/>
      <c r="DM375" s="196"/>
      <c r="DN375" s="196"/>
      <c r="DO375" s="196"/>
      <c r="DP375" s="196"/>
      <c r="DQ375" s="196"/>
      <c r="DR375" s="196"/>
      <c r="DS375" s="196"/>
      <c r="DT375" s="196"/>
    </row>
    <row r="376" spans="76:124" x14ac:dyDescent="0.25">
      <c r="BX376" s="196"/>
      <c r="BY376" s="196"/>
      <c r="BZ376" s="196"/>
      <c r="CA376" s="196"/>
      <c r="CB376" s="196"/>
      <c r="CC376" s="196"/>
      <c r="CD376" s="196"/>
      <c r="CE376" s="196"/>
      <c r="CF376" s="196"/>
      <c r="CG376" s="196"/>
      <c r="CH376" s="196"/>
      <c r="CI376" s="196"/>
      <c r="CJ376" s="196"/>
      <c r="CK376" s="196"/>
      <c r="CL376" s="196"/>
      <c r="CM376" s="196"/>
      <c r="CN376" s="196"/>
      <c r="CO376" s="196"/>
      <c r="CP376" s="196"/>
      <c r="CQ376" s="196"/>
      <c r="CR376" s="196"/>
      <c r="CS376" s="196"/>
      <c r="CT376" s="196"/>
      <c r="CU376" s="196"/>
      <c r="CV376" s="196"/>
      <c r="CW376" s="196"/>
      <c r="CX376" s="196"/>
      <c r="CY376" s="196"/>
      <c r="CZ376" s="196"/>
      <c r="DA376" s="196"/>
      <c r="DB376" s="196"/>
      <c r="DC376" s="196"/>
      <c r="DD376" s="196"/>
      <c r="DE376" s="196"/>
      <c r="DF376" s="196"/>
      <c r="DG376" s="196"/>
      <c r="DH376" s="196"/>
      <c r="DI376" s="196"/>
      <c r="DJ376" s="196"/>
      <c r="DK376" s="196"/>
      <c r="DL376" s="196"/>
      <c r="DM376" s="196"/>
      <c r="DN376" s="196"/>
      <c r="DO376" s="196"/>
      <c r="DP376" s="196"/>
      <c r="DQ376" s="196"/>
      <c r="DR376" s="196"/>
      <c r="DS376" s="196"/>
      <c r="DT376" s="196"/>
    </row>
    <row r="377" spans="76:124" x14ac:dyDescent="0.25">
      <c r="BX377" s="196"/>
      <c r="BY377" s="196"/>
      <c r="BZ377" s="196"/>
      <c r="CA377" s="196"/>
      <c r="CB377" s="196"/>
      <c r="CC377" s="196"/>
      <c r="CD377" s="196"/>
      <c r="CE377" s="196"/>
      <c r="CF377" s="196"/>
      <c r="CG377" s="196"/>
      <c r="CH377" s="196"/>
      <c r="CI377" s="196"/>
      <c r="CJ377" s="196"/>
      <c r="CK377" s="196"/>
      <c r="CL377" s="196"/>
      <c r="CM377" s="196"/>
      <c r="CN377" s="196"/>
      <c r="CO377" s="196"/>
      <c r="CP377" s="196"/>
      <c r="CQ377" s="196"/>
      <c r="CR377" s="196"/>
      <c r="CS377" s="196"/>
      <c r="CT377" s="196"/>
      <c r="CU377" s="196"/>
      <c r="CV377" s="196"/>
      <c r="CW377" s="196"/>
      <c r="CX377" s="196"/>
      <c r="CY377" s="196"/>
      <c r="CZ377" s="196"/>
      <c r="DA377" s="196"/>
      <c r="DB377" s="196"/>
      <c r="DC377" s="196"/>
      <c r="DD377" s="196"/>
      <c r="DE377" s="196"/>
      <c r="DF377" s="196"/>
      <c r="DG377" s="196"/>
      <c r="DH377" s="196"/>
      <c r="DI377" s="196"/>
      <c r="DJ377" s="196"/>
      <c r="DK377" s="196"/>
      <c r="DL377" s="196"/>
      <c r="DM377" s="196"/>
      <c r="DN377" s="196"/>
      <c r="DO377" s="196"/>
      <c r="DP377" s="196"/>
      <c r="DQ377" s="196"/>
      <c r="DR377" s="196"/>
      <c r="DS377" s="196"/>
      <c r="DT377" s="196"/>
    </row>
    <row r="378" spans="76:124" x14ac:dyDescent="0.25">
      <c r="BX378" s="196"/>
      <c r="BY378" s="196"/>
      <c r="BZ378" s="196"/>
      <c r="CA378" s="196"/>
      <c r="CB378" s="196"/>
      <c r="CC378" s="196"/>
      <c r="CD378" s="196"/>
      <c r="CE378" s="196"/>
      <c r="CF378" s="196"/>
      <c r="CG378" s="196"/>
      <c r="CH378" s="196"/>
      <c r="CI378" s="196"/>
      <c r="CJ378" s="196"/>
      <c r="CK378" s="196"/>
      <c r="CL378" s="196"/>
      <c r="CM378" s="196"/>
      <c r="CN378" s="196"/>
      <c r="CO378" s="196"/>
      <c r="CP378" s="196"/>
      <c r="CQ378" s="196"/>
      <c r="CR378" s="196"/>
      <c r="CS378" s="196"/>
      <c r="CT378" s="196"/>
      <c r="CU378" s="196"/>
      <c r="CV378" s="196"/>
      <c r="CW378" s="196"/>
      <c r="CX378" s="196"/>
      <c r="CY378" s="196"/>
      <c r="CZ378" s="196"/>
      <c r="DA378" s="196"/>
      <c r="DB378" s="196"/>
      <c r="DC378" s="196"/>
      <c r="DD378" s="196"/>
      <c r="DE378" s="196"/>
      <c r="DF378" s="196"/>
      <c r="DG378" s="196"/>
      <c r="DH378" s="196"/>
      <c r="DI378" s="196"/>
      <c r="DJ378" s="196"/>
      <c r="DK378" s="196"/>
      <c r="DL378" s="196"/>
      <c r="DM378" s="196"/>
      <c r="DN378" s="196"/>
      <c r="DO378" s="196"/>
      <c r="DP378" s="196"/>
      <c r="DQ378" s="196"/>
      <c r="DR378" s="196"/>
      <c r="DS378" s="196"/>
      <c r="DT378" s="196"/>
    </row>
    <row r="379" spans="76:124" x14ac:dyDescent="0.25">
      <c r="BX379" s="196"/>
      <c r="BY379" s="196"/>
      <c r="BZ379" s="196"/>
      <c r="CA379" s="196"/>
      <c r="CB379" s="196"/>
      <c r="CC379" s="196"/>
      <c r="CD379" s="196"/>
      <c r="CE379" s="196"/>
      <c r="CF379" s="196"/>
      <c r="CG379" s="196"/>
      <c r="CH379" s="196"/>
      <c r="CI379" s="196"/>
      <c r="CJ379" s="196"/>
      <c r="CK379" s="196"/>
      <c r="CL379" s="196"/>
      <c r="CM379" s="196"/>
      <c r="CN379" s="196"/>
      <c r="CO379" s="196"/>
      <c r="CP379" s="196"/>
      <c r="CQ379" s="196"/>
      <c r="CR379" s="196"/>
      <c r="CS379" s="196"/>
      <c r="CT379" s="196"/>
      <c r="CU379" s="196"/>
      <c r="CV379" s="196"/>
      <c r="CW379" s="196"/>
      <c r="CX379" s="196"/>
      <c r="CY379" s="196"/>
      <c r="CZ379" s="196"/>
      <c r="DA379" s="196"/>
      <c r="DB379" s="196"/>
      <c r="DC379" s="196"/>
      <c r="DD379" s="196"/>
      <c r="DE379" s="196"/>
      <c r="DF379" s="196"/>
      <c r="DG379" s="196"/>
      <c r="DH379" s="196"/>
      <c r="DI379" s="196"/>
      <c r="DJ379" s="196"/>
      <c r="DK379" s="196"/>
      <c r="DL379" s="196"/>
      <c r="DM379" s="196"/>
      <c r="DN379" s="196"/>
      <c r="DO379" s="196"/>
      <c r="DP379" s="196"/>
      <c r="DQ379" s="196"/>
      <c r="DR379" s="196"/>
      <c r="DS379" s="196"/>
      <c r="DT379" s="196"/>
    </row>
    <row r="380" spans="76:124" x14ac:dyDescent="0.25">
      <c r="BX380" s="196"/>
      <c r="BY380" s="196"/>
      <c r="BZ380" s="196"/>
      <c r="CA380" s="196"/>
      <c r="CB380" s="196"/>
      <c r="CC380" s="196"/>
      <c r="CD380" s="196"/>
      <c r="CE380" s="196"/>
      <c r="CF380" s="196"/>
      <c r="CG380" s="196"/>
      <c r="CH380" s="196"/>
      <c r="CI380" s="196"/>
      <c r="CJ380" s="196"/>
      <c r="CK380" s="196"/>
      <c r="CL380" s="196"/>
      <c r="CM380" s="196"/>
      <c r="CN380" s="196"/>
      <c r="CO380" s="196"/>
      <c r="CP380" s="196"/>
      <c r="CQ380" s="196"/>
      <c r="CR380" s="196"/>
      <c r="CS380" s="196"/>
      <c r="CT380" s="196"/>
      <c r="CU380" s="196"/>
      <c r="CV380" s="196"/>
      <c r="CW380" s="196"/>
      <c r="CX380" s="196"/>
      <c r="CY380" s="196"/>
      <c r="CZ380" s="196"/>
      <c r="DA380" s="196"/>
      <c r="DB380" s="196"/>
      <c r="DC380" s="196"/>
      <c r="DD380" s="196"/>
      <c r="DE380" s="196"/>
      <c r="DF380" s="196"/>
      <c r="DG380" s="196"/>
      <c r="DH380" s="196"/>
      <c r="DI380" s="196"/>
      <c r="DJ380" s="196"/>
      <c r="DK380" s="196"/>
      <c r="DL380" s="196"/>
      <c r="DM380" s="196"/>
      <c r="DN380" s="196"/>
      <c r="DO380" s="196"/>
      <c r="DP380" s="196"/>
      <c r="DQ380" s="196"/>
      <c r="DR380" s="196"/>
      <c r="DS380" s="196"/>
      <c r="DT380" s="196"/>
    </row>
    <row r="381" spans="76:124" x14ac:dyDescent="0.25">
      <c r="BX381" s="196"/>
      <c r="BY381" s="196"/>
      <c r="BZ381" s="196"/>
      <c r="CA381" s="196"/>
      <c r="CB381" s="196"/>
      <c r="CC381" s="196"/>
      <c r="CD381" s="196"/>
      <c r="CE381" s="196"/>
      <c r="CF381" s="196"/>
      <c r="CG381" s="196"/>
      <c r="CH381" s="196"/>
      <c r="CI381" s="196"/>
      <c r="CJ381" s="196"/>
      <c r="CK381" s="196"/>
      <c r="CL381" s="196"/>
      <c r="CM381" s="196"/>
      <c r="CN381" s="196"/>
      <c r="CO381" s="196"/>
      <c r="CP381" s="196"/>
      <c r="CQ381" s="196"/>
      <c r="CR381" s="196"/>
      <c r="CS381" s="196"/>
      <c r="CT381" s="196"/>
      <c r="CU381" s="196"/>
      <c r="CV381" s="196"/>
      <c r="CW381" s="196"/>
      <c r="CX381" s="196"/>
      <c r="CY381" s="196"/>
      <c r="CZ381" s="196"/>
      <c r="DA381" s="196"/>
      <c r="DB381" s="196"/>
      <c r="DC381" s="196"/>
      <c r="DD381" s="196"/>
      <c r="DE381" s="196"/>
      <c r="DF381" s="196"/>
      <c r="DG381" s="196"/>
      <c r="DH381" s="196"/>
      <c r="DI381" s="196"/>
      <c r="DJ381" s="196"/>
      <c r="DK381" s="196"/>
      <c r="DL381" s="196"/>
      <c r="DM381" s="196"/>
      <c r="DN381" s="196"/>
      <c r="DO381" s="196"/>
      <c r="DP381" s="196"/>
      <c r="DQ381" s="196"/>
      <c r="DR381" s="196"/>
      <c r="DS381" s="196"/>
      <c r="DT381" s="196"/>
    </row>
    <row r="382" spans="76:124" x14ac:dyDescent="0.25">
      <c r="BX382" s="196"/>
      <c r="BY382" s="196"/>
      <c r="BZ382" s="196"/>
      <c r="CA382" s="196"/>
      <c r="CB382" s="196"/>
      <c r="CC382" s="196"/>
      <c r="CD382" s="196"/>
      <c r="CE382" s="196"/>
      <c r="CF382" s="196"/>
      <c r="CG382" s="196"/>
      <c r="CH382" s="196"/>
      <c r="CI382" s="196"/>
      <c r="CJ382" s="196"/>
      <c r="CK382" s="196"/>
      <c r="CL382" s="196"/>
      <c r="CM382" s="196"/>
      <c r="CN382" s="196"/>
      <c r="CO382" s="196"/>
      <c r="CP382" s="196"/>
      <c r="CQ382" s="196"/>
      <c r="CR382" s="196"/>
      <c r="CS382" s="196"/>
      <c r="CT382" s="196"/>
      <c r="CU382" s="196"/>
      <c r="CV382" s="196"/>
      <c r="CW382" s="196"/>
      <c r="CX382" s="196"/>
      <c r="CY382" s="196"/>
      <c r="CZ382" s="196"/>
      <c r="DA382" s="196"/>
      <c r="DB382" s="196"/>
      <c r="DC382" s="196"/>
      <c r="DD382" s="196"/>
      <c r="DE382" s="196"/>
      <c r="DF382" s="196"/>
      <c r="DG382" s="196"/>
      <c r="DH382" s="196"/>
      <c r="DI382" s="196"/>
      <c r="DJ382" s="196"/>
      <c r="DK382" s="196"/>
      <c r="DL382" s="196"/>
      <c r="DM382" s="196"/>
      <c r="DN382" s="196"/>
      <c r="DO382" s="196"/>
      <c r="DP382" s="196"/>
      <c r="DQ382" s="196"/>
      <c r="DR382" s="196"/>
      <c r="DS382" s="196"/>
      <c r="DT382" s="196"/>
    </row>
    <row r="383" spans="76:124" x14ac:dyDescent="0.25">
      <c r="BX383" s="196"/>
      <c r="BY383" s="196"/>
      <c r="BZ383" s="196"/>
      <c r="CA383" s="196"/>
      <c r="CB383" s="196"/>
      <c r="CC383" s="196"/>
      <c r="CD383" s="196"/>
      <c r="CE383" s="196"/>
      <c r="CF383" s="196"/>
      <c r="CG383" s="196"/>
      <c r="CH383" s="196"/>
      <c r="CI383" s="196"/>
      <c r="CJ383" s="196"/>
      <c r="CK383" s="196"/>
      <c r="CL383" s="196"/>
      <c r="CM383" s="196"/>
      <c r="CN383" s="196"/>
      <c r="CO383" s="196"/>
      <c r="CP383" s="196"/>
      <c r="CQ383" s="196"/>
      <c r="CR383" s="196"/>
      <c r="CS383" s="196"/>
      <c r="CT383" s="196"/>
      <c r="CU383" s="196"/>
      <c r="CV383" s="196"/>
      <c r="CW383" s="196"/>
      <c r="CX383" s="196"/>
      <c r="CY383" s="196"/>
      <c r="CZ383" s="196"/>
      <c r="DA383" s="196"/>
      <c r="DB383" s="196"/>
      <c r="DC383" s="196"/>
      <c r="DD383" s="196"/>
      <c r="DE383" s="196"/>
      <c r="DF383" s="196"/>
      <c r="DG383" s="196"/>
      <c r="DH383" s="196"/>
      <c r="DI383" s="196"/>
      <c r="DJ383" s="196"/>
      <c r="DK383" s="196"/>
      <c r="DL383" s="196"/>
      <c r="DM383" s="196"/>
      <c r="DN383" s="196"/>
      <c r="DO383" s="196"/>
      <c r="DP383" s="196"/>
      <c r="DQ383" s="196"/>
      <c r="DR383" s="196"/>
      <c r="DS383" s="196"/>
      <c r="DT383" s="196"/>
    </row>
    <row r="384" spans="76:124" x14ac:dyDescent="0.25">
      <c r="BX384" s="196"/>
      <c r="BY384" s="196"/>
      <c r="BZ384" s="196"/>
      <c r="CA384" s="196"/>
      <c r="CB384" s="196"/>
      <c r="CC384" s="196"/>
      <c r="CD384" s="196"/>
      <c r="CE384" s="196"/>
      <c r="CF384" s="196"/>
      <c r="CG384" s="196"/>
      <c r="CH384" s="196"/>
      <c r="CI384" s="196"/>
      <c r="CJ384" s="196"/>
      <c r="CK384" s="196"/>
      <c r="CL384" s="196"/>
      <c r="CM384" s="196"/>
      <c r="CN384" s="196"/>
      <c r="CO384" s="196"/>
      <c r="CP384" s="196"/>
      <c r="CQ384" s="196"/>
      <c r="CR384" s="196"/>
      <c r="CS384" s="196"/>
      <c r="CT384" s="196"/>
      <c r="CU384" s="196"/>
      <c r="CV384" s="196"/>
      <c r="CW384" s="196"/>
      <c r="CX384" s="196"/>
      <c r="CY384" s="196"/>
      <c r="CZ384" s="196"/>
      <c r="DA384" s="196"/>
      <c r="DB384" s="196"/>
      <c r="DC384" s="196"/>
      <c r="DD384" s="196"/>
      <c r="DE384" s="196"/>
      <c r="DF384" s="196"/>
      <c r="DG384" s="196"/>
      <c r="DH384" s="196"/>
      <c r="DI384" s="196"/>
      <c r="DJ384" s="196"/>
      <c r="DK384" s="196"/>
      <c r="DL384" s="196"/>
      <c r="DM384" s="196"/>
      <c r="DN384" s="196"/>
      <c r="DO384" s="196"/>
      <c r="DP384" s="196"/>
      <c r="DQ384" s="196"/>
      <c r="DR384" s="196"/>
      <c r="DS384" s="196"/>
      <c r="DT384" s="196"/>
    </row>
    <row r="385" spans="27:139" x14ac:dyDescent="0.25">
      <c r="BX385" s="196"/>
      <c r="BY385" s="196"/>
      <c r="BZ385" s="196"/>
      <c r="CA385" s="196"/>
      <c r="CB385" s="196"/>
      <c r="CC385" s="196"/>
      <c r="CD385" s="196"/>
      <c r="CE385" s="196"/>
      <c r="CF385" s="196"/>
      <c r="CG385" s="196"/>
      <c r="CH385" s="196"/>
      <c r="CI385" s="196"/>
      <c r="CJ385" s="196"/>
      <c r="CK385" s="196"/>
      <c r="CL385" s="196"/>
      <c r="CM385" s="196"/>
      <c r="CN385" s="196"/>
      <c r="CO385" s="196"/>
      <c r="CP385" s="196"/>
      <c r="CQ385" s="196"/>
      <c r="CR385" s="196"/>
      <c r="CS385" s="196"/>
      <c r="CT385" s="196"/>
      <c r="CU385" s="196"/>
      <c r="CV385" s="196"/>
      <c r="CW385" s="196"/>
      <c r="CX385" s="196"/>
      <c r="CY385" s="196"/>
      <c r="CZ385" s="196"/>
      <c r="DA385" s="196"/>
      <c r="DB385" s="196"/>
      <c r="DC385" s="196"/>
      <c r="DD385" s="196"/>
      <c r="DE385" s="196"/>
      <c r="DF385" s="196"/>
      <c r="DG385" s="196"/>
      <c r="DH385" s="196"/>
      <c r="DI385" s="196"/>
      <c r="DJ385" s="196"/>
      <c r="DK385" s="196"/>
      <c r="DL385" s="196"/>
      <c r="DM385" s="196"/>
      <c r="DN385" s="196"/>
      <c r="DO385" s="196"/>
      <c r="DP385" s="196"/>
      <c r="DQ385" s="196"/>
      <c r="DR385" s="196"/>
      <c r="DS385" s="196"/>
      <c r="DT385" s="196"/>
    </row>
    <row r="386" spans="27:139" x14ac:dyDescent="0.25">
      <c r="BX386" s="196"/>
      <c r="BY386" s="196"/>
      <c r="BZ386" s="196"/>
      <c r="CA386" s="196"/>
      <c r="CB386" s="196"/>
      <c r="CC386" s="196"/>
      <c r="CD386" s="196"/>
      <c r="CE386" s="196"/>
      <c r="CF386" s="196"/>
      <c r="CG386" s="196"/>
      <c r="CH386" s="196"/>
      <c r="CI386" s="196"/>
      <c r="CJ386" s="196"/>
      <c r="CK386" s="196"/>
      <c r="CL386" s="196"/>
      <c r="CM386" s="196"/>
      <c r="CN386" s="196"/>
      <c r="CO386" s="196"/>
      <c r="CP386" s="196"/>
      <c r="CQ386" s="196"/>
      <c r="CR386" s="196"/>
      <c r="CS386" s="196"/>
      <c r="CT386" s="196"/>
      <c r="CU386" s="196"/>
      <c r="CV386" s="196"/>
      <c r="CW386" s="196"/>
      <c r="CX386" s="196"/>
      <c r="CY386" s="196"/>
      <c r="CZ386" s="196"/>
      <c r="DA386" s="196"/>
      <c r="DB386" s="196"/>
      <c r="DC386" s="196"/>
      <c r="DD386" s="196"/>
      <c r="DE386" s="196"/>
      <c r="DF386" s="196"/>
      <c r="DG386" s="196"/>
      <c r="DH386" s="196"/>
      <c r="DI386" s="196"/>
      <c r="DJ386" s="196"/>
      <c r="DK386" s="196"/>
      <c r="DL386" s="196"/>
      <c r="DM386" s="196"/>
      <c r="DN386" s="196"/>
      <c r="DO386" s="196"/>
      <c r="DP386" s="196"/>
      <c r="DQ386" s="196"/>
      <c r="DR386" s="196"/>
      <c r="DS386" s="196"/>
      <c r="DT386" s="196"/>
    </row>
    <row r="387" spans="27:139" x14ac:dyDescent="0.25">
      <c r="BX387" s="196"/>
      <c r="BY387" s="196"/>
      <c r="BZ387" s="196"/>
      <c r="CA387" s="196"/>
      <c r="CB387" s="196"/>
      <c r="CC387" s="196"/>
      <c r="CD387" s="196"/>
      <c r="CE387" s="196"/>
      <c r="CF387" s="196"/>
      <c r="CG387" s="196"/>
      <c r="CH387" s="196"/>
      <c r="CI387" s="196"/>
      <c r="CJ387" s="196"/>
      <c r="CK387" s="196"/>
      <c r="CL387" s="196"/>
      <c r="CM387" s="196"/>
      <c r="CN387" s="196"/>
      <c r="CO387" s="196"/>
      <c r="CP387" s="196"/>
      <c r="CQ387" s="196"/>
      <c r="CR387" s="196"/>
      <c r="CS387" s="196"/>
      <c r="CT387" s="196"/>
      <c r="CU387" s="196"/>
      <c r="CV387" s="196"/>
      <c r="CW387" s="196"/>
      <c r="CX387" s="196"/>
      <c r="CY387" s="196"/>
      <c r="CZ387" s="196"/>
      <c r="DA387" s="196"/>
      <c r="DB387" s="196"/>
      <c r="DC387" s="196"/>
      <c r="DD387" s="196"/>
      <c r="DE387" s="196"/>
      <c r="DF387" s="196"/>
      <c r="DG387" s="196"/>
      <c r="DH387" s="196"/>
      <c r="DI387" s="196"/>
      <c r="DJ387" s="196"/>
      <c r="DK387" s="196"/>
      <c r="DL387" s="196"/>
      <c r="DM387" s="196"/>
      <c r="DN387" s="196"/>
      <c r="DO387" s="196"/>
      <c r="DP387" s="196"/>
      <c r="DQ387" s="196"/>
      <c r="DR387" s="196"/>
      <c r="DS387" s="196"/>
      <c r="DT387" s="196"/>
    </row>
    <row r="388" spans="27:139" x14ac:dyDescent="0.25">
      <c r="BX388" s="196"/>
      <c r="BY388" s="196"/>
      <c r="BZ388" s="196"/>
      <c r="CA388" s="196"/>
      <c r="CB388" s="196"/>
      <c r="CC388" s="196"/>
      <c r="CD388" s="196"/>
      <c r="CE388" s="196"/>
      <c r="CF388" s="196"/>
      <c r="CG388" s="196"/>
      <c r="CH388" s="196"/>
      <c r="CI388" s="196"/>
      <c r="CJ388" s="196"/>
      <c r="CK388" s="196"/>
      <c r="CL388" s="196"/>
      <c r="CM388" s="196"/>
      <c r="CN388" s="196"/>
      <c r="CO388" s="196"/>
      <c r="CP388" s="196"/>
      <c r="CQ388" s="196"/>
      <c r="CR388" s="196"/>
      <c r="CS388" s="196"/>
      <c r="CT388" s="196"/>
      <c r="CU388" s="196"/>
      <c r="CV388" s="196"/>
      <c r="CW388" s="196"/>
      <c r="CX388" s="196"/>
      <c r="CY388" s="196"/>
      <c r="CZ388" s="196"/>
      <c r="DA388" s="196"/>
      <c r="DB388" s="196"/>
      <c r="DC388" s="196"/>
      <c r="DD388" s="196"/>
      <c r="DE388" s="196"/>
      <c r="DF388" s="196"/>
      <c r="DG388" s="196"/>
      <c r="DH388" s="196"/>
      <c r="DI388" s="196"/>
      <c r="DJ388" s="196"/>
      <c r="DK388" s="196"/>
      <c r="DL388" s="196"/>
      <c r="DM388" s="196"/>
      <c r="DN388" s="196"/>
      <c r="DO388" s="196"/>
      <c r="DP388" s="196"/>
      <c r="DQ388" s="196"/>
      <c r="DR388" s="196"/>
      <c r="DS388" s="196"/>
      <c r="DT388" s="196"/>
    </row>
    <row r="389" spans="27:139" x14ac:dyDescent="0.25">
      <c r="BX389" s="196"/>
      <c r="BY389" s="196"/>
      <c r="BZ389" s="196"/>
      <c r="CA389" s="196"/>
      <c r="CB389" s="196"/>
      <c r="CC389" s="196"/>
      <c r="CD389" s="196"/>
      <c r="CE389" s="196"/>
      <c r="CF389" s="196"/>
      <c r="CG389" s="196"/>
      <c r="CH389" s="196"/>
      <c r="CI389" s="196"/>
      <c r="CJ389" s="196"/>
      <c r="CK389" s="196"/>
      <c r="CL389" s="196"/>
      <c r="CM389" s="196"/>
      <c r="CN389" s="196"/>
      <c r="CO389" s="196"/>
      <c r="CP389" s="196"/>
      <c r="CQ389" s="196"/>
      <c r="CR389" s="196"/>
      <c r="CS389" s="196"/>
      <c r="CT389" s="196"/>
      <c r="CU389" s="196"/>
      <c r="CV389" s="196"/>
      <c r="CW389" s="196"/>
      <c r="CX389" s="196"/>
      <c r="CY389" s="196"/>
      <c r="CZ389" s="196"/>
      <c r="DA389" s="196"/>
      <c r="DB389" s="196"/>
      <c r="DC389" s="196"/>
      <c r="DD389" s="196"/>
      <c r="DE389" s="196"/>
      <c r="DF389" s="196"/>
      <c r="DG389" s="196"/>
      <c r="DH389" s="196"/>
      <c r="DI389" s="196"/>
      <c r="DJ389" s="196"/>
      <c r="DK389" s="196"/>
      <c r="DL389" s="196"/>
      <c r="DM389" s="196"/>
      <c r="DN389" s="196"/>
      <c r="DO389" s="196"/>
      <c r="DP389" s="196"/>
      <c r="DQ389" s="196"/>
      <c r="DR389" s="196"/>
      <c r="DS389" s="196"/>
      <c r="DT389" s="196"/>
    </row>
    <row r="390" spans="27:139" x14ac:dyDescent="0.25">
      <c r="BX390" s="196"/>
      <c r="BY390" s="196"/>
      <c r="BZ390" s="196"/>
      <c r="CA390" s="196"/>
      <c r="CB390" s="196"/>
      <c r="CC390" s="196"/>
      <c r="CD390" s="196"/>
      <c r="CE390" s="196"/>
      <c r="CF390" s="196"/>
      <c r="CG390" s="196"/>
      <c r="CH390" s="196"/>
      <c r="CI390" s="196"/>
      <c r="CJ390" s="196"/>
      <c r="CK390" s="196"/>
      <c r="CL390" s="196"/>
      <c r="CM390" s="196"/>
      <c r="CN390" s="196"/>
      <c r="CO390" s="196"/>
      <c r="CP390" s="196"/>
      <c r="CQ390" s="196"/>
      <c r="CR390" s="196"/>
      <c r="CS390" s="196"/>
      <c r="CT390" s="196"/>
      <c r="CU390" s="196"/>
      <c r="CV390" s="196"/>
      <c r="CW390" s="196"/>
      <c r="CX390" s="196"/>
      <c r="CY390" s="196"/>
      <c r="CZ390" s="196"/>
      <c r="DA390" s="196"/>
      <c r="DB390" s="196"/>
      <c r="DC390" s="196"/>
      <c r="DD390" s="196"/>
      <c r="DE390" s="196"/>
      <c r="DF390" s="196"/>
      <c r="DG390" s="196"/>
      <c r="DH390" s="196"/>
      <c r="DI390" s="196"/>
      <c r="DJ390" s="196"/>
      <c r="DK390" s="196"/>
      <c r="DL390" s="196"/>
      <c r="DM390" s="196"/>
      <c r="DN390" s="196"/>
      <c r="DO390" s="196"/>
      <c r="DP390" s="196"/>
      <c r="DQ390" s="196"/>
      <c r="DR390" s="196"/>
      <c r="DS390" s="196"/>
      <c r="DT390" s="196"/>
    </row>
    <row r="391" spans="27:139" x14ac:dyDescent="0.25">
      <c r="BX391" s="196"/>
      <c r="BY391" s="196"/>
      <c r="BZ391" s="196"/>
      <c r="CA391" s="196"/>
      <c r="CB391" s="196"/>
      <c r="CC391" s="196"/>
      <c r="CD391" s="196"/>
      <c r="CE391" s="196"/>
      <c r="CF391" s="196"/>
      <c r="CG391" s="196"/>
      <c r="CH391" s="196"/>
      <c r="CI391" s="196"/>
      <c r="CJ391" s="196"/>
      <c r="CK391" s="196"/>
      <c r="CL391" s="196"/>
      <c r="CM391" s="196"/>
      <c r="CN391" s="196"/>
      <c r="CO391" s="196"/>
      <c r="CP391" s="196"/>
      <c r="CQ391" s="196"/>
      <c r="CR391" s="196"/>
      <c r="CS391" s="196"/>
      <c r="CT391" s="196"/>
      <c r="CU391" s="196"/>
      <c r="CV391" s="196"/>
      <c r="CW391" s="196"/>
      <c r="CX391" s="196"/>
      <c r="CY391" s="196"/>
      <c r="CZ391" s="196"/>
      <c r="DA391" s="196"/>
      <c r="DB391" s="196"/>
      <c r="DC391" s="196"/>
      <c r="DD391" s="196"/>
      <c r="DE391" s="196"/>
      <c r="DF391" s="196"/>
      <c r="DG391" s="196"/>
      <c r="DH391" s="196"/>
      <c r="DI391" s="196"/>
      <c r="DJ391" s="196"/>
      <c r="DK391" s="196"/>
      <c r="DL391" s="196"/>
      <c r="DM391" s="196"/>
      <c r="DN391" s="196"/>
      <c r="DO391" s="196"/>
      <c r="DP391" s="196"/>
      <c r="DQ391" s="196"/>
      <c r="DR391" s="196"/>
      <c r="DS391" s="196"/>
      <c r="DT391" s="196"/>
    </row>
    <row r="392" spans="27:139" x14ac:dyDescent="0.25">
      <c r="BX392" s="196"/>
      <c r="BY392" s="196"/>
      <c r="BZ392" s="196"/>
      <c r="CA392" s="196"/>
      <c r="CB392" s="196"/>
      <c r="CC392" s="196"/>
      <c r="CD392" s="196"/>
      <c r="CE392" s="196"/>
      <c r="CF392" s="196"/>
      <c r="CG392" s="196"/>
      <c r="CH392" s="196"/>
      <c r="CI392" s="196"/>
      <c r="CJ392" s="196"/>
      <c r="CK392" s="196"/>
      <c r="CL392" s="196"/>
      <c r="CM392" s="196"/>
      <c r="CN392" s="196"/>
      <c r="CO392" s="196"/>
      <c r="CP392" s="196"/>
      <c r="CQ392" s="196"/>
      <c r="CR392" s="196"/>
      <c r="CS392" s="196"/>
      <c r="CT392" s="196"/>
      <c r="CU392" s="196"/>
      <c r="CV392" s="196"/>
      <c r="CW392" s="196"/>
      <c r="CX392" s="196"/>
      <c r="CY392" s="196"/>
      <c r="CZ392" s="196"/>
      <c r="DA392" s="196"/>
      <c r="DB392" s="196"/>
      <c r="DC392" s="196"/>
      <c r="DD392" s="196"/>
      <c r="DE392" s="196"/>
      <c r="DF392" s="196"/>
      <c r="DG392" s="196"/>
      <c r="DH392" s="196"/>
      <c r="DI392" s="196"/>
      <c r="DJ392" s="196"/>
      <c r="DK392" s="196"/>
      <c r="DL392" s="196"/>
      <c r="DM392" s="196"/>
      <c r="DN392" s="196"/>
      <c r="DO392" s="196"/>
      <c r="DP392" s="196"/>
      <c r="DQ392" s="196"/>
      <c r="DR392" s="196"/>
      <c r="DS392" s="196"/>
      <c r="DT392" s="196"/>
    </row>
    <row r="393" spans="27:139" x14ac:dyDescent="0.25">
      <c r="BX393" s="196"/>
      <c r="BY393" s="196"/>
      <c r="BZ393" s="196"/>
      <c r="CA393" s="196"/>
      <c r="CB393" s="196"/>
      <c r="CC393" s="196"/>
      <c r="CD393" s="196"/>
      <c r="CE393" s="196"/>
      <c r="CF393" s="196"/>
      <c r="CG393" s="196"/>
      <c r="CH393" s="196"/>
      <c r="CI393" s="196"/>
      <c r="CJ393" s="196"/>
      <c r="CK393" s="196"/>
      <c r="CL393" s="196"/>
      <c r="CM393" s="196"/>
      <c r="CN393" s="196"/>
      <c r="CO393" s="196"/>
      <c r="CP393" s="196"/>
      <c r="CQ393" s="196"/>
      <c r="CR393" s="196"/>
      <c r="CS393" s="196"/>
      <c r="CT393" s="196"/>
      <c r="CU393" s="196"/>
      <c r="CV393" s="196"/>
      <c r="CW393" s="196"/>
      <c r="CX393" s="196"/>
      <c r="CY393" s="196"/>
      <c r="CZ393" s="196"/>
      <c r="DA393" s="196"/>
      <c r="DB393" s="196"/>
      <c r="DC393" s="196"/>
      <c r="DD393" s="196"/>
      <c r="DE393" s="196"/>
      <c r="DF393" s="196"/>
      <c r="DG393" s="196"/>
      <c r="DH393" s="196"/>
      <c r="DI393" s="196"/>
      <c r="DJ393" s="196"/>
      <c r="DK393" s="196"/>
      <c r="DL393" s="196"/>
      <c r="DM393" s="196"/>
      <c r="DN393" s="196"/>
      <c r="DO393" s="196"/>
      <c r="DP393" s="196"/>
      <c r="DQ393" s="196"/>
      <c r="DR393" s="196"/>
      <c r="DS393" s="196"/>
      <c r="DT393" s="196"/>
    </row>
    <row r="394" spans="27:139" x14ac:dyDescent="0.25">
      <c r="BX394" s="196"/>
      <c r="BY394" s="196"/>
      <c r="BZ394" s="196"/>
      <c r="CA394" s="196"/>
      <c r="CB394" s="196"/>
      <c r="CC394" s="196"/>
      <c r="CD394" s="196"/>
      <c r="CE394" s="196"/>
      <c r="CF394" s="196"/>
      <c r="CG394" s="196"/>
      <c r="CH394" s="196"/>
      <c r="CI394" s="196"/>
      <c r="CJ394" s="196"/>
      <c r="CK394" s="196"/>
      <c r="CL394" s="196"/>
      <c r="CM394" s="196"/>
      <c r="CN394" s="196"/>
      <c r="CO394" s="196"/>
      <c r="CP394" s="196"/>
      <c r="CQ394" s="196"/>
      <c r="CR394" s="196"/>
      <c r="CS394" s="196"/>
      <c r="CT394" s="196"/>
      <c r="CU394" s="196"/>
      <c r="CV394" s="196"/>
      <c r="CW394" s="196"/>
      <c r="CX394" s="196"/>
      <c r="CY394" s="196"/>
      <c r="CZ394" s="196"/>
      <c r="DA394" s="196"/>
      <c r="DB394" s="196"/>
      <c r="DC394" s="196"/>
      <c r="DD394" s="196"/>
      <c r="DE394" s="196"/>
      <c r="DF394" s="196"/>
      <c r="DG394" s="196"/>
      <c r="DH394" s="196"/>
      <c r="DI394" s="196"/>
      <c r="DJ394" s="196"/>
      <c r="DK394" s="196"/>
      <c r="DL394" s="196"/>
      <c r="DM394" s="196"/>
      <c r="DN394" s="196"/>
      <c r="DO394" s="196"/>
      <c r="DP394" s="196"/>
      <c r="DQ394" s="196"/>
      <c r="DR394" s="196"/>
      <c r="DS394" s="196"/>
      <c r="DT394" s="196"/>
    </row>
    <row r="395" spans="27:139" x14ac:dyDescent="0.25">
      <c r="BX395" s="196"/>
      <c r="BY395" s="196"/>
      <c r="BZ395" s="196"/>
      <c r="CA395" s="196"/>
      <c r="CB395" s="196"/>
      <c r="CC395" s="196"/>
      <c r="CD395" s="196"/>
      <c r="CE395" s="196"/>
      <c r="CF395" s="196"/>
      <c r="CG395" s="196"/>
      <c r="CH395" s="196"/>
      <c r="CI395" s="196"/>
      <c r="CJ395" s="196"/>
      <c r="CK395" s="196"/>
      <c r="CL395" s="196"/>
      <c r="CM395" s="196"/>
      <c r="CN395" s="196"/>
      <c r="CO395" s="196"/>
      <c r="CP395" s="196"/>
      <c r="CQ395" s="196"/>
      <c r="CR395" s="196"/>
      <c r="CS395" s="196"/>
      <c r="CT395" s="196"/>
      <c r="CU395" s="196"/>
      <c r="CV395" s="196"/>
      <c r="CW395" s="196"/>
      <c r="CX395" s="196"/>
      <c r="CY395" s="196"/>
      <c r="CZ395" s="196"/>
      <c r="DA395" s="196"/>
      <c r="DB395" s="196"/>
      <c r="DC395" s="196"/>
      <c r="DD395" s="196"/>
      <c r="DE395" s="196"/>
      <c r="DF395" s="196"/>
      <c r="DG395" s="196"/>
      <c r="DH395" s="196"/>
      <c r="DI395" s="196"/>
      <c r="DJ395" s="196"/>
      <c r="DK395" s="196"/>
      <c r="DL395" s="196"/>
      <c r="DM395" s="196"/>
      <c r="DN395" s="196"/>
      <c r="DO395" s="196"/>
      <c r="DP395" s="196"/>
      <c r="DQ395" s="196"/>
      <c r="DR395" s="196"/>
      <c r="DS395" s="196"/>
      <c r="DT395" s="196"/>
    </row>
    <row r="396" spans="27:139" x14ac:dyDescent="0.25">
      <c r="BX396" s="196"/>
      <c r="BY396" s="196"/>
      <c r="BZ396" s="196"/>
      <c r="CA396" s="196"/>
      <c r="CB396" s="196"/>
      <c r="CC396" s="196"/>
      <c r="CD396" s="196"/>
      <c r="CE396" s="196"/>
      <c r="CF396" s="196"/>
      <c r="CG396" s="196"/>
      <c r="CH396" s="196"/>
      <c r="CI396" s="196"/>
      <c r="CJ396" s="196"/>
      <c r="CK396" s="196"/>
      <c r="CL396" s="196"/>
      <c r="CM396" s="196"/>
      <c r="CN396" s="196"/>
      <c r="CO396" s="196"/>
      <c r="CP396" s="196"/>
      <c r="CQ396" s="196"/>
      <c r="CR396" s="196"/>
      <c r="CS396" s="196"/>
      <c r="CT396" s="196"/>
      <c r="CU396" s="196"/>
      <c r="CV396" s="196"/>
      <c r="CW396" s="196"/>
      <c r="CX396" s="196"/>
      <c r="CY396" s="196"/>
      <c r="CZ396" s="196"/>
      <c r="DA396" s="196"/>
      <c r="DB396" s="196"/>
      <c r="DC396" s="196"/>
      <c r="DD396" s="196"/>
      <c r="DE396" s="196"/>
      <c r="DF396" s="196"/>
      <c r="DG396" s="196"/>
      <c r="DH396" s="196"/>
      <c r="DI396" s="196"/>
      <c r="DJ396" s="196"/>
      <c r="DK396" s="196"/>
      <c r="DL396" s="196"/>
      <c r="DM396" s="196"/>
      <c r="DN396" s="196"/>
      <c r="DO396" s="196"/>
      <c r="DP396" s="196"/>
      <c r="DQ396" s="196"/>
      <c r="DR396" s="196"/>
      <c r="DS396" s="196"/>
      <c r="DT396" s="196"/>
    </row>
    <row r="397" spans="27:139" x14ac:dyDescent="0.25">
      <c r="BX397" s="196"/>
      <c r="BY397" s="196"/>
      <c r="BZ397" s="196"/>
      <c r="CA397" s="196"/>
      <c r="CB397" s="196"/>
      <c r="CC397" s="196"/>
      <c r="CD397" s="196"/>
      <c r="CE397" s="196"/>
      <c r="CF397" s="196"/>
      <c r="CG397" s="196"/>
      <c r="CH397" s="196"/>
      <c r="CI397" s="196"/>
      <c r="CJ397" s="196"/>
      <c r="CK397" s="196"/>
      <c r="CL397" s="196"/>
      <c r="CM397" s="196"/>
      <c r="CN397" s="196"/>
      <c r="CO397" s="196"/>
      <c r="CP397" s="196"/>
      <c r="CQ397" s="196"/>
      <c r="CR397" s="196"/>
      <c r="CS397" s="196"/>
      <c r="CT397" s="196"/>
      <c r="CU397" s="196"/>
      <c r="CV397" s="196"/>
      <c r="CW397" s="196"/>
      <c r="CX397" s="196"/>
      <c r="CY397" s="196"/>
      <c r="CZ397" s="196"/>
      <c r="DA397" s="196"/>
      <c r="DB397" s="196"/>
      <c r="DC397" s="196"/>
      <c r="DD397" s="196"/>
      <c r="DE397" s="196"/>
      <c r="DF397" s="196"/>
      <c r="DG397" s="196"/>
      <c r="DH397" s="196"/>
      <c r="DI397" s="196"/>
      <c r="DJ397" s="196"/>
      <c r="DK397" s="196"/>
      <c r="DL397" s="196"/>
      <c r="DM397" s="196"/>
      <c r="DN397" s="196"/>
      <c r="DO397" s="196"/>
      <c r="DP397" s="196"/>
      <c r="DQ397" s="196"/>
      <c r="DR397" s="196"/>
      <c r="DS397" s="196"/>
      <c r="DT397" s="196"/>
    </row>
    <row r="398" spans="27:139" x14ac:dyDescent="0.25">
      <c r="BX398" s="196"/>
      <c r="BY398" s="196"/>
      <c r="BZ398" s="196"/>
      <c r="CA398" s="196"/>
      <c r="CB398" s="196"/>
      <c r="CC398" s="196"/>
      <c r="CD398" s="196"/>
      <c r="CE398" s="196"/>
      <c r="CF398" s="196"/>
      <c r="CG398" s="196"/>
      <c r="CH398" s="196"/>
      <c r="CI398" s="196"/>
      <c r="CJ398" s="196"/>
      <c r="CK398" s="196"/>
      <c r="CL398" s="196"/>
      <c r="CM398" s="196"/>
      <c r="CN398" s="196"/>
      <c r="CO398" s="196"/>
      <c r="CP398" s="196"/>
      <c r="CQ398" s="196"/>
      <c r="CR398" s="196"/>
      <c r="CS398" s="196"/>
      <c r="CT398" s="196"/>
      <c r="CU398" s="196"/>
      <c r="CV398" s="196"/>
      <c r="CW398" s="196"/>
      <c r="CX398" s="196"/>
      <c r="CY398" s="196"/>
      <c r="CZ398" s="196"/>
      <c r="DA398" s="196"/>
      <c r="DB398" s="196"/>
      <c r="DC398" s="196"/>
      <c r="DD398" s="196"/>
      <c r="DE398" s="196"/>
      <c r="DF398" s="196"/>
      <c r="DG398" s="196"/>
      <c r="DH398" s="196"/>
      <c r="DI398" s="196"/>
      <c r="DJ398" s="196"/>
      <c r="DK398" s="196"/>
      <c r="DL398" s="196"/>
      <c r="DM398" s="196"/>
      <c r="DN398" s="196"/>
      <c r="DO398" s="196"/>
      <c r="DP398" s="196"/>
      <c r="DQ398" s="196"/>
      <c r="DR398" s="196"/>
      <c r="DS398" s="196"/>
      <c r="DT398" s="196"/>
    </row>
    <row r="399" spans="27:139" ht="15.75" thickBot="1" x14ac:dyDescent="0.3">
      <c r="BX399" s="196"/>
      <c r="BY399" s="196"/>
      <c r="BZ399" s="196"/>
      <c r="CA399" s="196"/>
      <c r="CB399" s="196"/>
      <c r="CC399" s="196"/>
      <c r="CD399" s="196"/>
      <c r="CE399" s="196"/>
      <c r="CF399" s="196"/>
      <c r="CG399" s="196"/>
      <c r="CH399" s="196"/>
      <c r="CI399" s="196"/>
      <c r="CJ399" s="196"/>
      <c r="CK399" s="196"/>
      <c r="CL399" s="196"/>
      <c r="CM399" s="196"/>
      <c r="CN399" s="196"/>
      <c r="CO399" s="196"/>
      <c r="CP399" s="196"/>
      <c r="CQ399" s="196"/>
      <c r="CR399" s="196"/>
      <c r="CS399" s="196"/>
      <c r="CT399" s="196"/>
      <c r="CU399" s="196"/>
      <c r="CV399" s="196"/>
      <c r="CW399" s="196"/>
      <c r="CX399" s="196"/>
      <c r="CY399" s="196"/>
      <c r="CZ399" s="196"/>
      <c r="DA399" s="196"/>
      <c r="DB399" s="196"/>
      <c r="DC399" s="196"/>
      <c r="DD399" s="196"/>
      <c r="DE399" s="196"/>
      <c r="DF399" s="196"/>
      <c r="DG399" s="196"/>
      <c r="DH399" s="196"/>
      <c r="DI399" s="196"/>
      <c r="DJ399" s="196"/>
      <c r="DK399" s="196"/>
      <c r="DL399" s="196"/>
      <c r="DM399" s="196"/>
      <c r="DN399" s="196"/>
      <c r="DO399" s="196"/>
      <c r="DP399" s="196"/>
      <c r="DQ399" s="196"/>
      <c r="DR399" s="196"/>
      <c r="DS399" s="196"/>
      <c r="DT399" s="196"/>
    </row>
    <row r="400" spans="27:139" ht="16.5" thickTop="1" thickBot="1" x14ac:dyDescent="0.3">
      <c r="AA400" s="559" t="s">
        <v>143</v>
      </c>
      <c r="AB400" s="560"/>
      <c r="AC400" s="560"/>
      <c r="AD400" s="560"/>
      <c r="AE400" s="560"/>
      <c r="AF400" s="560"/>
      <c r="AG400" s="561"/>
      <c r="AH400" s="44">
        <f>$AH$405</f>
        <v>33528.800000000003</v>
      </c>
      <c r="AI400" s="266" t="str">
        <f>IF(OR($A$3=0,$A$3="0",$AH$405=0),"0",IF($AH$405&gt;$A$3,$A$3,$AH$405))</f>
        <v>0</v>
      </c>
      <c r="BA400" s="559" t="s">
        <v>147</v>
      </c>
      <c r="BB400" s="562"/>
      <c r="BC400" s="560"/>
      <c r="BD400" s="560"/>
      <c r="BE400" s="560"/>
      <c r="BF400" s="560"/>
      <c r="BG400" s="561"/>
      <c r="BH400" s="44">
        <f>$BH$405</f>
        <v>28252.69</v>
      </c>
      <c r="BX400" s="196"/>
      <c r="BY400" s="196"/>
      <c r="BZ400" s="196"/>
      <c r="CA400" s="559" t="s">
        <v>144</v>
      </c>
      <c r="CB400" s="560"/>
      <c r="CC400" s="560"/>
      <c r="CD400" s="560"/>
      <c r="CE400" s="560"/>
      <c r="CF400" s="560"/>
      <c r="CG400" s="561"/>
      <c r="CH400" s="44" t="str">
        <f>IF(OR($A$3=0,$A$3="0",$CH$405=0),"0",IF($CH$405&gt;$A$3,$A$3,$CH$405))</f>
        <v>0</v>
      </c>
      <c r="CI400" s="196"/>
      <c r="CJ400" s="196"/>
      <c r="CK400" s="196"/>
      <c r="CL400" s="196"/>
      <c r="CM400" s="196"/>
      <c r="CN400" s="196"/>
      <c r="CO400" s="196"/>
      <c r="CP400" s="196"/>
      <c r="CQ400" s="196"/>
      <c r="CR400" s="196"/>
      <c r="CS400" s="196"/>
      <c r="CT400" s="196"/>
      <c r="CU400" s="196"/>
      <c r="CV400" s="196"/>
      <c r="CW400" s="196"/>
      <c r="CX400" s="196"/>
      <c r="CY400" s="196"/>
      <c r="CZ400" s="196"/>
      <c r="DA400" s="559" t="s">
        <v>145</v>
      </c>
      <c r="DB400" s="560"/>
      <c r="DC400" s="560"/>
      <c r="DD400" s="560"/>
      <c r="DE400" s="560"/>
      <c r="DF400" s="560"/>
      <c r="DG400" s="561"/>
      <c r="DH400" s="44" t="str">
        <f>IF(OR($A$6=0,$A$6="0",$DH$405=0),"0",IF($DH$405&gt;$A$6,$A$6,$DH$405))</f>
        <v>0</v>
      </c>
      <c r="DI400" s="196"/>
      <c r="DJ400" s="196"/>
      <c r="DK400" s="196"/>
      <c r="DL400" s="196"/>
      <c r="DM400" s="196"/>
      <c r="DN400" s="196"/>
      <c r="DO400" s="196"/>
      <c r="DP400" s="196"/>
      <c r="DQ400" s="196"/>
      <c r="DR400" s="196"/>
      <c r="DS400" s="196"/>
      <c r="DT400" s="196"/>
      <c r="EA400" s="559" t="s">
        <v>359</v>
      </c>
      <c r="EB400" s="560"/>
      <c r="EC400" s="560"/>
      <c r="ED400" s="560"/>
      <c r="EE400" s="560"/>
      <c r="EF400" s="560"/>
      <c r="EG400" s="561"/>
      <c r="EH400" s="44" t="str">
        <f>IF(OR(DATOS!$A$3=0,DATOS!$A$3="0",$EH$405=0),"0",IF($EH$405&gt;DATOS!$A$3,DATOS!$A$3,$EH$405))</f>
        <v>0</v>
      </c>
      <c r="EI400" s="258" t="s">
        <v>360</v>
      </c>
    </row>
    <row r="401" spans="27:139" ht="16.5" thickTop="1" thickBot="1" x14ac:dyDescent="0.3">
      <c r="AA401" s="88" t="s">
        <v>55</v>
      </c>
      <c r="AB401" s="89">
        <f>$AB$417</f>
        <v>33528.800000000003</v>
      </c>
      <c r="BA401" s="2" t="s">
        <v>55</v>
      </c>
      <c r="BB401" s="5">
        <f>$BB$417</f>
        <v>28252.69</v>
      </c>
      <c r="BX401" s="196"/>
      <c r="BY401" s="196"/>
      <c r="BZ401" s="196"/>
      <c r="CA401" s="88" t="s">
        <v>55</v>
      </c>
      <c r="CB401" s="89">
        <f>$CB$417</f>
        <v>0</v>
      </c>
      <c r="CC401" s="196"/>
      <c r="CD401" s="196"/>
      <c r="CE401" s="196"/>
      <c r="CF401" s="196"/>
      <c r="CG401" s="196"/>
      <c r="CH401" s="196"/>
      <c r="CI401" s="196"/>
      <c r="CJ401" s="196"/>
      <c r="CK401" s="196"/>
      <c r="CL401" s="196"/>
      <c r="CM401" s="196"/>
      <c r="CN401" s="196"/>
      <c r="CO401" s="196"/>
      <c r="CP401" s="196"/>
      <c r="CQ401" s="196"/>
      <c r="CR401" s="196"/>
      <c r="CS401" s="196"/>
      <c r="CT401" s="196"/>
      <c r="CU401" s="196"/>
      <c r="CV401" s="196"/>
      <c r="CW401" s="196"/>
      <c r="CX401" s="196"/>
      <c r="CY401" s="196"/>
      <c r="CZ401" s="196"/>
      <c r="DA401" s="322" t="s">
        <v>55</v>
      </c>
      <c r="DB401" s="5">
        <f>$DB$417</f>
        <v>0</v>
      </c>
      <c r="DC401" s="196"/>
      <c r="DD401" s="196"/>
      <c r="DE401" s="196"/>
      <c r="DF401" s="196"/>
      <c r="DG401" s="196"/>
      <c r="DH401" s="196"/>
      <c r="DI401" s="196"/>
      <c r="DJ401" s="196"/>
      <c r="DK401" s="196"/>
      <c r="DL401" s="196"/>
      <c r="DM401" s="196"/>
      <c r="DN401" s="196"/>
      <c r="DO401" s="196"/>
      <c r="DP401" s="196"/>
      <c r="DQ401" s="196"/>
      <c r="DR401" s="196"/>
      <c r="DS401" s="196"/>
      <c r="DT401" s="196"/>
      <c r="EA401" s="182" t="s">
        <v>367</v>
      </c>
      <c r="EB401" s="89">
        <f>VLOOKUP($EA$401,$EA$418:$EB$419,2,0)</f>
        <v>0</v>
      </c>
      <c r="EC401" s="164"/>
      <c r="ED401" s="196"/>
      <c r="EE401" s="164" t="s">
        <v>318</v>
      </c>
      <c r="EF401" s="164"/>
      <c r="EG401" s="164"/>
      <c r="EH401" s="164"/>
      <c r="EI401" s="164"/>
    </row>
    <row r="402" spans="27:139" ht="16.5" thickTop="1" thickBot="1" x14ac:dyDescent="0.3">
      <c r="AA402" s="2" t="s">
        <v>56</v>
      </c>
      <c r="AB402" s="5">
        <f>$AB$431</f>
        <v>0</v>
      </c>
      <c r="BA402" s="2" t="s">
        <v>56</v>
      </c>
      <c r="BB402" s="5">
        <f>$BB$431</f>
        <v>0</v>
      </c>
      <c r="BX402" s="196"/>
      <c r="BY402" s="196"/>
      <c r="BZ402" s="196"/>
      <c r="CA402" s="322" t="s">
        <v>56</v>
      </c>
      <c r="CB402" s="5">
        <f>$CB$431</f>
        <v>0</v>
      </c>
      <c r="CC402" s="196"/>
      <c r="CD402" s="196"/>
      <c r="CE402" s="196"/>
      <c r="CF402" s="196"/>
      <c r="CG402" s="196"/>
      <c r="CH402" s="196"/>
      <c r="CI402" s="196"/>
      <c r="CJ402" s="196"/>
      <c r="CK402" s="196"/>
      <c r="CL402" s="196"/>
      <c r="CM402" s="196"/>
      <c r="CN402" s="196"/>
      <c r="CO402" s="196"/>
      <c r="CP402" s="196"/>
      <c r="CQ402" s="196"/>
      <c r="CR402" s="196"/>
      <c r="CS402" s="196"/>
      <c r="CT402" s="196"/>
      <c r="CU402" s="196"/>
      <c r="CV402" s="196"/>
      <c r="CW402" s="196"/>
      <c r="CX402" s="196"/>
      <c r="CY402" s="196"/>
      <c r="CZ402" s="196"/>
      <c r="DA402" s="322" t="s">
        <v>56</v>
      </c>
      <c r="DB402" s="5">
        <f>$DB$431</f>
        <v>0</v>
      </c>
      <c r="DC402" s="196"/>
      <c r="DD402" s="196"/>
      <c r="DE402" s="196"/>
      <c r="DF402" s="196"/>
      <c r="DG402" s="196"/>
      <c r="DH402" s="196"/>
      <c r="DI402" s="196"/>
      <c r="DJ402" s="196"/>
      <c r="DK402" s="196"/>
      <c r="DL402" s="196"/>
      <c r="DM402" s="196"/>
      <c r="DN402" s="196"/>
      <c r="DO402" s="196"/>
      <c r="DP402" s="196"/>
      <c r="DQ402" s="196"/>
      <c r="DR402" s="196"/>
      <c r="DS402" s="196"/>
      <c r="DT402" s="196"/>
      <c r="EA402" s="182" t="s">
        <v>367</v>
      </c>
      <c r="EB402" s="89">
        <f>VLOOKUP($EA$402,$EA$432:$EB$433,2,0)</f>
        <v>0</v>
      </c>
      <c r="EC402" s="164"/>
      <c r="ED402" s="196"/>
      <c r="EE402" s="164" t="s">
        <v>318</v>
      </c>
      <c r="EF402" s="164"/>
      <c r="EG402" s="164"/>
      <c r="EH402" s="164"/>
      <c r="EI402" s="164"/>
    </row>
    <row r="403" spans="27:139" ht="16.5" thickTop="1" thickBot="1" x14ac:dyDescent="0.3">
      <c r="AA403" s="2" t="s">
        <v>57</v>
      </c>
      <c r="AB403" s="5">
        <f>$AB$445</f>
        <v>0</v>
      </c>
      <c r="BA403" s="2" t="s">
        <v>57</v>
      </c>
      <c r="BB403" s="5">
        <f>$BB$445</f>
        <v>0</v>
      </c>
      <c r="BX403" s="196"/>
      <c r="BY403" s="196"/>
      <c r="BZ403" s="196"/>
      <c r="CA403" s="322" t="s">
        <v>57</v>
      </c>
      <c r="CB403" s="5">
        <f>$CB$445</f>
        <v>0</v>
      </c>
      <c r="CC403" s="196"/>
      <c r="CD403" s="196"/>
      <c r="CE403" s="196"/>
      <c r="CF403" s="196"/>
      <c r="CG403" s="196"/>
      <c r="CH403" s="196"/>
      <c r="CI403" s="196"/>
      <c r="CJ403" s="196"/>
      <c r="CK403" s="196"/>
      <c r="CL403" s="196"/>
      <c r="CM403" s="196"/>
      <c r="CN403" s="196"/>
      <c r="CO403" s="196"/>
      <c r="CP403" s="196"/>
      <c r="CQ403" s="196"/>
      <c r="CR403" s="196"/>
      <c r="CS403" s="196"/>
      <c r="CT403" s="196"/>
      <c r="CU403" s="196"/>
      <c r="CV403" s="196"/>
      <c r="CW403" s="196"/>
      <c r="CX403" s="196"/>
      <c r="CY403" s="196"/>
      <c r="CZ403" s="196"/>
      <c r="DA403" s="322" t="s">
        <v>57</v>
      </c>
      <c r="DB403" s="5">
        <f>$DB$445</f>
        <v>0</v>
      </c>
      <c r="DC403" s="196"/>
      <c r="DD403" s="196"/>
      <c r="DE403" s="196"/>
      <c r="DF403" s="196"/>
      <c r="DG403" s="196"/>
      <c r="DH403" s="196"/>
      <c r="DI403" s="196"/>
      <c r="DJ403" s="196"/>
      <c r="DK403" s="196"/>
      <c r="DL403" s="196"/>
      <c r="DM403" s="196"/>
      <c r="DN403" s="196"/>
      <c r="DO403" s="196"/>
      <c r="DP403" s="196"/>
      <c r="DQ403" s="196"/>
      <c r="DR403" s="196"/>
      <c r="DS403" s="196"/>
      <c r="DT403" s="196"/>
      <c r="EA403" s="182" t="s">
        <v>367</v>
      </c>
      <c r="EB403" s="89">
        <f>VLOOKUP($EA$403,$EA$446:$EB$447,2,0)</f>
        <v>0</v>
      </c>
      <c r="EC403" s="164"/>
      <c r="ED403" s="164"/>
      <c r="EE403" s="164"/>
      <c r="EF403" s="164"/>
      <c r="EG403" s="164"/>
      <c r="EH403" s="164"/>
      <c r="EI403" s="164"/>
    </row>
    <row r="404" spans="27:139" ht="16.5" thickTop="1" thickBot="1" x14ac:dyDescent="0.3">
      <c r="AA404" s="2" t="s">
        <v>58</v>
      </c>
      <c r="AB404" s="5">
        <f>$AB$459</f>
        <v>0</v>
      </c>
      <c r="AH404" s="149" t="str">
        <f>IF($AH$405&lt;=$AH$400,"","")</f>
        <v/>
      </c>
      <c r="BA404" s="2" t="s">
        <v>58</v>
      </c>
      <c r="BB404" s="5">
        <f>$BB$459</f>
        <v>0</v>
      </c>
      <c r="BH404" s="149" t="str">
        <f>IF($BH$405&lt;=$BH$400,"","")</f>
        <v/>
      </c>
      <c r="BX404" s="196"/>
      <c r="BY404" s="196"/>
      <c r="BZ404" s="196"/>
      <c r="CA404" s="322" t="s">
        <v>58</v>
      </c>
      <c r="CB404" s="5">
        <f>$CB$459</f>
        <v>0</v>
      </c>
      <c r="CC404" s="196"/>
      <c r="CD404" s="196"/>
      <c r="CE404" s="196"/>
      <c r="CF404" s="196"/>
      <c r="CG404" s="196"/>
      <c r="CH404" s="149" t="str">
        <f>IF($CH$405&lt;=$CH$400,"","El Ingreso se esta topando en base a la cantidad capturada en solicitud")</f>
        <v/>
      </c>
      <c r="CI404" s="196"/>
      <c r="CJ404" s="196"/>
      <c r="CK404" s="196"/>
      <c r="CL404" s="196"/>
      <c r="CM404" s="196"/>
      <c r="CN404" s="196"/>
      <c r="CO404" s="196"/>
      <c r="CP404" s="196"/>
      <c r="CQ404" s="196"/>
      <c r="CR404" s="196"/>
      <c r="CS404" s="196"/>
      <c r="CT404" s="196"/>
      <c r="CU404" s="196"/>
      <c r="CV404" s="196"/>
      <c r="CW404" s="196"/>
      <c r="CX404" s="196"/>
      <c r="CY404" s="196"/>
      <c r="CZ404" s="196"/>
      <c r="DA404" s="322" t="s">
        <v>58</v>
      </c>
      <c r="DB404" s="5">
        <f>$DB$459</f>
        <v>0</v>
      </c>
      <c r="DC404" s="196"/>
      <c r="DD404" s="196"/>
      <c r="DE404" s="196"/>
      <c r="DF404" s="196"/>
      <c r="DG404" s="196"/>
      <c r="DH404" s="149" t="str">
        <f>IF($DH$405&lt;=$DH$400,"","El Ingreso se esta topando en base a la cantidad capturada en solicitud")</f>
        <v/>
      </c>
      <c r="DI404" s="196"/>
      <c r="DJ404" s="196"/>
      <c r="DK404" s="196"/>
      <c r="DL404" s="196"/>
      <c r="DM404" s="196"/>
      <c r="DN404" s="196"/>
      <c r="DO404" s="196"/>
      <c r="DP404" s="196"/>
      <c r="DQ404" s="196"/>
      <c r="DR404" s="196"/>
      <c r="DS404" s="196"/>
      <c r="DT404" s="196"/>
      <c r="EA404" s="182" t="s">
        <v>367</v>
      </c>
      <c r="EB404" s="89">
        <f>VLOOKUP($EA$404,$EA$460:$EB$461,2,0)</f>
        <v>0</v>
      </c>
      <c r="EC404" s="164"/>
      <c r="ED404" s="164"/>
      <c r="EE404" s="164"/>
      <c r="EF404" s="164"/>
      <c r="EG404" s="164"/>
      <c r="EH404" s="149" t="str">
        <f>IF($EH$405&lt;=$EH$400,"","El Ingreso se esta topando en base a la cantidad capturada en solicitud")</f>
        <v/>
      </c>
      <c r="EI404" s="164"/>
    </row>
    <row r="405" spans="27:139" ht="16.5" thickTop="1" thickBot="1" x14ac:dyDescent="0.3">
      <c r="AA405" s="2" t="s">
        <v>59</v>
      </c>
      <c r="AB405" s="5">
        <f>$AB$473</f>
        <v>0</v>
      </c>
      <c r="AF405" s="502" t="s">
        <v>11</v>
      </c>
      <c r="AG405" s="503"/>
      <c r="AH405" s="5">
        <f>SUM($AB$401:$AB$405)</f>
        <v>33528.800000000003</v>
      </c>
      <c r="BA405" s="2" t="s">
        <v>59</v>
      </c>
      <c r="BB405" s="5">
        <f>$BB$473</f>
        <v>0</v>
      </c>
      <c r="BF405" s="502" t="s">
        <v>11</v>
      </c>
      <c r="BG405" s="503"/>
      <c r="BH405" s="5">
        <f>SUM($BB$401:$BB$405)</f>
        <v>28252.69</v>
      </c>
      <c r="BX405" s="196"/>
      <c r="BY405" s="196"/>
      <c r="BZ405" s="196"/>
      <c r="CA405" s="322" t="s">
        <v>59</v>
      </c>
      <c r="CB405" s="5">
        <f>$CB$473</f>
        <v>0</v>
      </c>
      <c r="CC405" s="196"/>
      <c r="CD405" s="196"/>
      <c r="CE405" s="196"/>
      <c r="CF405" s="502" t="s">
        <v>11</v>
      </c>
      <c r="CG405" s="503"/>
      <c r="CH405" s="5">
        <f>SUM($CB$401:$CB$405)</f>
        <v>0</v>
      </c>
      <c r="CI405" s="196"/>
      <c r="CJ405" s="196"/>
      <c r="CK405" s="196"/>
      <c r="CL405" s="196"/>
      <c r="CM405" s="196"/>
      <c r="CN405" s="196"/>
      <c r="CO405" s="196"/>
      <c r="CP405" s="196"/>
      <c r="CQ405" s="196"/>
      <c r="CR405" s="196"/>
      <c r="CS405" s="196"/>
      <c r="CT405" s="196"/>
      <c r="CU405" s="196"/>
      <c r="CV405" s="196"/>
      <c r="CW405" s="196"/>
      <c r="CX405" s="196"/>
      <c r="CY405" s="196"/>
      <c r="CZ405" s="196"/>
      <c r="DA405" s="322" t="s">
        <v>59</v>
      </c>
      <c r="DB405" s="5">
        <f>$DB$473</f>
        <v>0</v>
      </c>
      <c r="DC405" s="196"/>
      <c r="DD405" s="196"/>
      <c r="DE405" s="196"/>
      <c r="DF405" s="502" t="s">
        <v>11</v>
      </c>
      <c r="DG405" s="503"/>
      <c r="DH405" s="5">
        <f>SUM($DB$401:$DB$405)</f>
        <v>0</v>
      </c>
      <c r="DI405" s="196"/>
      <c r="DJ405" s="196"/>
      <c r="DK405" s="196"/>
      <c r="DL405" s="196"/>
      <c r="DM405" s="196"/>
      <c r="DN405" s="196"/>
      <c r="DO405" s="196"/>
      <c r="DP405" s="196"/>
      <c r="DQ405" s="196"/>
      <c r="DR405" s="196"/>
      <c r="DS405" s="196"/>
      <c r="DT405" s="196"/>
      <c r="EA405" s="182" t="s">
        <v>367</v>
      </c>
      <c r="EB405" s="89">
        <f>VLOOKUP($EA$405,$EA$474:$EB$475,2,0)</f>
        <v>0</v>
      </c>
      <c r="EC405" s="164"/>
      <c r="ED405" s="164"/>
      <c r="EE405" s="164"/>
      <c r="EF405" s="502" t="s">
        <v>11</v>
      </c>
      <c r="EG405" s="503"/>
      <c r="EH405" s="5">
        <f>SUM($EB$401:$EB$405)</f>
        <v>0</v>
      </c>
      <c r="EI405" s="164"/>
    </row>
    <row r="406" spans="27:139" ht="16.5" thickTop="1" thickBot="1" x14ac:dyDescent="0.3">
      <c r="BX406" s="196"/>
      <c r="BY406" s="196"/>
      <c r="BZ406" s="196"/>
      <c r="CA406" s="196"/>
      <c r="CB406" s="196"/>
      <c r="CC406" s="196"/>
      <c r="CD406" s="196"/>
      <c r="CE406" s="196"/>
      <c r="CF406" s="196"/>
      <c r="CG406" s="196"/>
      <c r="CH406" s="196"/>
      <c r="CI406" s="196"/>
      <c r="CJ406" s="196"/>
      <c r="CK406" s="196"/>
      <c r="CL406" s="196"/>
      <c r="CM406" s="196"/>
      <c r="CN406" s="196"/>
      <c r="CO406" s="196"/>
      <c r="CP406" s="196"/>
      <c r="CQ406" s="196"/>
      <c r="CR406" s="196"/>
      <c r="CS406" s="196"/>
      <c r="CT406" s="196"/>
      <c r="CU406" s="196"/>
      <c r="CV406" s="196"/>
      <c r="CW406" s="196"/>
      <c r="CX406" s="196"/>
      <c r="CY406" s="196"/>
      <c r="CZ406" s="196"/>
      <c r="DA406" s="196"/>
      <c r="DB406" s="196"/>
      <c r="DC406" s="196"/>
      <c r="DD406" s="196"/>
      <c r="DE406" s="196"/>
      <c r="DF406" s="196"/>
      <c r="DG406" s="196"/>
      <c r="DH406" s="196"/>
      <c r="DI406" s="196"/>
      <c r="DJ406" s="196"/>
      <c r="DK406" s="196"/>
      <c r="DL406" s="196"/>
      <c r="DM406" s="196"/>
      <c r="DN406" s="196"/>
      <c r="DO406" s="196"/>
      <c r="DP406" s="196"/>
      <c r="DQ406" s="196"/>
      <c r="DR406" s="196"/>
      <c r="DS406" s="196"/>
      <c r="DT406" s="196"/>
      <c r="EA406" s="164"/>
      <c r="EB406" s="164"/>
      <c r="EC406" s="164"/>
      <c r="ED406" s="164"/>
      <c r="EE406" s="164"/>
      <c r="EF406" s="164"/>
      <c r="EG406" s="164"/>
      <c r="EH406" s="164"/>
      <c r="EI406" s="164"/>
    </row>
    <row r="407" spans="27:139" ht="15.75" thickBot="1" x14ac:dyDescent="0.3">
      <c r="AA407" s="48" t="s">
        <v>31</v>
      </c>
      <c r="AB407" s="49">
        <f>AVERAGE($AC$407:$AD$407)</f>
        <v>33528.800000000003</v>
      </c>
      <c r="AC407" s="50">
        <f>SUM($AC$408:$AC$415)</f>
        <v>34139.200000000004</v>
      </c>
      <c r="AD407" s="50">
        <f>SUM($AD$408:$AD$415)</f>
        <v>32918.400000000001</v>
      </c>
      <c r="AE407" s="49"/>
      <c r="AF407" s="50">
        <f>SUM($AF$408)</f>
        <v>0</v>
      </c>
      <c r="AG407" s="50">
        <f>SUM($AG$408)</f>
        <v>0</v>
      </c>
      <c r="AH407" s="51">
        <f>SUM($AH$408)</f>
        <v>0</v>
      </c>
      <c r="BA407" s="48" t="s">
        <v>31</v>
      </c>
      <c r="BB407" s="49">
        <f>AVERAGE($BC$407:$BD$407)</f>
        <v>28252.69</v>
      </c>
      <c r="BC407" s="50">
        <f>SUM($BC$408:$BC$415)</f>
        <v>28252.69</v>
      </c>
      <c r="BD407" s="50">
        <f>SUM($BD$408:$BD$415)</f>
        <v>28252.69</v>
      </c>
      <c r="BE407" s="49"/>
      <c r="BF407" s="50">
        <f>SUM($BF$408)</f>
        <v>0</v>
      </c>
      <c r="BG407" s="50">
        <f>SUM($BG$408)</f>
        <v>0</v>
      </c>
      <c r="BH407" s="51">
        <f>SUM($BH$408)</f>
        <v>0</v>
      </c>
      <c r="BX407" s="196"/>
      <c r="BY407" s="196"/>
      <c r="BZ407" s="196"/>
      <c r="CA407" s="48" t="s">
        <v>31</v>
      </c>
      <c r="CB407" s="49">
        <f>AVERAGE($CC$407:$CD$407)</f>
        <v>0</v>
      </c>
      <c r="CC407" s="50">
        <f>SUM($CC$408:$CC$415)</f>
        <v>0</v>
      </c>
      <c r="CD407" s="50">
        <f>SUM($CD$408:$CD$415)</f>
        <v>0</v>
      </c>
      <c r="CE407" s="49"/>
      <c r="CF407" s="50">
        <f>SUM($CF$408)</f>
        <v>0</v>
      </c>
      <c r="CG407" s="50">
        <f>SUM($CG$408)</f>
        <v>0</v>
      </c>
      <c r="CH407" s="51">
        <f>SUM($CH$408)</f>
        <v>0</v>
      </c>
      <c r="CI407" s="196"/>
      <c r="CJ407" s="196"/>
      <c r="CK407" s="196"/>
      <c r="CL407" s="196"/>
      <c r="CM407" s="196"/>
      <c r="CN407" s="196"/>
      <c r="CO407" s="196"/>
      <c r="CP407" s="196"/>
      <c r="CQ407" s="196"/>
      <c r="CR407" s="196"/>
      <c r="CS407" s="196"/>
      <c r="CT407" s="196"/>
      <c r="CU407" s="196"/>
      <c r="CV407" s="196"/>
      <c r="CW407" s="196"/>
      <c r="CX407" s="196"/>
      <c r="CY407" s="196"/>
      <c r="CZ407" s="196"/>
      <c r="DA407" s="48" t="s">
        <v>31</v>
      </c>
      <c r="DB407" s="49">
        <f>AVERAGE($DC$407:$DD$407)</f>
        <v>0</v>
      </c>
      <c r="DC407" s="50">
        <f>SUM($DC$408:$DC$415)</f>
        <v>0</v>
      </c>
      <c r="DD407" s="50">
        <f>SUM($DD$408:$DD$415)</f>
        <v>0</v>
      </c>
      <c r="DE407" s="49"/>
      <c r="DF407" s="50">
        <f>SUM($DF$408)</f>
        <v>0</v>
      </c>
      <c r="DG407" s="50">
        <f>SUM($DG$408)</f>
        <v>0</v>
      </c>
      <c r="DH407" s="51">
        <f>SUM($DH$408)</f>
        <v>0</v>
      </c>
      <c r="DI407" s="196"/>
      <c r="DJ407" s="196"/>
      <c r="DK407" s="196"/>
      <c r="DL407" s="196"/>
      <c r="DM407" s="196"/>
      <c r="DN407" s="196"/>
      <c r="DO407" s="196"/>
      <c r="DP407" s="196"/>
      <c r="DQ407" s="196"/>
      <c r="DR407" s="196"/>
      <c r="DS407" s="196"/>
      <c r="DT407" s="196"/>
      <c r="EA407" s="48" t="s">
        <v>31</v>
      </c>
      <c r="EB407" s="49">
        <f>AVERAGE($EC$407:$ED$407)</f>
        <v>0</v>
      </c>
      <c r="EC407" s="50">
        <f>IF($EC$409=0,$EC$408,(($EC$408/$EC$409)*30))</f>
        <v>0</v>
      </c>
      <c r="ED407" s="50">
        <f>IF($ED$409=0,$ED$408,(($ED$408/$ED$409)*30))</f>
        <v>0</v>
      </c>
      <c r="EE407" s="49"/>
      <c r="EF407" s="49"/>
      <c r="EG407" s="49"/>
      <c r="EH407" s="69"/>
      <c r="EI407" s="164"/>
    </row>
    <row r="408" spans="27:139" ht="16.5" thickTop="1" thickBot="1" x14ac:dyDescent="0.3">
      <c r="AA408" s="27">
        <f>$B$29</f>
        <v>0.3</v>
      </c>
      <c r="AB408" s="26">
        <f>($AB$407*$AA$408)+$AB$407</f>
        <v>43587.44</v>
      </c>
      <c r="AC408" s="18">
        <v>14327</v>
      </c>
      <c r="AD408" s="18">
        <v>15570</v>
      </c>
      <c r="AE408" s="26"/>
      <c r="AF408" s="18">
        <v>0</v>
      </c>
      <c r="AG408" s="18">
        <v>0</v>
      </c>
      <c r="AH408" s="52">
        <v>0</v>
      </c>
      <c r="AI408" s="252" t="s">
        <v>537</v>
      </c>
      <c r="AJ408" s="18">
        <v>32499.75</v>
      </c>
      <c r="BA408" s="27">
        <f>$B$29</f>
        <v>0.3</v>
      </c>
      <c r="BB408" s="26">
        <f>($BB$407*$BA$408)+$BB$407</f>
        <v>36728.496999999996</v>
      </c>
      <c r="BC408" s="18">
        <v>18252.689999999999</v>
      </c>
      <c r="BD408" s="18">
        <v>18252.689999999999</v>
      </c>
      <c r="BE408" s="26"/>
      <c r="BF408" s="18">
        <v>0</v>
      </c>
      <c r="BG408" s="18">
        <v>0</v>
      </c>
      <c r="BH408" s="52">
        <v>0</v>
      </c>
      <c r="BI408" s="252" t="s">
        <v>537</v>
      </c>
      <c r="BJ408" s="18">
        <v>0</v>
      </c>
      <c r="BX408" s="196"/>
      <c r="BY408" s="196"/>
      <c r="BZ408" s="196"/>
      <c r="CA408" s="27">
        <f>$B$29</f>
        <v>0.3</v>
      </c>
      <c r="CB408" s="26">
        <f>($CB$407*$CA$408)+$CB$407</f>
        <v>0</v>
      </c>
      <c r="CC408" s="18">
        <v>0</v>
      </c>
      <c r="CD408" s="18">
        <v>0</v>
      </c>
      <c r="CE408" s="26"/>
      <c r="CF408" s="18">
        <v>0</v>
      </c>
      <c r="CG408" s="18">
        <v>0</v>
      </c>
      <c r="CH408" s="52">
        <v>0</v>
      </c>
      <c r="CI408" s="196"/>
      <c r="CJ408" s="196"/>
      <c r="CK408" s="196"/>
      <c r="CL408" s="196"/>
      <c r="CM408" s="196"/>
      <c r="CN408" s="196"/>
      <c r="CO408" s="196"/>
      <c r="CP408" s="196"/>
      <c r="CQ408" s="196"/>
      <c r="CR408" s="196"/>
      <c r="CS408" s="196"/>
      <c r="CT408" s="196"/>
      <c r="CU408" s="196"/>
      <c r="CV408" s="196"/>
      <c r="CW408" s="196"/>
      <c r="CX408" s="196"/>
      <c r="CY408" s="196"/>
      <c r="CZ408" s="196"/>
      <c r="DA408" s="27">
        <f>$B$29</f>
        <v>0.3</v>
      </c>
      <c r="DB408" s="26">
        <f>($DB$407*$DA$408)+$DB$407</f>
        <v>0</v>
      </c>
      <c r="DC408" s="18">
        <v>0</v>
      </c>
      <c r="DD408" s="18">
        <v>0</v>
      </c>
      <c r="DE408" s="26"/>
      <c r="DF408" s="18">
        <v>0</v>
      </c>
      <c r="DG408" s="18">
        <v>0</v>
      </c>
      <c r="DH408" s="52">
        <v>0</v>
      </c>
      <c r="DI408" s="196"/>
      <c r="DJ408" s="196"/>
      <c r="DK408" s="196"/>
      <c r="DL408" s="196"/>
      <c r="DM408" s="196"/>
      <c r="DN408" s="196"/>
      <c r="DO408" s="196"/>
      <c r="DP408" s="196"/>
      <c r="DQ408" s="196"/>
      <c r="DR408" s="196"/>
      <c r="DS408" s="196"/>
      <c r="DT408" s="196"/>
      <c r="EA408" s="27">
        <f>DATOS!$B$29</f>
        <v>0.3</v>
      </c>
      <c r="EB408" s="26">
        <f>($EB$407*$EA$408)+$EB$407</f>
        <v>0</v>
      </c>
      <c r="EC408" s="18">
        <v>0</v>
      </c>
      <c r="ED408" s="18">
        <v>0</v>
      </c>
      <c r="EE408" s="26"/>
      <c r="EF408" s="26"/>
      <c r="EG408" s="26"/>
      <c r="EH408" s="36"/>
      <c r="EI408" s="164"/>
    </row>
    <row r="409" spans="27:139" ht="16.5" thickTop="1" thickBot="1" x14ac:dyDescent="0.3">
      <c r="AA409" s="25" t="s">
        <v>32</v>
      </c>
      <c r="AB409" s="26">
        <f>IF($AC$407&lt;$AB$408,$AC$407,$AB$408)</f>
        <v>34139.200000000004</v>
      </c>
      <c r="AC409" s="18">
        <v>2880</v>
      </c>
      <c r="AD409" s="18">
        <v>2880.2</v>
      </c>
      <c r="AE409" s="26"/>
      <c r="AF409" s="26"/>
      <c r="AG409" s="26"/>
      <c r="AH409" s="36"/>
      <c r="AI409" s="252" t="s">
        <v>538</v>
      </c>
      <c r="AJ409" s="18">
        <v>6843.75</v>
      </c>
      <c r="BA409" s="25" t="s">
        <v>32</v>
      </c>
      <c r="BB409" s="26">
        <f>IF($BC$407&lt;$BB$408,$BC$407,$BB$408)</f>
        <v>28252.69</v>
      </c>
      <c r="BC409" s="18">
        <v>10000</v>
      </c>
      <c r="BD409" s="18">
        <v>10000</v>
      </c>
      <c r="BE409" s="26"/>
      <c r="BF409" s="26"/>
      <c r="BG409" s="26"/>
      <c r="BH409" s="36"/>
      <c r="BI409" s="252" t="s">
        <v>538</v>
      </c>
      <c r="BJ409" s="18">
        <v>0</v>
      </c>
      <c r="BX409" s="196"/>
      <c r="BY409" s="196"/>
      <c r="BZ409" s="196"/>
      <c r="CA409" s="25" t="s">
        <v>32</v>
      </c>
      <c r="CB409" s="26" t="str">
        <f>IF($CC$407&lt;$CB$408,$CC$407,"")</f>
        <v/>
      </c>
      <c r="CC409" s="18">
        <v>0</v>
      </c>
      <c r="CD409" s="18">
        <v>0</v>
      </c>
      <c r="CE409" s="26"/>
      <c r="CF409" s="26"/>
      <c r="CG409" s="26"/>
      <c r="CH409" s="36"/>
      <c r="CI409" s="196"/>
      <c r="CJ409" s="196"/>
      <c r="CK409" s="196"/>
      <c r="CL409" s="196"/>
      <c r="CM409" s="196"/>
      <c r="CN409" s="196"/>
      <c r="CO409" s="196"/>
      <c r="CP409" s="196"/>
      <c r="CQ409" s="196"/>
      <c r="CR409" s="196"/>
      <c r="CS409" s="196"/>
      <c r="CT409" s="196"/>
      <c r="CU409" s="196"/>
      <c r="CV409" s="196"/>
      <c r="CW409" s="196"/>
      <c r="CX409" s="196"/>
      <c r="CY409" s="196"/>
      <c r="CZ409" s="196"/>
      <c r="DA409" s="25" t="s">
        <v>32</v>
      </c>
      <c r="DB409" s="26" t="str">
        <f>IF($DC$407&lt;$DB$408,$DC$407,"")</f>
        <v/>
      </c>
      <c r="DC409" s="18">
        <v>0</v>
      </c>
      <c r="DD409" s="18">
        <v>0</v>
      </c>
      <c r="DE409" s="26"/>
      <c r="DF409" s="26"/>
      <c r="DG409" s="26"/>
      <c r="DH409" s="36"/>
      <c r="DI409" s="196"/>
      <c r="DJ409" s="196"/>
      <c r="DK409" s="196"/>
      <c r="DL409" s="196"/>
      <c r="DM409" s="196"/>
      <c r="DN409" s="196"/>
      <c r="DO409" s="196"/>
      <c r="DP409" s="196"/>
      <c r="DQ409" s="196"/>
      <c r="DR409" s="196"/>
      <c r="DS409" s="196"/>
      <c r="DT409" s="196"/>
      <c r="EA409" s="25" t="s">
        <v>32</v>
      </c>
      <c r="EB409" s="26" t="str">
        <f>IF($EC$407&lt;$EB$408,$EC$407,"")</f>
        <v/>
      </c>
      <c r="EC409" s="18">
        <v>0</v>
      </c>
      <c r="ED409" s="18">
        <v>0</v>
      </c>
      <c r="EE409" s="26"/>
      <c r="EF409" s="26"/>
      <c r="EG409" s="26"/>
      <c r="EH409" s="36"/>
      <c r="EI409" s="164"/>
    </row>
    <row r="410" spans="27:139" ht="16.5" thickTop="1" thickBot="1" x14ac:dyDescent="0.3">
      <c r="AA410" s="25" t="s">
        <v>34</v>
      </c>
      <c r="AB410" s="62">
        <f>IF($AD$407&lt;$AB$408,$AD$407,$AB$408)</f>
        <v>32918.400000000001</v>
      </c>
      <c r="AC410" s="18">
        <v>11748.26</v>
      </c>
      <c r="AD410" s="18">
        <v>11588</v>
      </c>
      <c r="AE410" s="45" t="s">
        <v>31</v>
      </c>
      <c r="AF410" s="26">
        <f>AVERAGE($AF$407:$AH$407)</f>
        <v>0</v>
      </c>
      <c r="AG410" s="26"/>
      <c r="AH410" s="36"/>
      <c r="AI410" s="252" t="s">
        <v>542</v>
      </c>
      <c r="AJ410" s="324">
        <f>IFERROR($AJ$408-$AJ$411-$AJ$412-$AJ$413,"")</f>
        <v>14882.119999999999</v>
      </c>
      <c r="BA410" s="25" t="s">
        <v>34</v>
      </c>
      <c r="BB410" s="62">
        <f>IF($BD$407&lt;$BB$408,$BD$407,$BB$408)</f>
        <v>28252.69</v>
      </c>
      <c r="BC410" s="18">
        <v>0</v>
      </c>
      <c r="BD410" s="18">
        <v>0</v>
      </c>
      <c r="BE410" s="45" t="s">
        <v>31</v>
      </c>
      <c r="BF410" s="26">
        <f>AVERAGE($BF$407:$BH$407)</f>
        <v>0</v>
      </c>
      <c r="BG410" s="26"/>
      <c r="BH410" s="36"/>
      <c r="BI410" s="252" t="s">
        <v>542</v>
      </c>
      <c r="BJ410" s="324">
        <f>IFERROR($BJ$408-$BJ$411-$BJ$412-$BJ$413,"")</f>
        <v>0</v>
      </c>
      <c r="BX410" s="196"/>
      <c r="BY410" s="196"/>
      <c r="BZ410" s="196"/>
      <c r="CA410" s="25" t="s">
        <v>34</v>
      </c>
      <c r="CB410" s="62" t="str">
        <f>IF($CD$407&lt;$CB$408,$CD$407,"")</f>
        <v/>
      </c>
      <c r="CC410" s="18">
        <v>0</v>
      </c>
      <c r="CD410" s="18">
        <v>0</v>
      </c>
      <c r="CE410" s="45" t="s">
        <v>31</v>
      </c>
      <c r="CF410" s="26">
        <f>AVERAGE($CF$407:$CH$407)</f>
        <v>0</v>
      </c>
      <c r="CG410" s="26"/>
      <c r="CH410" s="36"/>
      <c r="CI410" s="196"/>
      <c r="CJ410" s="196"/>
      <c r="CK410" s="196"/>
      <c r="CL410" s="196"/>
      <c r="CM410" s="196"/>
      <c r="CN410" s="196"/>
      <c r="CO410" s="196"/>
      <c r="CP410" s="196"/>
      <c r="CQ410" s="196"/>
      <c r="CR410" s="196"/>
      <c r="CS410" s="196"/>
      <c r="CT410" s="196"/>
      <c r="CU410" s="196"/>
      <c r="CV410" s="196"/>
      <c r="CW410" s="196"/>
      <c r="CX410" s="196"/>
      <c r="CY410" s="196"/>
      <c r="CZ410" s="196"/>
      <c r="DA410" s="25" t="s">
        <v>34</v>
      </c>
      <c r="DB410" s="62" t="str">
        <f>IF($DD$407&lt;$DB$408,$DD$407,"")</f>
        <v/>
      </c>
      <c r="DC410" s="18">
        <v>0</v>
      </c>
      <c r="DD410" s="18">
        <v>0</v>
      </c>
      <c r="DE410" s="45" t="s">
        <v>31</v>
      </c>
      <c r="DF410" s="26">
        <f>AVERAGE($DF$407:$DH$407)</f>
        <v>0</v>
      </c>
      <c r="DG410" s="26"/>
      <c r="DH410" s="36"/>
      <c r="DI410" s="196"/>
      <c r="DJ410" s="196"/>
      <c r="DK410" s="196"/>
      <c r="DL410" s="196"/>
      <c r="DM410" s="196"/>
      <c r="DN410" s="196"/>
      <c r="DO410" s="196"/>
      <c r="DP410" s="196"/>
      <c r="DQ410" s="196"/>
      <c r="DR410" s="196"/>
      <c r="DS410" s="196"/>
      <c r="DT410" s="196"/>
      <c r="EA410" s="25" t="s">
        <v>34</v>
      </c>
      <c r="EB410" s="62" t="str">
        <f>IF($ED$407&lt;$EB$408,$ED$407,"")</f>
        <v/>
      </c>
      <c r="EC410" s="26"/>
      <c r="ED410" s="26"/>
      <c r="EE410" s="26"/>
      <c r="EF410" s="26"/>
      <c r="EG410" s="26"/>
      <c r="EH410" s="36"/>
      <c r="EI410" s="164"/>
    </row>
    <row r="411" spans="27:139" ht="16.5" thickTop="1" thickBot="1" x14ac:dyDescent="0.3">
      <c r="AA411" s="53" t="s">
        <v>61</v>
      </c>
      <c r="AB411" s="3">
        <f>IF($AB$409&amp;$AB$410="","0",AVERAGE($AB$409:$AB$410))</f>
        <v>33528.800000000003</v>
      </c>
      <c r="AC411" s="63">
        <v>5183.9399999999996</v>
      </c>
      <c r="AD411" s="18">
        <v>2880.2</v>
      </c>
      <c r="AE411" s="46">
        <f>$B$29</f>
        <v>0.3</v>
      </c>
      <c r="AF411" s="26">
        <f>($AF$410*$AE$411)+$AF$410</f>
        <v>0</v>
      </c>
      <c r="AG411" s="26"/>
      <c r="AH411" s="36"/>
      <c r="AI411" s="252" t="s">
        <v>541</v>
      </c>
      <c r="AJ411" s="18">
        <v>0</v>
      </c>
      <c r="BA411" s="53" t="s">
        <v>61</v>
      </c>
      <c r="BB411" s="3">
        <f>IF($BB$409&amp;$BB$410="","0",AVERAGE($BB$409:$BB$410))</f>
        <v>28252.69</v>
      </c>
      <c r="BC411" s="63">
        <v>0</v>
      </c>
      <c r="BD411" s="18">
        <v>0</v>
      </c>
      <c r="BE411" s="46">
        <f>$B$29</f>
        <v>0.3</v>
      </c>
      <c r="BF411" s="26">
        <f>($BF$410*$BE$411)+$BF$410</f>
        <v>0</v>
      </c>
      <c r="BG411" s="26"/>
      <c r="BH411" s="36"/>
      <c r="BI411" s="252" t="s">
        <v>541</v>
      </c>
      <c r="BJ411" s="18">
        <v>0</v>
      </c>
      <c r="BX411" s="196"/>
      <c r="BY411" s="196"/>
      <c r="BZ411" s="196"/>
      <c r="CA411" s="53" t="s">
        <v>61</v>
      </c>
      <c r="CB411" s="191" t="str">
        <f>IF($CB$409&amp;$CB$410="","0",AVERAGE($CB$409:$CB$410))</f>
        <v>0</v>
      </c>
      <c r="CC411" s="63">
        <v>0</v>
      </c>
      <c r="CD411" s="18">
        <v>0</v>
      </c>
      <c r="CE411" s="46">
        <f>$B$29</f>
        <v>0.3</v>
      </c>
      <c r="CF411" s="26">
        <f>($CF$410*$CE$411)+$CF$410</f>
        <v>0</v>
      </c>
      <c r="CG411" s="26"/>
      <c r="CH411" s="36"/>
      <c r="CI411" s="196"/>
      <c r="CJ411" s="196"/>
      <c r="CK411" s="196"/>
      <c r="CL411" s="196"/>
      <c r="CM411" s="196"/>
      <c r="CN411" s="196"/>
      <c r="CO411" s="196"/>
      <c r="CP411" s="196"/>
      <c r="CQ411" s="196"/>
      <c r="CR411" s="196"/>
      <c r="CS411" s="196"/>
      <c r="CT411" s="196"/>
      <c r="CU411" s="196"/>
      <c r="CV411" s="196"/>
      <c r="CW411" s="196"/>
      <c r="CX411" s="196"/>
      <c r="CY411" s="196"/>
      <c r="CZ411" s="196"/>
      <c r="DA411" s="53" t="s">
        <v>61</v>
      </c>
      <c r="DB411" s="191" t="str">
        <f>IF($DB$409&amp;$DB$410="","0",AVERAGE($DB$409:$DB$410))</f>
        <v>0</v>
      </c>
      <c r="DC411" s="63">
        <v>0</v>
      </c>
      <c r="DD411" s="18">
        <v>0</v>
      </c>
      <c r="DE411" s="46">
        <f>$B$29</f>
        <v>0.3</v>
      </c>
      <c r="DF411" s="26">
        <f>($DF$410*$DE$411)+$DF$410</f>
        <v>0</v>
      </c>
      <c r="DG411" s="26"/>
      <c r="DH411" s="36"/>
      <c r="DI411" s="196"/>
      <c r="DJ411" s="196"/>
      <c r="DK411" s="196"/>
      <c r="DL411" s="196"/>
      <c r="DM411" s="196"/>
      <c r="DN411" s="196"/>
      <c r="DO411" s="196"/>
      <c r="DP411" s="196"/>
      <c r="DQ411" s="196"/>
      <c r="DR411" s="196"/>
      <c r="DS411" s="196"/>
      <c r="DT411" s="196"/>
      <c r="EA411" s="53" t="s">
        <v>35</v>
      </c>
      <c r="EB411" s="178" t="str">
        <f>IF($EB$409&amp;$EB$410="","0",AVERAGE($EB$409:$EB$410))</f>
        <v>0</v>
      </c>
      <c r="EC411" s="179"/>
      <c r="ED411" s="26"/>
      <c r="EE411" s="37" t="s">
        <v>157</v>
      </c>
      <c r="EF411" s="26">
        <f>$EB$411*1</f>
        <v>0</v>
      </c>
      <c r="EG411" s="26"/>
      <c r="EH411" s="36"/>
      <c r="EI411" s="164"/>
    </row>
    <row r="412" spans="27:139" ht="16.5" thickTop="1" thickBot="1" x14ac:dyDescent="0.3">
      <c r="AA412" s="53" t="s">
        <v>62</v>
      </c>
      <c r="AB412" s="5">
        <f>$AH$412</f>
        <v>0</v>
      </c>
      <c r="AC412" s="18">
        <v>0</v>
      </c>
      <c r="AD412" s="18">
        <v>0</v>
      </c>
      <c r="AE412" s="45" t="s">
        <v>32</v>
      </c>
      <c r="AF412" s="26">
        <f>IF($AF$407&lt;$AF$411,$AF$407,$AF$411)</f>
        <v>0</v>
      </c>
      <c r="AG412" s="21" t="s">
        <v>157</v>
      </c>
      <c r="AH412" s="75">
        <f>IF($AF$412&amp;$AF$413&amp;$AF$414="","0",AVERAGE($AF$412:$AF$414))</f>
        <v>0</v>
      </c>
      <c r="AI412" s="252" t="s">
        <v>540</v>
      </c>
      <c r="AJ412" s="18">
        <v>0</v>
      </c>
      <c r="BA412" s="53" t="s">
        <v>62</v>
      </c>
      <c r="BB412" s="5">
        <f>$BH$412</f>
        <v>0</v>
      </c>
      <c r="BC412" s="18">
        <v>0</v>
      </c>
      <c r="BD412" s="18">
        <v>0</v>
      </c>
      <c r="BE412" s="45" t="s">
        <v>32</v>
      </c>
      <c r="BF412" s="26">
        <f>IF($BF$407&lt;$BF$411,$BF$407,$BF$411)</f>
        <v>0</v>
      </c>
      <c r="BG412" s="45" t="s">
        <v>157</v>
      </c>
      <c r="BH412" s="75">
        <f>IF($BF$412&amp;$BF$413&amp;$BF$414="","0",AVERAGE($BF$412:$BF$414))</f>
        <v>0</v>
      </c>
      <c r="BI412" s="252" t="s">
        <v>540</v>
      </c>
      <c r="BJ412" s="18">
        <v>0</v>
      </c>
      <c r="BX412" s="196"/>
      <c r="BY412" s="196"/>
      <c r="BZ412" s="196"/>
      <c r="CA412" s="53" t="s">
        <v>62</v>
      </c>
      <c r="CB412" s="5">
        <f>$CH$413</f>
        <v>0</v>
      </c>
      <c r="CC412" s="18">
        <v>0</v>
      </c>
      <c r="CD412" s="18">
        <v>0</v>
      </c>
      <c r="CE412" s="45" t="s">
        <v>32</v>
      </c>
      <c r="CF412" s="26" t="str">
        <f>IF($CF$407&lt;$CF$411,$CF$407,"")</f>
        <v/>
      </c>
      <c r="CG412" s="45" t="s">
        <v>157</v>
      </c>
      <c r="CH412" s="75" t="str">
        <f>IF($CF$412&amp;$CF$413&amp;$CF$414="","0",AVERAGE($CF$412:$CF$414))</f>
        <v>0</v>
      </c>
      <c r="CI412" s="196"/>
      <c r="CJ412" s="196"/>
      <c r="CK412" s="196"/>
      <c r="CL412" s="196"/>
      <c r="CM412" s="196"/>
      <c r="CN412" s="196"/>
      <c r="CO412" s="196"/>
      <c r="CP412" s="196"/>
      <c r="CQ412" s="196"/>
      <c r="CR412" s="196"/>
      <c r="CS412" s="196"/>
      <c r="CT412" s="196"/>
      <c r="CU412" s="196"/>
      <c r="CV412" s="196"/>
      <c r="CW412" s="196"/>
      <c r="CX412" s="196"/>
      <c r="CY412" s="196"/>
      <c r="CZ412" s="196"/>
      <c r="DA412" s="53" t="s">
        <v>62</v>
      </c>
      <c r="DB412" s="5">
        <f>$DH$414</f>
        <v>0</v>
      </c>
      <c r="DC412" s="18">
        <v>0</v>
      </c>
      <c r="DD412" s="18">
        <v>0</v>
      </c>
      <c r="DE412" s="45" t="s">
        <v>32</v>
      </c>
      <c r="DF412" s="26" t="str">
        <f>IF($DF$407&lt;$DF$411,$DF$407,"")</f>
        <v/>
      </c>
      <c r="DG412" s="45" t="s">
        <v>157</v>
      </c>
      <c r="DH412" s="75" t="str">
        <f>IF($DF$412&amp;$DF$413&amp;$DF$414="","0",AVERAGE($DF$412:$DF$414))</f>
        <v>0</v>
      </c>
      <c r="DI412" s="196"/>
      <c r="DJ412" s="196"/>
      <c r="DK412" s="196"/>
      <c r="DL412" s="196"/>
      <c r="DM412" s="196"/>
      <c r="DN412" s="196"/>
      <c r="DO412" s="196"/>
      <c r="DP412" s="196"/>
      <c r="DQ412" s="196"/>
      <c r="DR412" s="196"/>
      <c r="DS412" s="196"/>
      <c r="DT412" s="196"/>
      <c r="EA412" s="23" t="s">
        <v>157</v>
      </c>
      <c r="EB412" s="180">
        <f>VLOOKUP($EA$412,$EE$411:$EF$416,2,0)</f>
        <v>0</v>
      </c>
      <c r="EC412" s="26"/>
      <c r="ED412" s="26"/>
      <c r="EE412" s="37" t="s">
        <v>342</v>
      </c>
      <c r="EF412" s="26">
        <f>$EB$411*2</f>
        <v>0</v>
      </c>
      <c r="EG412" s="26"/>
      <c r="EH412" s="36"/>
      <c r="EI412" s="164"/>
    </row>
    <row r="413" spans="27:139" ht="16.5" thickTop="1" thickBot="1" x14ac:dyDescent="0.3">
      <c r="AA413" s="108" t="s">
        <v>103</v>
      </c>
      <c r="AB413" s="5">
        <f>$AB$411*0.25</f>
        <v>8382.2000000000007</v>
      </c>
      <c r="AC413" s="63">
        <v>0</v>
      </c>
      <c r="AD413" s="18">
        <v>0</v>
      </c>
      <c r="AE413" s="45" t="s">
        <v>34</v>
      </c>
      <c r="AF413" s="26">
        <f>IF($AG$407&lt;$AF$411,$AG$407,$AF$411)</f>
        <v>0</v>
      </c>
      <c r="AG413" s="21" t="s">
        <v>158</v>
      </c>
      <c r="AH413" s="75">
        <f>$AH$412/2</f>
        <v>0</v>
      </c>
      <c r="AI413" s="252" t="s">
        <v>539</v>
      </c>
      <c r="AJ413" s="18">
        <v>17617.63</v>
      </c>
      <c r="BA413" s="108" t="s">
        <v>103</v>
      </c>
      <c r="BB413" s="5">
        <f>$BB$411*0.25</f>
        <v>7063.1724999999997</v>
      </c>
      <c r="BC413" s="63">
        <v>0</v>
      </c>
      <c r="BD413" s="18">
        <v>0</v>
      </c>
      <c r="BE413" s="45" t="s">
        <v>34</v>
      </c>
      <c r="BF413" s="26">
        <f>IF($BG$407&lt;$BF$411,$BG$407,$BF$411)</f>
        <v>0</v>
      </c>
      <c r="BG413" s="45" t="s">
        <v>158</v>
      </c>
      <c r="BH413" s="75">
        <f>$BH$412/2</f>
        <v>0</v>
      </c>
      <c r="BI413" s="252" t="s">
        <v>539</v>
      </c>
      <c r="BJ413" s="18">
        <v>0</v>
      </c>
      <c r="BX413" s="196"/>
      <c r="BY413" s="196"/>
      <c r="BZ413" s="196"/>
      <c r="CA413" s="108" t="s">
        <v>103</v>
      </c>
      <c r="CB413" s="5">
        <f>$CB$411*0.25</f>
        <v>0</v>
      </c>
      <c r="CC413" s="63">
        <v>0</v>
      </c>
      <c r="CD413" s="18">
        <v>0</v>
      </c>
      <c r="CE413" s="45" t="s">
        <v>34</v>
      </c>
      <c r="CF413" s="26" t="str">
        <f>IF($CG$407&lt;$CF$411,$CG$407,"")</f>
        <v/>
      </c>
      <c r="CG413" s="45" t="s">
        <v>158</v>
      </c>
      <c r="CH413" s="75">
        <f>$CH$412/2</f>
        <v>0</v>
      </c>
      <c r="CI413" s="196"/>
      <c r="CJ413" s="196"/>
      <c r="CK413" s="196"/>
      <c r="CL413" s="196"/>
      <c r="CM413" s="196"/>
      <c r="CN413" s="196"/>
      <c r="CO413" s="196"/>
      <c r="CP413" s="196"/>
      <c r="CQ413" s="196"/>
      <c r="CR413" s="196"/>
      <c r="CS413" s="196"/>
      <c r="CT413" s="196"/>
      <c r="CU413" s="196"/>
      <c r="CV413" s="196"/>
      <c r="CW413" s="196"/>
      <c r="CX413" s="196"/>
      <c r="CY413" s="196"/>
      <c r="CZ413" s="196"/>
      <c r="DA413" s="108" t="s">
        <v>103</v>
      </c>
      <c r="DB413" s="5">
        <f>$DB$411*0.25</f>
        <v>0</v>
      </c>
      <c r="DC413" s="63">
        <v>0</v>
      </c>
      <c r="DD413" s="18">
        <v>0</v>
      </c>
      <c r="DE413" s="45" t="s">
        <v>34</v>
      </c>
      <c r="DF413" s="26" t="str">
        <f>IF($DG$407&lt;$DF$411,$DG$407,"")</f>
        <v/>
      </c>
      <c r="DG413" s="45" t="s">
        <v>158</v>
      </c>
      <c r="DH413" s="75">
        <f>$DH$412/2</f>
        <v>0</v>
      </c>
      <c r="DI413" s="196"/>
      <c r="DJ413" s="196"/>
      <c r="DK413" s="196"/>
      <c r="DL413" s="196"/>
      <c r="DM413" s="196"/>
      <c r="DN413" s="196"/>
      <c r="DO413" s="196"/>
      <c r="DP413" s="196"/>
      <c r="DQ413" s="196"/>
      <c r="DR413" s="196"/>
      <c r="DS413" s="196"/>
      <c r="DT413" s="196"/>
      <c r="EA413" s="27">
        <f>DATOS!$B$58</f>
        <v>0.9</v>
      </c>
      <c r="EB413" s="176">
        <f>$A$3*$EA$413</f>
        <v>0</v>
      </c>
      <c r="EC413" s="26"/>
      <c r="ED413" s="26"/>
      <c r="EE413" s="37" t="s">
        <v>341</v>
      </c>
      <c r="EF413" s="26">
        <f>$EB$411*2</f>
        <v>0</v>
      </c>
      <c r="EG413" s="26"/>
      <c r="EH413" s="36"/>
      <c r="EI413" s="164"/>
    </row>
    <row r="414" spans="27:139" ht="16.5" thickTop="1" thickBot="1" x14ac:dyDescent="0.3">
      <c r="AA414" s="25" t="s">
        <v>64</v>
      </c>
      <c r="AB414" s="109">
        <v>0</v>
      </c>
      <c r="AC414" s="18">
        <v>0</v>
      </c>
      <c r="AD414" s="18">
        <v>0</v>
      </c>
      <c r="AE414" s="45" t="s">
        <v>45</v>
      </c>
      <c r="AF414" s="26">
        <f>IF($AH$407&lt;$AF$411,$AH$407,$AF$411)</f>
        <v>0</v>
      </c>
      <c r="AG414" s="21" t="s">
        <v>159</v>
      </c>
      <c r="AH414" s="75">
        <f>$AH$412/3</f>
        <v>0</v>
      </c>
      <c r="AI414" s="325" t="s">
        <v>543</v>
      </c>
      <c r="AJ414" s="287">
        <f>IFERROR($AJ$410-$AJ$409*$AJ$410/$AJ$408,"")</f>
        <v>11748.264854960422</v>
      </c>
      <c r="BA414" s="25" t="s">
        <v>64</v>
      </c>
      <c r="BB414" s="109">
        <v>0</v>
      </c>
      <c r="BC414" s="18">
        <v>0</v>
      </c>
      <c r="BD414" s="18">
        <v>0</v>
      </c>
      <c r="BE414" s="45" t="s">
        <v>45</v>
      </c>
      <c r="BF414" s="26">
        <f>IF($BH$407&lt;$BF$411,$BH$407,$BF$411)</f>
        <v>0</v>
      </c>
      <c r="BG414" s="45" t="s">
        <v>159</v>
      </c>
      <c r="BH414" s="75">
        <f>$BH$412/3</f>
        <v>0</v>
      </c>
      <c r="BI414" s="325" t="s">
        <v>543</v>
      </c>
      <c r="BJ414" s="287" t="str">
        <f>IFERROR($BJ$410-$BJ$409*$BJ$410/$BJ$408,"")</f>
        <v/>
      </c>
      <c r="BX414" s="196"/>
      <c r="BY414" s="196"/>
      <c r="BZ414" s="196"/>
      <c r="CA414" s="25" t="s">
        <v>64</v>
      </c>
      <c r="CB414" s="109">
        <v>0</v>
      </c>
      <c r="CC414" s="18">
        <v>0</v>
      </c>
      <c r="CD414" s="18">
        <v>0</v>
      </c>
      <c r="CE414" s="45" t="s">
        <v>45</v>
      </c>
      <c r="CF414" s="26" t="str">
        <f>IF($CH$407&lt;$CF$411,$CH$407,"")</f>
        <v/>
      </c>
      <c r="CG414" s="45" t="s">
        <v>159</v>
      </c>
      <c r="CH414" s="75">
        <f>$CH$412/3</f>
        <v>0</v>
      </c>
      <c r="CI414" s="196"/>
      <c r="CJ414" s="196"/>
      <c r="CK414" s="196"/>
      <c r="CL414" s="196"/>
      <c r="CM414" s="196"/>
      <c r="CN414" s="196"/>
      <c r="CO414" s="196"/>
      <c r="CP414" s="196"/>
      <c r="CQ414" s="196"/>
      <c r="CR414" s="196"/>
      <c r="CS414" s="196"/>
      <c r="CT414" s="196"/>
      <c r="CU414" s="196"/>
      <c r="CV414" s="196"/>
      <c r="CW414" s="196"/>
      <c r="CX414" s="196"/>
      <c r="CY414" s="196"/>
      <c r="CZ414" s="196"/>
      <c r="DA414" s="25" t="s">
        <v>64</v>
      </c>
      <c r="DB414" s="109">
        <v>0</v>
      </c>
      <c r="DC414" s="18">
        <v>0</v>
      </c>
      <c r="DD414" s="18">
        <v>0</v>
      </c>
      <c r="DE414" s="45" t="s">
        <v>45</v>
      </c>
      <c r="DF414" s="26" t="str">
        <f>IF($DH$407&lt;$DF$411,$DH$407,"")</f>
        <v/>
      </c>
      <c r="DG414" s="45" t="s">
        <v>159</v>
      </c>
      <c r="DH414" s="75">
        <f>$DH$412/3</f>
        <v>0</v>
      </c>
      <c r="DI414" s="196"/>
      <c r="DJ414" s="196"/>
      <c r="DK414" s="196"/>
      <c r="DL414" s="196"/>
      <c r="DM414" s="196"/>
      <c r="DN414" s="196"/>
      <c r="DO414" s="196"/>
      <c r="DP414" s="196"/>
      <c r="DQ414" s="196"/>
      <c r="DR414" s="196"/>
      <c r="DS414" s="196"/>
      <c r="DT414" s="196"/>
      <c r="EA414" s="53" t="s">
        <v>362</v>
      </c>
      <c r="EB414" s="5">
        <f>IF($EB$412&gt;=$EB$413,$A$3,$EB$412)</f>
        <v>0</v>
      </c>
      <c r="EC414" s="218"/>
      <c r="ED414" s="26"/>
      <c r="EE414" s="37" t="s">
        <v>340</v>
      </c>
      <c r="EF414" s="26">
        <f>$EB$411*3</f>
        <v>0</v>
      </c>
      <c r="EG414" s="26"/>
      <c r="EH414" s="36"/>
      <c r="EI414" s="164"/>
    </row>
    <row r="415" spans="27:139" ht="16.5" thickTop="1" thickBot="1" x14ac:dyDescent="0.3">
      <c r="AA415" s="319" t="s">
        <v>536</v>
      </c>
      <c r="AB415" s="273">
        <v>0</v>
      </c>
      <c r="AC415" s="63">
        <v>0</v>
      </c>
      <c r="AD415" s="18">
        <v>0</v>
      </c>
      <c r="AE415" s="26"/>
      <c r="AF415" s="26"/>
      <c r="AG415" s="26"/>
      <c r="AH415" s="36"/>
      <c r="AI415" s="325" t="s">
        <v>536</v>
      </c>
      <c r="AJ415" s="287">
        <f>IFERROR((($AJ$411-$AJ$409*$AJ$411/$AJ$408)+($AJ$412-$AJ$409*$AJ$412/$AJ$408))/12,"")</f>
        <v>0</v>
      </c>
      <c r="BA415" s="319" t="s">
        <v>536</v>
      </c>
      <c r="BB415" s="273">
        <v>0</v>
      </c>
      <c r="BC415" s="63">
        <v>0</v>
      </c>
      <c r="BD415" s="18">
        <v>0</v>
      </c>
      <c r="BE415" s="26"/>
      <c r="BF415" s="26"/>
      <c r="BG415" s="26"/>
      <c r="BH415" s="36"/>
      <c r="BI415" s="325" t="s">
        <v>536</v>
      </c>
      <c r="BJ415" s="287" t="str">
        <f>IFERROR((($BJ$411-$BJ$409*$BJ$411/$BJ$408)+($BJ$412-$BJ$409*$BJ$412/$BJ$408))/12,"")</f>
        <v/>
      </c>
      <c r="BX415" s="196"/>
      <c r="BY415" s="196"/>
      <c r="BZ415" s="196"/>
      <c r="CA415" s="37"/>
      <c r="CB415" s="26"/>
      <c r="CC415" s="63">
        <v>0</v>
      </c>
      <c r="CD415" s="18">
        <v>0</v>
      </c>
      <c r="CE415" s="26"/>
      <c r="CF415" s="26"/>
      <c r="CG415" s="26"/>
      <c r="CH415" s="36"/>
      <c r="CI415" s="196"/>
      <c r="CJ415" s="196"/>
      <c r="CK415" s="196"/>
      <c r="CL415" s="196"/>
      <c r="CM415" s="196"/>
      <c r="CN415" s="196"/>
      <c r="CO415" s="196"/>
      <c r="CP415" s="196"/>
      <c r="CQ415" s="196"/>
      <c r="CR415" s="196"/>
      <c r="CS415" s="196"/>
      <c r="CT415" s="196"/>
      <c r="CU415" s="196"/>
      <c r="CV415" s="196"/>
      <c r="CW415" s="196"/>
      <c r="CX415" s="196"/>
      <c r="CY415" s="196"/>
      <c r="CZ415" s="196"/>
      <c r="DA415" s="37"/>
      <c r="DB415" s="26"/>
      <c r="DC415" s="63">
        <v>0</v>
      </c>
      <c r="DD415" s="18">
        <v>0</v>
      </c>
      <c r="DE415" s="26"/>
      <c r="DF415" s="26"/>
      <c r="DG415" s="26"/>
      <c r="DH415" s="36"/>
      <c r="DI415" s="196"/>
      <c r="DJ415" s="196"/>
      <c r="DK415" s="196"/>
      <c r="DL415" s="196"/>
      <c r="DM415" s="196"/>
      <c r="DN415" s="196"/>
      <c r="DO415" s="196"/>
      <c r="DP415" s="196"/>
      <c r="DQ415" s="196"/>
      <c r="DR415" s="196"/>
      <c r="DS415" s="196"/>
      <c r="DT415" s="196"/>
      <c r="EA415" s="23" t="s">
        <v>367</v>
      </c>
      <c r="EB415" s="26">
        <f>IF($EA$415="PJ",($EB$414*0.25),0)</f>
        <v>0</v>
      </c>
      <c r="EC415" s="26"/>
      <c r="ED415" s="26"/>
      <c r="EE415" s="37" t="s">
        <v>339</v>
      </c>
      <c r="EF415" s="26">
        <f>$EB$411*4</f>
        <v>0</v>
      </c>
      <c r="EG415" s="26"/>
      <c r="EH415" s="36"/>
      <c r="EI415" s="164"/>
    </row>
    <row r="416" spans="27:139" ht="16.5" thickTop="1" thickBot="1" x14ac:dyDescent="0.3">
      <c r="AA416" s="37"/>
      <c r="AB416" s="26"/>
      <c r="AC416" s="26"/>
      <c r="AD416" s="26"/>
      <c r="AE416" s="26"/>
      <c r="AF416" s="26"/>
      <c r="AG416" s="26"/>
      <c r="AH416" s="36"/>
      <c r="BA416" s="37"/>
      <c r="BB416" s="26"/>
      <c r="BC416" s="26"/>
      <c r="BD416" s="26"/>
      <c r="BE416" s="26"/>
      <c r="BF416" s="26"/>
      <c r="BG416" s="26"/>
      <c r="BH416" s="36"/>
      <c r="BX416" s="196"/>
      <c r="BY416" s="196"/>
      <c r="BZ416" s="196"/>
      <c r="CA416" s="37"/>
      <c r="CB416" s="26"/>
      <c r="CC416" s="26"/>
      <c r="CD416" s="26"/>
      <c r="CE416" s="26"/>
      <c r="CF416" s="26"/>
      <c r="CG416" s="26"/>
      <c r="CH416" s="36"/>
      <c r="CI416" s="196"/>
      <c r="CJ416" s="196"/>
      <c r="CK416" s="196"/>
      <c r="CL416" s="196"/>
      <c r="CM416" s="196"/>
      <c r="CN416" s="196"/>
      <c r="CO416" s="196"/>
      <c r="CP416" s="196"/>
      <c r="CQ416" s="196"/>
      <c r="CR416" s="196"/>
      <c r="CS416" s="196"/>
      <c r="CT416" s="196"/>
      <c r="CU416" s="196"/>
      <c r="CV416" s="196"/>
      <c r="CW416" s="196"/>
      <c r="CX416" s="196"/>
      <c r="CY416" s="196"/>
      <c r="CZ416" s="196"/>
      <c r="DA416" s="37"/>
      <c r="DB416" s="26"/>
      <c r="DC416" s="26"/>
      <c r="DD416" s="26"/>
      <c r="DE416" s="26"/>
      <c r="DF416" s="26"/>
      <c r="DG416" s="26"/>
      <c r="DH416" s="36"/>
      <c r="DI416" s="196"/>
      <c r="DJ416" s="196"/>
      <c r="DK416" s="196"/>
      <c r="DL416" s="196"/>
      <c r="DM416" s="196"/>
      <c r="DN416" s="196"/>
      <c r="DO416" s="196"/>
      <c r="DP416" s="196"/>
      <c r="DQ416" s="196"/>
      <c r="DR416" s="196"/>
      <c r="DS416" s="196"/>
      <c r="DT416" s="196"/>
      <c r="EA416" s="25" t="s">
        <v>64</v>
      </c>
      <c r="EB416" s="109">
        <v>0</v>
      </c>
      <c r="EC416" s="26"/>
      <c r="ED416" s="26"/>
      <c r="EE416" s="37" t="s">
        <v>361</v>
      </c>
      <c r="EF416" s="26" t="str">
        <f>$EB$411</f>
        <v>0</v>
      </c>
      <c r="EG416" s="218"/>
      <c r="EH416" s="36"/>
      <c r="EI416" s="164"/>
    </row>
    <row r="417" spans="26:139" ht="16.5" thickTop="1" thickBot="1" x14ac:dyDescent="0.3">
      <c r="Z417" s="271"/>
      <c r="AA417" s="53" t="s">
        <v>61</v>
      </c>
      <c r="AB417" s="75">
        <f>$AB$411+$AB$412+$AB$415+$AB$414</f>
        <v>33528.800000000003</v>
      </c>
      <c r="AC417" s="26"/>
      <c r="AD417" s="26"/>
      <c r="AE417" s="26"/>
      <c r="AF417" s="26"/>
      <c r="AG417" s="26"/>
      <c r="AH417" s="36"/>
      <c r="AZ417" s="271"/>
      <c r="BA417" s="53" t="s">
        <v>61</v>
      </c>
      <c r="BB417" s="75">
        <f>$BB$411+$BB$412+$BB$415+$BB$414</f>
        <v>28252.69</v>
      </c>
      <c r="BC417" s="26"/>
      <c r="BD417" s="26"/>
      <c r="BE417" s="26"/>
      <c r="BF417" s="26"/>
      <c r="BG417" s="26"/>
      <c r="BH417" s="36"/>
      <c r="BX417" s="196"/>
      <c r="BY417" s="196"/>
      <c r="BZ417" s="196"/>
      <c r="CA417" s="53" t="s">
        <v>61</v>
      </c>
      <c r="CB417" s="75">
        <f>$CB$411+$CB$412+$CB$414</f>
        <v>0</v>
      </c>
      <c r="CC417" s="26"/>
      <c r="CD417" s="26"/>
      <c r="CE417" s="26"/>
      <c r="CF417" s="26"/>
      <c r="CG417" s="26"/>
      <c r="CH417" s="36"/>
      <c r="CI417" s="196"/>
      <c r="CJ417" s="196"/>
      <c r="CK417" s="196"/>
      <c r="CL417" s="196"/>
      <c r="CM417" s="196"/>
      <c r="CN417" s="196"/>
      <c r="CO417" s="196"/>
      <c r="CP417" s="196"/>
      <c r="CQ417" s="196"/>
      <c r="CR417" s="196"/>
      <c r="CS417" s="196"/>
      <c r="CT417" s="196"/>
      <c r="CU417" s="196"/>
      <c r="CV417" s="196"/>
      <c r="CW417" s="196"/>
      <c r="CX417" s="196"/>
      <c r="CY417" s="196"/>
      <c r="CZ417" s="196"/>
      <c r="DA417" s="53" t="s">
        <v>61</v>
      </c>
      <c r="DB417" s="75">
        <f>$DB$411+$DB$412+$DB$414</f>
        <v>0</v>
      </c>
      <c r="DC417" s="26"/>
      <c r="DD417" s="26"/>
      <c r="DE417" s="26"/>
      <c r="DF417" s="26"/>
      <c r="DG417" s="26"/>
      <c r="DH417" s="36"/>
      <c r="DI417" s="196"/>
      <c r="DJ417" s="196"/>
      <c r="DK417" s="196"/>
      <c r="DL417" s="196"/>
      <c r="DM417" s="196"/>
      <c r="DN417" s="196"/>
      <c r="DO417" s="196"/>
      <c r="DP417" s="196"/>
      <c r="DQ417" s="196"/>
      <c r="DR417" s="196"/>
      <c r="DS417" s="196"/>
      <c r="DT417" s="196"/>
      <c r="EA417" s="37"/>
      <c r="EB417" s="62"/>
      <c r="EC417" s="26"/>
      <c r="ED417" s="26"/>
      <c r="EE417" s="26"/>
      <c r="EF417" s="26"/>
      <c r="EG417" s="26"/>
      <c r="EH417" s="36"/>
      <c r="EI417" s="164"/>
    </row>
    <row r="418" spans="26:139" ht="16.5" thickTop="1" thickBot="1" x14ac:dyDescent="0.3">
      <c r="AA418" s="108" t="s">
        <v>102</v>
      </c>
      <c r="AB418" s="110"/>
      <c r="AC418" s="26"/>
      <c r="AD418" s="26"/>
      <c r="AE418" s="26"/>
      <c r="AF418" s="26"/>
      <c r="AG418" s="26"/>
      <c r="AH418" s="36"/>
      <c r="BA418" s="108" t="s">
        <v>102</v>
      </c>
      <c r="BB418" s="110"/>
      <c r="BC418" s="26"/>
      <c r="BD418" s="26"/>
      <c r="BE418" s="26"/>
      <c r="BF418" s="26"/>
      <c r="BG418" s="26"/>
      <c r="BH418" s="36"/>
      <c r="BX418" s="196"/>
      <c r="BY418" s="196"/>
      <c r="BZ418" s="196"/>
      <c r="CA418" s="108" t="s">
        <v>102</v>
      </c>
      <c r="CB418" s="110"/>
      <c r="CC418" s="26"/>
      <c r="CD418" s="26"/>
      <c r="CE418" s="26"/>
      <c r="CF418" s="26"/>
      <c r="CG418" s="26"/>
      <c r="CH418" s="36"/>
      <c r="CI418" s="196"/>
      <c r="CJ418" s="196"/>
      <c r="CK418" s="196"/>
      <c r="CL418" s="196"/>
      <c r="CM418" s="196"/>
      <c r="CN418" s="196"/>
      <c r="CO418" s="196"/>
      <c r="CP418" s="196"/>
      <c r="CQ418" s="196"/>
      <c r="CR418" s="196"/>
      <c r="CS418" s="196"/>
      <c r="CT418" s="196"/>
      <c r="CU418" s="196"/>
      <c r="CV418" s="196"/>
      <c r="CW418" s="196"/>
      <c r="CX418" s="196"/>
      <c r="CY418" s="196"/>
      <c r="CZ418" s="196"/>
      <c r="DA418" s="108" t="s">
        <v>102</v>
      </c>
      <c r="DB418" s="110"/>
      <c r="DC418" s="26"/>
      <c r="DD418" s="26"/>
      <c r="DE418" s="26"/>
      <c r="DF418" s="26"/>
      <c r="DG418" s="26"/>
      <c r="DH418" s="36"/>
      <c r="DI418" s="196"/>
      <c r="DJ418" s="196"/>
      <c r="DK418" s="196"/>
      <c r="DL418" s="196"/>
      <c r="DM418" s="196"/>
      <c r="DN418" s="196"/>
      <c r="DO418" s="196"/>
      <c r="DP418" s="196"/>
      <c r="DQ418" s="196"/>
      <c r="DR418" s="196"/>
      <c r="DS418" s="196"/>
      <c r="DT418" s="196"/>
      <c r="EA418" s="53" t="s">
        <v>367</v>
      </c>
      <c r="EB418" s="177">
        <f>$EB$414+$EB$415+$EB$416</f>
        <v>0</v>
      </c>
      <c r="EC418" s="179"/>
      <c r="ED418" s="26"/>
      <c r="EE418" s="26"/>
      <c r="EF418" s="26"/>
      <c r="EG418" s="26"/>
      <c r="EH418" s="36"/>
      <c r="EI418" s="164"/>
    </row>
    <row r="419" spans="26:139" ht="16.5" thickTop="1" thickBot="1" x14ac:dyDescent="0.3">
      <c r="AA419" s="41" t="s">
        <v>103</v>
      </c>
      <c r="AB419" s="5">
        <f>$AB$411+$AB$413+$AB$414</f>
        <v>41911</v>
      </c>
      <c r="AC419" s="31"/>
      <c r="AD419" s="31"/>
      <c r="AE419" s="31"/>
      <c r="AF419" s="31"/>
      <c r="AG419" s="31"/>
      <c r="AH419" s="43"/>
      <c r="BA419" s="41" t="s">
        <v>103</v>
      </c>
      <c r="BB419" s="5">
        <f>$BB$411+$BB$413+$BB$414</f>
        <v>35315.862499999996</v>
      </c>
      <c r="BC419" s="31"/>
      <c r="BD419" s="31"/>
      <c r="BE419" s="31"/>
      <c r="BF419" s="31"/>
      <c r="BG419" s="31"/>
      <c r="BH419" s="43"/>
      <c r="BX419" s="196"/>
      <c r="BY419" s="196"/>
      <c r="BZ419" s="196"/>
      <c r="CA419" s="41" t="s">
        <v>103</v>
      </c>
      <c r="CB419" s="5">
        <f>$CB$411+$CB$413+$CB$414</f>
        <v>0</v>
      </c>
      <c r="CC419" s="31"/>
      <c r="CD419" s="31"/>
      <c r="CE419" s="31"/>
      <c r="CF419" s="31"/>
      <c r="CG419" s="31"/>
      <c r="CH419" s="43"/>
      <c r="CI419" s="196"/>
      <c r="CJ419" s="196"/>
      <c r="CK419" s="196"/>
      <c r="CL419" s="196"/>
      <c r="CM419" s="196"/>
      <c r="CN419" s="196"/>
      <c r="CO419" s="196"/>
      <c r="CP419" s="196"/>
      <c r="CQ419" s="196"/>
      <c r="CR419" s="196"/>
      <c r="CS419" s="196"/>
      <c r="CT419" s="196"/>
      <c r="CU419" s="196"/>
      <c r="CV419" s="196"/>
      <c r="CW419" s="196"/>
      <c r="CX419" s="196"/>
      <c r="CY419" s="196"/>
      <c r="CZ419" s="196"/>
      <c r="DA419" s="41" t="s">
        <v>103</v>
      </c>
      <c r="DB419" s="5">
        <f>$DB$411+$DB$413+$DB$414</f>
        <v>0</v>
      </c>
      <c r="DC419" s="31"/>
      <c r="DD419" s="31"/>
      <c r="DE419" s="31"/>
      <c r="DF419" s="31"/>
      <c r="DG419" s="31"/>
      <c r="DH419" s="43"/>
      <c r="DI419" s="196"/>
      <c r="DJ419" s="196"/>
      <c r="DK419" s="196"/>
      <c r="DL419" s="196"/>
      <c r="DM419" s="196"/>
      <c r="DN419" s="196"/>
      <c r="DO419" s="196"/>
      <c r="DP419" s="196"/>
      <c r="DQ419" s="196"/>
      <c r="DR419" s="196"/>
      <c r="DS419" s="196"/>
      <c r="DT419" s="196"/>
      <c r="EA419" s="41" t="s">
        <v>368</v>
      </c>
      <c r="EB419" s="183">
        <f>IF($EB$418&lt;=18000,($EB$418*1.05),IF(AND($EB$418&gt;=18001,$EB$418&lt;=40000),$EB$418,IF(AND($EB$418&gt;=40001,$EB$418&lt;=70000),$EB$418-($EB$418*0.1),IF($EB$418&gt;=70001,($EB$418-($EB$418*0.2))))))</f>
        <v>0</v>
      </c>
      <c r="EC419" s="100"/>
      <c r="ED419" s="31"/>
      <c r="EE419" s="31"/>
      <c r="EF419" s="31"/>
      <c r="EG419" s="31"/>
      <c r="EH419" s="43"/>
      <c r="EI419" s="164"/>
    </row>
    <row r="420" spans="26:139" ht="15.75" thickBot="1" x14ac:dyDescent="0.3">
      <c r="BX420" s="196"/>
      <c r="BY420" s="196"/>
      <c r="BZ420" s="196"/>
      <c r="CA420" s="196"/>
      <c r="CB420" s="196"/>
      <c r="CC420" s="196"/>
      <c r="CD420" s="196"/>
      <c r="CE420" s="196"/>
      <c r="CF420" s="196"/>
      <c r="CG420" s="196"/>
      <c r="CH420" s="196"/>
      <c r="CI420" s="196"/>
      <c r="CJ420" s="196"/>
      <c r="CK420" s="196"/>
      <c r="CL420" s="196"/>
      <c r="CM420" s="196"/>
      <c r="CN420" s="196"/>
      <c r="CO420" s="196"/>
      <c r="CP420" s="196"/>
      <c r="CQ420" s="196"/>
      <c r="CR420" s="196"/>
      <c r="CS420" s="196"/>
      <c r="CT420" s="196"/>
      <c r="CU420" s="196"/>
      <c r="CV420" s="196"/>
      <c r="CW420" s="196"/>
      <c r="CX420" s="196"/>
      <c r="CY420" s="196"/>
      <c r="CZ420" s="196"/>
      <c r="DA420" s="196"/>
      <c r="DB420" s="196"/>
      <c r="DC420" s="196"/>
      <c r="DD420" s="196"/>
      <c r="DE420" s="196"/>
      <c r="DF420" s="196"/>
      <c r="DG420" s="196"/>
      <c r="DH420" s="196"/>
      <c r="DI420" s="196"/>
      <c r="DJ420" s="196"/>
      <c r="DK420" s="196"/>
      <c r="DL420" s="196"/>
      <c r="DM420" s="196"/>
      <c r="DN420" s="196"/>
      <c r="DO420" s="196"/>
      <c r="DP420" s="196"/>
      <c r="DQ420" s="196"/>
      <c r="DR420" s="196"/>
      <c r="DS420" s="196"/>
      <c r="DT420" s="196"/>
      <c r="EA420" s="164"/>
      <c r="EB420" s="164"/>
      <c r="EC420" s="164"/>
      <c r="ED420" s="164"/>
      <c r="EE420" s="164"/>
      <c r="EF420" s="164"/>
      <c r="EG420" s="164"/>
      <c r="EH420" s="164"/>
      <c r="EI420" s="164"/>
    </row>
    <row r="421" spans="26:139" ht="15.75" thickBot="1" x14ac:dyDescent="0.3">
      <c r="AA421" s="48" t="s">
        <v>31</v>
      </c>
      <c r="AB421" s="49">
        <f>AVERAGE($AC$421:$AD$421)</f>
        <v>0</v>
      </c>
      <c r="AC421" s="50">
        <f>SUM($AC$422:$AC$429)</f>
        <v>0</v>
      </c>
      <c r="AD421" s="50">
        <f>SUM($AD$422:$AD$429)</f>
        <v>0</v>
      </c>
      <c r="AE421" s="49"/>
      <c r="AF421" s="50">
        <f>SUM($AF$422)</f>
        <v>0</v>
      </c>
      <c r="AG421" s="50">
        <f>SUM($AG$422)</f>
        <v>0</v>
      </c>
      <c r="AH421" s="51">
        <f>SUM($AH$422)</f>
        <v>0</v>
      </c>
      <c r="BA421" s="48" t="s">
        <v>31</v>
      </c>
      <c r="BB421" s="49">
        <f>AVERAGE($BC$421:$BD$421)</f>
        <v>0</v>
      </c>
      <c r="BC421" s="50">
        <f>SUM($BC$422:$BC$429)</f>
        <v>0</v>
      </c>
      <c r="BD421" s="50">
        <f>SUM($BD$422:$BD$429)</f>
        <v>0</v>
      </c>
      <c r="BE421" s="49"/>
      <c r="BF421" s="50">
        <f>SUM($BF$422)</f>
        <v>0</v>
      </c>
      <c r="BG421" s="50">
        <f>SUM($BG$422)</f>
        <v>0</v>
      </c>
      <c r="BH421" s="51">
        <f>SUM($BH$422)</f>
        <v>0</v>
      </c>
      <c r="BX421" s="196"/>
      <c r="BY421" s="196"/>
      <c r="BZ421" s="196"/>
      <c r="CA421" s="48" t="s">
        <v>31</v>
      </c>
      <c r="CB421" s="49">
        <f>AVERAGE($CC$421:$CD$421)</f>
        <v>0</v>
      </c>
      <c r="CC421" s="50">
        <f>SUM($CC$422:$CC$429)</f>
        <v>0</v>
      </c>
      <c r="CD421" s="50">
        <f>SUM($CD$422:$CD$429)</f>
        <v>0</v>
      </c>
      <c r="CE421" s="49"/>
      <c r="CF421" s="50">
        <f>SUM($CF$422)</f>
        <v>0</v>
      </c>
      <c r="CG421" s="50">
        <f>SUM($CG$422)</f>
        <v>0</v>
      </c>
      <c r="CH421" s="51">
        <f>SUM($CH$422)</f>
        <v>0</v>
      </c>
      <c r="CI421" s="196"/>
      <c r="CJ421" s="196"/>
      <c r="CK421" s="196"/>
      <c r="CL421" s="196"/>
      <c r="CM421" s="196"/>
      <c r="CN421" s="196"/>
      <c r="CO421" s="196"/>
      <c r="CP421" s="196"/>
      <c r="CQ421" s="196"/>
      <c r="CR421" s="196"/>
      <c r="CS421" s="196"/>
      <c r="CT421" s="196"/>
      <c r="CU421" s="196"/>
      <c r="CV421" s="196"/>
      <c r="CW421" s="196"/>
      <c r="CX421" s="196"/>
      <c r="CY421" s="196"/>
      <c r="CZ421" s="196"/>
      <c r="DA421" s="48" t="s">
        <v>31</v>
      </c>
      <c r="DB421" s="49">
        <f>AVERAGE($DC$421:$DD$421)</f>
        <v>0</v>
      </c>
      <c r="DC421" s="50">
        <f>SUM($DC$422:$DC$429)</f>
        <v>0</v>
      </c>
      <c r="DD421" s="50">
        <f>SUM($DD$422:$DD$429)</f>
        <v>0</v>
      </c>
      <c r="DE421" s="49"/>
      <c r="DF421" s="50">
        <f>SUM($DF$422)</f>
        <v>0</v>
      </c>
      <c r="DG421" s="50">
        <f>SUM($DG$422)</f>
        <v>0</v>
      </c>
      <c r="DH421" s="51">
        <f>SUM($DH$422)</f>
        <v>0</v>
      </c>
      <c r="DI421" s="196"/>
      <c r="DJ421" s="196"/>
      <c r="DK421" s="196"/>
      <c r="DL421" s="196"/>
      <c r="DM421" s="196"/>
      <c r="DN421" s="196"/>
      <c r="DO421" s="196"/>
      <c r="DP421" s="196"/>
      <c r="DQ421" s="196"/>
      <c r="DR421" s="196"/>
      <c r="DS421" s="196"/>
      <c r="DT421" s="196"/>
      <c r="EA421" s="48" t="s">
        <v>31</v>
      </c>
      <c r="EB421" s="49">
        <f>AVERAGE($EC$421:$ED$421)</f>
        <v>0</v>
      </c>
      <c r="EC421" s="50">
        <f>IF($EC$423=0,$EC$422,(($EC$422/$EC$423)*30))</f>
        <v>0</v>
      </c>
      <c r="ED421" s="50">
        <f>IF($ED$423=0,$ED$422,(($ED$422/$ED$423)*30))</f>
        <v>0</v>
      </c>
      <c r="EE421" s="49"/>
      <c r="EF421" s="49"/>
      <c r="EG421" s="49"/>
      <c r="EH421" s="69"/>
      <c r="EI421" s="164"/>
    </row>
    <row r="422" spans="26:139" ht="16.5" thickTop="1" thickBot="1" x14ac:dyDescent="0.3">
      <c r="AA422" s="27">
        <f>$B$29</f>
        <v>0.3</v>
      </c>
      <c r="AB422" s="26">
        <f>($AB$421*$AA$422)+$AB$421</f>
        <v>0</v>
      </c>
      <c r="AC422" s="18">
        <v>0</v>
      </c>
      <c r="AD422" s="18">
        <v>0</v>
      </c>
      <c r="AE422" s="26"/>
      <c r="AF422" s="18">
        <v>0</v>
      </c>
      <c r="AG422" s="18">
        <v>0</v>
      </c>
      <c r="AH422" s="52">
        <v>0</v>
      </c>
      <c r="BA422" s="27">
        <f>$B$29</f>
        <v>0.3</v>
      </c>
      <c r="BB422" s="26">
        <f>($BB$421*$BA$422)+$BB$421</f>
        <v>0</v>
      </c>
      <c r="BC422" s="18">
        <v>0</v>
      </c>
      <c r="BD422" s="18">
        <v>0</v>
      </c>
      <c r="BE422" s="26"/>
      <c r="BF422" s="18">
        <v>0</v>
      </c>
      <c r="BG422" s="18">
        <v>0</v>
      </c>
      <c r="BH422" s="52">
        <v>0</v>
      </c>
      <c r="BX422" s="196"/>
      <c r="BY422" s="196"/>
      <c r="BZ422" s="196"/>
      <c r="CA422" s="27">
        <f>$B$29</f>
        <v>0.3</v>
      </c>
      <c r="CB422" s="26">
        <f>($CB$421*$CA$422)+$CB$421</f>
        <v>0</v>
      </c>
      <c r="CC422" s="18">
        <v>0</v>
      </c>
      <c r="CD422" s="18">
        <v>0</v>
      </c>
      <c r="CE422" s="26"/>
      <c r="CF422" s="18">
        <v>0</v>
      </c>
      <c r="CG422" s="18">
        <v>0</v>
      </c>
      <c r="CH422" s="52">
        <v>0</v>
      </c>
      <c r="CI422" s="196"/>
      <c r="CJ422" s="196"/>
      <c r="CK422" s="196"/>
      <c r="CL422" s="196"/>
      <c r="CM422" s="196"/>
      <c r="CN422" s="196"/>
      <c r="CO422" s="196"/>
      <c r="CP422" s="196"/>
      <c r="CQ422" s="196"/>
      <c r="CR422" s="196"/>
      <c r="CS422" s="196"/>
      <c r="CT422" s="196"/>
      <c r="CU422" s="196"/>
      <c r="CV422" s="196"/>
      <c r="CW422" s="196"/>
      <c r="CX422" s="196"/>
      <c r="CY422" s="196"/>
      <c r="CZ422" s="196"/>
      <c r="DA422" s="27">
        <f>$B$29</f>
        <v>0.3</v>
      </c>
      <c r="DB422" s="26">
        <f>($DB$421*$DA$422)+$DB$421</f>
        <v>0</v>
      </c>
      <c r="DC422" s="18">
        <v>0</v>
      </c>
      <c r="DD422" s="18">
        <v>0</v>
      </c>
      <c r="DE422" s="26"/>
      <c r="DF422" s="18">
        <v>0</v>
      </c>
      <c r="DG422" s="18">
        <v>0</v>
      </c>
      <c r="DH422" s="52">
        <v>0</v>
      </c>
      <c r="DI422" s="196"/>
      <c r="DJ422" s="196"/>
      <c r="DK422" s="196"/>
      <c r="DL422" s="196"/>
      <c r="DM422" s="196"/>
      <c r="DN422" s="196"/>
      <c r="DO422" s="196"/>
      <c r="DP422" s="196"/>
      <c r="DQ422" s="196"/>
      <c r="DR422" s="196"/>
      <c r="DS422" s="196"/>
      <c r="DT422" s="196"/>
      <c r="EA422" s="27">
        <f>DATOS!$B$29</f>
        <v>0.3</v>
      </c>
      <c r="EB422" s="26">
        <f>($EB$421*$EA$422)+$EB$421</f>
        <v>0</v>
      </c>
      <c r="EC422" s="18">
        <v>0</v>
      </c>
      <c r="ED422" s="18">
        <v>0</v>
      </c>
      <c r="EE422" s="26"/>
      <c r="EF422" s="26"/>
      <c r="EG422" s="26"/>
      <c r="EH422" s="36"/>
      <c r="EI422" s="164"/>
    </row>
    <row r="423" spans="26:139" ht="16.5" thickTop="1" thickBot="1" x14ac:dyDescent="0.3">
      <c r="AA423" s="25" t="s">
        <v>32</v>
      </c>
      <c r="AB423" s="26">
        <f>IF($AC$421&lt;$AB$422,$AC$421,$AB$422)</f>
        <v>0</v>
      </c>
      <c r="AC423" s="18">
        <v>0</v>
      </c>
      <c r="AD423" s="18">
        <v>0</v>
      </c>
      <c r="AE423" s="26"/>
      <c r="AF423" s="26"/>
      <c r="AG423" s="26"/>
      <c r="AH423" s="36"/>
      <c r="BA423" s="25" t="s">
        <v>32</v>
      </c>
      <c r="BB423" s="26">
        <f>IF($BC$421&lt;$BB$422,$BC$421,$BB$422)</f>
        <v>0</v>
      </c>
      <c r="BC423" s="18">
        <v>0</v>
      </c>
      <c r="BD423" s="18">
        <v>0</v>
      </c>
      <c r="BE423" s="26"/>
      <c r="BF423" s="26"/>
      <c r="BG423" s="26"/>
      <c r="BH423" s="36"/>
      <c r="BX423" s="196"/>
      <c r="BY423" s="196"/>
      <c r="BZ423" s="196"/>
      <c r="CA423" s="25" t="s">
        <v>32</v>
      </c>
      <c r="CB423" s="26" t="str">
        <f>IF($CC$421&lt;$CB$422,$CC$421,"")</f>
        <v/>
      </c>
      <c r="CC423" s="18">
        <v>0</v>
      </c>
      <c r="CD423" s="18">
        <v>0</v>
      </c>
      <c r="CE423" s="26"/>
      <c r="CF423" s="26"/>
      <c r="CG423" s="26"/>
      <c r="CH423" s="36"/>
      <c r="CI423" s="196"/>
      <c r="CJ423" s="196"/>
      <c r="CK423" s="196"/>
      <c r="CL423" s="196"/>
      <c r="CM423" s="196"/>
      <c r="CN423" s="196"/>
      <c r="CO423" s="196"/>
      <c r="CP423" s="196"/>
      <c r="CQ423" s="196"/>
      <c r="CR423" s="196"/>
      <c r="CS423" s="196"/>
      <c r="CT423" s="196"/>
      <c r="CU423" s="196"/>
      <c r="CV423" s="196"/>
      <c r="CW423" s="196"/>
      <c r="CX423" s="196"/>
      <c r="CY423" s="196"/>
      <c r="CZ423" s="196"/>
      <c r="DA423" s="25" t="s">
        <v>32</v>
      </c>
      <c r="DB423" s="26" t="str">
        <f>IF($DC$421&lt;$DB$422,$DC$421,"")</f>
        <v/>
      </c>
      <c r="DC423" s="18">
        <v>0</v>
      </c>
      <c r="DD423" s="18">
        <v>0</v>
      </c>
      <c r="DE423" s="26"/>
      <c r="DF423" s="26"/>
      <c r="DG423" s="26"/>
      <c r="DH423" s="36"/>
      <c r="DI423" s="196"/>
      <c r="DJ423" s="196"/>
      <c r="DK423" s="196"/>
      <c r="DL423" s="196"/>
      <c r="DM423" s="196"/>
      <c r="DN423" s="196"/>
      <c r="DO423" s="196"/>
      <c r="DP423" s="196"/>
      <c r="DQ423" s="196"/>
      <c r="DR423" s="196"/>
      <c r="DS423" s="196"/>
      <c r="DT423" s="196"/>
      <c r="EA423" s="25" t="s">
        <v>32</v>
      </c>
      <c r="EB423" s="26" t="str">
        <f>IF($EC$421&lt;$EB$422,$EC$421,"")</f>
        <v/>
      </c>
      <c r="EC423" s="18">
        <v>0</v>
      </c>
      <c r="ED423" s="18">
        <v>0</v>
      </c>
      <c r="EE423" s="26"/>
      <c r="EF423" s="26"/>
      <c r="EG423" s="26"/>
      <c r="EH423" s="36"/>
      <c r="EI423" s="164"/>
    </row>
    <row r="424" spans="26:139" ht="16.5" thickTop="1" thickBot="1" x14ac:dyDescent="0.3">
      <c r="AA424" s="25" t="s">
        <v>34</v>
      </c>
      <c r="AB424" s="62">
        <f>IF($AD$421&lt;$AB$422,$AD$421,$AB$422)</f>
        <v>0</v>
      </c>
      <c r="AC424" s="18">
        <v>0</v>
      </c>
      <c r="AD424" s="18">
        <v>0</v>
      </c>
      <c r="AE424" s="45" t="s">
        <v>31</v>
      </c>
      <c r="AF424" s="26">
        <f>AVERAGE($AF$421:$AH$421)</f>
        <v>0</v>
      </c>
      <c r="AG424" s="26"/>
      <c r="AH424" s="36"/>
      <c r="BA424" s="25" t="s">
        <v>34</v>
      </c>
      <c r="BB424" s="62">
        <f>IF($BD$421&lt;$BB$422,$BD$421,$BB$422)</f>
        <v>0</v>
      </c>
      <c r="BC424" s="18">
        <v>0</v>
      </c>
      <c r="BD424" s="18">
        <v>0</v>
      </c>
      <c r="BE424" s="45" t="s">
        <v>31</v>
      </c>
      <c r="BF424" s="26">
        <f>AVERAGE($BF$421:$BH$421)</f>
        <v>0</v>
      </c>
      <c r="BG424" s="26"/>
      <c r="BH424" s="36"/>
      <c r="BX424" s="196"/>
      <c r="BY424" s="196"/>
      <c r="BZ424" s="196"/>
      <c r="CA424" s="25" t="s">
        <v>34</v>
      </c>
      <c r="CB424" s="62" t="str">
        <f>IF($CD$421&lt;$CB$422,$CD$421,"")</f>
        <v/>
      </c>
      <c r="CC424" s="18">
        <v>0</v>
      </c>
      <c r="CD424" s="18">
        <v>0</v>
      </c>
      <c r="CE424" s="45" t="s">
        <v>31</v>
      </c>
      <c r="CF424" s="26">
        <f>AVERAGE($CF$421:$CH$421)</f>
        <v>0</v>
      </c>
      <c r="CG424" s="26"/>
      <c r="CH424" s="36"/>
      <c r="CI424" s="196"/>
      <c r="CJ424" s="196"/>
      <c r="CK424" s="196"/>
      <c r="CL424" s="196"/>
      <c r="CM424" s="196"/>
      <c r="CN424" s="196"/>
      <c r="CO424" s="196"/>
      <c r="CP424" s="196"/>
      <c r="CQ424" s="196"/>
      <c r="CR424" s="196"/>
      <c r="CS424" s="196"/>
      <c r="CT424" s="196"/>
      <c r="CU424" s="196"/>
      <c r="CV424" s="196"/>
      <c r="CW424" s="196"/>
      <c r="CX424" s="196"/>
      <c r="CY424" s="196"/>
      <c r="CZ424" s="196"/>
      <c r="DA424" s="25" t="s">
        <v>34</v>
      </c>
      <c r="DB424" s="62" t="str">
        <f>IF($DD$421&lt;$DB$422,$DD$421,"")</f>
        <v/>
      </c>
      <c r="DC424" s="18">
        <v>0</v>
      </c>
      <c r="DD424" s="18">
        <v>0</v>
      </c>
      <c r="DE424" s="45" t="s">
        <v>31</v>
      </c>
      <c r="DF424" s="26">
        <f>AVERAGE($DF$421:$DH$421)</f>
        <v>0</v>
      </c>
      <c r="DG424" s="26"/>
      <c r="DH424" s="36"/>
      <c r="DI424" s="196"/>
      <c r="DJ424" s="196"/>
      <c r="DK424" s="196"/>
      <c r="DL424" s="196"/>
      <c r="DM424" s="196"/>
      <c r="DN424" s="196"/>
      <c r="DO424" s="196"/>
      <c r="DP424" s="196"/>
      <c r="DQ424" s="196"/>
      <c r="DR424" s="196"/>
      <c r="DS424" s="196"/>
      <c r="DT424" s="196"/>
      <c r="EA424" s="25" t="s">
        <v>34</v>
      </c>
      <c r="EB424" s="62" t="str">
        <f>IF($ED$421&lt;$EB$422,$ED$421,"")</f>
        <v/>
      </c>
      <c r="EC424" s="26"/>
      <c r="ED424" s="26"/>
      <c r="EE424" s="26"/>
      <c r="EF424" s="26"/>
      <c r="EG424" s="26"/>
      <c r="EH424" s="36"/>
      <c r="EI424" s="164"/>
    </row>
    <row r="425" spans="26:139" ht="16.5" thickTop="1" thickBot="1" x14ac:dyDescent="0.3">
      <c r="AA425" s="53" t="s">
        <v>74</v>
      </c>
      <c r="AB425" s="3">
        <f>IF($AB$423&amp;$AB$424="","0",AVERAGE($AB$423:$AB$424))</f>
        <v>0</v>
      </c>
      <c r="AC425" s="63">
        <v>0</v>
      </c>
      <c r="AD425" s="18">
        <v>0</v>
      </c>
      <c r="AE425" s="46">
        <f>$B$29</f>
        <v>0.3</v>
      </c>
      <c r="AF425" s="26">
        <f>($AF$424*$AE$425)+$AF$424</f>
        <v>0</v>
      </c>
      <c r="AG425" s="26"/>
      <c r="AH425" s="36"/>
      <c r="BA425" s="53" t="s">
        <v>74</v>
      </c>
      <c r="BB425" s="3">
        <f>IF($BB$423&amp;$BB$424="","0",AVERAGE($BB$423:$BB$424))</f>
        <v>0</v>
      </c>
      <c r="BC425" s="63">
        <v>0</v>
      </c>
      <c r="BD425" s="18">
        <v>0</v>
      </c>
      <c r="BE425" s="46">
        <f>$B$29</f>
        <v>0.3</v>
      </c>
      <c r="BF425" s="26">
        <f>($BF$424*$BE$425)+$BF$424</f>
        <v>0</v>
      </c>
      <c r="BG425" s="26"/>
      <c r="BH425" s="36"/>
      <c r="BX425" s="196"/>
      <c r="BY425" s="196"/>
      <c r="BZ425" s="196"/>
      <c r="CA425" s="53" t="s">
        <v>74</v>
      </c>
      <c r="CB425" s="191" t="str">
        <f>IF($CB$423&amp;$CB$424="","0",AVERAGE($CB$423:$CB$424))</f>
        <v>0</v>
      </c>
      <c r="CC425" s="63">
        <v>0</v>
      </c>
      <c r="CD425" s="18">
        <v>0</v>
      </c>
      <c r="CE425" s="46">
        <f>$B$29</f>
        <v>0.3</v>
      </c>
      <c r="CF425" s="26">
        <f>($CF$424*$CE$425)+$CF$424</f>
        <v>0</v>
      </c>
      <c r="CG425" s="26"/>
      <c r="CH425" s="36"/>
      <c r="CI425" s="196"/>
      <c r="CJ425" s="196"/>
      <c r="CK425" s="196"/>
      <c r="CL425" s="196"/>
      <c r="CM425" s="196"/>
      <c r="CN425" s="196"/>
      <c r="CO425" s="196"/>
      <c r="CP425" s="196"/>
      <c r="CQ425" s="196"/>
      <c r="CR425" s="196"/>
      <c r="CS425" s="196"/>
      <c r="CT425" s="196"/>
      <c r="CU425" s="196"/>
      <c r="CV425" s="196"/>
      <c r="CW425" s="196"/>
      <c r="CX425" s="196"/>
      <c r="CY425" s="196"/>
      <c r="CZ425" s="196"/>
      <c r="DA425" s="53" t="s">
        <v>74</v>
      </c>
      <c r="DB425" s="191" t="str">
        <f>IF($DB$423&amp;$DB$424="","0",AVERAGE($DB$423:$DB$424))</f>
        <v>0</v>
      </c>
      <c r="DC425" s="63">
        <v>0</v>
      </c>
      <c r="DD425" s="18">
        <v>0</v>
      </c>
      <c r="DE425" s="46">
        <f>$B$29</f>
        <v>0.3</v>
      </c>
      <c r="DF425" s="26">
        <f>($DF$424*$DE$425)+$DF$424</f>
        <v>0</v>
      </c>
      <c r="DG425" s="26"/>
      <c r="DH425" s="36"/>
      <c r="DI425" s="196"/>
      <c r="DJ425" s="196"/>
      <c r="DK425" s="196"/>
      <c r="DL425" s="196"/>
      <c r="DM425" s="196"/>
      <c r="DN425" s="196"/>
      <c r="DO425" s="196"/>
      <c r="DP425" s="196"/>
      <c r="DQ425" s="196"/>
      <c r="DR425" s="196"/>
      <c r="DS425" s="196"/>
      <c r="DT425" s="196"/>
      <c r="EA425" s="53" t="s">
        <v>35</v>
      </c>
      <c r="EB425" s="181" t="str">
        <f>IF($EB$423&amp;$EB$424="","0",AVERAGE($EB$423:$EB$424))</f>
        <v>0</v>
      </c>
      <c r="EC425" s="179"/>
      <c r="ED425" s="26"/>
      <c r="EE425" s="37" t="s">
        <v>157</v>
      </c>
      <c r="EF425" s="26">
        <f>$EB$425*1</f>
        <v>0</v>
      </c>
      <c r="EG425" s="26"/>
      <c r="EH425" s="36"/>
      <c r="EI425" s="164"/>
    </row>
    <row r="426" spans="26:139" ht="16.5" thickTop="1" thickBot="1" x14ac:dyDescent="0.3">
      <c r="AA426" s="53" t="s">
        <v>62</v>
      </c>
      <c r="AB426" s="5">
        <f>$AH$426</f>
        <v>0</v>
      </c>
      <c r="AC426" s="18">
        <v>0</v>
      </c>
      <c r="AD426" s="18">
        <v>0</v>
      </c>
      <c r="AE426" s="45" t="s">
        <v>32</v>
      </c>
      <c r="AF426" s="26">
        <f>IF($AF$421&lt;$AF$425,$AF$421,$AF$425)</f>
        <v>0</v>
      </c>
      <c r="AG426" s="45" t="s">
        <v>157</v>
      </c>
      <c r="AH426" s="75">
        <f>IF($AF$426&amp;$AF$427&amp;$AF$428="","0",AVERAGE($AF$426:$AF$428))</f>
        <v>0</v>
      </c>
      <c r="BA426" s="53" t="s">
        <v>62</v>
      </c>
      <c r="BB426" s="5">
        <f>$BH$428</f>
        <v>0</v>
      </c>
      <c r="BC426" s="18">
        <v>0</v>
      </c>
      <c r="BD426" s="18">
        <v>0</v>
      </c>
      <c r="BE426" s="45" t="s">
        <v>32</v>
      </c>
      <c r="BF426" s="26">
        <f>IF($BF$421&lt;$BF$425,$BF$421,$BF$425)</f>
        <v>0</v>
      </c>
      <c r="BG426" s="45" t="s">
        <v>157</v>
      </c>
      <c r="BH426" s="75">
        <f>IF($BF$426&amp;$BF$427&amp;$BF$428="","0",AVERAGE($BF$426:$BF$428))</f>
        <v>0</v>
      </c>
      <c r="BX426" s="196"/>
      <c r="BY426" s="196"/>
      <c r="BZ426" s="196"/>
      <c r="CA426" s="53" t="s">
        <v>62</v>
      </c>
      <c r="CB426" s="5">
        <f>$CH$428</f>
        <v>0</v>
      </c>
      <c r="CC426" s="18">
        <v>0</v>
      </c>
      <c r="CD426" s="18">
        <v>0</v>
      </c>
      <c r="CE426" s="45" t="s">
        <v>32</v>
      </c>
      <c r="CF426" s="26" t="str">
        <f>IF($CF$421&lt;$CF$425,$CF$421,"")</f>
        <v/>
      </c>
      <c r="CG426" s="45" t="s">
        <v>157</v>
      </c>
      <c r="CH426" s="75" t="str">
        <f>IF($CF$426&amp;$CF$427&amp;$CF$428="","0",AVERAGE($CF$426:$CF$428))</f>
        <v>0</v>
      </c>
      <c r="CI426" s="196"/>
      <c r="CJ426" s="196"/>
      <c r="CK426" s="196"/>
      <c r="CL426" s="196"/>
      <c r="CM426" s="196"/>
      <c r="CN426" s="196"/>
      <c r="CO426" s="196"/>
      <c r="CP426" s="196"/>
      <c r="CQ426" s="196"/>
      <c r="CR426" s="196"/>
      <c r="CS426" s="196"/>
      <c r="CT426" s="196"/>
      <c r="CU426" s="196"/>
      <c r="CV426" s="196"/>
      <c r="CW426" s="196"/>
      <c r="CX426" s="196"/>
      <c r="CY426" s="196"/>
      <c r="CZ426" s="196"/>
      <c r="DA426" s="53" t="s">
        <v>62</v>
      </c>
      <c r="DB426" s="5">
        <f>$DH$428</f>
        <v>0</v>
      </c>
      <c r="DC426" s="18">
        <v>0</v>
      </c>
      <c r="DD426" s="18">
        <v>0</v>
      </c>
      <c r="DE426" s="45" t="s">
        <v>32</v>
      </c>
      <c r="DF426" s="26" t="str">
        <f>IF($DF$421&lt;$DF$425,$DF$421,"")</f>
        <v/>
      </c>
      <c r="DG426" s="45" t="s">
        <v>157</v>
      </c>
      <c r="DH426" s="75" t="str">
        <f>IF($DF$426&amp;$DF$427&amp;$DF$428="","0",AVERAGE($DF$426:$DF$428))</f>
        <v>0</v>
      </c>
      <c r="DI426" s="196"/>
      <c r="DJ426" s="196"/>
      <c r="DK426" s="196"/>
      <c r="DL426" s="196"/>
      <c r="DM426" s="196"/>
      <c r="DN426" s="196"/>
      <c r="DO426" s="196"/>
      <c r="DP426" s="196"/>
      <c r="DQ426" s="196"/>
      <c r="DR426" s="196"/>
      <c r="DS426" s="196"/>
      <c r="DT426" s="196"/>
      <c r="EA426" s="23" t="s">
        <v>157</v>
      </c>
      <c r="EB426" s="180">
        <f>VLOOKUP($EA$426,$EE$425:$EF$430,2,0)</f>
        <v>0</v>
      </c>
      <c r="EC426" s="26"/>
      <c r="ED426" s="26"/>
      <c r="EE426" s="37" t="s">
        <v>342</v>
      </c>
      <c r="EF426" s="26">
        <f>$EB$425*2</f>
        <v>0</v>
      </c>
      <c r="EG426" s="26"/>
      <c r="EH426" s="36"/>
      <c r="EI426" s="164"/>
    </row>
    <row r="427" spans="26:139" ht="16.5" thickTop="1" thickBot="1" x14ac:dyDescent="0.3">
      <c r="AA427" s="108" t="s">
        <v>103</v>
      </c>
      <c r="AB427" s="5">
        <f>$AB$425*0.25</f>
        <v>0</v>
      </c>
      <c r="AC427" s="63">
        <v>0</v>
      </c>
      <c r="AD427" s="18">
        <v>0</v>
      </c>
      <c r="AE427" s="45" t="s">
        <v>34</v>
      </c>
      <c r="AF427" s="26">
        <f>IF($AG$421&lt;$AF$425,$AG$421,$AF$425)</f>
        <v>0</v>
      </c>
      <c r="AG427" s="45" t="s">
        <v>158</v>
      </c>
      <c r="AH427" s="75">
        <f>$AH$426/2</f>
        <v>0</v>
      </c>
      <c r="BA427" s="108" t="s">
        <v>103</v>
      </c>
      <c r="BB427" s="5">
        <f>$BB$425*0.25</f>
        <v>0</v>
      </c>
      <c r="BC427" s="63">
        <v>0</v>
      </c>
      <c r="BD427" s="18">
        <v>0</v>
      </c>
      <c r="BE427" s="45" t="s">
        <v>34</v>
      </c>
      <c r="BF427" s="26">
        <f>IF($BG$421&lt;$BF$425,$BG$421,$BF$425)</f>
        <v>0</v>
      </c>
      <c r="BG427" s="45" t="s">
        <v>158</v>
      </c>
      <c r="BH427" s="75">
        <f>$BH$426/2</f>
        <v>0</v>
      </c>
      <c r="BX427" s="196"/>
      <c r="BY427" s="196"/>
      <c r="BZ427" s="196"/>
      <c r="CA427" s="108" t="s">
        <v>103</v>
      </c>
      <c r="CB427" s="5">
        <f>$CB$425*0.25</f>
        <v>0</v>
      </c>
      <c r="CC427" s="63">
        <v>0</v>
      </c>
      <c r="CD427" s="18">
        <v>0</v>
      </c>
      <c r="CE427" s="45" t="s">
        <v>34</v>
      </c>
      <c r="CF427" s="26" t="str">
        <f>IF($CG$421&lt;$CF$425,$CG$421,"")</f>
        <v/>
      </c>
      <c r="CG427" s="45" t="s">
        <v>158</v>
      </c>
      <c r="CH427" s="75">
        <f>$CH$426/2</f>
        <v>0</v>
      </c>
      <c r="CI427" s="196"/>
      <c r="CJ427" s="196"/>
      <c r="CK427" s="196"/>
      <c r="CL427" s="196"/>
      <c r="CM427" s="196"/>
      <c r="CN427" s="196"/>
      <c r="CO427" s="196"/>
      <c r="CP427" s="196"/>
      <c r="CQ427" s="196"/>
      <c r="CR427" s="196"/>
      <c r="CS427" s="196"/>
      <c r="CT427" s="196"/>
      <c r="CU427" s="196"/>
      <c r="CV427" s="196"/>
      <c r="CW427" s="196"/>
      <c r="CX427" s="196"/>
      <c r="CY427" s="196"/>
      <c r="CZ427" s="196"/>
      <c r="DA427" s="108" t="s">
        <v>103</v>
      </c>
      <c r="DB427" s="5">
        <f>$DB$425*0.25</f>
        <v>0</v>
      </c>
      <c r="DC427" s="63">
        <v>0</v>
      </c>
      <c r="DD427" s="18">
        <v>0</v>
      </c>
      <c r="DE427" s="45" t="s">
        <v>34</v>
      </c>
      <c r="DF427" s="26" t="str">
        <f>IF($DG$421&lt;$DF$425,$DG$421,"")</f>
        <v/>
      </c>
      <c r="DG427" s="45" t="s">
        <v>158</v>
      </c>
      <c r="DH427" s="75">
        <f>$DH$426/2</f>
        <v>0</v>
      </c>
      <c r="DI427" s="196"/>
      <c r="DJ427" s="196"/>
      <c r="DK427" s="196"/>
      <c r="DL427" s="196"/>
      <c r="DM427" s="196"/>
      <c r="DN427" s="196"/>
      <c r="DO427" s="196"/>
      <c r="DP427" s="196"/>
      <c r="DQ427" s="196"/>
      <c r="DR427" s="196"/>
      <c r="DS427" s="196"/>
      <c r="DT427" s="196"/>
      <c r="EA427" s="27">
        <f>DATOS!$B$58</f>
        <v>0.9</v>
      </c>
      <c r="EB427" s="176">
        <f>DATOS!$A$3*$EA$427</f>
        <v>0</v>
      </c>
      <c r="EC427" s="26"/>
      <c r="ED427" s="26"/>
      <c r="EE427" s="37" t="s">
        <v>341</v>
      </c>
      <c r="EF427" s="26">
        <f>$EB$425*2</f>
        <v>0</v>
      </c>
      <c r="EG427" s="26"/>
      <c r="EH427" s="36"/>
      <c r="EI427" s="164"/>
    </row>
    <row r="428" spans="26:139" ht="16.5" thickTop="1" thickBot="1" x14ac:dyDescent="0.3">
      <c r="AA428" s="25" t="s">
        <v>64</v>
      </c>
      <c r="AB428" s="109">
        <v>0</v>
      </c>
      <c r="AC428" s="18">
        <v>0</v>
      </c>
      <c r="AD428" s="18">
        <v>0</v>
      </c>
      <c r="AE428" s="45" t="s">
        <v>45</v>
      </c>
      <c r="AF428" s="26">
        <f>IF($AH$421&lt;$AF$425,$AH$421,$AF$425)</f>
        <v>0</v>
      </c>
      <c r="AG428" s="45" t="s">
        <v>159</v>
      </c>
      <c r="AH428" s="75">
        <f>$AH$426/3</f>
        <v>0</v>
      </c>
      <c r="BA428" s="25" t="s">
        <v>64</v>
      </c>
      <c r="BB428" s="109">
        <v>0</v>
      </c>
      <c r="BC428" s="18">
        <v>0</v>
      </c>
      <c r="BD428" s="18">
        <v>0</v>
      </c>
      <c r="BE428" s="45" t="s">
        <v>45</v>
      </c>
      <c r="BF428" s="26">
        <f>IF($BH$421&lt;$BF$425,$BH$421,$BF$425)</f>
        <v>0</v>
      </c>
      <c r="BG428" s="45" t="s">
        <v>159</v>
      </c>
      <c r="BH428" s="75">
        <f>$BH$426/3</f>
        <v>0</v>
      </c>
      <c r="BX428" s="196"/>
      <c r="BY428" s="196"/>
      <c r="BZ428" s="196"/>
      <c r="CA428" s="25" t="s">
        <v>64</v>
      </c>
      <c r="CB428" s="109">
        <v>0</v>
      </c>
      <c r="CC428" s="18">
        <v>0</v>
      </c>
      <c r="CD428" s="18">
        <v>0</v>
      </c>
      <c r="CE428" s="45" t="s">
        <v>45</v>
      </c>
      <c r="CF428" s="26" t="str">
        <f>IF($CH$421&lt;$CF$425,$CH$421,"")</f>
        <v/>
      </c>
      <c r="CG428" s="45" t="s">
        <v>159</v>
      </c>
      <c r="CH428" s="75">
        <f>$CH$426/3</f>
        <v>0</v>
      </c>
      <c r="CI428" s="196"/>
      <c r="CJ428" s="196"/>
      <c r="CK428" s="196"/>
      <c r="CL428" s="196"/>
      <c r="CM428" s="196"/>
      <c r="CN428" s="196"/>
      <c r="CO428" s="196"/>
      <c r="CP428" s="196"/>
      <c r="CQ428" s="196"/>
      <c r="CR428" s="196"/>
      <c r="CS428" s="196"/>
      <c r="CT428" s="196"/>
      <c r="CU428" s="196"/>
      <c r="CV428" s="196"/>
      <c r="CW428" s="196"/>
      <c r="CX428" s="196"/>
      <c r="CY428" s="196"/>
      <c r="CZ428" s="196"/>
      <c r="DA428" s="25" t="s">
        <v>64</v>
      </c>
      <c r="DB428" s="109">
        <v>0</v>
      </c>
      <c r="DC428" s="18">
        <v>0</v>
      </c>
      <c r="DD428" s="18">
        <v>0</v>
      </c>
      <c r="DE428" s="45" t="s">
        <v>45</v>
      </c>
      <c r="DF428" s="26" t="str">
        <f>IF($DH$421&lt;$DF$425,$DH$421,"")</f>
        <v/>
      </c>
      <c r="DG428" s="45" t="s">
        <v>159</v>
      </c>
      <c r="DH428" s="75">
        <f>$DH$426/3</f>
        <v>0</v>
      </c>
      <c r="DI428" s="196"/>
      <c r="DJ428" s="196"/>
      <c r="DK428" s="196"/>
      <c r="DL428" s="196"/>
      <c r="DM428" s="196"/>
      <c r="DN428" s="196"/>
      <c r="DO428" s="196"/>
      <c r="DP428" s="196"/>
      <c r="DQ428" s="196"/>
      <c r="DR428" s="196"/>
      <c r="DS428" s="196"/>
      <c r="DT428" s="196"/>
      <c r="EA428" s="53" t="s">
        <v>363</v>
      </c>
      <c r="EB428" s="5">
        <f>IF($EB$426&gt;=$EB$427,$A$3,$EB$426)</f>
        <v>0</v>
      </c>
      <c r="EC428" s="26"/>
      <c r="ED428" s="26"/>
      <c r="EE428" s="37" t="s">
        <v>340</v>
      </c>
      <c r="EF428" s="26">
        <f>$EB$425*3</f>
        <v>0</v>
      </c>
      <c r="EG428" s="26"/>
      <c r="EH428" s="36"/>
      <c r="EI428" s="164"/>
    </row>
    <row r="429" spans="26:139" ht="16.5" thickTop="1" thickBot="1" x14ac:dyDescent="0.3">
      <c r="AA429" s="319" t="s">
        <v>536</v>
      </c>
      <c r="AB429" s="273">
        <v>0</v>
      </c>
      <c r="AC429" s="63">
        <v>0</v>
      </c>
      <c r="AD429" s="18">
        <v>0</v>
      </c>
      <c r="AE429" s="26"/>
      <c r="AF429" s="26"/>
      <c r="AG429" s="26"/>
      <c r="AH429" s="36"/>
      <c r="BA429" s="319" t="s">
        <v>536</v>
      </c>
      <c r="BB429" s="273">
        <v>0</v>
      </c>
      <c r="BC429" s="63">
        <v>0</v>
      </c>
      <c r="BD429" s="18">
        <v>0</v>
      </c>
      <c r="BE429" s="26"/>
      <c r="BF429" s="26"/>
      <c r="BG429" s="26"/>
      <c r="BH429" s="36"/>
      <c r="BX429" s="196"/>
      <c r="BY429" s="196"/>
      <c r="BZ429" s="196"/>
      <c r="CA429" s="37"/>
      <c r="CB429" s="26"/>
      <c r="CC429" s="63">
        <v>0</v>
      </c>
      <c r="CD429" s="18">
        <v>0</v>
      </c>
      <c r="CE429" s="26"/>
      <c r="CF429" s="26"/>
      <c r="CG429" s="26"/>
      <c r="CH429" s="36"/>
      <c r="CI429" s="196"/>
      <c r="CJ429" s="196"/>
      <c r="CK429" s="196"/>
      <c r="CL429" s="196"/>
      <c r="CM429" s="196"/>
      <c r="CN429" s="196"/>
      <c r="CO429" s="196"/>
      <c r="CP429" s="196"/>
      <c r="CQ429" s="196"/>
      <c r="CR429" s="196"/>
      <c r="CS429" s="196"/>
      <c r="CT429" s="196"/>
      <c r="CU429" s="196"/>
      <c r="CV429" s="196"/>
      <c r="CW429" s="196"/>
      <c r="CX429" s="196"/>
      <c r="CY429" s="196"/>
      <c r="CZ429" s="196"/>
      <c r="DA429" s="37"/>
      <c r="DB429" s="26"/>
      <c r="DC429" s="63">
        <v>0</v>
      </c>
      <c r="DD429" s="18">
        <v>0</v>
      </c>
      <c r="DE429" s="26"/>
      <c r="DF429" s="26"/>
      <c r="DG429" s="26"/>
      <c r="DH429" s="36"/>
      <c r="DI429" s="196"/>
      <c r="DJ429" s="196"/>
      <c r="DK429" s="196"/>
      <c r="DL429" s="196"/>
      <c r="DM429" s="196"/>
      <c r="DN429" s="196"/>
      <c r="DO429" s="196"/>
      <c r="DP429" s="196"/>
      <c r="DQ429" s="196"/>
      <c r="DR429" s="196"/>
      <c r="DS429" s="196"/>
      <c r="DT429" s="196"/>
      <c r="EA429" s="23" t="s">
        <v>367</v>
      </c>
      <c r="EB429" s="26">
        <f>IF($EA$429="PJ",($EB$428*0.25),0)</f>
        <v>0</v>
      </c>
      <c r="EC429" s="26"/>
      <c r="ED429" s="26"/>
      <c r="EE429" s="37" t="s">
        <v>339</v>
      </c>
      <c r="EF429" s="26">
        <f>$EB$425*4</f>
        <v>0</v>
      </c>
      <c r="EG429" s="26"/>
      <c r="EH429" s="36"/>
      <c r="EI429" s="164"/>
    </row>
    <row r="430" spans="26:139" ht="16.5" thickTop="1" thickBot="1" x14ac:dyDescent="0.3">
      <c r="AA430" s="37"/>
      <c r="AB430" s="26"/>
      <c r="AC430" s="26"/>
      <c r="AD430" s="26"/>
      <c r="AE430" s="26"/>
      <c r="AF430" s="26"/>
      <c r="AG430" s="26"/>
      <c r="AH430" s="36"/>
      <c r="BA430" s="37"/>
      <c r="BB430" s="26"/>
      <c r="BC430" s="26"/>
      <c r="BD430" s="26"/>
      <c r="BE430" s="26"/>
      <c r="BF430" s="26"/>
      <c r="BG430" s="26"/>
      <c r="BH430" s="36"/>
      <c r="BX430" s="196"/>
      <c r="BY430" s="196"/>
      <c r="BZ430" s="196"/>
      <c r="CA430" s="37"/>
      <c r="CB430" s="26"/>
      <c r="CC430" s="26"/>
      <c r="CD430" s="26"/>
      <c r="CE430" s="26"/>
      <c r="CF430" s="26"/>
      <c r="CG430" s="26"/>
      <c r="CH430" s="36"/>
      <c r="CI430" s="196"/>
      <c r="CJ430" s="196"/>
      <c r="CK430" s="196"/>
      <c r="CL430" s="196"/>
      <c r="CM430" s="196"/>
      <c r="CN430" s="196"/>
      <c r="CO430" s="196"/>
      <c r="CP430" s="196"/>
      <c r="CQ430" s="196"/>
      <c r="CR430" s="196"/>
      <c r="CS430" s="196"/>
      <c r="CT430" s="196"/>
      <c r="CU430" s="196"/>
      <c r="CV430" s="196"/>
      <c r="CW430" s="196"/>
      <c r="CX430" s="196"/>
      <c r="CY430" s="196"/>
      <c r="CZ430" s="196"/>
      <c r="DA430" s="37"/>
      <c r="DB430" s="26"/>
      <c r="DC430" s="26"/>
      <c r="DD430" s="26"/>
      <c r="DE430" s="26"/>
      <c r="DF430" s="26"/>
      <c r="DG430" s="26"/>
      <c r="DH430" s="36"/>
      <c r="DI430" s="196"/>
      <c r="DJ430" s="196"/>
      <c r="DK430" s="196"/>
      <c r="DL430" s="196"/>
      <c r="DM430" s="196"/>
      <c r="DN430" s="196"/>
      <c r="DO430" s="196"/>
      <c r="DP430" s="196"/>
      <c r="DQ430" s="196"/>
      <c r="DR430" s="196"/>
      <c r="DS430" s="196"/>
      <c r="DT430" s="196"/>
      <c r="EA430" s="25" t="s">
        <v>64</v>
      </c>
      <c r="EB430" s="109">
        <v>0</v>
      </c>
      <c r="EC430" s="26"/>
      <c r="ED430" s="26"/>
      <c r="EE430" s="37" t="s">
        <v>361</v>
      </c>
      <c r="EF430" s="26" t="str">
        <f>$EB$425</f>
        <v>0</v>
      </c>
      <c r="EG430" s="26"/>
      <c r="EH430" s="36"/>
      <c r="EI430" s="164"/>
    </row>
    <row r="431" spans="26:139" ht="16.5" thickTop="1" thickBot="1" x14ac:dyDescent="0.3">
      <c r="Z431" s="271"/>
      <c r="AA431" s="53" t="s">
        <v>74</v>
      </c>
      <c r="AB431" s="75">
        <f>$AB$425+$AB$426+$AB$429+$AB$428</f>
        <v>0</v>
      </c>
      <c r="AC431" s="26"/>
      <c r="AD431" s="26"/>
      <c r="AE431" s="26"/>
      <c r="AF431" s="26"/>
      <c r="AG431" s="26"/>
      <c r="AH431" s="36"/>
      <c r="AZ431" s="271"/>
      <c r="BA431" s="53" t="s">
        <v>74</v>
      </c>
      <c r="BB431" s="75">
        <f>$BB$425+$BB$426+$BB$429+$BB$428</f>
        <v>0</v>
      </c>
      <c r="BC431" s="26"/>
      <c r="BD431" s="26"/>
      <c r="BE431" s="26"/>
      <c r="BF431" s="26"/>
      <c r="BG431" s="26"/>
      <c r="BH431" s="36"/>
      <c r="BX431" s="196"/>
      <c r="BY431" s="196"/>
      <c r="BZ431" s="196"/>
      <c r="CA431" s="53" t="s">
        <v>74</v>
      </c>
      <c r="CB431" s="75">
        <f>$CB$425+$CB$426+$CB$428</f>
        <v>0</v>
      </c>
      <c r="CC431" s="26"/>
      <c r="CD431" s="26"/>
      <c r="CE431" s="26"/>
      <c r="CF431" s="26"/>
      <c r="CG431" s="26"/>
      <c r="CH431" s="36"/>
      <c r="CI431" s="196"/>
      <c r="CJ431" s="196"/>
      <c r="CK431" s="196"/>
      <c r="CL431" s="196"/>
      <c r="CM431" s="196"/>
      <c r="CN431" s="196"/>
      <c r="CO431" s="196"/>
      <c r="CP431" s="196"/>
      <c r="CQ431" s="196"/>
      <c r="CR431" s="196"/>
      <c r="CS431" s="196"/>
      <c r="CT431" s="196"/>
      <c r="CU431" s="196"/>
      <c r="CV431" s="196"/>
      <c r="CW431" s="196"/>
      <c r="CX431" s="196"/>
      <c r="CY431" s="196"/>
      <c r="CZ431" s="196"/>
      <c r="DA431" s="53" t="s">
        <v>74</v>
      </c>
      <c r="DB431" s="75">
        <f>$DB$425+$DB$426+$DB$428</f>
        <v>0</v>
      </c>
      <c r="DC431" s="26"/>
      <c r="DD431" s="26"/>
      <c r="DE431" s="26"/>
      <c r="DF431" s="26"/>
      <c r="DG431" s="26"/>
      <c r="DH431" s="36"/>
      <c r="DI431" s="196"/>
      <c r="DJ431" s="196"/>
      <c r="DK431" s="196"/>
      <c r="DL431" s="196"/>
      <c r="DM431" s="196"/>
      <c r="DN431" s="196"/>
      <c r="DO431" s="196"/>
      <c r="DP431" s="196"/>
      <c r="DQ431" s="196"/>
      <c r="DR431" s="196"/>
      <c r="DS431" s="196"/>
      <c r="DT431" s="196"/>
      <c r="EA431" s="37"/>
      <c r="EB431" s="62"/>
      <c r="EC431" s="26"/>
      <c r="ED431" s="26"/>
      <c r="EE431" s="26"/>
      <c r="EF431" s="26"/>
      <c r="EG431" s="26"/>
      <c r="EH431" s="36"/>
      <c r="EI431" s="164"/>
    </row>
    <row r="432" spans="26:139" ht="16.5" thickTop="1" thickBot="1" x14ac:dyDescent="0.3">
      <c r="AA432" s="108" t="s">
        <v>102</v>
      </c>
      <c r="AB432" s="110"/>
      <c r="AC432" s="26"/>
      <c r="AD432" s="26"/>
      <c r="AE432" s="26"/>
      <c r="AF432" s="26"/>
      <c r="AG432" s="26"/>
      <c r="AH432" s="36"/>
      <c r="BA432" s="108" t="s">
        <v>102</v>
      </c>
      <c r="BB432" s="110"/>
      <c r="BC432" s="26"/>
      <c r="BD432" s="26"/>
      <c r="BE432" s="26"/>
      <c r="BF432" s="26"/>
      <c r="BG432" s="26"/>
      <c r="BH432" s="36"/>
      <c r="BX432" s="196"/>
      <c r="BY432" s="196"/>
      <c r="BZ432" s="196"/>
      <c r="CA432" s="108" t="s">
        <v>102</v>
      </c>
      <c r="CB432" s="110"/>
      <c r="CC432" s="26"/>
      <c r="CD432" s="26"/>
      <c r="CE432" s="26"/>
      <c r="CF432" s="26"/>
      <c r="CG432" s="26"/>
      <c r="CH432" s="36"/>
      <c r="CI432" s="196"/>
      <c r="CJ432" s="196"/>
      <c r="CK432" s="196"/>
      <c r="CL432" s="196"/>
      <c r="CM432" s="196"/>
      <c r="CN432" s="196"/>
      <c r="CO432" s="196"/>
      <c r="CP432" s="196"/>
      <c r="CQ432" s="196"/>
      <c r="CR432" s="196"/>
      <c r="CS432" s="196"/>
      <c r="CT432" s="196"/>
      <c r="CU432" s="196"/>
      <c r="CV432" s="196"/>
      <c r="CW432" s="196"/>
      <c r="CX432" s="196"/>
      <c r="CY432" s="196"/>
      <c r="CZ432" s="196"/>
      <c r="DA432" s="108" t="s">
        <v>102</v>
      </c>
      <c r="DB432" s="110"/>
      <c r="DC432" s="26"/>
      <c r="DD432" s="26"/>
      <c r="DE432" s="26"/>
      <c r="DF432" s="26"/>
      <c r="DG432" s="26"/>
      <c r="DH432" s="36"/>
      <c r="DI432" s="196"/>
      <c r="DJ432" s="196"/>
      <c r="DK432" s="196"/>
      <c r="DL432" s="196"/>
      <c r="DM432" s="196"/>
      <c r="DN432" s="196"/>
      <c r="DO432" s="196"/>
      <c r="DP432" s="196"/>
      <c r="DQ432" s="196"/>
      <c r="DR432" s="196"/>
      <c r="DS432" s="196"/>
      <c r="DT432" s="196"/>
      <c r="EA432" s="53" t="s">
        <v>367</v>
      </c>
      <c r="EB432" s="177">
        <f>$EB$428+$EB$429+$EB$430</f>
        <v>0</v>
      </c>
      <c r="EC432" s="179"/>
      <c r="ED432" s="26"/>
      <c r="EE432" s="26"/>
      <c r="EF432" s="26"/>
      <c r="EG432" s="26"/>
      <c r="EH432" s="36"/>
      <c r="EI432" s="164"/>
    </row>
    <row r="433" spans="26:139" ht="16.5" thickTop="1" thickBot="1" x14ac:dyDescent="0.3">
      <c r="AA433" s="41" t="s">
        <v>103</v>
      </c>
      <c r="AB433" s="5">
        <f>$AB$425+$AB$427+$AB$428</f>
        <v>0</v>
      </c>
      <c r="AC433" s="31"/>
      <c r="AD433" s="31"/>
      <c r="AE433" s="31"/>
      <c r="AF433" s="31"/>
      <c r="AG433" s="31"/>
      <c r="AH433" s="43"/>
      <c r="BA433" s="41" t="s">
        <v>103</v>
      </c>
      <c r="BB433" s="5">
        <f>$BB$425+$BB$427+$BB$428</f>
        <v>0</v>
      </c>
      <c r="BC433" s="31"/>
      <c r="BD433" s="31"/>
      <c r="BE433" s="31"/>
      <c r="BF433" s="31"/>
      <c r="BG433" s="31"/>
      <c r="BH433" s="43"/>
      <c r="BX433" s="196"/>
      <c r="BY433" s="196"/>
      <c r="BZ433" s="196"/>
      <c r="CA433" s="41" t="s">
        <v>103</v>
      </c>
      <c r="CB433" s="5">
        <f>$CB$425+$CB$427+$CB$428</f>
        <v>0</v>
      </c>
      <c r="CC433" s="31"/>
      <c r="CD433" s="31"/>
      <c r="CE433" s="31"/>
      <c r="CF433" s="31"/>
      <c r="CG433" s="31"/>
      <c r="CH433" s="43"/>
      <c r="CI433" s="196"/>
      <c r="CJ433" s="196"/>
      <c r="CK433" s="196"/>
      <c r="CL433" s="196"/>
      <c r="CM433" s="196"/>
      <c r="CN433" s="196"/>
      <c r="CO433" s="196"/>
      <c r="CP433" s="196"/>
      <c r="CQ433" s="196"/>
      <c r="CR433" s="196"/>
      <c r="CS433" s="196"/>
      <c r="CT433" s="196"/>
      <c r="CU433" s="196"/>
      <c r="CV433" s="196"/>
      <c r="CW433" s="196"/>
      <c r="CX433" s="196"/>
      <c r="CY433" s="196"/>
      <c r="CZ433" s="196"/>
      <c r="DA433" s="41" t="s">
        <v>103</v>
      </c>
      <c r="DB433" s="5">
        <f>$DB$425+$DB$427+$DB$428</f>
        <v>0</v>
      </c>
      <c r="DC433" s="31"/>
      <c r="DD433" s="31"/>
      <c r="DE433" s="31"/>
      <c r="DF433" s="31"/>
      <c r="DG433" s="31"/>
      <c r="DH433" s="43"/>
      <c r="DI433" s="196"/>
      <c r="DJ433" s="196"/>
      <c r="DK433" s="196"/>
      <c r="DL433" s="196"/>
      <c r="DM433" s="196"/>
      <c r="DN433" s="196"/>
      <c r="DO433" s="196"/>
      <c r="DP433" s="196"/>
      <c r="DQ433" s="196"/>
      <c r="DR433" s="196"/>
      <c r="DS433" s="196"/>
      <c r="DT433" s="196"/>
      <c r="EA433" s="41" t="s">
        <v>368</v>
      </c>
      <c r="EB433" s="183">
        <f>IF($EB$432&lt;=18000,($EB$432*1.05),IF(AND($EB$432&gt;=18001,$EB$432&lt;=40000),$EB$432,IF(AND($EB$432&gt;=40001,$EB$432&lt;=70000),$EB$432-($EB$432*0.1),IF($EB$432&gt;=70001,($EB$432-($EB$432*0.2))))))</f>
        <v>0</v>
      </c>
      <c r="EC433" s="100"/>
      <c r="ED433" s="31"/>
      <c r="EE433" s="31"/>
      <c r="EF433" s="31"/>
      <c r="EG433" s="31"/>
      <c r="EH433" s="43"/>
      <c r="EI433" s="164"/>
    </row>
    <row r="434" spans="26:139" ht="15.75" thickBot="1" x14ac:dyDescent="0.3">
      <c r="BX434" s="196"/>
      <c r="BY434" s="196"/>
      <c r="BZ434" s="196"/>
      <c r="CA434" s="196"/>
      <c r="CB434" s="196"/>
      <c r="CC434" s="196"/>
      <c r="CD434" s="196"/>
      <c r="CE434" s="196"/>
      <c r="CF434" s="196"/>
      <c r="CG434" s="196"/>
      <c r="CH434" s="196"/>
      <c r="CI434" s="196"/>
      <c r="CJ434" s="196"/>
      <c r="CK434" s="196"/>
      <c r="CL434" s="196"/>
      <c r="CM434" s="196"/>
      <c r="CN434" s="196"/>
      <c r="CO434" s="196"/>
      <c r="CP434" s="196"/>
      <c r="CQ434" s="196"/>
      <c r="CR434" s="196"/>
      <c r="CS434" s="196"/>
      <c r="CT434" s="196"/>
      <c r="CU434" s="196"/>
      <c r="CV434" s="196"/>
      <c r="CW434" s="196"/>
      <c r="CX434" s="196"/>
      <c r="CY434" s="196"/>
      <c r="CZ434" s="196"/>
      <c r="DA434" s="196"/>
      <c r="DB434" s="196"/>
      <c r="DC434" s="196"/>
      <c r="DD434" s="196"/>
      <c r="DE434" s="196"/>
      <c r="DF434" s="196"/>
      <c r="DG434" s="196"/>
      <c r="DH434" s="196"/>
      <c r="DI434" s="196"/>
      <c r="DJ434" s="196"/>
      <c r="DK434" s="196"/>
      <c r="DL434" s="196"/>
      <c r="DM434" s="196"/>
      <c r="DN434" s="196"/>
      <c r="DO434" s="196"/>
      <c r="DP434" s="196"/>
      <c r="DQ434" s="196"/>
      <c r="DR434" s="196"/>
      <c r="DS434" s="196"/>
      <c r="DT434" s="196"/>
      <c r="EA434" s="164"/>
      <c r="EB434" s="164"/>
      <c r="EC434" s="164"/>
      <c r="ED434" s="164"/>
      <c r="EE434" s="164"/>
      <c r="EF434" s="164"/>
      <c r="EG434" s="164"/>
      <c r="EH434" s="164"/>
      <c r="EI434" s="164"/>
    </row>
    <row r="435" spans="26:139" ht="15.75" thickBot="1" x14ac:dyDescent="0.3">
      <c r="AA435" s="48" t="s">
        <v>31</v>
      </c>
      <c r="AB435" s="49">
        <f>AVERAGE($AC$435:$AD$435)</f>
        <v>0</v>
      </c>
      <c r="AC435" s="50">
        <f>SUM($AC$436:$AC$443)</f>
        <v>0</v>
      </c>
      <c r="AD435" s="50">
        <f>SUM($AD$436:$AD$443)</f>
        <v>0</v>
      </c>
      <c r="AE435" s="49"/>
      <c r="AF435" s="50">
        <f>SUM($AF$436)</f>
        <v>0</v>
      </c>
      <c r="AG435" s="50">
        <f>SUM($AG$436)</f>
        <v>0</v>
      </c>
      <c r="AH435" s="51">
        <f>SUM($AH$436)</f>
        <v>0</v>
      </c>
      <c r="BA435" s="48" t="s">
        <v>31</v>
      </c>
      <c r="BB435" s="49">
        <f>AVERAGE($BC$435:$BD$435)</f>
        <v>0</v>
      </c>
      <c r="BC435" s="50">
        <f>SUM($BC$436:$BC$443)</f>
        <v>0</v>
      </c>
      <c r="BD435" s="50">
        <f>SUM($BD$436:$BD$443)</f>
        <v>0</v>
      </c>
      <c r="BE435" s="49"/>
      <c r="BF435" s="50">
        <f>SUM($BF$436)</f>
        <v>0</v>
      </c>
      <c r="BG435" s="50">
        <f>SUM($BG$436)</f>
        <v>0</v>
      </c>
      <c r="BH435" s="51">
        <f>SUM($BH$436)</f>
        <v>0</v>
      </c>
      <c r="BX435" s="196"/>
      <c r="BY435" s="196"/>
      <c r="BZ435" s="196"/>
      <c r="CA435" s="48" t="s">
        <v>31</v>
      </c>
      <c r="CB435" s="49">
        <f>AVERAGE($CC$435:$CD$435)</f>
        <v>0</v>
      </c>
      <c r="CC435" s="50">
        <f>SUM($CC$436:$CC$443)</f>
        <v>0</v>
      </c>
      <c r="CD435" s="50">
        <f>SUM($CD$436:$CD$443)</f>
        <v>0</v>
      </c>
      <c r="CE435" s="49"/>
      <c r="CF435" s="50">
        <f>SUM($CF$436)</f>
        <v>0</v>
      </c>
      <c r="CG435" s="50">
        <f>SUM($CG$436)</f>
        <v>0</v>
      </c>
      <c r="CH435" s="51">
        <f>SUM($CH$436)</f>
        <v>0</v>
      </c>
      <c r="CI435" s="196"/>
      <c r="CJ435" s="196"/>
      <c r="CK435" s="196"/>
      <c r="CL435" s="196"/>
      <c r="CM435" s="196"/>
      <c r="CN435" s="196"/>
      <c r="CO435" s="196"/>
      <c r="CP435" s="196"/>
      <c r="CQ435" s="196"/>
      <c r="CR435" s="196"/>
      <c r="CS435" s="196"/>
      <c r="CT435" s="196"/>
      <c r="CU435" s="196"/>
      <c r="CV435" s="196"/>
      <c r="CW435" s="196"/>
      <c r="CX435" s="196"/>
      <c r="CY435" s="196"/>
      <c r="CZ435" s="196"/>
      <c r="DA435" s="48" t="s">
        <v>31</v>
      </c>
      <c r="DB435" s="49">
        <f>AVERAGE($DC$435:$DD$435)</f>
        <v>0</v>
      </c>
      <c r="DC435" s="50">
        <f>SUM($DC$436:$DC$443)</f>
        <v>0</v>
      </c>
      <c r="DD435" s="50">
        <f>SUM($DD$436:$DD$443)</f>
        <v>0</v>
      </c>
      <c r="DE435" s="49"/>
      <c r="DF435" s="50">
        <f>SUM($DF$436)</f>
        <v>0</v>
      </c>
      <c r="DG435" s="50">
        <f>SUM($DG$436)</f>
        <v>0</v>
      </c>
      <c r="DH435" s="51">
        <f>SUM($DH$436)</f>
        <v>0</v>
      </c>
      <c r="DI435" s="196"/>
      <c r="DJ435" s="196"/>
      <c r="DK435" s="196"/>
      <c r="DL435" s="196"/>
      <c r="DM435" s="196"/>
      <c r="DN435" s="196"/>
      <c r="DO435" s="196"/>
      <c r="DP435" s="196"/>
      <c r="DQ435" s="196"/>
      <c r="DR435" s="196"/>
      <c r="DS435" s="196"/>
      <c r="DT435" s="196"/>
      <c r="EA435" s="48" t="s">
        <v>31</v>
      </c>
      <c r="EB435" s="49">
        <f>AVERAGE($EC$435:$ED$435)</f>
        <v>0</v>
      </c>
      <c r="EC435" s="50">
        <f>IF($EC$437=0,$EC$436,(($EC$436/$EC$437)*30))</f>
        <v>0</v>
      </c>
      <c r="ED435" s="50">
        <f>IF($ED$437=0,$ED$436,(($ED$436/$ED$437)*30))</f>
        <v>0</v>
      </c>
      <c r="EE435" s="49"/>
      <c r="EF435" s="49"/>
      <c r="EG435" s="49"/>
      <c r="EH435" s="69"/>
      <c r="EI435" s="164"/>
    </row>
    <row r="436" spans="26:139" ht="16.5" thickTop="1" thickBot="1" x14ac:dyDescent="0.3">
      <c r="AA436" s="27">
        <f>$B$29</f>
        <v>0.3</v>
      </c>
      <c r="AB436" s="26">
        <f>($AB$435*$AA$436)+$AB$435</f>
        <v>0</v>
      </c>
      <c r="AC436" s="18">
        <v>0</v>
      </c>
      <c r="AD436" s="18">
        <v>0</v>
      </c>
      <c r="AE436" s="26"/>
      <c r="AF436" s="18">
        <v>0</v>
      </c>
      <c r="AG436" s="18">
        <v>0</v>
      </c>
      <c r="AH436" s="52">
        <v>0</v>
      </c>
      <c r="BA436" s="27">
        <f>$B$29</f>
        <v>0.3</v>
      </c>
      <c r="BB436" s="26">
        <f>($BB$435*$BA$436)+$BB$435</f>
        <v>0</v>
      </c>
      <c r="BC436" s="18">
        <v>0</v>
      </c>
      <c r="BD436" s="18">
        <v>0</v>
      </c>
      <c r="BE436" s="26"/>
      <c r="BF436" s="18">
        <v>0</v>
      </c>
      <c r="BG436" s="18">
        <v>0</v>
      </c>
      <c r="BH436" s="52">
        <v>0</v>
      </c>
      <c r="BX436" s="196"/>
      <c r="BY436" s="196"/>
      <c r="BZ436" s="196"/>
      <c r="CA436" s="27">
        <f>$B$29</f>
        <v>0.3</v>
      </c>
      <c r="CB436" s="26">
        <f>($CB$435*$CA$436)+$CB$435</f>
        <v>0</v>
      </c>
      <c r="CC436" s="18">
        <v>0</v>
      </c>
      <c r="CD436" s="18">
        <v>0</v>
      </c>
      <c r="CE436" s="26"/>
      <c r="CF436" s="18">
        <v>0</v>
      </c>
      <c r="CG436" s="18">
        <v>0</v>
      </c>
      <c r="CH436" s="52">
        <v>0</v>
      </c>
      <c r="CI436" s="196"/>
      <c r="CJ436" s="196"/>
      <c r="CK436" s="196"/>
      <c r="CL436" s="196"/>
      <c r="CM436" s="196"/>
      <c r="CN436" s="196"/>
      <c r="CO436" s="196"/>
      <c r="CP436" s="196"/>
      <c r="CQ436" s="196"/>
      <c r="CR436" s="196"/>
      <c r="CS436" s="196"/>
      <c r="CT436" s="196"/>
      <c r="CU436" s="196"/>
      <c r="CV436" s="196"/>
      <c r="CW436" s="196"/>
      <c r="CX436" s="196"/>
      <c r="CY436" s="196"/>
      <c r="CZ436" s="196"/>
      <c r="DA436" s="27">
        <f>$B$29</f>
        <v>0.3</v>
      </c>
      <c r="DB436" s="26">
        <f>($DB$435*$DA$436)+$DB$435</f>
        <v>0</v>
      </c>
      <c r="DC436" s="18">
        <v>0</v>
      </c>
      <c r="DD436" s="18">
        <v>0</v>
      </c>
      <c r="DE436" s="26"/>
      <c r="DF436" s="18">
        <v>0</v>
      </c>
      <c r="DG436" s="18">
        <v>0</v>
      </c>
      <c r="DH436" s="52">
        <v>0</v>
      </c>
      <c r="DI436" s="196"/>
      <c r="DJ436" s="196"/>
      <c r="DK436" s="196"/>
      <c r="DL436" s="196"/>
      <c r="DM436" s="196"/>
      <c r="DN436" s="196"/>
      <c r="DO436" s="196"/>
      <c r="DP436" s="196"/>
      <c r="DQ436" s="196"/>
      <c r="DR436" s="196"/>
      <c r="DS436" s="196"/>
      <c r="DT436" s="196"/>
      <c r="EA436" s="27">
        <f>DATOS!$B$29</f>
        <v>0.3</v>
      </c>
      <c r="EB436" s="26">
        <f>($EB$435*$EA$436)+$EB$435</f>
        <v>0</v>
      </c>
      <c r="EC436" s="18">
        <v>0</v>
      </c>
      <c r="ED436" s="18">
        <v>0</v>
      </c>
      <c r="EE436" s="26"/>
      <c r="EF436" s="26"/>
      <c r="EG436" s="26"/>
      <c r="EH436" s="36"/>
      <c r="EI436" s="164"/>
    </row>
    <row r="437" spans="26:139" ht="16.5" thickTop="1" thickBot="1" x14ac:dyDescent="0.3">
      <c r="AA437" s="25" t="s">
        <v>32</v>
      </c>
      <c r="AB437" s="26">
        <f>IF($AC$435&lt;$AB$436,$AC$435,$AB$436)</f>
        <v>0</v>
      </c>
      <c r="AC437" s="18">
        <v>0</v>
      </c>
      <c r="AD437" s="18">
        <v>0</v>
      </c>
      <c r="AE437" s="26"/>
      <c r="AF437" s="26"/>
      <c r="AG437" s="26"/>
      <c r="AH437" s="36"/>
      <c r="BA437" s="25" t="s">
        <v>32</v>
      </c>
      <c r="BB437" s="26">
        <f>IF($BC$435&lt;$BB$436,$BC$435,$BB$436)</f>
        <v>0</v>
      </c>
      <c r="BC437" s="18">
        <v>0</v>
      </c>
      <c r="BD437" s="18">
        <v>0</v>
      </c>
      <c r="BE437" s="26"/>
      <c r="BF437" s="26"/>
      <c r="BG437" s="26"/>
      <c r="BH437" s="36"/>
      <c r="BX437" s="196"/>
      <c r="BY437" s="196"/>
      <c r="BZ437" s="196"/>
      <c r="CA437" s="25" t="s">
        <v>32</v>
      </c>
      <c r="CB437" s="26" t="str">
        <f>IF($CC$435&lt;$CB$436,$CC$435,"")</f>
        <v/>
      </c>
      <c r="CC437" s="18">
        <v>0</v>
      </c>
      <c r="CD437" s="18">
        <v>0</v>
      </c>
      <c r="CE437" s="26"/>
      <c r="CF437" s="26"/>
      <c r="CG437" s="26"/>
      <c r="CH437" s="36"/>
      <c r="CI437" s="196"/>
      <c r="CJ437" s="196"/>
      <c r="CK437" s="196"/>
      <c r="CL437" s="196"/>
      <c r="CM437" s="196"/>
      <c r="CN437" s="196"/>
      <c r="CO437" s="196"/>
      <c r="CP437" s="196"/>
      <c r="CQ437" s="196"/>
      <c r="CR437" s="196"/>
      <c r="CS437" s="196"/>
      <c r="CT437" s="196"/>
      <c r="CU437" s="196"/>
      <c r="CV437" s="196"/>
      <c r="CW437" s="196"/>
      <c r="CX437" s="196"/>
      <c r="CY437" s="196"/>
      <c r="CZ437" s="196"/>
      <c r="DA437" s="25" t="s">
        <v>32</v>
      </c>
      <c r="DB437" s="26" t="str">
        <f>IF($DC$435&lt;$DB$436,$DC$435,"")</f>
        <v/>
      </c>
      <c r="DC437" s="18">
        <v>0</v>
      </c>
      <c r="DD437" s="18">
        <v>0</v>
      </c>
      <c r="DE437" s="26"/>
      <c r="DF437" s="26"/>
      <c r="DG437" s="26"/>
      <c r="DH437" s="36"/>
      <c r="DI437" s="196"/>
      <c r="DJ437" s="196"/>
      <c r="DK437" s="196"/>
      <c r="DL437" s="196"/>
      <c r="DM437" s="196"/>
      <c r="DN437" s="196"/>
      <c r="DO437" s="196"/>
      <c r="DP437" s="196"/>
      <c r="DQ437" s="196"/>
      <c r="DR437" s="196"/>
      <c r="DS437" s="196"/>
      <c r="DT437" s="196"/>
      <c r="EA437" s="25" t="s">
        <v>32</v>
      </c>
      <c r="EB437" s="26" t="str">
        <f>IF($EC$435&lt;$EB$436,$EC$435,"")</f>
        <v/>
      </c>
      <c r="EC437" s="18">
        <v>0</v>
      </c>
      <c r="ED437" s="18">
        <v>0</v>
      </c>
      <c r="EE437" s="26"/>
      <c r="EF437" s="26"/>
      <c r="EG437" s="26"/>
      <c r="EH437" s="36"/>
      <c r="EI437" s="164"/>
    </row>
    <row r="438" spans="26:139" ht="16.5" thickTop="1" thickBot="1" x14ac:dyDescent="0.3">
      <c r="AA438" s="25" t="s">
        <v>34</v>
      </c>
      <c r="AB438" s="62">
        <f>IF($AD$435&lt;$AB$436,$AD$435,$AB$436)</f>
        <v>0</v>
      </c>
      <c r="AC438" s="18">
        <v>0</v>
      </c>
      <c r="AD438" s="18">
        <v>0</v>
      </c>
      <c r="AE438" s="45" t="s">
        <v>31</v>
      </c>
      <c r="AF438" s="26">
        <f>AVERAGE($AF$435:$AH$435)</f>
        <v>0</v>
      </c>
      <c r="AG438" s="26"/>
      <c r="AH438" s="36"/>
      <c r="BA438" s="25" t="s">
        <v>34</v>
      </c>
      <c r="BB438" s="62">
        <f>IF($BD$435&lt;$BB$436,$BD$435,$BB$436)</f>
        <v>0</v>
      </c>
      <c r="BC438" s="18">
        <v>0</v>
      </c>
      <c r="BD438" s="18">
        <v>0</v>
      </c>
      <c r="BE438" s="45" t="s">
        <v>31</v>
      </c>
      <c r="BF438" s="26">
        <f>AVERAGE($BF$435:$BH$435)</f>
        <v>0</v>
      </c>
      <c r="BG438" s="26"/>
      <c r="BH438" s="36"/>
      <c r="BX438" s="196"/>
      <c r="BY438" s="196"/>
      <c r="BZ438" s="196"/>
      <c r="CA438" s="25" t="s">
        <v>34</v>
      </c>
      <c r="CB438" s="62" t="str">
        <f>IF($CD$435&lt;$CB$436,$CD$435,"")</f>
        <v/>
      </c>
      <c r="CC438" s="18">
        <v>0</v>
      </c>
      <c r="CD438" s="18">
        <v>0</v>
      </c>
      <c r="CE438" s="45" t="s">
        <v>31</v>
      </c>
      <c r="CF438" s="26">
        <f>AVERAGE($CF$435:$CH$435)</f>
        <v>0</v>
      </c>
      <c r="CG438" s="26"/>
      <c r="CH438" s="36"/>
      <c r="CI438" s="196"/>
      <c r="CJ438" s="196"/>
      <c r="CK438" s="196"/>
      <c r="CL438" s="196"/>
      <c r="CM438" s="196"/>
      <c r="CN438" s="196"/>
      <c r="CO438" s="196"/>
      <c r="CP438" s="196"/>
      <c r="CQ438" s="196"/>
      <c r="CR438" s="196"/>
      <c r="CS438" s="196"/>
      <c r="CT438" s="196"/>
      <c r="CU438" s="196"/>
      <c r="CV438" s="196"/>
      <c r="CW438" s="196"/>
      <c r="CX438" s="196"/>
      <c r="CY438" s="196"/>
      <c r="CZ438" s="196"/>
      <c r="DA438" s="25" t="s">
        <v>34</v>
      </c>
      <c r="DB438" s="62" t="str">
        <f>IF($DD$435&lt;$DB$436,$DD$435,"")</f>
        <v/>
      </c>
      <c r="DC438" s="18">
        <v>0</v>
      </c>
      <c r="DD438" s="18">
        <v>0</v>
      </c>
      <c r="DE438" s="45" t="s">
        <v>31</v>
      </c>
      <c r="DF438" s="26">
        <f>AVERAGE($DF$435:$DH$435)</f>
        <v>0</v>
      </c>
      <c r="DG438" s="26"/>
      <c r="DH438" s="36"/>
      <c r="DI438" s="196"/>
      <c r="DJ438" s="196"/>
      <c r="DK438" s="196"/>
      <c r="DL438" s="196"/>
      <c r="DM438" s="196"/>
      <c r="DN438" s="196"/>
      <c r="DO438" s="196"/>
      <c r="DP438" s="196"/>
      <c r="DQ438" s="196"/>
      <c r="DR438" s="196"/>
      <c r="DS438" s="196"/>
      <c r="DT438" s="196"/>
      <c r="EA438" s="25" t="s">
        <v>34</v>
      </c>
      <c r="EB438" s="62" t="str">
        <f>IF($ED$435&lt;$EB$436,$ED$435,"")</f>
        <v/>
      </c>
      <c r="EC438" s="26"/>
      <c r="ED438" s="26"/>
      <c r="EE438" s="26"/>
      <c r="EF438" s="26"/>
      <c r="EG438" s="26"/>
      <c r="EH438" s="36"/>
      <c r="EI438" s="164"/>
    </row>
    <row r="439" spans="26:139" ht="16.5" thickTop="1" thickBot="1" x14ac:dyDescent="0.3">
      <c r="AA439" s="53" t="s">
        <v>86</v>
      </c>
      <c r="AB439" s="3">
        <f>IF($AB$437&amp;$AB$438="","0",AVERAGE($AB$437:$AB$438))</f>
        <v>0</v>
      </c>
      <c r="AC439" s="63">
        <v>0</v>
      </c>
      <c r="AD439" s="18">
        <v>0</v>
      </c>
      <c r="AE439" s="46">
        <f>$B$29</f>
        <v>0.3</v>
      </c>
      <c r="AF439" s="26">
        <f>($AF$438*$AE$439)+$AF$438</f>
        <v>0</v>
      </c>
      <c r="AG439" s="26"/>
      <c r="AH439" s="36"/>
      <c r="BA439" s="53" t="s">
        <v>86</v>
      </c>
      <c r="BB439" s="3">
        <f>IF($BB$437&amp;$BB$438="","0",AVERAGE($BB$437:$BB$438))</f>
        <v>0</v>
      </c>
      <c r="BC439" s="63">
        <v>0</v>
      </c>
      <c r="BD439" s="18">
        <v>0</v>
      </c>
      <c r="BE439" s="46">
        <f>$B$29</f>
        <v>0.3</v>
      </c>
      <c r="BF439" s="26">
        <f>($BF$438*$BE$439)+$BF$438</f>
        <v>0</v>
      </c>
      <c r="BG439" s="26"/>
      <c r="BH439" s="36"/>
      <c r="BX439" s="196"/>
      <c r="BY439" s="196"/>
      <c r="BZ439" s="196"/>
      <c r="CA439" s="53" t="s">
        <v>86</v>
      </c>
      <c r="CB439" s="191" t="str">
        <f>IF($CB$437&amp;$CB$438="","0",AVERAGE($CB$437:$CB$438))</f>
        <v>0</v>
      </c>
      <c r="CC439" s="63">
        <v>0</v>
      </c>
      <c r="CD439" s="18">
        <v>0</v>
      </c>
      <c r="CE439" s="46">
        <f>$B$29</f>
        <v>0.3</v>
      </c>
      <c r="CF439" s="26">
        <f>($CF$438*$CE$439)+$CF$438</f>
        <v>0</v>
      </c>
      <c r="CG439" s="26"/>
      <c r="CH439" s="36"/>
      <c r="CI439" s="196"/>
      <c r="CJ439" s="196"/>
      <c r="CK439" s="196"/>
      <c r="CL439" s="196"/>
      <c r="CM439" s="196"/>
      <c r="CN439" s="196"/>
      <c r="CO439" s="196"/>
      <c r="CP439" s="196"/>
      <c r="CQ439" s="196"/>
      <c r="CR439" s="196"/>
      <c r="CS439" s="196"/>
      <c r="CT439" s="196"/>
      <c r="CU439" s="196"/>
      <c r="CV439" s="196"/>
      <c r="CW439" s="196"/>
      <c r="CX439" s="196"/>
      <c r="CY439" s="196"/>
      <c r="CZ439" s="196"/>
      <c r="DA439" s="53" t="s">
        <v>86</v>
      </c>
      <c r="DB439" s="191" t="str">
        <f>IF($DB$437&amp;$DB$438="","0",AVERAGE($DB$437:$DB$438))</f>
        <v>0</v>
      </c>
      <c r="DC439" s="63">
        <v>0</v>
      </c>
      <c r="DD439" s="18">
        <v>0</v>
      </c>
      <c r="DE439" s="46">
        <f>$B$29</f>
        <v>0.3</v>
      </c>
      <c r="DF439" s="26">
        <f>($DF$438*$DE$439)+$DF$438</f>
        <v>0</v>
      </c>
      <c r="DG439" s="26"/>
      <c r="DH439" s="36"/>
      <c r="DI439" s="196"/>
      <c r="DJ439" s="196"/>
      <c r="DK439" s="196"/>
      <c r="DL439" s="196"/>
      <c r="DM439" s="196"/>
      <c r="DN439" s="196"/>
      <c r="DO439" s="196"/>
      <c r="DP439" s="196"/>
      <c r="DQ439" s="196"/>
      <c r="DR439" s="196"/>
      <c r="DS439" s="196"/>
      <c r="DT439" s="196"/>
      <c r="EA439" s="53" t="s">
        <v>35</v>
      </c>
      <c r="EB439" s="181" t="str">
        <f>IF($EB$437&amp;$EB$438="","0",AVERAGE($EB$437:$EB$438))</f>
        <v>0</v>
      </c>
      <c r="EC439" s="179"/>
      <c r="ED439" s="26"/>
      <c r="EE439" s="37" t="s">
        <v>157</v>
      </c>
      <c r="EF439" s="26">
        <f>$EB$439*1</f>
        <v>0</v>
      </c>
      <c r="EG439" s="26"/>
      <c r="EH439" s="36"/>
      <c r="EI439" s="164"/>
    </row>
    <row r="440" spans="26:139" ht="16.5" thickTop="1" thickBot="1" x14ac:dyDescent="0.3">
      <c r="AA440" s="53" t="s">
        <v>62</v>
      </c>
      <c r="AB440" s="5">
        <f>$AH$440</f>
        <v>0</v>
      </c>
      <c r="AC440" s="18">
        <v>0</v>
      </c>
      <c r="AD440" s="18">
        <v>0</v>
      </c>
      <c r="AE440" s="45" t="s">
        <v>32</v>
      </c>
      <c r="AF440" s="26">
        <f>IF($AF$435&lt;$AF$439,$AF$435,$AF$439)</f>
        <v>0</v>
      </c>
      <c r="AG440" s="45" t="s">
        <v>157</v>
      </c>
      <c r="AH440" s="75">
        <f>IF($AF$440&amp;$AF$441&amp;$AF$442="","0",AVERAGE($AF$440:$AF$442))</f>
        <v>0</v>
      </c>
      <c r="BA440" s="53" t="s">
        <v>62</v>
      </c>
      <c r="BB440" s="5">
        <f>$BH$442</f>
        <v>0</v>
      </c>
      <c r="BC440" s="18">
        <v>0</v>
      </c>
      <c r="BD440" s="18">
        <v>0</v>
      </c>
      <c r="BE440" s="45" t="s">
        <v>32</v>
      </c>
      <c r="BF440" s="26">
        <f>IF($BF$435&lt;$BF$439,$BF$435,$BF$439)</f>
        <v>0</v>
      </c>
      <c r="BG440" s="45" t="s">
        <v>157</v>
      </c>
      <c r="BH440" s="75">
        <f>IF($BF$440&amp;$BF$441&amp;$BF$442="","0",AVERAGE($BF$440:$BF$442))</f>
        <v>0</v>
      </c>
      <c r="BX440" s="196"/>
      <c r="BY440" s="196"/>
      <c r="BZ440" s="196"/>
      <c r="CA440" s="53" t="s">
        <v>62</v>
      </c>
      <c r="CB440" s="5" t="str">
        <f>$CH$440</f>
        <v>0</v>
      </c>
      <c r="CC440" s="18">
        <v>0</v>
      </c>
      <c r="CD440" s="18">
        <v>0</v>
      </c>
      <c r="CE440" s="45" t="s">
        <v>32</v>
      </c>
      <c r="CF440" s="26" t="str">
        <f>IF($CF$435&lt;$CF$439,$CF$435,"")</f>
        <v/>
      </c>
      <c r="CG440" s="45" t="s">
        <v>157</v>
      </c>
      <c r="CH440" s="75" t="str">
        <f>IF($CF$440&amp;$CF$441&amp;$CF$442="","0",AVERAGE($CF$440:$CF$442))</f>
        <v>0</v>
      </c>
      <c r="CI440" s="196"/>
      <c r="CJ440" s="196"/>
      <c r="CK440" s="196"/>
      <c r="CL440" s="196"/>
      <c r="CM440" s="196"/>
      <c r="CN440" s="196"/>
      <c r="CO440" s="196"/>
      <c r="CP440" s="196"/>
      <c r="CQ440" s="196"/>
      <c r="CR440" s="196"/>
      <c r="CS440" s="196"/>
      <c r="CT440" s="196"/>
      <c r="CU440" s="196"/>
      <c r="CV440" s="196"/>
      <c r="CW440" s="196"/>
      <c r="CX440" s="196"/>
      <c r="CY440" s="196"/>
      <c r="CZ440" s="196"/>
      <c r="DA440" s="53" t="s">
        <v>62</v>
      </c>
      <c r="DB440" s="5">
        <f>$DH$442</f>
        <v>0</v>
      </c>
      <c r="DC440" s="18">
        <v>0</v>
      </c>
      <c r="DD440" s="18">
        <v>0</v>
      </c>
      <c r="DE440" s="45" t="s">
        <v>32</v>
      </c>
      <c r="DF440" s="26" t="str">
        <f>IF($DF$435&lt;$DF$439,$DF$435,"")</f>
        <v/>
      </c>
      <c r="DG440" s="45" t="s">
        <v>157</v>
      </c>
      <c r="DH440" s="75" t="str">
        <f>IF($DF$440&amp;$DF$441&amp;$DF$442="","0",AVERAGE($DF$440:$DF$442))</f>
        <v>0</v>
      </c>
      <c r="DI440" s="196"/>
      <c r="DJ440" s="196"/>
      <c r="DK440" s="196"/>
      <c r="DL440" s="196"/>
      <c r="DM440" s="196"/>
      <c r="DN440" s="196"/>
      <c r="DO440" s="196"/>
      <c r="DP440" s="196"/>
      <c r="DQ440" s="196"/>
      <c r="DR440" s="196"/>
      <c r="DS440" s="196"/>
      <c r="DT440" s="196"/>
      <c r="EA440" s="23" t="s">
        <v>157</v>
      </c>
      <c r="EB440" s="180">
        <f>VLOOKUP($EA$440,$EE$439:$EF$444,2,0)</f>
        <v>0</v>
      </c>
      <c r="EC440" s="26"/>
      <c r="ED440" s="26"/>
      <c r="EE440" s="37" t="s">
        <v>342</v>
      </c>
      <c r="EF440" s="26">
        <f>$EB$439*2</f>
        <v>0</v>
      </c>
      <c r="EG440" s="26"/>
      <c r="EH440" s="36"/>
      <c r="EI440" s="164"/>
    </row>
    <row r="441" spans="26:139" ht="16.5" thickTop="1" thickBot="1" x14ac:dyDescent="0.3">
      <c r="AA441" s="108" t="s">
        <v>103</v>
      </c>
      <c r="AB441" s="5">
        <f>$AB$439*0.25</f>
        <v>0</v>
      </c>
      <c r="AC441" s="63">
        <v>0</v>
      </c>
      <c r="AD441" s="18">
        <v>0</v>
      </c>
      <c r="AE441" s="45" t="s">
        <v>34</v>
      </c>
      <c r="AF441" s="26">
        <f>IF($AG$435&lt;$AF$439,$AG$435,$AF$439)</f>
        <v>0</v>
      </c>
      <c r="AG441" s="45" t="s">
        <v>158</v>
      </c>
      <c r="AH441" s="75">
        <f>$AH$440/2</f>
        <v>0</v>
      </c>
      <c r="BA441" s="108" t="s">
        <v>103</v>
      </c>
      <c r="BB441" s="5">
        <f>$BB$439*0.25</f>
        <v>0</v>
      </c>
      <c r="BC441" s="63">
        <v>0</v>
      </c>
      <c r="BD441" s="18">
        <v>0</v>
      </c>
      <c r="BE441" s="45" t="s">
        <v>34</v>
      </c>
      <c r="BF441" s="26">
        <f>IF($BG$435&lt;$BF$439,$BG$435,$BF$439)</f>
        <v>0</v>
      </c>
      <c r="BG441" s="45" t="s">
        <v>158</v>
      </c>
      <c r="BH441" s="75">
        <f>$BH$440/2</f>
        <v>0</v>
      </c>
      <c r="BX441" s="196"/>
      <c r="BY441" s="196"/>
      <c r="BZ441" s="196"/>
      <c r="CA441" s="108" t="s">
        <v>103</v>
      </c>
      <c r="CB441" s="5">
        <f>$CB$439*0.25</f>
        <v>0</v>
      </c>
      <c r="CC441" s="63">
        <v>0</v>
      </c>
      <c r="CD441" s="18">
        <v>0</v>
      </c>
      <c r="CE441" s="45" t="s">
        <v>34</v>
      </c>
      <c r="CF441" s="26" t="str">
        <f>IF($CG$435&lt;$CF$439,$CG$435,"")</f>
        <v/>
      </c>
      <c r="CG441" s="45" t="s">
        <v>158</v>
      </c>
      <c r="CH441" s="75">
        <f>$CH$440/2</f>
        <v>0</v>
      </c>
      <c r="CI441" s="196"/>
      <c r="CJ441" s="196"/>
      <c r="CK441" s="196"/>
      <c r="CL441" s="196"/>
      <c r="CM441" s="196"/>
      <c r="CN441" s="196"/>
      <c r="CO441" s="196"/>
      <c r="CP441" s="196"/>
      <c r="CQ441" s="196"/>
      <c r="CR441" s="196"/>
      <c r="CS441" s="196"/>
      <c r="CT441" s="196"/>
      <c r="CU441" s="196"/>
      <c r="CV441" s="196"/>
      <c r="CW441" s="196"/>
      <c r="CX441" s="196"/>
      <c r="CY441" s="196"/>
      <c r="CZ441" s="196"/>
      <c r="DA441" s="108" t="s">
        <v>103</v>
      </c>
      <c r="DB441" s="5">
        <f>$DB$439*0.25</f>
        <v>0</v>
      </c>
      <c r="DC441" s="63">
        <v>0</v>
      </c>
      <c r="DD441" s="18">
        <v>0</v>
      </c>
      <c r="DE441" s="45" t="s">
        <v>34</v>
      </c>
      <c r="DF441" s="26" t="str">
        <f>IF($DG$435&lt;$DF$439,$DG$435,"")</f>
        <v/>
      </c>
      <c r="DG441" s="45" t="s">
        <v>158</v>
      </c>
      <c r="DH441" s="75">
        <f>$DH$440/2</f>
        <v>0</v>
      </c>
      <c r="DI441" s="196"/>
      <c r="DJ441" s="196"/>
      <c r="DK441" s="196"/>
      <c r="DL441" s="196"/>
      <c r="DM441" s="196"/>
      <c r="DN441" s="196"/>
      <c r="DO441" s="196"/>
      <c r="DP441" s="196"/>
      <c r="DQ441" s="196"/>
      <c r="DR441" s="196"/>
      <c r="DS441" s="196"/>
      <c r="DT441" s="196"/>
      <c r="EA441" s="27">
        <f>DATOS!$B$58</f>
        <v>0.9</v>
      </c>
      <c r="EB441" s="176">
        <f>DATOS!$A$3*$EA$441</f>
        <v>0</v>
      </c>
      <c r="EC441" s="26"/>
      <c r="ED441" s="26"/>
      <c r="EE441" s="37" t="s">
        <v>341</v>
      </c>
      <c r="EF441" s="26">
        <f>$EB$439*2</f>
        <v>0</v>
      </c>
      <c r="EG441" s="26"/>
      <c r="EH441" s="36"/>
      <c r="EI441" s="164"/>
    </row>
    <row r="442" spans="26:139" ht="16.5" thickTop="1" thickBot="1" x14ac:dyDescent="0.3">
      <c r="AA442" s="25" t="s">
        <v>64</v>
      </c>
      <c r="AB442" s="109">
        <v>0</v>
      </c>
      <c r="AC442" s="18">
        <v>0</v>
      </c>
      <c r="AD442" s="18">
        <v>0</v>
      </c>
      <c r="AE442" s="45" t="s">
        <v>45</v>
      </c>
      <c r="AF442" s="26">
        <f>IF($AH$435&lt;$AF$439,$AH$435,$AF$439)</f>
        <v>0</v>
      </c>
      <c r="AG442" s="45" t="s">
        <v>159</v>
      </c>
      <c r="AH442" s="75">
        <f>$AH$440/3</f>
        <v>0</v>
      </c>
      <c r="BA442" s="25" t="s">
        <v>64</v>
      </c>
      <c r="BB442" s="109">
        <v>0</v>
      </c>
      <c r="BC442" s="18">
        <v>0</v>
      </c>
      <c r="BD442" s="18">
        <v>0</v>
      </c>
      <c r="BE442" s="45" t="s">
        <v>45</v>
      </c>
      <c r="BF442" s="26">
        <f>IF($BH$435&lt;$BF$439,$BH$435,$BF$439)</f>
        <v>0</v>
      </c>
      <c r="BG442" s="45" t="s">
        <v>159</v>
      </c>
      <c r="BH442" s="75">
        <f>$BH$440/3</f>
        <v>0</v>
      </c>
      <c r="BX442" s="196"/>
      <c r="BY442" s="196"/>
      <c r="BZ442" s="196"/>
      <c r="CA442" s="25" t="s">
        <v>64</v>
      </c>
      <c r="CB442" s="109">
        <v>0</v>
      </c>
      <c r="CC442" s="18">
        <v>0</v>
      </c>
      <c r="CD442" s="18">
        <v>0</v>
      </c>
      <c r="CE442" s="45" t="s">
        <v>45</v>
      </c>
      <c r="CF442" s="26" t="str">
        <f>IF($CH$435&lt;$CF$439,$CH$435,"")</f>
        <v/>
      </c>
      <c r="CG442" s="45" t="s">
        <v>159</v>
      </c>
      <c r="CH442" s="75">
        <f>$CH$440/3</f>
        <v>0</v>
      </c>
      <c r="CI442" s="196"/>
      <c r="CJ442" s="196"/>
      <c r="CK442" s="196"/>
      <c r="CL442" s="196"/>
      <c r="CM442" s="196"/>
      <c r="CN442" s="196"/>
      <c r="CO442" s="196"/>
      <c r="CP442" s="196"/>
      <c r="CQ442" s="196"/>
      <c r="CR442" s="196"/>
      <c r="CS442" s="196"/>
      <c r="CT442" s="196"/>
      <c r="CU442" s="196"/>
      <c r="CV442" s="196"/>
      <c r="CW442" s="196"/>
      <c r="CX442" s="196"/>
      <c r="CY442" s="196"/>
      <c r="CZ442" s="196"/>
      <c r="DA442" s="25" t="s">
        <v>64</v>
      </c>
      <c r="DB442" s="109">
        <v>0</v>
      </c>
      <c r="DC442" s="18">
        <v>0</v>
      </c>
      <c r="DD442" s="18">
        <v>0</v>
      </c>
      <c r="DE442" s="45" t="s">
        <v>45</v>
      </c>
      <c r="DF442" s="26" t="str">
        <f>IF($DH$435&lt;$DF$439,$DH$435,"")</f>
        <v/>
      </c>
      <c r="DG442" s="45" t="s">
        <v>159</v>
      </c>
      <c r="DH442" s="75">
        <f>$DH$440/3</f>
        <v>0</v>
      </c>
      <c r="DI442" s="196"/>
      <c r="DJ442" s="196"/>
      <c r="DK442" s="196"/>
      <c r="DL442" s="196"/>
      <c r="DM442" s="196"/>
      <c r="DN442" s="196"/>
      <c r="DO442" s="196"/>
      <c r="DP442" s="196"/>
      <c r="DQ442" s="196"/>
      <c r="DR442" s="196"/>
      <c r="DS442" s="196"/>
      <c r="DT442" s="196"/>
      <c r="EA442" s="53" t="s">
        <v>364</v>
      </c>
      <c r="EB442" s="5">
        <f>IF($EB$440&gt;=$EB$441,$A$3,$EB$440)</f>
        <v>0</v>
      </c>
      <c r="EC442" s="26"/>
      <c r="ED442" s="26"/>
      <c r="EE442" s="37" t="s">
        <v>340</v>
      </c>
      <c r="EF442" s="26">
        <f>$EB$439*3</f>
        <v>0</v>
      </c>
      <c r="EG442" s="26"/>
      <c r="EH442" s="36"/>
      <c r="EI442" s="164"/>
    </row>
    <row r="443" spans="26:139" ht="16.5" thickTop="1" thickBot="1" x14ac:dyDescent="0.3">
      <c r="AA443" s="319" t="s">
        <v>536</v>
      </c>
      <c r="AB443" s="273">
        <v>0</v>
      </c>
      <c r="AC443" s="63">
        <v>0</v>
      </c>
      <c r="AD443" s="18">
        <v>0</v>
      </c>
      <c r="AE443" s="26"/>
      <c r="AF443" s="26"/>
      <c r="AG443" s="26"/>
      <c r="AH443" s="36"/>
      <c r="BA443" s="319" t="s">
        <v>536</v>
      </c>
      <c r="BB443" s="273">
        <v>0</v>
      </c>
      <c r="BC443" s="63">
        <v>0</v>
      </c>
      <c r="BD443" s="18">
        <v>0</v>
      </c>
      <c r="BE443" s="26"/>
      <c r="BF443" s="26"/>
      <c r="BG443" s="26"/>
      <c r="BH443" s="36"/>
      <c r="BX443" s="196"/>
      <c r="BY443" s="196"/>
      <c r="BZ443" s="196"/>
      <c r="CA443" s="37"/>
      <c r="CB443" s="26"/>
      <c r="CC443" s="63">
        <v>0</v>
      </c>
      <c r="CD443" s="18">
        <v>0</v>
      </c>
      <c r="CE443" s="26"/>
      <c r="CF443" s="26"/>
      <c r="CG443" s="26"/>
      <c r="CH443" s="36"/>
      <c r="CI443" s="196"/>
      <c r="CJ443" s="196"/>
      <c r="CK443" s="196"/>
      <c r="CL443" s="196"/>
      <c r="CM443" s="196"/>
      <c r="CN443" s="196"/>
      <c r="CO443" s="196"/>
      <c r="CP443" s="196"/>
      <c r="CQ443" s="196"/>
      <c r="CR443" s="196"/>
      <c r="CS443" s="196"/>
      <c r="CT443" s="196"/>
      <c r="CU443" s="196"/>
      <c r="CV443" s="196"/>
      <c r="CW443" s="196"/>
      <c r="CX443" s="196"/>
      <c r="CY443" s="196"/>
      <c r="CZ443" s="196"/>
      <c r="DA443" s="37"/>
      <c r="DB443" s="26"/>
      <c r="DC443" s="63">
        <v>0</v>
      </c>
      <c r="DD443" s="18">
        <v>0</v>
      </c>
      <c r="DE443" s="26"/>
      <c r="DF443" s="26"/>
      <c r="DG443" s="26"/>
      <c r="DH443" s="36"/>
      <c r="DI443" s="196"/>
      <c r="DJ443" s="196"/>
      <c r="DK443" s="196"/>
      <c r="DL443" s="196"/>
      <c r="DM443" s="196"/>
      <c r="DN443" s="196"/>
      <c r="DO443" s="196"/>
      <c r="DP443" s="196"/>
      <c r="DQ443" s="196"/>
      <c r="DR443" s="196"/>
      <c r="DS443" s="196"/>
      <c r="DT443" s="196"/>
      <c r="EA443" s="23" t="s">
        <v>367</v>
      </c>
      <c r="EB443" s="26">
        <f>IF($EA$443="PJ",($EB$442*0.25),0)</f>
        <v>0</v>
      </c>
      <c r="EC443" s="26"/>
      <c r="ED443" s="26"/>
      <c r="EE443" s="37" t="s">
        <v>339</v>
      </c>
      <c r="EF443" s="26">
        <f>$EB$439*4</f>
        <v>0</v>
      </c>
      <c r="EG443" s="26"/>
      <c r="EH443" s="36"/>
      <c r="EI443" s="164"/>
    </row>
    <row r="444" spans="26:139" ht="16.5" thickTop="1" thickBot="1" x14ac:dyDescent="0.3">
      <c r="AA444" s="37"/>
      <c r="AB444" s="26"/>
      <c r="AC444" s="26"/>
      <c r="AD444" s="26"/>
      <c r="AE444" s="26"/>
      <c r="AF444" s="26"/>
      <c r="AG444" s="26"/>
      <c r="AH444" s="36"/>
      <c r="BA444" s="37"/>
      <c r="BB444" s="26"/>
      <c r="BC444" s="26"/>
      <c r="BD444" s="26"/>
      <c r="BE444" s="26"/>
      <c r="BF444" s="26"/>
      <c r="BG444" s="26"/>
      <c r="BH444" s="36"/>
      <c r="BX444" s="196"/>
      <c r="BY444" s="196"/>
      <c r="BZ444" s="196"/>
      <c r="CA444" s="37"/>
      <c r="CB444" s="26"/>
      <c r="CC444" s="26"/>
      <c r="CD444" s="26"/>
      <c r="CE444" s="26"/>
      <c r="CF444" s="26"/>
      <c r="CG444" s="26"/>
      <c r="CH444" s="36"/>
      <c r="CI444" s="196"/>
      <c r="CJ444" s="196"/>
      <c r="CK444" s="196"/>
      <c r="CL444" s="196"/>
      <c r="CM444" s="196"/>
      <c r="CN444" s="196"/>
      <c r="CO444" s="196"/>
      <c r="CP444" s="196"/>
      <c r="CQ444" s="196"/>
      <c r="CR444" s="196"/>
      <c r="CS444" s="196"/>
      <c r="CT444" s="196"/>
      <c r="CU444" s="196"/>
      <c r="CV444" s="196"/>
      <c r="CW444" s="196"/>
      <c r="CX444" s="196"/>
      <c r="CY444" s="196"/>
      <c r="CZ444" s="196"/>
      <c r="DA444" s="37"/>
      <c r="DB444" s="26"/>
      <c r="DC444" s="26"/>
      <c r="DD444" s="26"/>
      <c r="DE444" s="26"/>
      <c r="DF444" s="26"/>
      <c r="DG444" s="26"/>
      <c r="DH444" s="36"/>
      <c r="DI444" s="196"/>
      <c r="DJ444" s="196"/>
      <c r="DK444" s="196"/>
      <c r="DL444" s="196"/>
      <c r="DM444" s="196"/>
      <c r="DN444" s="196"/>
      <c r="DO444" s="196"/>
      <c r="DP444" s="196"/>
      <c r="DQ444" s="196"/>
      <c r="DR444" s="196"/>
      <c r="DS444" s="196"/>
      <c r="DT444" s="196"/>
      <c r="EA444" s="25" t="s">
        <v>64</v>
      </c>
      <c r="EB444" s="109">
        <v>0</v>
      </c>
      <c r="EC444" s="26"/>
      <c r="ED444" s="26"/>
      <c r="EE444" s="37" t="s">
        <v>361</v>
      </c>
      <c r="EF444" s="26" t="str">
        <f>$EB$439</f>
        <v>0</v>
      </c>
      <c r="EG444" s="26"/>
      <c r="EH444" s="36"/>
      <c r="EI444" s="164"/>
    </row>
    <row r="445" spans="26:139" ht="16.5" thickTop="1" thickBot="1" x14ac:dyDescent="0.3">
      <c r="Z445" s="271"/>
      <c r="AA445" s="53" t="s">
        <v>86</v>
      </c>
      <c r="AB445" s="75">
        <f>$AB$439+$AB$440+$AB$443+$AB$442</f>
        <v>0</v>
      </c>
      <c r="AC445" s="26"/>
      <c r="AD445" s="26"/>
      <c r="AE445" s="26"/>
      <c r="AF445" s="26"/>
      <c r="AG445" s="26"/>
      <c r="AH445" s="36"/>
      <c r="AZ445" s="271"/>
      <c r="BA445" s="53" t="s">
        <v>86</v>
      </c>
      <c r="BB445" s="75">
        <f>$BB$439+$BB$440+$BB$443+$BB$442</f>
        <v>0</v>
      </c>
      <c r="BC445" s="26"/>
      <c r="BD445" s="26"/>
      <c r="BE445" s="26"/>
      <c r="BF445" s="26"/>
      <c r="BG445" s="26"/>
      <c r="BH445" s="36"/>
      <c r="BX445" s="196"/>
      <c r="BY445" s="196"/>
      <c r="BZ445" s="196"/>
      <c r="CA445" s="53" t="s">
        <v>86</v>
      </c>
      <c r="CB445" s="75">
        <f>$CB$439+$CB$440+$CB$442</f>
        <v>0</v>
      </c>
      <c r="CC445" s="26"/>
      <c r="CD445" s="26"/>
      <c r="CE445" s="26"/>
      <c r="CF445" s="26"/>
      <c r="CG445" s="26"/>
      <c r="CH445" s="36"/>
      <c r="CI445" s="196"/>
      <c r="CJ445" s="196"/>
      <c r="CK445" s="196"/>
      <c r="CL445" s="196"/>
      <c r="CM445" s="196"/>
      <c r="CN445" s="196"/>
      <c r="CO445" s="196"/>
      <c r="CP445" s="196"/>
      <c r="CQ445" s="196"/>
      <c r="CR445" s="196"/>
      <c r="CS445" s="196"/>
      <c r="CT445" s="196"/>
      <c r="CU445" s="196"/>
      <c r="CV445" s="196"/>
      <c r="CW445" s="196"/>
      <c r="CX445" s="196"/>
      <c r="CY445" s="196"/>
      <c r="CZ445" s="196"/>
      <c r="DA445" s="53" t="s">
        <v>86</v>
      </c>
      <c r="DB445" s="75">
        <f>$DB$439+$DB$440+$DB$442</f>
        <v>0</v>
      </c>
      <c r="DC445" s="26"/>
      <c r="DD445" s="26"/>
      <c r="DE445" s="26"/>
      <c r="DF445" s="26"/>
      <c r="DG445" s="26"/>
      <c r="DH445" s="36"/>
      <c r="DI445" s="196"/>
      <c r="DJ445" s="196"/>
      <c r="DK445" s="196"/>
      <c r="DL445" s="196"/>
      <c r="DM445" s="196"/>
      <c r="DN445" s="196"/>
      <c r="DO445" s="196"/>
      <c r="DP445" s="196"/>
      <c r="DQ445" s="196"/>
      <c r="DR445" s="196"/>
      <c r="DS445" s="196"/>
      <c r="DT445" s="196"/>
      <c r="EA445" s="37"/>
      <c r="EB445" s="62"/>
      <c r="EC445" s="26"/>
      <c r="ED445" s="26"/>
      <c r="EE445" s="26"/>
      <c r="EF445" s="26"/>
      <c r="EG445" s="26"/>
      <c r="EH445" s="36"/>
      <c r="EI445" s="164"/>
    </row>
    <row r="446" spans="26:139" ht="16.5" thickTop="1" thickBot="1" x14ac:dyDescent="0.3">
      <c r="AA446" s="108" t="s">
        <v>102</v>
      </c>
      <c r="AB446" s="110"/>
      <c r="AC446" s="26"/>
      <c r="AD446" s="26"/>
      <c r="AE446" s="26"/>
      <c r="AF446" s="26"/>
      <c r="AG446" s="26"/>
      <c r="AH446" s="36"/>
      <c r="BA446" s="108" t="s">
        <v>102</v>
      </c>
      <c r="BB446" s="110"/>
      <c r="BC446" s="26"/>
      <c r="BD446" s="26"/>
      <c r="BE446" s="26"/>
      <c r="BF446" s="26"/>
      <c r="BG446" s="26"/>
      <c r="BH446" s="36"/>
      <c r="BX446" s="196"/>
      <c r="BY446" s="196"/>
      <c r="BZ446" s="196"/>
      <c r="CA446" s="108" t="s">
        <v>102</v>
      </c>
      <c r="CB446" s="110"/>
      <c r="CC446" s="26"/>
      <c r="CD446" s="26"/>
      <c r="CE446" s="26"/>
      <c r="CF446" s="26"/>
      <c r="CG446" s="26"/>
      <c r="CH446" s="36"/>
      <c r="CI446" s="196"/>
      <c r="CJ446" s="196"/>
      <c r="CK446" s="196"/>
      <c r="CL446" s="196"/>
      <c r="CM446" s="196"/>
      <c r="CN446" s="196"/>
      <c r="CO446" s="196"/>
      <c r="CP446" s="196"/>
      <c r="CQ446" s="196"/>
      <c r="CR446" s="196"/>
      <c r="CS446" s="196"/>
      <c r="CT446" s="196"/>
      <c r="CU446" s="196"/>
      <c r="CV446" s="196"/>
      <c r="CW446" s="196"/>
      <c r="CX446" s="196"/>
      <c r="CY446" s="196"/>
      <c r="CZ446" s="196"/>
      <c r="DA446" s="108" t="s">
        <v>102</v>
      </c>
      <c r="DB446" s="110"/>
      <c r="DC446" s="26"/>
      <c r="DD446" s="26"/>
      <c r="DE446" s="26"/>
      <c r="DF446" s="26"/>
      <c r="DG446" s="26"/>
      <c r="DH446" s="36"/>
      <c r="DI446" s="196"/>
      <c r="DJ446" s="196"/>
      <c r="DK446" s="196"/>
      <c r="DL446" s="196"/>
      <c r="DM446" s="196"/>
      <c r="DN446" s="196"/>
      <c r="DO446" s="196"/>
      <c r="DP446" s="196"/>
      <c r="DQ446" s="196"/>
      <c r="DR446" s="196"/>
      <c r="DS446" s="196"/>
      <c r="DT446" s="196"/>
      <c r="EA446" s="53" t="s">
        <v>367</v>
      </c>
      <c r="EB446" s="177">
        <f>$EB$442+$EB$443+$EB$444</f>
        <v>0</v>
      </c>
      <c r="EC446" s="179"/>
      <c r="ED446" s="26"/>
      <c r="EE446" s="26"/>
      <c r="EF446" s="26"/>
      <c r="EG446" s="26"/>
      <c r="EH446" s="36"/>
      <c r="EI446" s="164"/>
    </row>
    <row r="447" spans="26:139" ht="16.5" thickTop="1" thickBot="1" x14ac:dyDescent="0.3">
      <c r="AA447" s="41" t="s">
        <v>103</v>
      </c>
      <c r="AB447" s="5">
        <f>$AB$439+$AB$441+$AB$442</f>
        <v>0</v>
      </c>
      <c r="AC447" s="31"/>
      <c r="AD447" s="31"/>
      <c r="AE447" s="31"/>
      <c r="AF447" s="31"/>
      <c r="AG447" s="31"/>
      <c r="AH447" s="43"/>
      <c r="BA447" s="41" t="s">
        <v>103</v>
      </c>
      <c r="BB447" s="5">
        <f>$BB$439+$BB$441+$BB$442</f>
        <v>0</v>
      </c>
      <c r="BC447" s="31"/>
      <c r="BD447" s="31"/>
      <c r="BE447" s="31"/>
      <c r="BF447" s="31"/>
      <c r="BG447" s="31"/>
      <c r="BH447" s="43"/>
      <c r="BX447" s="196"/>
      <c r="BY447" s="196"/>
      <c r="BZ447" s="196"/>
      <c r="CA447" s="41" t="s">
        <v>103</v>
      </c>
      <c r="CB447" s="5">
        <f>$CB$439+$CB$441+$CB$442</f>
        <v>0</v>
      </c>
      <c r="CC447" s="31"/>
      <c r="CD447" s="31"/>
      <c r="CE447" s="31"/>
      <c r="CF447" s="31"/>
      <c r="CG447" s="31"/>
      <c r="CH447" s="43"/>
      <c r="CI447" s="196"/>
      <c r="CJ447" s="196"/>
      <c r="CK447" s="196"/>
      <c r="CL447" s="196"/>
      <c r="CM447" s="196"/>
      <c r="CN447" s="196"/>
      <c r="CO447" s="196"/>
      <c r="CP447" s="196"/>
      <c r="CQ447" s="196"/>
      <c r="CR447" s="196"/>
      <c r="CS447" s="196"/>
      <c r="CT447" s="196"/>
      <c r="CU447" s="196"/>
      <c r="CV447" s="196"/>
      <c r="CW447" s="196"/>
      <c r="CX447" s="196"/>
      <c r="CY447" s="196"/>
      <c r="CZ447" s="196"/>
      <c r="DA447" s="41" t="s">
        <v>103</v>
      </c>
      <c r="DB447" s="5">
        <f>$DB$439+$DB$441+$DB$442</f>
        <v>0</v>
      </c>
      <c r="DC447" s="31"/>
      <c r="DD447" s="31"/>
      <c r="DE447" s="31"/>
      <c r="DF447" s="31"/>
      <c r="DG447" s="31"/>
      <c r="DH447" s="43"/>
      <c r="DI447" s="196"/>
      <c r="DJ447" s="196"/>
      <c r="DK447" s="196"/>
      <c r="DL447" s="196"/>
      <c r="DM447" s="196"/>
      <c r="DN447" s="196"/>
      <c r="DO447" s="196"/>
      <c r="DP447" s="196"/>
      <c r="DQ447" s="196"/>
      <c r="DR447" s="196"/>
      <c r="DS447" s="196"/>
      <c r="DT447" s="196"/>
      <c r="EA447" s="41" t="s">
        <v>368</v>
      </c>
      <c r="EB447" s="183">
        <f>IF($EB$446&lt;=18000,($EB$446*1.05),IF(AND($EB$446&gt;=18001,$EB$446&lt;=40000),$EB$446,IF(AND($EB$446&gt;=40001,$EB$446&lt;=70000),$EB$446-($EB$446*0.1),IF($EB$446&gt;=70001,($EB$446-($EB$446*0.2))))))</f>
        <v>0</v>
      </c>
      <c r="EC447" s="100"/>
      <c r="ED447" s="31"/>
      <c r="EE447" s="31"/>
      <c r="EF447" s="31"/>
      <c r="EG447" s="31"/>
      <c r="EH447" s="43"/>
      <c r="EI447" s="164"/>
    </row>
    <row r="448" spans="26:139" ht="15.75" thickBot="1" x14ac:dyDescent="0.3">
      <c r="BX448" s="196"/>
      <c r="BY448" s="196"/>
      <c r="BZ448" s="196"/>
      <c r="CA448" s="196"/>
      <c r="CB448" s="196"/>
      <c r="CC448" s="196"/>
      <c r="CD448" s="196"/>
      <c r="CE448" s="196"/>
      <c r="CF448" s="196"/>
      <c r="CG448" s="196"/>
      <c r="CH448" s="196"/>
      <c r="CI448" s="196"/>
      <c r="CJ448" s="196"/>
      <c r="CK448" s="196"/>
      <c r="CL448" s="196"/>
      <c r="CM448" s="196"/>
      <c r="CN448" s="196"/>
      <c r="CO448" s="196"/>
      <c r="CP448" s="196"/>
      <c r="CQ448" s="196"/>
      <c r="CR448" s="196"/>
      <c r="CS448" s="196"/>
      <c r="CT448" s="196"/>
      <c r="CU448" s="196"/>
      <c r="CV448" s="196"/>
      <c r="CW448" s="196"/>
      <c r="CX448" s="196"/>
      <c r="CY448" s="196"/>
      <c r="CZ448" s="196"/>
      <c r="DA448" s="196"/>
      <c r="DB448" s="196"/>
      <c r="DC448" s="196"/>
      <c r="DD448" s="196"/>
      <c r="DE448" s="196"/>
      <c r="DF448" s="196"/>
      <c r="DG448" s="196"/>
      <c r="DH448" s="196"/>
      <c r="DI448" s="196"/>
      <c r="DJ448" s="196"/>
      <c r="DK448" s="196"/>
      <c r="DL448" s="196"/>
      <c r="DM448" s="196"/>
      <c r="DN448" s="196"/>
      <c r="DO448" s="196"/>
      <c r="DP448" s="196"/>
      <c r="DQ448" s="196"/>
      <c r="DR448" s="196"/>
      <c r="DS448" s="196"/>
      <c r="DT448" s="196"/>
      <c r="EA448" s="164"/>
      <c r="EB448" s="164"/>
      <c r="EC448" s="164"/>
      <c r="ED448" s="164"/>
      <c r="EE448" s="164"/>
      <c r="EF448" s="164"/>
      <c r="EG448" s="164"/>
      <c r="EH448" s="164"/>
      <c r="EI448" s="164"/>
    </row>
    <row r="449" spans="26:139" ht="15.75" thickBot="1" x14ac:dyDescent="0.3">
      <c r="AA449" s="48" t="s">
        <v>31</v>
      </c>
      <c r="AB449" s="49">
        <f>AVERAGE($AC$449:$AD$449)</f>
        <v>0</v>
      </c>
      <c r="AC449" s="50">
        <f>SUM($AC$450:$AC$457)</f>
        <v>0</v>
      </c>
      <c r="AD449" s="50">
        <f>SUM($AD$450:$AD$457)</f>
        <v>0</v>
      </c>
      <c r="AE449" s="49"/>
      <c r="AF449" s="50">
        <f>SUM($AF$450)</f>
        <v>0</v>
      </c>
      <c r="AG449" s="50">
        <f>SUM($AG$450)</f>
        <v>0</v>
      </c>
      <c r="AH449" s="51">
        <f>SUM($AH$450)</f>
        <v>0</v>
      </c>
      <c r="BA449" s="48" t="s">
        <v>31</v>
      </c>
      <c r="BB449" s="49">
        <f>AVERAGE($BC$449:$BD$449)</f>
        <v>0</v>
      </c>
      <c r="BC449" s="50">
        <f>SUM($BC$450:$BC$457)</f>
        <v>0</v>
      </c>
      <c r="BD449" s="50">
        <f>SUM($BD$450:$BD$457)</f>
        <v>0</v>
      </c>
      <c r="BE449" s="49"/>
      <c r="BF449" s="50">
        <f>SUM($BF$450)</f>
        <v>0</v>
      </c>
      <c r="BG449" s="50">
        <f>SUM($BG$450)</f>
        <v>0</v>
      </c>
      <c r="BH449" s="51">
        <f>SUM($BH$450)</f>
        <v>0</v>
      </c>
      <c r="BX449" s="196"/>
      <c r="BY449" s="196"/>
      <c r="BZ449" s="196"/>
      <c r="CA449" s="48" t="s">
        <v>31</v>
      </c>
      <c r="CB449" s="49">
        <f>AVERAGE($CC$449:$CD$449)</f>
        <v>0</v>
      </c>
      <c r="CC449" s="50">
        <f>SUM($CC$450:$CC$457)</f>
        <v>0</v>
      </c>
      <c r="CD449" s="50">
        <f>SUM($CD$450:$CD$457)</f>
        <v>0</v>
      </c>
      <c r="CE449" s="49"/>
      <c r="CF449" s="50">
        <f>SUM($CF$450)</f>
        <v>0</v>
      </c>
      <c r="CG449" s="50">
        <f>SUM($CG$450)</f>
        <v>0</v>
      </c>
      <c r="CH449" s="51">
        <f>SUM($CH$450)</f>
        <v>0</v>
      </c>
      <c r="CI449" s="196"/>
      <c r="CJ449" s="196"/>
      <c r="CK449" s="196"/>
      <c r="CL449" s="196"/>
      <c r="CM449" s="196"/>
      <c r="CN449" s="196"/>
      <c r="CO449" s="196"/>
      <c r="CP449" s="196"/>
      <c r="CQ449" s="196"/>
      <c r="CR449" s="196"/>
      <c r="CS449" s="196"/>
      <c r="CT449" s="196"/>
      <c r="CU449" s="196"/>
      <c r="CV449" s="196"/>
      <c r="CW449" s="196"/>
      <c r="CX449" s="196"/>
      <c r="CY449" s="196"/>
      <c r="CZ449" s="196"/>
      <c r="DA449" s="48" t="s">
        <v>31</v>
      </c>
      <c r="DB449" s="49">
        <f>AVERAGE($DC$449:$DD$449)</f>
        <v>0</v>
      </c>
      <c r="DC449" s="50">
        <f>SUM($DC$450:$DC$457)</f>
        <v>0</v>
      </c>
      <c r="DD449" s="50">
        <f>SUM($DD$450:$DD$457)</f>
        <v>0</v>
      </c>
      <c r="DE449" s="49"/>
      <c r="DF449" s="50">
        <f>SUM($DF$450)</f>
        <v>0</v>
      </c>
      <c r="DG449" s="50">
        <f>SUM($DG$450)</f>
        <v>0</v>
      </c>
      <c r="DH449" s="51">
        <f>SUM($DH$450)</f>
        <v>0</v>
      </c>
      <c r="DI449" s="196"/>
      <c r="DJ449" s="196"/>
      <c r="DK449" s="196"/>
      <c r="DL449" s="196"/>
      <c r="DM449" s="196"/>
      <c r="DN449" s="196"/>
      <c r="DO449" s="196"/>
      <c r="DP449" s="196"/>
      <c r="DQ449" s="196"/>
      <c r="DR449" s="196"/>
      <c r="DS449" s="196"/>
      <c r="DT449" s="196"/>
      <c r="EA449" s="48" t="s">
        <v>31</v>
      </c>
      <c r="EB449" s="49">
        <f>AVERAGE($EC$449:$ED$449)</f>
        <v>0</v>
      </c>
      <c r="EC449" s="50">
        <f>IF($EC$451=0,$EC$450,(($EC$450/$EC$451)*30))</f>
        <v>0</v>
      </c>
      <c r="ED449" s="50">
        <f>IF($ED$451=0,$ED$450,(($ED$450/$ED$451)*30))</f>
        <v>0</v>
      </c>
      <c r="EE449" s="49"/>
      <c r="EF449" s="49"/>
      <c r="EG449" s="49"/>
      <c r="EH449" s="69"/>
      <c r="EI449" s="164"/>
    </row>
    <row r="450" spans="26:139" ht="16.5" thickTop="1" thickBot="1" x14ac:dyDescent="0.3">
      <c r="AA450" s="27">
        <f>$B$29</f>
        <v>0.3</v>
      </c>
      <c r="AB450" s="26">
        <f>($AB$449*$AA$450)+$AB$449</f>
        <v>0</v>
      </c>
      <c r="AC450" s="18">
        <v>0</v>
      </c>
      <c r="AD450" s="18">
        <v>0</v>
      </c>
      <c r="AE450" s="26"/>
      <c r="AF450" s="18">
        <v>0</v>
      </c>
      <c r="AG450" s="18">
        <v>0</v>
      </c>
      <c r="AH450" s="52">
        <v>0</v>
      </c>
      <c r="BA450" s="27">
        <f>$B$29</f>
        <v>0.3</v>
      </c>
      <c r="BB450" s="26">
        <f>($BB$449*$BA$450)+$BB$449</f>
        <v>0</v>
      </c>
      <c r="BC450" s="18">
        <v>0</v>
      </c>
      <c r="BD450" s="18">
        <v>0</v>
      </c>
      <c r="BE450" s="26"/>
      <c r="BF450" s="18">
        <v>0</v>
      </c>
      <c r="BG450" s="18">
        <v>0</v>
      </c>
      <c r="BH450" s="52">
        <v>0</v>
      </c>
      <c r="BX450" s="196"/>
      <c r="BY450" s="196"/>
      <c r="BZ450" s="196"/>
      <c r="CA450" s="27">
        <f>$B$29</f>
        <v>0.3</v>
      </c>
      <c r="CB450" s="26">
        <f>($CB$449*$CA$450)+$CB$449</f>
        <v>0</v>
      </c>
      <c r="CC450" s="18">
        <v>0</v>
      </c>
      <c r="CD450" s="18">
        <v>0</v>
      </c>
      <c r="CE450" s="26"/>
      <c r="CF450" s="18">
        <v>0</v>
      </c>
      <c r="CG450" s="18">
        <v>0</v>
      </c>
      <c r="CH450" s="52">
        <v>0</v>
      </c>
      <c r="CI450" s="196"/>
      <c r="CJ450" s="196"/>
      <c r="CK450" s="196"/>
      <c r="CL450" s="196"/>
      <c r="CM450" s="196"/>
      <c r="CN450" s="196"/>
      <c r="CO450" s="196"/>
      <c r="CP450" s="196"/>
      <c r="CQ450" s="196"/>
      <c r="CR450" s="196"/>
      <c r="CS450" s="196"/>
      <c r="CT450" s="196"/>
      <c r="CU450" s="196"/>
      <c r="CV450" s="196"/>
      <c r="CW450" s="196"/>
      <c r="CX450" s="196"/>
      <c r="CY450" s="196"/>
      <c r="CZ450" s="196"/>
      <c r="DA450" s="27">
        <f>$B$29</f>
        <v>0.3</v>
      </c>
      <c r="DB450" s="26">
        <f>($DB$449*$DA$450)+$DB$449</f>
        <v>0</v>
      </c>
      <c r="DC450" s="18">
        <v>0</v>
      </c>
      <c r="DD450" s="18">
        <v>0</v>
      </c>
      <c r="DE450" s="26"/>
      <c r="DF450" s="18">
        <v>0</v>
      </c>
      <c r="DG450" s="18">
        <v>0</v>
      </c>
      <c r="DH450" s="52">
        <v>0</v>
      </c>
      <c r="DI450" s="196"/>
      <c r="DJ450" s="196"/>
      <c r="DK450" s="196"/>
      <c r="DL450" s="196"/>
      <c r="DM450" s="196"/>
      <c r="DN450" s="196"/>
      <c r="DO450" s="196"/>
      <c r="DP450" s="196"/>
      <c r="DQ450" s="196"/>
      <c r="DR450" s="196"/>
      <c r="DS450" s="196"/>
      <c r="DT450" s="196"/>
      <c r="EA450" s="27">
        <f>DATOS!$B$29</f>
        <v>0.3</v>
      </c>
      <c r="EB450" s="26">
        <f>($EB$449*$EA$450)+$EB$449</f>
        <v>0</v>
      </c>
      <c r="EC450" s="18">
        <v>0</v>
      </c>
      <c r="ED450" s="18">
        <v>0</v>
      </c>
      <c r="EE450" s="26"/>
      <c r="EF450" s="26"/>
      <c r="EG450" s="26"/>
      <c r="EH450" s="36"/>
      <c r="EI450" s="164"/>
    </row>
    <row r="451" spans="26:139" ht="16.5" thickTop="1" thickBot="1" x14ac:dyDescent="0.3">
      <c r="AA451" s="25" t="s">
        <v>32</v>
      </c>
      <c r="AB451" s="26">
        <f>IF($AC$449&lt;$AB$450,$AC$449,$AB$450)</f>
        <v>0</v>
      </c>
      <c r="AC451" s="18">
        <v>0</v>
      </c>
      <c r="AD451" s="18">
        <v>0</v>
      </c>
      <c r="AE451" s="26"/>
      <c r="AF451" s="26"/>
      <c r="AG451" s="26"/>
      <c r="AH451" s="36"/>
      <c r="BA451" s="25" t="s">
        <v>32</v>
      </c>
      <c r="BB451" s="26">
        <f>IF($BC$449&lt;$BB$450,$BC$449,$BB$450)</f>
        <v>0</v>
      </c>
      <c r="BC451" s="18">
        <v>0</v>
      </c>
      <c r="BD451" s="18">
        <v>0</v>
      </c>
      <c r="BE451" s="26"/>
      <c r="BF451" s="26"/>
      <c r="BG451" s="26"/>
      <c r="BH451" s="36"/>
      <c r="BX451" s="196"/>
      <c r="BY451" s="196"/>
      <c r="BZ451" s="196"/>
      <c r="CA451" s="25" t="s">
        <v>32</v>
      </c>
      <c r="CB451" s="26" t="str">
        <f>IF($CC$449&lt;$CB$450,$CC$449,"")</f>
        <v/>
      </c>
      <c r="CC451" s="18">
        <v>0</v>
      </c>
      <c r="CD451" s="18">
        <v>0</v>
      </c>
      <c r="CE451" s="26"/>
      <c r="CF451" s="26"/>
      <c r="CG451" s="26"/>
      <c r="CH451" s="36"/>
      <c r="CI451" s="196"/>
      <c r="CJ451" s="196"/>
      <c r="CK451" s="196"/>
      <c r="CL451" s="196"/>
      <c r="CM451" s="196"/>
      <c r="CN451" s="196"/>
      <c r="CO451" s="196"/>
      <c r="CP451" s="196"/>
      <c r="CQ451" s="196"/>
      <c r="CR451" s="196"/>
      <c r="CS451" s="196"/>
      <c r="CT451" s="196"/>
      <c r="CU451" s="196"/>
      <c r="CV451" s="196"/>
      <c r="CW451" s="196"/>
      <c r="CX451" s="196"/>
      <c r="CY451" s="196"/>
      <c r="CZ451" s="196"/>
      <c r="DA451" s="25" t="s">
        <v>32</v>
      </c>
      <c r="DB451" s="26" t="str">
        <f>IF($DC$449&lt;$DB$450,$DC$449,"")</f>
        <v/>
      </c>
      <c r="DC451" s="18">
        <v>0</v>
      </c>
      <c r="DD451" s="18">
        <v>0</v>
      </c>
      <c r="DE451" s="26"/>
      <c r="DF451" s="26"/>
      <c r="DG451" s="26"/>
      <c r="DH451" s="36"/>
      <c r="DI451" s="196"/>
      <c r="DJ451" s="196"/>
      <c r="DK451" s="196"/>
      <c r="DL451" s="196"/>
      <c r="DM451" s="196"/>
      <c r="DN451" s="196"/>
      <c r="DO451" s="196"/>
      <c r="DP451" s="196"/>
      <c r="DQ451" s="196"/>
      <c r="DR451" s="196"/>
      <c r="DS451" s="196"/>
      <c r="DT451" s="196"/>
      <c r="EA451" s="25" t="s">
        <v>32</v>
      </c>
      <c r="EB451" s="26" t="str">
        <f>IF($EC$449&lt;$EB$450,$EC$449,"")</f>
        <v/>
      </c>
      <c r="EC451" s="18">
        <v>0</v>
      </c>
      <c r="ED451" s="18">
        <v>0</v>
      </c>
      <c r="EE451" s="26"/>
      <c r="EF451" s="26"/>
      <c r="EG451" s="26"/>
      <c r="EH451" s="36"/>
      <c r="EI451" s="164"/>
    </row>
    <row r="452" spans="26:139" ht="16.5" thickTop="1" thickBot="1" x14ac:dyDescent="0.3">
      <c r="AA452" s="25" t="s">
        <v>34</v>
      </c>
      <c r="AB452" s="62">
        <f>IF($AD$449&lt;$AB$450,$AD$449,$AB$450)</f>
        <v>0</v>
      </c>
      <c r="AC452" s="18">
        <v>0</v>
      </c>
      <c r="AD452" s="18">
        <v>0</v>
      </c>
      <c r="AE452" s="45" t="s">
        <v>31</v>
      </c>
      <c r="AF452" s="26">
        <f>AVERAGE($AF$449:$AH$449)</f>
        <v>0</v>
      </c>
      <c r="AG452" s="26"/>
      <c r="AH452" s="36"/>
      <c r="BA452" s="25" t="s">
        <v>34</v>
      </c>
      <c r="BB452" s="62">
        <f>IF($BD$449&lt;$BB$450,$BD$449,$BB$450)</f>
        <v>0</v>
      </c>
      <c r="BC452" s="18">
        <v>0</v>
      </c>
      <c r="BD452" s="18">
        <v>0</v>
      </c>
      <c r="BE452" s="45" t="s">
        <v>31</v>
      </c>
      <c r="BF452" s="26">
        <f>AVERAGE($BF$449:$BH$449)</f>
        <v>0</v>
      </c>
      <c r="BG452" s="26"/>
      <c r="BH452" s="36"/>
      <c r="BX452" s="196"/>
      <c r="BY452" s="196"/>
      <c r="BZ452" s="196"/>
      <c r="CA452" s="25" t="s">
        <v>34</v>
      </c>
      <c r="CB452" s="62" t="str">
        <f>IF($CD$449&lt;$CB$450,$CD$449,"")</f>
        <v/>
      </c>
      <c r="CC452" s="18">
        <v>0</v>
      </c>
      <c r="CD452" s="18">
        <v>0</v>
      </c>
      <c r="CE452" s="45" t="s">
        <v>31</v>
      </c>
      <c r="CF452" s="26">
        <f>AVERAGE($CF$449:$CH$449)</f>
        <v>0</v>
      </c>
      <c r="CG452" s="26"/>
      <c r="CH452" s="36"/>
      <c r="CI452" s="196"/>
      <c r="CJ452" s="196"/>
      <c r="CK452" s="196"/>
      <c r="CL452" s="196"/>
      <c r="CM452" s="196"/>
      <c r="CN452" s="196"/>
      <c r="CO452" s="196"/>
      <c r="CP452" s="196"/>
      <c r="CQ452" s="196"/>
      <c r="CR452" s="196"/>
      <c r="CS452" s="196"/>
      <c r="CT452" s="196"/>
      <c r="CU452" s="196"/>
      <c r="CV452" s="196"/>
      <c r="CW452" s="196"/>
      <c r="CX452" s="196"/>
      <c r="CY452" s="196"/>
      <c r="CZ452" s="196"/>
      <c r="DA452" s="25" t="s">
        <v>34</v>
      </c>
      <c r="DB452" s="62" t="str">
        <f>IF($DD$449&lt;$DB$450,$DD$449,"")</f>
        <v/>
      </c>
      <c r="DC452" s="18">
        <v>0</v>
      </c>
      <c r="DD452" s="18">
        <v>0</v>
      </c>
      <c r="DE452" s="45" t="s">
        <v>31</v>
      </c>
      <c r="DF452" s="26">
        <f>AVERAGE($DF$449:$DH$449)</f>
        <v>0</v>
      </c>
      <c r="DG452" s="26"/>
      <c r="DH452" s="36"/>
      <c r="DI452" s="196"/>
      <c r="DJ452" s="196"/>
      <c r="DK452" s="196"/>
      <c r="DL452" s="196"/>
      <c r="DM452" s="196"/>
      <c r="DN452" s="196"/>
      <c r="DO452" s="196"/>
      <c r="DP452" s="196"/>
      <c r="DQ452" s="196"/>
      <c r="DR452" s="196"/>
      <c r="DS452" s="196"/>
      <c r="DT452" s="196"/>
      <c r="EA452" s="25" t="s">
        <v>34</v>
      </c>
      <c r="EB452" s="62" t="str">
        <f>IF($ED$449&lt;$EB$450,$ED$449,"")</f>
        <v/>
      </c>
      <c r="EC452" s="26"/>
      <c r="ED452" s="26"/>
      <c r="EE452" s="26"/>
      <c r="EF452" s="26"/>
      <c r="EG452" s="26"/>
      <c r="EH452" s="36"/>
      <c r="EI452" s="164"/>
    </row>
    <row r="453" spans="26:139" ht="16.5" thickTop="1" thickBot="1" x14ac:dyDescent="0.3">
      <c r="AA453" s="53" t="s">
        <v>90</v>
      </c>
      <c r="AB453" s="3">
        <f>IF($AB$451&amp;$AB$452="","0",AVERAGE($AB$451:$AB$452))</f>
        <v>0</v>
      </c>
      <c r="AC453" s="63">
        <v>0</v>
      </c>
      <c r="AD453" s="18">
        <v>0</v>
      </c>
      <c r="AE453" s="46">
        <f>$B$29</f>
        <v>0.3</v>
      </c>
      <c r="AF453" s="26">
        <f>($AF$452*$AE$453)+$AF$452</f>
        <v>0</v>
      </c>
      <c r="AG453" s="26"/>
      <c r="AH453" s="36"/>
      <c r="BA453" s="53" t="s">
        <v>90</v>
      </c>
      <c r="BB453" s="3">
        <f>IF($BB$451&amp;$BB$452="","0",AVERAGE($BB$451:$BB$452))</f>
        <v>0</v>
      </c>
      <c r="BC453" s="63">
        <v>0</v>
      </c>
      <c r="BD453" s="18">
        <v>0</v>
      </c>
      <c r="BE453" s="46">
        <f>$B$29</f>
        <v>0.3</v>
      </c>
      <c r="BF453" s="26">
        <f>($BF$452*$BE$453)+$BF$452</f>
        <v>0</v>
      </c>
      <c r="BG453" s="26"/>
      <c r="BH453" s="36"/>
      <c r="BX453" s="196"/>
      <c r="BY453" s="196"/>
      <c r="BZ453" s="196"/>
      <c r="CA453" s="53" t="s">
        <v>90</v>
      </c>
      <c r="CB453" s="191" t="str">
        <f>IF($CB$451&amp;$CB$452="","0",AVERAGE($CB$451:$CB$452))</f>
        <v>0</v>
      </c>
      <c r="CC453" s="63">
        <v>0</v>
      </c>
      <c r="CD453" s="18">
        <v>0</v>
      </c>
      <c r="CE453" s="46">
        <f>$B$29</f>
        <v>0.3</v>
      </c>
      <c r="CF453" s="26">
        <f>($CF$452*$CE$453)+$CF$452</f>
        <v>0</v>
      </c>
      <c r="CG453" s="26"/>
      <c r="CH453" s="36"/>
      <c r="CI453" s="196"/>
      <c r="CJ453" s="196"/>
      <c r="CK453" s="196"/>
      <c r="CL453" s="196"/>
      <c r="CM453" s="196"/>
      <c r="CN453" s="196"/>
      <c r="CO453" s="196"/>
      <c r="CP453" s="196"/>
      <c r="CQ453" s="196"/>
      <c r="CR453" s="196"/>
      <c r="CS453" s="196"/>
      <c r="CT453" s="196"/>
      <c r="CU453" s="196"/>
      <c r="CV453" s="196"/>
      <c r="CW453" s="196"/>
      <c r="CX453" s="196"/>
      <c r="CY453" s="196"/>
      <c r="CZ453" s="196"/>
      <c r="DA453" s="53" t="s">
        <v>90</v>
      </c>
      <c r="DB453" s="191" t="str">
        <f>IF($DB$451&amp;$DB$452="","0",AVERAGE($DB$451:$DB$452))</f>
        <v>0</v>
      </c>
      <c r="DC453" s="63">
        <v>0</v>
      </c>
      <c r="DD453" s="18">
        <v>0</v>
      </c>
      <c r="DE453" s="46">
        <f>$B$29</f>
        <v>0.3</v>
      </c>
      <c r="DF453" s="26">
        <f>($DF$452*$DE$453)+$DF$452</f>
        <v>0</v>
      </c>
      <c r="DG453" s="26"/>
      <c r="DH453" s="36"/>
      <c r="DI453" s="196"/>
      <c r="DJ453" s="196"/>
      <c r="DK453" s="196"/>
      <c r="DL453" s="196"/>
      <c r="DM453" s="196"/>
      <c r="DN453" s="196"/>
      <c r="DO453" s="196"/>
      <c r="DP453" s="196"/>
      <c r="DQ453" s="196"/>
      <c r="DR453" s="196"/>
      <c r="DS453" s="196"/>
      <c r="DT453" s="196"/>
      <c r="EA453" s="53" t="s">
        <v>35</v>
      </c>
      <c r="EB453" s="181" t="str">
        <f>IF($EB$451&amp;$EB$452="","0",AVERAGE($EB$451:$EB$452))</f>
        <v>0</v>
      </c>
      <c r="EC453" s="179"/>
      <c r="ED453" s="26"/>
      <c r="EE453" s="37" t="s">
        <v>157</v>
      </c>
      <c r="EF453" s="26">
        <f>$EB$453*1</f>
        <v>0</v>
      </c>
      <c r="EG453" s="26"/>
      <c r="EH453" s="36"/>
      <c r="EI453" s="164"/>
    </row>
    <row r="454" spans="26:139" ht="16.5" thickTop="1" thickBot="1" x14ac:dyDescent="0.3">
      <c r="AA454" s="53" t="s">
        <v>62</v>
      </c>
      <c r="AB454" s="5">
        <f>$AH$454</f>
        <v>0</v>
      </c>
      <c r="AC454" s="18">
        <v>0</v>
      </c>
      <c r="AD454" s="18">
        <v>0</v>
      </c>
      <c r="AE454" s="45" t="s">
        <v>32</v>
      </c>
      <c r="AF454" s="26">
        <f>IF($AF$449&lt;$AF$453,$AF$449,$AF$453)</f>
        <v>0</v>
      </c>
      <c r="AG454" s="45" t="s">
        <v>157</v>
      </c>
      <c r="AH454" s="75">
        <f>IF($AF$454&amp;$AF$455&amp;$AF$456="","0",AVERAGE($AF$454:$AF$456))</f>
        <v>0</v>
      </c>
      <c r="BA454" s="53" t="s">
        <v>62</v>
      </c>
      <c r="BB454" s="5">
        <f>$BH$456</f>
        <v>0</v>
      </c>
      <c r="BC454" s="18">
        <v>0</v>
      </c>
      <c r="BD454" s="18">
        <v>0</v>
      </c>
      <c r="BE454" s="45" t="s">
        <v>32</v>
      </c>
      <c r="BF454" s="26">
        <f>IF($BF$449&lt;$BF$453,$BF$449,$BF$453)</f>
        <v>0</v>
      </c>
      <c r="BG454" s="45" t="s">
        <v>157</v>
      </c>
      <c r="BH454" s="75">
        <f>IF($BF$454&amp;$BF$455&amp;$BF$456="","0",AVERAGE($BF$454:$BF$456))</f>
        <v>0</v>
      </c>
      <c r="BX454" s="196"/>
      <c r="BY454" s="196"/>
      <c r="BZ454" s="196"/>
      <c r="CA454" s="53" t="s">
        <v>62</v>
      </c>
      <c r="CB454" s="5">
        <f>$CH$456</f>
        <v>0</v>
      </c>
      <c r="CC454" s="18">
        <v>0</v>
      </c>
      <c r="CD454" s="18">
        <v>0</v>
      </c>
      <c r="CE454" s="45" t="s">
        <v>32</v>
      </c>
      <c r="CF454" s="26" t="str">
        <f>IF($CF$449&lt;$CF$453,$CF$449,"")</f>
        <v/>
      </c>
      <c r="CG454" s="45" t="s">
        <v>157</v>
      </c>
      <c r="CH454" s="75" t="str">
        <f>IF($CF$454&amp;$CF$455&amp;$CF$456="","0",AVERAGE($CF$454:$CF$456))</f>
        <v>0</v>
      </c>
      <c r="CI454" s="196"/>
      <c r="CJ454" s="196"/>
      <c r="CK454" s="196"/>
      <c r="CL454" s="196"/>
      <c r="CM454" s="196"/>
      <c r="CN454" s="196"/>
      <c r="CO454" s="196"/>
      <c r="CP454" s="196"/>
      <c r="CQ454" s="196"/>
      <c r="CR454" s="196"/>
      <c r="CS454" s="196"/>
      <c r="CT454" s="196"/>
      <c r="CU454" s="196"/>
      <c r="CV454" s="196"/>
      <c r="CW454" s="196"/>
      <c r="CX454" s="196"/>
      <c r="CY454" s="196"/>
      <c r="CZ454" s="196"/>
      <c r="DA454" s="53" t="s">
        <v>62</v>
      </c>
      <c r="DB454" s="5" t="str">
        <f>$DH$454</f>
        <v>0</v>
      </c>
      <c r="DC454" s="18">
        <v>0</v>
      </c>
      <c r="DD454" s="18">
        <v>0</v>
      </c>
      <c r="DE454" s="45" t="s">
        <v>32</v>
      </c>
      <c r="DF454" s="26" t="str">
        <f>IF($DF$449&lt;$DF$453,$DF$449,"")</f>
        <v/>
      </c>
      <c r="DG454" s="45" t="s">
        <v>157</v>
      </c>
      <c r="DH454" s="75" t="str">
        <f>IF($DF$454&amp;$DF$455&amp;$DF$456="","0",AVERAGE($DF$454:$DF$456))</f>
        <v>0</v>
      </c>
      <c r="DI454" s="196"/>
      <c r="DJ454" s="196"/>
      <c r="DK454" s="196"/>
      <c r="DL454" s="196"/>
      <c r="DM454" s="196"/>
      <c r="DN454" s="196"/>
      <c r="DO454" s="196"/>
      <c r="DP454" s="196"/>
      <c r="DQ454" s="196"/>
      <c r="DR454" s="196"/>
      <c r="DS454" s="196"/>
      <c r="DT454" s="196"/>
      <c r="EA454" s="23" t="s">
        <v>157</v>
      </c>
      <c r="EB454" s="180">
        <f>VLOOKUP($EA$454,$EE$453:$EF$458,2,0)</f>
        <v>0</v>
      </c>
      <c r="EC454" s="26"/>
      <c r="ED454" s="26"/>
      <c r="EE454" s="37" t="s">
        <v>342</v>
      </c>
      <c r="EF454" s="26">
        <f>$EB$453*2</f>
        <v>0</v>
      </c>
      <c r="EG454" s="26"/>
      <c r="EH454" s="36"/>
      <c r="EI454" s="164"/>
    </row>
    <row r="455" spans="26:139" ht="16.5" thickTop="1" thickBot="1" x14ac:dyDescent="0.3">
      <c r="AA455" s="108" t="s">
        <v>103</v>
      </c>
      <c r="AB455" s="5">
        <f>$AB$453*0.25</f>
        <v>0</v>
      </c>
      <c r="AC455" s="63">
        <v>0</v>
      </c>
      <c r="AD455" s="18">
        <v>0</v>
      </c>
      <c r="AE455" s="45" t="s">
        <v>34</v>
      </c>
      <c r="AF455" s="26">
        <f>IF($AG$449&lt;$AF$453,$AG$449,$AF$453)</f>
        <v>0</v>
      </c>
      <c r="AG455" s="45" t="s">
        <v>158</v>
      </c>
      <c r="AH455" s="75">
        <f>$AH$454/2</f>
        <v>0</v>
      </c>
      <c r="BA455" s="108" t="s">
        <v>103</v>
      </c>
      <c r="BB455" s="5">
        <f>$BB$453*0.25</f>
        <v>0</v>
      </c>
      <c r="BC455" s="63">
        <v>0</v>
      </c>
      <c r="BD455" s="18">
        <v>0</v>
      </c>
      <c r="BE455" s="45" t="s">
        <v>34</v>
      </c>
      <c r="BF455" s="26">
        <f>IF($BG$449&lt;$BF$453,$BG$449,$BF$453)</f>
        <v>0</v>
      </c>
      <c r="BG455" s="45" t="s">
        <v>158</v>
      </c>
      <c r="BH455" s="75">
        <f>$BH$454/2</f>
        <v>0</v>
      </c>
      <c r="BX455" s="196"/>
      <c r="BY455" s="196"/>
      <c r="BZ455" s="196"/>
      <c r="CA455" s="108" t="s">
        <v>103</v>
      </c>
      <c r="CB455" s="5">
        <f>$CB$453*0.25</f>
        <v>0</v>
      </c>
      <c r="CC455" s="63">
        <v>0</v>
      </c>
      <c r="CD455" s="18">
        <v>0</v>
      </c>
      <c r="CE455" s="45" t="s">
        <v>34</v>
      </c>
      <c r="CF455" s="26" t="str">
        <f>IF($CG$449&lt;$CF$453,$CG$449,"")</f>
        <v/>
      </c>
      <c r="CG455" s="45" t="s">
        <v>158</v>
      </c>
      <c r="CH455" s="75">
        <f>$CH$454/2</f>
        <v>0</v>
      </c>
      <c r="CI455" s="196"/>
      <c r="CJ455" s="196"/>
      <c r="CK455" s="196"/>
      <c r="CL455" s="196"/>
      <c r="CM455" s="196"/>
      <c r="CN455" s="196"/>
      <c r="CO455" s="196"/>
      <c r="CP455" s="196"/>
      <c r="CQ455" s="196"/>
      <c r="CR455" s="196"/>
      <c r="CS455" s="196"/>
      <c r="CT455" s="196"/>
      <c r="CU455" s="196"/>
      <c r="CV455" s="196"/>
      <c r="CW455" s="196"/>
      <c r="CX455" s="196"/>
      <c r="CY455" s="196"/>
      <c r="CZ455" s="196"/>
      <c r="DA455" s="108" t="s">
        <v>103</v>
      </c>
      <c r="DB455" s="5">
        <f>$DB$453*0.25</f>
        <v>0</v>
      </c>
      <c r="DC455" s="63">
        <v>0</v>
      </c>
      <c r="DD455" s="18">
        <v>0</v>
      </c>
      <c r="DE455" s="45" t="s">
        <v>34</v>
      </c>
      <c r="DF455" s="26" t="str">
        <f>IF($DG$449&lt;$DF$453,$DG$449,"")</f>
        <v/>
      </c>
      <c r="DG455" s="45" t="s">
        <v>158</v>
      </c>
      <c r="DH455" s="75">
        <f>$DH$454/2</f>
        <v>0</v>
      </c>
      <c r="DI455" s="196"/>
      <c r="DJ455" s="196"/>
      <c r="DK455" s="196"/>
      <c r="DL455" s="196"/>
      <c r="DM455" s="196"/>
      <c r="DN455" s="196"/>
      <c r="DO455" s="196"/>
      <c r="DP455" s="196"/>
      <c r="DQ455" s="196"/>
      <c r="DR455" s="196"/>
      <c r="DS455" s="196"/>
      <c r="DT455" s="196"/>
      <c r="EA455" s="27">
        <f>DATOS!$B$58</f>
        <v>0.9</v>
      </c>
      <c r="EB455" s="176">
        <f>DATOS!$A$3*$EA$455</f>
        <v>0</v>
      </c>
      <c r="EC455" s="26"/>
      <c r="ED455" s="26"/>
      <c r="EE455" s="37" t="s">
        <v>341</v>
      </c>
      <c r="EF455" s="26">
        <f>$EB$453*2</f>
        <v>0</v>
      </c>
      <c r="EG455" s="26"/>
      <c r="EH455" s="36"/>
      <c r="EI455" s="164"/>
    </row>
    <row r="456" spans="26:139" ht="16.5" thickTop="1" thickBot="1" x14ac:dyDescent="0.3">
      <c r="AA456" s="25" t="s">
        <v>64</v>
      </c>
      <c r="AB456" s="109">
        <v>0</v>
      </c>
      <c r="AC456" s="18">
        <v>0</v>
      </c>
      <c r="AD456" s="18">
        <v>0</v>
      </c>
      <c r="AE456" s="45" t="s">
        <v>45</v>
      </c>
      <c r="AF456" s="26">
        <f>IF($AH$449&lt;$AF$453,$AH$449,$AF$453)</f>
        <v>0</v>
      </c>
      <c r="AG456" s="45" t="s">
        <v>159</v>
      </c>
      <c r="AH456" s="75">
        <f>$AH$454/3</f>
        <v>0</v>
      </c>
      <c r="BA456" s="25" t="s">
        <v>64</v>
      </c>
      <c r="BB456" s="109">
        <v>0</v>
      </c>
      <c r="BC456" s="18">
        <v>0</v>
      </c>
      <c r="BD456" s="18">
        <v>0</v>
      </c>
      <c r="BE456" s="45" t="s">
        <v>45</v>
      </c>
      <c r="BF456" s="26">
        <f>IF($BH$449&lt;$BF$453,$BH$449,$BF$453)</f>
        <v>0</v>
      </c>
      <c r="BG456" s="45" t="s">
        <v>159</v>
      </c>
      <c r="BH456" s="75">
        <f>$BH$454/3</f>
        <v>0</v>
      </c>
      <c r="BX456" s="196"/>
      <c r="BY456" s="196"/>
      <c r="BZ456" s="196"/>
      <c r="CA456" s="25" t="s">
        <v>64</v>
      </c>
      <c r="CB456" s="109">
        <v>0</v>
      </c>
      <c r="CC456" s="18">
        <v>0</v>
      </c>
      <c r="CD456" s="18">
        <v>0</v>
      </c>
      <c r="CE456" s="45" t="s">
        <v>45</v>
      </c>
      <c r="CF456" s="26" t="str">
        <f>IF($CH$449&lt;$CF$453,$CH$449,"")</f>
        <v/>
      </c>
      <c r="CG456" s="45" t="s">
        <v>159</v>
      </c>
      <c r="CH456" s="75">
        <f>$CH$454/3</f>
        <v>0</v>
      </c>
      <c r="CI456" s="196"/>
      <c r="CJ456" s="196"/>
      <c r="CK456" s="196"/>
      <c r="CL456" s="196"/>
      <c r="CM456" s="196"/>
      <c r="CN456" s="196"/>
      <c r="CO456" s="196"/>
      <c r="CP456" s="196"/>
      <c r="CQ456" s="196"/>
      <c r="CR456" s="196"/>
      <c r="CS456" s="196"/>
      <c r="CT456" s="196"/>
      <c r="CU456" s="196"/>
      <c r="CV456" s="196"/>
      <c r="CW456" s="196"/>
      <c r="CX456" s="196"/>
      <c r="CY456" s="196"/>
      <c r="CZ456" s="196"/>
      <c r="DA456" s="25" t="s">
        <v>64</v>
      </c>
      <c r="DB456" s="109">
        <v>0</v>
      </c>
      <c r="DC456" s="18">
        <v>0</v>
      </c>
      <c r="DD456" s="18">
        <v>0</v>
      </c>
      <c r="DE456" s="45" t="s">
        <v>45</v>
      </c>
      <c r="DF456" s="26" t="str">
        <f>IF($DH$449&lt;$DF$453,$DH$449,"")</f>
        <v/>
      </c>
      <c r="DG456" s="45" t="s">
        <v>159</v>
      </c>
      <c r="DH456" s="75">
        <f>$DH$454/3</f>
        <v>0</v>
      </c>
      <c r="DI456" s="196"/>
      <c r="DJ456" s="196"/>
      <c r="DK456" s="196"/>
      <c r="DL456" s="196"/>
      <c r="DM456" s="196"/>
      <c r="DN456" s="196"/>
      <c r="DO456" s="196"/>
      <c r="DP456" s="196"/>
      <c r="DQ456" s="196"/>
      <c r="DR456" s="196"/>
      <c r="DS456" s="196"/>
      <c r="DT456" s="196"/>
      <c r="EA456" s="53" t="s">
        <v>365</v>
      </c>
      <c r="EB456" s="5">
        <f>IF($EB$454&gt;=$EB$455,$A$3,$EB$454)</f>
        <v>0</v>
      </c>
      <c r="EC456" s="26"/>
      <c r="ED456" s="26"/>
      <c r="EE456" s="37" t="s">
        <v>340</v>
      </c>
      <c r="EF456" s="26">
        <f>$EB$453*3</f>
        <v>0</v>
      </c>
      <c r="EG456" s="26"/>
      <c r="EH456" s="36"/>
      <c r="EI456" s="164"/>
    </row>
    <row r="457" spans="26:139" ht="16.5" thickTop="1" thickBot="1" x14ac:dyDescent="0.3">
      <c r="AA457" s="319" t="s">
        <v>536</v>
      </c>
      <c r="AB457" s="273">
        <v>0</v>
      </c>
      <c r="AC457" s="63">
        <v>0</v>
      </c>
      <c r="AD457" s="18">
        <v>0</v>
      </c>
      <c r="AE457" s="26"/>
      <c r="AF457" s="26"/>
      <c r="AG457" s="26"/>
      <c r="AH457" s="36"/>
      <c r="BA457" s="319" t="s">
        <v>536</v>
      </c>
      <c r="BB457" s="273">
        <v>0</v>
      </c>
      <c r="BC457" s="63">
        <v>0</v>
      </c>
      <c r="BD457" s="18">
        <v>0</v>
      </c>
      <c r="BE457" s="26"/>
      <c r="BF457" s="26"/>
      <c r="BG457" s="26"/>
      <c r="BH457" s="36"/>
      <c r="BX457" s="196"/>
      <c r="BY457" s="196"/>
      <c r="BZ457" s="196"/>
      <c r="CA457" s="37"/>
      <c r="CB457" s="26"/>
      <c r="CC457" s="63">
        <v>0</v>
      </c>
      <c r="CD457" s="18">
        <v>0</v>
      </c>
      <c r="CE457" s="26"/>
      <c r="CF457" s="26"/>
      <c r="CG457" s="26"/>
      <c r="CH457" s="36"/>
      <c r="CI457" s="196"/>
      <c r="CJ457" s="196"/>
      <c r="CK457" s="196"/>
      <c r="CL457" s="196"/>
      <c r="CM457" s="196"/>
      <c r="CN457" s="196"/>
      <c r="CO457" s="196"/>
      <c r="CP457" s="196"/>
      <c r="CQ457" s="196"/>
      <c r="CR457" s="196"/>
      <c r="CS457" s="196"/>
      <c r="CT457" s="196"/>
      <c r="CU457" s="196"/>
      <c r="CV457" s="196"/>
      <c r="CW457" s="196"/>
      <c r="CX457" s="196"/>
      <c r="CY457" s="196"/>
      <c r="CZ457" s="196"/>
      <c r="DA457" s="37"/>
      <c r="DB457" s="26"/>
      <c r="DC457" s="63">
        <v>0</v>
      </c>
      <c r="DD457" s="18">
        <v>0</v>
      </c>
      <c r="DE457" s="26"/>
      <c r="DF457" s="26"/>
      <c r="DG457" s="26"/>
      <c r="DH457" s="36"/>
      <c r="DI457" s="196"/>
      <c r="DJ457" s="196"/>
      <c r="DK457" s="196"/>
      <c r="DL457" s="196"/>
      <c r="DM457" s="196"/>
      <c r="DN457" s="196"/>
      <c r="DO457" s="196"/>
      <c r="DP457" s="196"/>
      <c r="DQ457" s="196"/>
      <c r="DR457" s="196"/>
      <c r="DS457" s="196"/>
      <c r="DT457" s="196"/>
      <c r="EA457" s="23" t="s">
        <v>367</v>
      </c>
      <c r="EB457" s="26">
        <f>IF($EA$457="PJ",($EB$456*0.25),0)</f>
        <v>0</v>
      </c>
      <c r="EC457" s="26"/>
      <c r="ED457" s="26"/>
      <c r="EE457" s="37" t="s">
        <v>339</v>
      </c>
      <c r="EF457" s="26">
        <f>$EB$453*4</f>
        <v>0</v>
      </c>
      <c r="EG457" s="26"/>
      <c r="EH457" s="36"/>
      <c r="EI457" s="164"/>
    </row>
    <row r="458" spans="26:139" ht="16.5" thickTop="1" thickBot="1" x14ac:dyDescent="0.3">
      <c r="AA458" s="37"/>
      <c r="AB458" s="26"/>
      <c r="AC458" s="26"/>
      <c r="AD458" s="26"/>
      <c r="AE458" s="26"/>
      <c r="AF458" s="26"/>
      <c r="AG458" s="26"/>
      <c r="AH458" s="36"/>
      <c r="BA458" s="37"/>
      <c r="BB458" s="26"/>
      <c r="BC458" s="26"/>
      <c r="BD458" s="26"/>
      <c r="BE458" s="26"/>
      <c r="BF458" s="26"/>
      <c r="BG458" s="26"/>
      <c r="BH458" s="36"/>
      <c r="BX458" s="196"/>
      <c r="BY458" s="196"/>
      <c r="BZ458" s="196"/>
      <c r="CA458" s="37"/>
      <c r="CB458" s="26"/>
      <c r="CC458" s="26"/>
      <c r="CD458" s="26"/>
      <c r="CE458" s="26"/>
      <c r="CF458" s="26"/>
      <c r="CG458" s="26"/>
      <c r="CH458" s="36"/>
      <c r="CI458" s="196"/>
      <c r="CJ458" s="196"/>
      <c r="CK458" s="196"/>
      <c r="CL458" s="196"/>
      <c r="CM458" s="196"/>
      <c r="CN458" s="196"/>
      <c r="CO458" s="196"/>
      <c r="CP458" s="196"/>
      <c r="CQ458" s="196"/>
      <c r="CR458" s="196"/>
      <c r="CS458" s="196"/>
      <c r="CT458" s="196"/>
      <c r="CU458" s="196"/>
      <c r="CV458" s="196"/>
      <c r="CW458" s="196"/>
      <c r="CX458" s="196"/>
      <c r="CY458" s="196"/>
      <c r="CZ458" s="196"/>
      <c r="DA458" s="37"/>
      <c r="DB458" s="26"/>
      <c r="DC458" s="26"/>
      <c r="DD458" s="26"/>
      <c r="DE458" s="26"/>
      <c r="DF458" s="26"/>
      <c r="DG458" s="26"/>
      <c r="DH458" s="36"/>
      <c r="DI458" s="196"/>
      <c r="DJ458" s="196"/>
      <c r="DK458" s="196"/>
      <c r="DL458" s="196"/>
      <c r="DM458" s="196"/>
      <c r="DN458" s="196"/>
      <c r="DO458" s="196"/>
      <c r="DP458" s="196"/>
      <c r="DQ458" s="196"/>
      <c r="DR458" s="196"/>
      <c r="DS458" s="196"/>
      <c r="DT458" s="196"/>
      <c r="EA458" s="25" t="s">
        <v>64</v>
      </c>
      <c r="EB458" s="109">
        <v>0</v>
      </c>
      <c r="EC458" s="26"/>
      <c r="ED458" s="26"/>
      <c r="EE458" s="37" t="s">
        <v>361</v>
      </c>
      <c r="EF458" s="26" t="str">
        <f>$EB$453</f>
        <v>0</v>
      </c>
      <c r="EG458" s="26"/>
      <c r="EH458" s="36"/>
      <c r="EI458" s="164"/>
    </row>
    <row r="459" spans="26:139" ht="16.5" thickTop="1" thickBot="1" x14ac:dyDescent="0.3">
      <c r="Z459" s="271"/>
      <c r="AA459" s="53" t="s">
        <v>90</v>
      </c>
      <c r="AB459" s="75">
        <f>$AB$453+$AB$454+$AB$457+$AB$456</f>
        <v>0</v>
      </c>
      <c r="AC459" s="26"/>
      <c r="AD459" s="26"/>
      <c r="AE459" s="26"/>
      <c r="AF459" s="26"/>
      <c r="AG459" s="26"/>
      <c r="AH459" s="36"/>
      <c r="AZ459" s="271"/>
      <c r="BA459" s="53" t="s">
        <v>90</v>
      </c>
      <c r="BB459" s="75">
        <f>$BB$453+$BB$454+$BB$457+$BB$456</f>
        <v>0</v>
      </c>
      <c r="BC459" s="26"/>
      <c r="BD459" s="26"/>
      <c r="BE459" s="26"/>
      <c r="BF459" s="26"/>
      <c r="BG459" s="26"/>
      <c r="BH459" s="36"/>
      <c r="BX459" s="196"/>
      <c r="BY459" s="196"/>
      <c r="BZ459" s="196"/>
      <c r="CA459" s="53" t="s">
        <v>90</v>
      </c>
      <c r="CB459" s="75">
        <f>$CB$453+$CB$454+$CB$456</f>
        <v>0</v>
      </c>
      <c r="CC459" s="26"/>
      <c r="CD459" s="26"/>
      <c r="CE459" s="26"/>
      <c r="CF459" s="26"/>
      <c r="CG459" s="26"/>
      <c r="CH459" s="36"/>
      <c r="CI459" s="196"/>
      <c r="CJ459" s="196"/>
      <c r="CK459" s="196"/>
      <c r="CL459" s="196"/>
      <c r="CM459" s="196"/>
      <c r="CN459" s="196"/>
      <c r="CO459" s="196"/>
      <c r="CP459" s="196"/>
      <c r="CQ459" s="196"/>
      <c r="CR459" s="196"/>
      <c r="CS459" s="196"/>
      <c r="CT459" s="196"/>
      <c r="CU459" s="196"/>
      <c r="CV459" s="196"/>
      <c r="CW459" s="196"/>
      <c r="CX459" s="196"/>
      <c r="CY459" s="196"/>
      <c r="CZ459" s="196"/>
      <c r="DA459" s="53" t="s">
        <v>90</v>
      </c>
      <c r="DB459" s="75">
        <f>$DB$453+$DB$454+$DB$456</f>
        <v>0</v>
      </c>
      <c r="DC459" s="26"/>
      <c r="DD459" s="26"/>
      <c r="DE459" s="26"/>
      <c r="DF459" s="26"/>
      <c r="DG459" s="26"/>
      <c r="DH459" s="36"/>
      <c r="DI459" s="196"/>
      <c r="DJ459" s="196"/>
      <c r="DK459" s="196"/>
      <c r="DL459" s="196"/>
      <c r="DM459" s="196"/>
      <c r="DN459" s="196"/>
      <c r="DO459" s="196"/>
      <c r="DP459" s="196"/>
      <c r="DQ459" s="196"/>
      <c r="DR459" s="196"/>
      <c r="DS459" s="196"/>
      <c r="DT459" s="196"/>
      <c r="EA459" s="37"/>
      <c r="EB459" s="62"/>
      <c r="EC459" s="26"/>
      <c r="ED459" s="26"/>
      <c r="EE459" s="26"/>
      <c r="EF459" s="26"/>
      <c r="EG459" s="26"/>
      <c r="EH459" s="36"/>
      <c r="EI459" s="164"/>
    </row>
    <row r="460" spans="26:139" ht="16.5" thickTop="1" thickBot="1" x14ac:dyDescent="0.3">
      <c r="AA460" s="108" t="s">
        <v>102</v>
      </c>
      <c r="AB460" s="110"/>
      <c r="AC460" s="26"/>
      <c r="AD460" s="26"/>
      <c r="AE460" s="26"/>
      <c r="AF460" s="26"/>
      <c r="AG460" s="26"/>
      <c r="AH460" s="36"/>
      <c r="BA460" s="108" t="s">
        <v>102</v>
      </c>
      <c r="BB460" s="110"/>
      <c r="BC460" s="26"/>
      <c r="BD460" s="26"/>
      <c r="BE460" s="26"/>
      <c r="BF460" s="26"/>
      <c r="BG460" s="26"/>
      <c r="BH460" s="36"/>
      <c r="BX460" s="196"/>
      <c r="BY460" s="196"/>
      <c r="BZ460" s="196"/>
      <c r="CA460" s="108" t="s">
        <v>102</v>
      </c>
      <c r="CB460" s="110"/>
      <c r="CC460" s="26"/>
      <c r="CD460" s="26"/>
      <c r="CE460" s="26"/>
      <c r="CF460" s="26"/>
      <c r="CG460" s="26"/>
      <c r="CH460" s="36"/>
      <c r="CI460" s="196"/>
      <c r="CJ460" s="196"/>
      <c r="CK460" s="196"/>
      <c r="CL460" s="196"/>
      <c r="CM460" s="196"/>
      <c r="CN460" s="196"/>
      <c r="CO460" s="196"/>
      <c r="CP460" s="196"/>
      <c r="CQ460" s="196"/>
      <c r="CR460" s="196"/>
      <c r="CS460" s="196"/>
      <c r="CT460" s="196"/>
      <c r="CU460" s="196"/>
      <c r="CV460" s="196"/>
      <c r="CW460" s="196"/>
      <c r="CX460" s="196"/>
      <c r="CY460" s="196"/>
      <c r="CZ460" s="196"/>
      <c r="DA460" s="108" t="s">
        <v>102</v>
      </c>
      <c r="DB460" s="110"/>
      <c r="DC460" s="26"/>
      <c r="DD460" s="26"/>
      <c r="DE460" s="26"/>
      <c r="DF460" s="26"/>
      <c r="DG460" s="26"/>
      <c r="DH460" s="36"/>
      <c r="DI460" s="196"/>
      <c r="DJ460" s="196"/>
      <c r="DK460" s="196"/>
      <c r="DL460" s="196"/>
      <c r="DM460" s="196"/>
      <c r="DN460" s="196"/>
      <c r="DO460" s="196"/>
      <c r="DP460" s="196"/>
      <c r="DQ460" s="196"/>
      <c r="DR460" s="196"/>
      <c r="DS460" s="196"/>
      <c r="DT460" s="196"/>
      <c r="EA460" s="53" t="s">
        <v>367</v>
      </c>
      <c r="EB460" s="177">
        <f>$EB$456+$EB$457+$EB$458</f>
        <v>0</v>
      </c>
      <c r="EC460" s="179"/>
      <c r="ED460" s="26"/>
      <c r="EE460" s="26"/>
      <c r="EF460" s="26"/>
      <c r="EG460" s="26"/>
      <c r="EH460" s="36"/>
      <c r="EI460" s="164"/>
    </row>
    <row r="461" spans="26:139" ht="16.5" thickTop="1" thickBot="1" x14ac:dyDescent="0.3">
      <c r="AA461" s="41" t="s">
        <v>103</v>
      </c>
      <c r="AB461" s="5">
        <f>$AB$453+$AB$455+$AB$456</f>
        <v>0</v>
      </c>
      <c r="AC461" s="31"/>
      <c r="AD461" s="31"/>
      <c r="AE461" s="31"/>
      <c r="AF461" s="31"/>
      <c r="AG461" s="31"/>
      <c r="AH461" s="43"/>
      <c r="BA461" s="41" t="s">
        <v>103</v>
      </c>
      <c r="BB461" s="5">
        <f>$BB$453+$BB$455+$BB$456</f>
        <v>0</v>
      </c>
      <c r="BC461" s="31"/>
      <c r="BD461" s="31"/>
      <c r="BE461" s="31"/>
      <c r="BF461" s="31"/>
      <c r="BG461" s="31"/>
      <c r="BH461" s="43"/>
      <c r="BX461" s="196"/>
      <c r="BY461" s="196"/>
      <c r="BZ461" s="196"/>
      <c r="CA461" s="41" t="s">
        <v>103</v>
      </c>
      <c r="CB461" s="5">
        <f>$CB$453+$CB$455+$CB$456</f>
        <v>0</v>
      </c>
      <c r="CC461" s="31"/>
      <c r="CD461" s="31"/>
      <c r="CE461" s="31"/>
      <c r="CF461" s="31"/>
      <c r="CG461" s="31"/>
      <c r="CH461" s="43"/>
      <c r="CI461" s="196"/>
      <c r="CJ461" s="196"/>
      <c r="CK461" s="196"/>
      <c r="CL461" s="196"/>
      <c r="CM461" s="196"/>
      <c r="CN461" s="196"/>
      <c r="CO461" s="196"/>
      <c r="CP461" s="196"/>
      <c r="CQ461" s="196"/>
      <c r="CR461" s="196"/>
      <c r="CS461" s="196"/>
      <c r="CT461" s="196"/>
      <c r="CU461" s="196"/>
      <c r="CV461" s="196"/>
      <c r="CW461" s="196"/>
      <c r="CX461" s="196"/>
      <c r="CY461" s="196"/>
      <c r="CZ461" s="196"/>
      <c r="DA461" s="41" t="s">
        <v>103</v>
      </c>
      <c r="DB461" s="5">
        <f>$DB$453+$DB$455+$DB$456</f>
        <v>0</v>
      </c>
      <c r="DC461" s="31"/>
      <c r="DD461" s="31"/>
      <c r="DE461" s="31"/>
      <c r="DF461" s="31"/>
      <c r="DG461" s="31"/>
      <c r="DH461" s="43"/>
      <c r="DI461" s="196"/>
      <c r="DJ461" s="196"/>
      <c r="DK461" s="196"/>
      <c r="DL461" s="196"/>
      <c r="DM461" s="196"/>
      <c r="DN461" s="196"/>
      <c r="DO461" s="196"/>
      <c r="DP461" s="196"/>
      <c r="DQ461" s="196"/>
      <c r="DR461" s="196"/>
      <c r="DS461" s="196"/>
      <c r="DT461" s="196"/>
      <c r="EA461" s="41" t="s">
        <v>368</v>
      </c>
      <c r="EB461" s="183">
        <f>IF($EB$460&lt;=18000,($EB$460*1.05),IF(AND($EB$460&gt;=18001,$EB$460&lt;=40000),$EB$460,IF(AND($EB$460&gt;=40001,$EB$460&lt;=70000),$EB$460-($EB$460*0.1),IF($EB$460&gt;=70001,($EB$460-($EB$460*0.2))))))</f>
        <v>0</v>
      </c>
      <c r="EC461" s="100"/>
      <c r="ED461" s="31"/>
      <c r="EE461" s="31"/>
      <c r="EF461" s="31"/>
      <c r="EG461" s="31"/>
      <c r="EH461" s="43"/>
      <c r="EI461" s="164"/>
    </row>
    <row r="462" spans="26:139" ht="15.75" thickBot="1" x14ac:dyDescent="0.3">
      <c r="BX462" s="196"/>
      <c r="BY462" s="196"/>
      <c r="BZ462" s="196"/>
      <c r="CA462" s="196"/>
      <c r="CB462" s="196"/>
      <c r="CC462" s="196"/>
      <c r="CD462" s="196"/>
      <c r="CE462" s="196"/>
      <c r="CF462" s="196"/>
      <c r="CG462" s="196"/>
      <c r="CH462" s="196"/>
      <c r="CI462" s="196"/>
      <c r="CJ462" s="196"/>
      <c r="CK462" s="196"/>
      <c r="CL462" s="196"/>
      <c r="CM462" s="196"/>
      <c r="CN462" s="196"/>
      <c r="CO462" s="196"/>
      <c r="CP462" s="196"/>
      <c r="CQ462" s="196"/>
      <c r="CR462" s="196"/>
      <c r="CS462" s="196"/>
      <c r="CT462" s="196"/>
      <c r="CU462" s="196"/>
      <c r="CV462" s="196"/>
      <c r="CW462" s="196"/>
      <c r="CX462" s="196"/>
      <c r="CY462" s="196"/>
      <c r="CZ462" s="196"/>
      <c r="DA462" s="196"/>
      <c r="DB462" s="196"/>
      <c r="DC462" s="196"/>
      <c r="DD462" s="196"/>
      <c r="DE462" s="196"/>
      <c r="DF462" s="196"/>
      <c r="DG462" s="196"/>
      <c r="DH462" s="196"/>
      <c r="DI462" s="196"/>
      <c r="DJ462" s="196"/>
      <c r="DK462" s="196"/>
      <c r="DL462" s="196"/>
      <c r="DM462" s="196"/>
      <c r="DN462" s="196"/>
      <c r="DO462" s="196"/>
      <c r="DP462" s="196"/>
      <c r="DQ462" s="196"/>
      <c r="DR462" s="196"/>
      <c r="DS462" s="196"/>
      <c r="DT462" s="196"/>
      <c r="EA462" s="164"/>
      <c r="EB462" s="164"/>
      <c r="EC462" s="164"/>
      <c r="ED462" s="164"/>
      <c r="EE462" s="164"/>
      <c r="EF462" s="164"/>
      <c r="EG462" s="164"/>
      <c r="EH462" s="164"/>
      <c r="EI462" s="164"/>
    </row>
    <row r="463" spans="26:139" ht="15.75" thickBot="1" x14ac:dyDescent="0.3">
      <c r="AA463" s="48" t="s">
        <v>31</v>
      </c>
      <c r="AB463" s="49">
        <f>AVERAGE($AC$463:$AD$463)</f>
        <v>0</v>
      </c>
      <c r="AC463" s="50">
        <f>SUM($AC$464:$AC$471)</f>
        <v>0</v>
      </c>
      <c r="AD463" s="50">
        <f>SUM($AD$464:$AD$471)</f>
        <v>0</v>
      </c>
      <c r="AE463" s="49"/>
      <c r="AF463" s="50">
        <f>SUM($AF$464)</f>
        <v>0</v>
      </c>
      <c r="AG463" s="50">
        <f>SUM($AG$464)</f>
        <v>0</v>
      </c>
      <c r="AH463" s="51">
        <f>SUM($AH$464)</f>
        <v>0</v>
      </c>
      <c r="BA463" s="48" t="s">
        <v>31</v>
      </c>
      <c r="BB463" s="49">
        <f>AVERAGE($BC$463:$BD$463)</f>
        <v>0</v>
      </c>
      <c r="BC463" s="50">
        <f>SUM($BC$464:$BC$471)</f>
        <v>0</v>
      </c>
      <c r="BD463" s="50">
        <f>SUM($BD$464:$BD$471)</f>
        <v>0</v>
      </c>
      <c r="BE463" s="49"/>
      <c r="BF463" s="50">
        <f>SUM($BF$464)</f>
        <v>0</v>
      </c>
      <c r="BG463" s="50">
        <f>SUM($BG$464)</f>
        <v>0</v>
      </c>
      <c r="BH463" s="51">
        <f>SUM($BH$464)</f>
        <v>0</v>
      </c>
      <c r="BX463" s="196"/>
      <c r="BY463" s="196"/>
      <c r="BZ463" s="196"/>
      <c r="CA463" s="48" t="s">
        <v>31</v>
      </c>
      <c r="CB463" s="49">
        <f>AVERAGE($CC$463:$CD$463)</f>
        <v>0</v>
      </c>
      <c r="CC463" s="50">
        <f>SUM($CC$464:$CC$471)</f>
        <v>0</v>
      </c>
      <c r="CD463" s="50">
        <f>SUM($CD$464:$CD$471)</f>
        <v>0</v>
      </c>
      <c r="CE463" s="49"/>
      <c r="CF463" s="50">
        <f>SUM($CF$464)</f>
        <v>0</v>
      </c>
      <c r="CG463" s="50">
        <f>SUM($CG$464)</f>
        <v>0</v>
      </c>
      <c r="CH463" s="51">
        <f>SUM($CH$464)</f>
        <v>0</v>
      </c>
      <c r="CI463" s="196"/>
      <c r="CJ463" s="196"/>
      <c r="CK463" s="196"/>
      <c r="CL463" s="196"/>
      <c r="CM463" s="196"/>
      <c r="CN463" s="196"/>
      <c r="CO463" s="196"/>
      <c r="CP463" s="196"/>
      <c r="CQ463" s="196"/>
      <c r="CR463" s="196"/>
      <c r="CS463" s="196"/>
      <c r="CT463" s="196"/>
      <c r="CU463" s="196"/>
      <c r="CV463" s="196"/>
      <c r="CW463" s="196"/>
      <c r="CX463" s="196"/>
      <c r="CY463" s="196"/>
      <c r="CZ463" s="196"/>
      <c r="DA463" s="48" t="s">
        <v>31</v>
      </c>
      <c r="DB463" s="49">
        <f>AVERAGE($DC$463:$DD$463)</f>
        <v>0</v>
      </c>
      <c r="DC463" s="50">
        <f>SUM($DC$464:$DC$471)</f>
        <v>0</v>
      </c>
      <c r="DD463" s="50">
        <f>SUM($DD$464:$DD$471)</f>
        <v>0</v>
      </c>
      <c r="DE463" s="49"/>
      <c r="DF463" s="50">
        <f>SUM($DF$464)</f>
        <v>0</v>
      </c>
      <c r="DG463" s="50">
        <f>SUM($DG$464)</f>
        <v>0</v>
      </c>
      <c r="DH463" s="51">
        <f>SUM($DH$464)</f>
        <v>0</v>
      </c>
      <c r="DI463" s="196"/>
      <c r="DJ463" s="196"/>
      <c r="DK463" s="196"/>
      <c r="DL463" s="196"/>
      <c r="DM463" s="196"/>
      <c r="DN463" s="196"/>
      <c r="DO463" s="196"/>
      <c r="DP463" s="196"/>
      <c r="DQ463" s="196"/>
      <c r="DR463" s="196"/>
      <c r="DS463" s="196"/>
      <c r="DT463" s="196"/>
      <c r="EA463" s="48" t="s">
        <v>31</v>
      </c>
      <c r="EB463" s="49">
        <f>AVERAGE($EC$463:$ED$463)</f>
        <v>0</v>
      </c>
      <c r="EC463" s="50">
        <f>IF($EC$465=0,$EC$464,(($EC$464/$EC$465)*30))</f>
        <v>0</v>
      </c>
      <c r="ED463" s="50">
        <f>IF($ED$465=0,$ED$464,(($ED$464/$ED$465)*30))</f>
        <v>0</v>
      </c>
      <c r="EE463" s="49"/>
      <c r="EF463" s="49"/>
      <c r="EG463" s="49"/>
      <c r="EH463" s="69"/>
      <c r="EI463" s="164"/>
    </row>
    <row r="464" spans="26:139" ht="16.5" thickTop="1" thickBot="1" x14ac:dyDescent="0.3">
      <c r="AA464" s="27">
        <f>$B$29</f>
        <v>0.3</v>
      </c>
      <c r="AB464" s="26">
        <f>($AB$463*$AA$464)+$AB$463</f>
        <v>0</v>
      </c>
      <c r="AC464" s="18">
        <v>0</v>
      </c>
      <c r="AD464" s="18">
        <v>0</v>
      </c>
      <c r="AE464" s="26"/>
      <c r="AF464" s="18">
        <v>0</v>
      </c>
      <c r="AG464" s="18">
        <v>0</v>
      </c>
      <c r="AH464" s="52">
        <v>0</v>
      </c>
      <c r="BA464" s="27">
        <f>$B$29</f>
        <v>0.3</v>
      </c>
      <c r="BB464" s="26">
        <f>($BB$463*$BA$464)+$BB$463</f>
        <v>0</v>
      </c>
      <c r="BC464" s="18">
        <v>0</v>
      </c>
      <c r="BD464" s="18">
        <v>0</v>
      </c>
      <c r="BE464" s="26"/>
      <c r="BF464" s="18">
        <v>0</v>
      </c>
      <c r="BG464" s="18">
        <v>0</v>
      </c>
      <c r="BH464" s="52">
        <v>0</v>
      </c>
      <c r="BX464" s="196"/>
      <c r="BY464" s="196"/>
      <c r="BZ464" s="196"/>
      <c r="CA464" s="27">
        <f>$B$29</f>
        <v>0.3</v>
      </c>
      <c r="CB464" s="26">
        <f>($CB$463*$CA$464)+$CB$463</f>
        <v>0</v>
      </c>
      <c r="CC464" s="18">
        <v>0</v>
      </c>
      <c r="CD464" s="18">
        <v>0</v>
      </c>
      <c r="CE464" s="26"/>
      <c r="CF464" s="18">
        <v>0</v>
      </c>
      <c r="CG464" s="18">
        <v>0</v>
      </c>
      <c r="CH464" s="52">
        <v>0</v>
      </c>
      <c r="CI464" s="196"/>
      <c r="CJ464" s="196"/>
      <c r="CK464" s="196"/>
      <c r="CL464" s="196"/>
      <c r="CM464" s="196"/>
      <c r="CN464" s="196"/>
      <c r="CO464" s="196"/>
      <c r="CP464" s="196"/>
      <c r="CQ464" s="196"/>
      <c r="CR464" s="196"/>
      <c r="CS464" s="196"/>
      <c r="CT464" s="196"/>
      <c r="CU464" s="196"/>
      <c r="CV464" s="196"/>
      <c r="CW464" s="196"/>
      <c r="CX464" s="196"/>
      <c r="CY464" s="196"/>
      <c r="CZ464" s="196"/>
      <c r="DA464" s="27">
        <f>$B$29</f>
        <v>0.3</v>
      </c>
      <c r="DB464" s="26">
        <f>($DB$463*$DA$464)+$DB$463</f>
        <v>0</v>
      </c>
      <c r="DC464" s="18">
        <v>0</v>
      </c>
      <c r="DD464" s="18">
        <v>0</v>
      </c>
      <c r="DE464" s="26"/>
      <c r="DF464" s="18">
        <v>0</v>
      </c>
      <c r="DG464" s="18">
        <v>0</v>
      </c>
      <c r="DH464" s="52">
        <v>0</v>
      </c>
      <c r="DI464" s="196"/>
      <c r="DJ464" s="196"/>
      <c r="DK464" s="196"/>
      <c r="DL464" s="196"/>
      <c r="DM464" s="196"/>
      <c r="DN464" s="196"/>
      <c r="DO464" s="196"/>
      <c r="DP464" s="196"/>
      <c r="DQ464" s="196"/>
      <c r="DR464" s="196"/>
      <c r="DS464" s="196"/>
      <c r="DT464" s="196"/>
      <c r="EA464" s="27">
        <f>DATOS!$B$29</f>
        <v>0.3</v>
      </c>
      <c r="EB464" s="26">
        <f>($EB$463*$EA$464)+$EB$463</f>
        <v>0</v>
      </c>
      <c r="EC464" s="18">
        <v>0</v>
      </c>
      <c r="ED464" s="18">
        <v>0</v>
      </c>
      <c r="EE464" s="26"/>
      <c r="EF464" s="26"/>
      <c r="EG464" s="26"/>
      <c r="EH464" s="36"/>
      <c r="EI464" s="164"/>
    </row>
    <row r="465" spans="26:139" ht="16.5" thickTop="1" thickBot="1" x14ac:dyDescent="0.3">
      <c r="AA465" s="25" t="s">
        <v>32</v>
      </c>
      <c r="AB465" s="26">
        <f>IF($AC$463&lt;$AB$464,$AC$463,$AB$464)</f>
        <v>0</v>
      </c>
      <c r="AC465" s="18">
        <v>0</v>
      </c>
      <c r="AD465" s="18">
        <v>0</v>
      </c>
      <c r="AE465" s="26"/>
      <c r="AF465" s="26"/>
      <c r="AG465" s="26"/>
      <c r="AH465" s="36"/>
      <c r="BA465" s="25" t="s">
        <v>32</v>
      </c>
      <c r="BB465" s="26">
        <f>IF($BC$463&lt;$BB$464,$BC$463,$BB$464)</f>
        <v>0</v>
      </c>
      <c r="BC465" s="18">
        <v>0</v>
      </c>
      <c r="BD465" s="18">
        <v>0</v>
      </c>
      <c r="BE465" s="26"/>
      <c r="BF465" s="26"/>
      <c r="BG465" s="26"/>
      <c r="BH465" s="36"/>
      <c r="BX465" s="196"/>
      <c r="BY465" s="196"/>
      <c r="BZ465" s="196"/>
      <c r="CA465" s="25" t="s">
        <v>32</v>
      </c>
      <c r="CB465" s="26" t="str">
        <f>IF($CC$463&lt;$CB$464,$CC$463,"")</f>
        <v/>
      </c>
      <c r="CC465" s="18">
        <v>0</v>
      </c>
      <c r="CD465" s="18">
        <v>0</v>
      </c>
      <c r="CE465" s="26"/>
      <c r="CF465" s="26"/>
      <c r="CG465" s="26"/>
      <c r="CH465" s="36"/>
      <c r="CI465" s="196"/>
      <c r="CJ465" s="196"/>
      <c r="CK465" s="196"/>
      <c r="CL465" s="196"/>
      <c r="CM465" s="196"/>
      <c r="CN465" s="196"/>
      <c r="CO465" s="196"/>
      <c r="CP465" s="196"/>
      <c r="CQ465" s="196"/>
      <c r="CR465" s="196"/>
      <c r="CS465" s="196"/>
      <c r="CT465" s="196"/>
      <c r="CU465" s="196"/>
      <c r="CV465" s="196"/>
      <c r="CW465" s="196"/>
      <c r="CX465" s="196"/>
      <c r="CY465" s="196"/>
      <c r="CZ465" s="196"/>
      <c r="DA465" s="25" t="s">
        <v>32</v>
      </c>
      <c r="DB465" s="26" t="str">
        <f>IF($DC$463&lt;$DB$464,$DC$463,"")</f>
        <v/>
      </c>
      <c r="DC465" s="18">
        <v>0</v>
      </c>
      <c r="DD465" s="18">
        <v>0</v>
      </c>
      <c r="DE465" s="26"/>
      <c r="DF465" s="26"/>
      <c r="DG465" s="26"/>
      <c r="DH465" s="36"/>
      <c r="DI465" s="196"/>
      <c r="DJ465" s="196"/>
      <c r="DK465" s="196"/>
      <c r="DL465" s="196"/>
      <c r="DM465" s="196"/>
      <c r="DN465" s="196"/>
      <c r="DO465" s="196"/>
      <c r="DP465" s="196"/>
      <c r="DQ465" s="196"/>
      <c r="DR465" s="196"/>
      <c r="DS465" s="196"/>
      <c r="DT465" s="196"/>
      <c r="EA465" s="25" t="s">
        <v>32</v>
      </c>
      <c r="EB465" s="26" t="str">
        <f>IF($EC$463&lt;$EB$464,$EC$463,"")</f>
        <v/>
      </c>
      <c r="EC465" s="18">
        <v>0</v>
      </c>
      <c r="ED465" s="18">
        <v>0</v>
      </c>
      <c r="EE465" s="26"/>
      <c r="EF465" s="26"/>
      <c r="EG465" s="26"/>
      <c r="EH465" s="36"/>
      <c r="EI465" s="164"/>
    </row>
    <row r="466" spans="26:139" ht="16.5" thickTop="1" thickBot="1" x14ac:dyDescent="0.3">
      <c r="AA466" s="25" t="s">
        <v>34</v>
      </c>
      <c r="AB466" s="62">
        <f>IF($AD$463&lt;$AB$464,$AD$463,$AB$464)</f>
        <v>0</v>
      </c>
      <c r="AC466" s="18">
        <v>0</v>
      </c>
      <c r="AD466" s="18">
        <v>0</v>
      </c>
      <c r="AE466" s="45" t="s">
        <v>31</v>
      </c>
      <c r="AF466" s="26">
        <f>AVERAGE($AF$463:$AH$463)</f>
        <v>0</v>
      </c>
      <c r="AG466" s="26"/>
      <c r="AH466" s="36"/>
      <c r="BA466" s="25" t="s">
        <v>34</v>
      </c>
      <c r="BB466" s="62">
        <f>IF($BD$463&lt;$BB$464,$BD$463,$BB$464)</f>
        <v>0</v>
      </c>
      <c r="BC466" s="18">
        <v>0</v>
      </c>
      <c r="BD466" s="18">
        <v>0</v>
      </c>
      <c r="BE466" s="45" t="s">
        <v>31</v>
      </c>
      <c r="BF466" s="26">
        <f>AVERAGE($BF$463:$BH$463)</f>
        <v>0</v>
      </c>
      <c r="BG466" s="26"/>
      <c r="BH466" s="36"/>
      <c r="BX466" s="196"/>
      <c r="BY466" s="196"/>
      <c r="BZ466" s="196"/>
      <c r="CA466" s="25" t="s">
        <v>34</v>
      </c>
      <c r="CB466" s="62" t="str">
        <f>IF($CD$463&lt;$CB$464,$CD$463,"")</f>
        <v/>
      </c>
      <c r="CC466" s="18">
        <v>0</v>
      </c>
      <c r="CD466" s="18">
        <v>0</v>
      </c>
      <c r="CE466" s="45" t="s">
        <v>31</v>
      </c>
      <c r="CF466" s="26">
        <f>AVERAGE($CF$463:$CH$463)</f>
        <v>0</v>
      </c>
      <c r="CG466" s="26"/>
      <c r="CH466" s="36"/>
      <c r="CI466" s="196"/>
      <c r="CJ466" s="196"/>
      <c r="CK466" s="196"/>
      <c r="CL466" s="196"/>
      <c r="CM466" s="196"/>
      <c r="CN466" s="196"/>
      <c r="CO466" s="196"/>
      <c r="CP466" s="196"/>
      <c r="CQ466" s="196"/>
      <c r="CR466" s="196"/>
      <c r="CS466" s="196"/>
      <c r="CT466" s="196"/>
      <c r="CU466" s="196"/>
      <c r="CV466" s="196"/>
      <c r="CW466" s="196"/>
      <c r="CX466" s="196"/>
      <c r="CY466" s="196"/>
      <c r="CZ466" s="196"/>
      <c r="DA466" s="25" t="s">
        <v>34</v>
      </c>
      <c r="DB466" s="62" t="str">
        <f>IF($DD$463&lt;$DB$464,$DD$463,"")</f>
        <v/>
      </c>
      <c r="DC466" s="18">
        <v>0</v>
      </c>
      <c r="DD466" s="18">
        <v>0</v>
      </c>
      <c r="DE466" s="45" t="s">
        <v>31</v>
      </c>
      <c r="DF466" s="26">
        <f>AVERAGE($DF$463:$DH$463)</f>
        <v>0</v>
      </c>
      <c r="DG466" s="26"/>
      <c r="DH466" s="36"/>
      <c r="DI466" s="196"/>
      <c r="DJ466" s="196"/>
      <c r="DK466" s="196"/>
      <c r="DL466" s="196"/>
      <c r="DM466" s="196"/>
      <c r="DN466" s="196"/>
      <c r="DO466" s="196"/>
      <c r="DP466" s="196"/>
      <c r="DQ466" s="196"/>
      <c r="DR466" s="196"/>
      <c r="DS466" s="196"/>
      <c r="DT466" s="196"/>
      <c r="EA466" s="25" t="s">
        <v>34</v>
      </c>
      <c r="EB466" s="62" t="str">
        <f>IF($ED$463&lt;$EB$464,$ED$463,"")</f>
        <v/>
      </c>
      <c r="EC466" s="26"/>
      <c r="ED466" s="26"/>
      <c r="EE466" s="26"/>
      <c r="EF466" s="26"/>
      <c r="EG466" s="26"/>
      <c r="EH466" s="36"/>
      <c r="EI466" s="164"/>
    </row>
    <row r="467" spans="26:139" ht="16.5" thickTop="1" thickBot="1" x14ac:dyDescent="0.3">
      <c r="AA467" s="53" t="s">
        <v>92</v>
      </c>
      <c r="AB467" s="3">
        <f>IF($AB$465&amp;$AB$466="","0",AVERAGE($AB$465:$AB$466))</f>
        <v>0</v>
      </c>
      <c r="AC467" s="63">
        <v>0</v>
      </c>
      <c r="AD467" s="18">
        <v>0</v>
      </c>
      <c r="AE467" s="46">
        <f>$B$29</f>
        <v>0.3</v>
      </c>
      <c r="AF467" s="26">
        <f>($AF$466*$AE$467)+$AF$466</f>
        <v>0</v>
      </c>
      <c r="AG467" s="26"/>
      <c r="AH467" s="36"/>
      <c r="BA467" s="53" t="s">
        <v>92</v>
      </c>
      <c r="BB467" s="3">
        <f>IF($BB$465&amp;$BB$466="","0",AVERAGE($BB$465:$BB$466))</f>
        <v>0</v>
      </c>
      <c r="BC467" s="63">
        <v>0</v>
      </c>
      <c r="BD467" s="18">
        <v>0</v>
      </c>
      <c r="BE467" s="46">
        <f>$B$29</f>
        <v>0.3</v>
      </c>
      <c r="BF467" s="26">
        <f>($BF$466*$BE$467)+$BF$466</f>
        <v>0</v>
      </c>
      <c r="BG467" s="26"/>
      <c r="BH467" s="36"/>
      <c r="BX467" s="196"/>
      <c r="BY467" s="196"/>
      <c r="BZ467" s="196"/>
      <c r="CA467" s="53" t="s">
        <v>92</v>
      </c>
      <c r="CB467" s="191" t="str">
        <f>IF($CB$465&amp;$CB$466="","0",AVERAGE($CB$465:$CB$466))</f>
        <v>0</v>
      </c>
      <c r="CC467" s="63">
        <v>0</v>
      </c>
      <c r="CD467" s="18">
        <v>0</v>
      </c>
      <c r="CE467" s="46">
        <f>$B$29</f>
        <v>0.3</v>
      </c>
      <c r="CF467" s="26">
        <f>($CF$466*$CE$467)+$CF$466</f>
        <v>0</v>
      </c>
      <c r="CG467" s="26"/>
      <c r="CH467" s="36"/>
      <c r="CI467" s="196"/>
      <c r="CJ467" s="196"/>
      <c r="CK467" s="196"/>
      <c r="CL467" s="196"/>
      <c r="CM467" s="196"/>
      <c r="CN467" s="196"/>
      <c r="CO467" s="196"/>
      <c r="CP467" s="196"/>
      <c r="CQ467" s="196"/>
      <c r="CR467" s="196"/>
      <c r="CS467" s="196"/>
      <c r="CT467" s="196"/>
      <c r="CU467" s="196"/>
      <c r="CV467" s="196"/>
      <c r="CW467" s="196"/>
      <c r="CX467" s="196"/>
      <c r="CY467" s="196"/>
      <c r="CZ467" s="196"/>
      <c r="DA467" s="53" t="s">
        <v>92</v>
      </c>
      <c r="DB467" s="191" t="str">
        <f>IF($DB$465&amp;$DB$466="","0",AVERAGE($DB$465:$DB$466))</f>
        <v>0</v>
      </c>
      <c r="DC467" s="63">
        <v>0</v>
      </c>
      <c r="DD467" s="18">
        <v>0</v>
      </c>
      <c r="DE467" s="46">
        <f>$B$29</f>
        <v>0.3</v>
      </c>
      <c r="DF467" s="26">
        <f>($DF$466*$DE$467)+$DF$466</f>
        <v>0</v>
      </c>
      <c r="DG467" s="26"/>
      <c r="DH467" s="36"/>
      <c r="DI467" s="196"/>
      <c r="DJ467" s="196"/>
      <c r="DK467" s="196"/>
      <c r="DL467" s="196"/>
      <c r="DM467" s="196"/>
      <c r="DN467" s="196"/>
      <c r="DO467" s="196"/>
      <c r="DP467" s="196"/>
      <c r="DQ467" s="196"/>
      <c r="DR467" s="196"/>
      <c r="DS467" s="196"/>
      <c r="DT467" s="196"/>
      <c r="EA467" s="53" t="s">
        <v>35</v>
      </c>
      <c r="EB467" s="181" t="str">
        <f>IF($EB$465&amp;$EB$466="","0",AVERAGE($EB$465:$EB$466))</f>
        <v>0</v>
      </c>
      <c r="EC467" s="179"/>
      <c r="ED467" s="26"/>
      <c r="EE467" s="37" t="s">
        <v>157</v>
      </c>
      <c r="EF467" s="26">
        <f>$EB$467*1</f>
        <v>0</v>
      </c>
      <c r="EG467" s="26"/>
      <c r="EH467" s="36"/>
      <c r="EI467" s="164"/>
    </row>
    <row r="468" spans="26:139" ht="16.5" thickTop="1" thickBot="1" x14ac:dyDescent="0.3">
      <c r="AA468" s="53" t="s">
        <v>62</v>
      </c>
      <c r="AB468" s="5">
        <f>$AH$468</f>
        <v>0</v>
      </c>
      <c r="AC468" s="18">
        <v>0</v>
      </c>
      <c r="AD468" s="18">
        <v>0</v>
      </c>
      <c r="AE468" s="45" t="s">
        <v>32</v>
      </c>
      <c r="AF468" s="26">
        <f>IF($AF$463&lt;$AF$467,$AF$463,$AF$467)</f>
        <v>0</v>
      </c>
      <c r="AG468" s="45" t="s">
        <v>157</v>
      </c>
      <c r="AH468" s="75">
        <f>IF($AF$468&amp;$AF$469&amp;$AF$470="","0",AVERAGE($AF$468:$AF$470))</f>
        <v>0</v>
      </c>
      <c r="BA468" s="53" t="s">
        <v>62</v>
      </c>
      <c r="BB468" s="5">
        <f>$BH$468</f>
        <v>0</v>
      </c>
      <c r="BC468" s="18">
        <v>0</v>
      </c>
      <c r="BD468" s="18">
        <v>0</v>
      </c>
      <c r="BE468" s="45" t="s">
        <v>32</v>
      </c>
      <c r="BF468" s="26">
        <f>IF($BF$463&lt;$BF$467,$BF$463,$BF$467)</f>
        <v>0</v>
      </c>
      <c r="BG468" s="45" t="s">
        <v>157</v>
      </c>
      <c r="BH468" s="75">
        <f>IF($BF$468&amp;$BF$469&amp;$BF$470="","0",AVERAGE($BF$468:$BF$470))</f>
        <v>0</v>
      </c>
      <c r="BX468" s="196"/>
      <c r="BY468" s="196"/>
      <c r="BZ468" s="196"/>
      <c r="CA468" s="53" t="s">
        <v>62</v>
      </c>
      <c r="CB468" s="5">
        <f>$CH$470</f>
        <v>0</v>
      </c>
      <c r="CC468" s="18">
        <v>0</v>
      </c>
      <c r="CD468" s="18">
        <v>0</v>
      </c>
      <c r="CE468" s="45" t="s">
        <v>32</v>
      </c>
      <c r="CF468" s="26" t="str">
        <f>IF($CF$463&lt;$CF$467,$CF$463,"")</f>
        <v/>
      </c>
      <c r="CG468" s="45" t="s">
        <v>157</v>
      </c>
      <c r="CH468" s="75" t="str">
        <f>IF($CF$468&amp;$CF$469&amp;$CF$470="","0",AVERAGE($CF$468:$CF$470))</f>
        <v>0</v>
      </c>
      <c r="CI468" s="196"/>
      <c r="CJ468" s="196"/>
      <c r="CK468" s="196"/>
      <c r="CL468" s="196"/>
      <c r="CM468" s="196"/>
      <c r="CN468" s="196"/>
      <c r="CO468" s="196"/>
      <c r="CP468" s="196"/>
      <c r="CQ468" s="196"/>
      <c r="CR468" s="196"/>
      <c r="CS468" s="196"/>
      <c r="CT468" s="196"/>
      <c r="CU468" s="196"/>
      <c r="CV468" s="196"/>
      <c r="CW468" s="196"/>
      <c r="CX468" s="196"/>
      <c r="CY468" s="196"/>
      <c r="CZ468" s="196"/>
      <c r="DA468" s="53" t="s">
        <v>62</v>
      </c>
      <c r="DB468" s="5" t="str">
        <f>$DH$468</f>
        <v>0</v>
      </c>
      <c r="DC468" s="18">
        <v>0</v>
      </c>
      <c r="DD468" s="18">
        <v>0</v>
      </c>
      <c r="DE468" s="45" t="s">
        <v>32</v>
      </c>
      <c r="DF468" s="26" t="str">
        <f>IF($DF$463&lt;$DF$467,$DF$463,"")</f>
        <v/>
      </c>
      <c r="DG468" s="45" t="s">
        <v>157</v>
      </c>
      <c r="DH468" s="75" t="str">
        <f>IF($DF$468&amp;$DF$469&amp;$DF$470="","0",AVERAGE($DF$468:$DF$470))</f>
        <v>0</v>
      </c>
      <c r="DI468" s="196"/>
      <c r="DJ468" s="196"/>
      <c r="DK468" s="196"/>
      <c r="DL468" s="196"/>
      <c r="DM468" s="196"/>
      <c r="DN468" s="196"/>
      <c r="DO468" s="196"/>
      <c r="DP468" s="196"/>
      <c r="DQ468" s="196"/>
      <c r="DR468" s="196"/>
      <c r="DS468" s="196"/>
      <c r="DT468" s="196"/>
      <c r="EA468" s="23" t="s">
        <v>157</v>
      </c>
      <c r="EB468" s="180">
        <f>VLOOKUP($EA$468,$EE$467:$EF$472,2,0)</f>
        <v>0</v>
      </c>
      <c r="EC468" s="26"/>
      <c r="ED468" s="26"/>
      <c r="EE468" s="37" t="s">
        <v>342</v>
      </c>
      <c r="EF468" s="26">
        <f>$EB$467*2</f>
        <v>0</v>
      </c>
      <c r="EG468" s="26"/>
      <c r="EH468" s="36"/>
      <c r="EI468" s="164"/>
    </row>
    <row r="469" spans="26:139" ht="16.5" thickTop="1" thickBot="1" x14ac:dyDescent="0.3">
      <c r="AA469" s="108" t="s">
        <v>103</v>
      </c>
      <c r="AB469" s="5">
        <f>$AB$467*0.25</f>
        <v>0</v>
      </c>
      <c r="AC469" s="63">
        <v>0</v>
      </c>
      <c r="AD469" s="18">
        <v>0</v>
      </c>
      <c r="AE469" s="45" t="s">
        <v>34</v>
      </c>
      <c r="AF469" s="26">
        <f>IF($AG$463&lt;$AF$467,$AG$463,$AF$467)</f>
        <v>0</v>
      </c>
      <c r="AG469" s="45" t="s">
        <v>158</v>
      </c>
      <c r="AH469" s="75">
        <f>$AH$468/2</f>
        <v>0</v>
      </c>
      <c r="BA469" s="108" t="s">
        <v>103</v>
      </c>
      <c r="BB469" s="5">
        <f>$BB$467*0.25</f>
        <v>0</v>
      </c>
      <c r="BC469" s="63">
        <v>0</v>
      </c>
      <c r="BD469" s="18">
        <v>0</v>
      </c>
      <c r="BE469" s="45" t="s">
        <v>34</v>
      </c>
      <c r="BF469" s="26">
        <f>IF($BG$463&lt;$BF$467,$BG$463,$BF$467)</f>
        <v>0</v>
      </c>
      <c r="BG469" s="45" t="s">
        <v>158</v>
      </c>
      <c r="BH469" s="75">
        <f>$BH$468/2</f>
        <v>0</v>
      </c>
      <c r="BX469" s="196"/>
      <c r="BY469" s="196"/>
      <c r="BZ469" s="196"/>
      <c r="CA469" s="108" t="s">
        <v>103</v>
      </c>
      <c r="CB469" s="5">
        <f>$CB$467*0.25</f>
        <v>0</v>
      </c>
      <c r="CC469" s="63">
        <v>0</v>
      </c>
      <c r="CD469" s="18">
        <v>0</v>
      </c>
      <c r="CE469" s="45" t="s">
        <v>34</v>
      </c>
      <c r="CF469" s="26" t="str">
        <f>IF($CG$463&lt;$CF$467,$CG$463,"")</f>
        <v/>
      </c>
      <c r="CG469" s="45" t="s">
        <v>158</v>
      </c>
      <c r="CH469" s="75">
        <f>$CH$468/2</f>
        <v>0</v>
      </c>
      <c r="CI469" s="196"/>
      <c r="CJ469" s="196"/>
      <c r="CK469" s="196"/>
      <c r="CL469" s="196"/>
      <c r="CM469" s="196"/>
      <c r="CN469" s="196"/>
      <c r="CO469" s="196"/>
      <c r="CP469" s="196"/>
      <c r="CQ469" s="196"/>
      <c r="CR469" s="196"/>
      <c r="CS469" s="196"/>
      <c r="CT469" s="196"/>
      <c r="CU469" s="196"/>
      <c r="CV469" s="196"/>
      <c r="CW469" s="196"/>
      <c r="CX469" s="196"/>
      <c r="CY469" s="196"/>
      <c r="CZ469" s="196"/>
      <c r="DA469" s="108" t="s">
        <v>103</v>
      </c>
      <c r="DB469" s="5">
        <f>$DB$467*0.25</f>
        <v>0</v>
      </c>
      <c r="DC469" s="63">
        <v>0</v>
      </c>
      <c r="DD469" s="18">
        <v>0</v>
      </c>
      <c r="DE469" s="45" t="s">
        <v>34</v>
      </c>
      <c r="DF469" s="26" t="str">
        <f>IF($DG$463&lt;$DF$467,$DG$463,"")</f>
        <v/>
      </c>
      <c r="DG469" s="45" t="s">
        <v>158</v>
      </c>
      <c r="DH469" s="75">
        <f>$DH$468/2</f>
        <v>0</v>
      </c>
      <c r="DI469" s="196"/>
      <c r="DJ469" s="196"/>
      <c r="DK469" s="196"/>
      <c r="DL469" s="196"/>
      <c r="DM469" s="196"/>
      <c r="DN469" s="196"/>
      <c r="DO469" s="196"/>
      <c r="DP469" s="196"/>
      <c r="DQ469" s="196"/>
      <c r="DR469" s="196"/>
      <c r="DS469" s="196"/>
      <c r="DT469" s="196"/>
      <c r="EA469" s="27">
        <f>DATOS!$B$58</f>
        <v>0.9</v>
      </c>
      <c r="EB469" s="176">
        <f>DATOS!$A$3*$EA$469</f>
        <v>0</v>
      </c>
      <c r="EC469" s="26"/>
      <c r="ED469" s="26"/>
      <c r="EE469" s="37" t="s">
        <v>341</v>
      </c>
      <c r="EF469" s="26">
        <f>$EB$467*2</f>
        <v>0</v>
      </c>
      <c r="EG469" s="26"/>
      <c r="EH469" s="36"/>
      <c r="EI469" s="164"/>
    </row>
    <row r="470" spans="26:139" ht="16.5" thickTop="1" thickBot="1" x14ac:dyDescent="0.3">
      <c r="AA470" s="25" t="s">
        <v>64</v>
      </c>
      <c r="AB470" s="109">
        <v>0</v>
      </c>
      <c r="AC470" s="18">
        <v>0</v>
      </c>
      <c r="AD470" s="18">
        <v>0</v>
      </c>
      <c r="AE470" s="45" t="s">
        <v>45</v>
      </c>
      <c r="AF470" s="26">
        <f>IF($AH$463&lt;$AF$467,$AH$463,$AF$467)</f>
        <v>0</v>
      </c>
      <c r="AG470" s="45" t="s">
        <v>159</v>
      </c>
      <c r="AH470" s="75">
        <f>$AH$468/3</f>
        <v>0</v>
      </c>
      <c r="BA470" s="25" t="s">
        <v>64</v>
      </c>
      <c r="BB470" s="109">
        <v>0</v>
      </c>
      <c r="BC470" s="18">
        <v>0</v>
      </c>
      <c r="BD470" s="18">
        <v>0</v>
      </c>
      <c r="BE470" s="45" t="s">
        <v>45</v>
      </c>
      <c r="BF470" s="26">
        <f>IF($BH$463&lt;$BF$467,$BH$463,$BF$467)</f>
        <v>0</v>
      </c>
      <c r="BG470" s="45" t="s">
        <v>159</v>
      </c>
      <c r="BH470" s="75">
        <f>$BH$468/3</f>
        <v>0</v>
      </c>
      <c r="BX470" s="196"/>
      <c r="BY470" s="196"/>
      <c r="BZ470" s="196"/>
      <c r="CA470" s="25" t="s">
        <v>64</v>
      </c>
      <c r="CB470" s="109">
        <v>0</v>
      </c>
      <c r="CC470" s="18">
        <v>0</v>
      </c>
      <c r="CD470" s="18">
        <v>0</v>
      </c>
      <c r="CE470" s="45" t="s">
        <v>45</v>
      </c>
      <c r="CF470" s="26" t="str">
        <f>IF($CH$463&lt;$CF$467,$CH$463,"")</f>
        <v/>
      </c>
      <c r="CG470" s="45" t="s">
        <v>159</v>
      </c>
      <c r="CH470" s="75">
        <f>$CH$468/3</f>
        <v>0</v>
      </c>
      <c r="CI470" s="196"/>
      <c r="CJ470" s="196"/>
      <c r="CK470" s="196"/>
      <c r="CL470" s="196"/>
      <c r="CM470" s="196"/>
      <c r="CN470" s="196"/>
      <c r="CO470" s="196"/>
      <c r="CP470" s="196"/>
      <c r="CQ470" s="196"/>
      <c r="CR470" s="196"/>
      <c r="CS470" s="196"/>
      <c r="CT470" s="196"/>
      <c r="CU470" s="196"/>
      <c r="CV470" s="196"/>
      <c r="CW470" s="196"/>
      <c r="CX470" s="196"/>
      <c r="CY470" s="196"/>
      <c r="CZ470" s="196"/>
      <c r="DA470" s="25" t="s">
        <v>64</v>
      </c>
      <c r="DB470" s="109">
        <v>0</v>
      </c>
      <c r="DC470" s="18">
        <v>0</v>
      </c>
      <c r="DD470" s="18">
        <v>0</v>
      </c>
      <c r="DE470" s="45" t="s">
        <v>45</v>
      </c>
      <c r="DF470" s="26" t="str">
        <f>IF($DH$463&lt;$DF$467,$DH$463,"")</f>
        <v/>
      </c>
      <c r="DG470" s="45" t="s">
        <v>159</v>
      </c>
      <c r="DH470" s="75">
        <f>$DH$468/3</f>
        <v>0</v>
      </c>
      <c r="DI470" s="196"/>
      <c r="DJ470" s="196"/>
      <c r="DK470" s="196"/>
      <c r="DL470" s="196"/>
      <c r="DM470" s="196"/>
      <c r="DN470" s="196"/>
      <c r="DO470" s="196"/>
      <c r="DP470" s="196"/>
      <c r="DQ470" s="196"/>
      <c r="DR470" s="196"/>
      <c r="DS470" s="196"/>
      <c r="DT470" s="196"/>
      <c r="EA470" s="53" t="s">
        <v>366</v>
      </c>
      <c r="EB470" s="5">
        <f>IF($EB$468&gt;=$EB$469,$A$3,$EB$468)</f>
        <v>0</v>
      </c>
      <c r="EC470" s="26"/>
      <c r="ED470" s="26"/>
      <c r="EE470" s="37" t="s">
        <v>340</v>
      </c>
      <c r="EF470" s="26">
        <f>$EB$467*3</f>
        <v>0</v>
      </c>
      <c r="EG470" s="26"/>
      <c r="EH470" s="36"/>
      <c r="EI470" s="164"/>
    </row>
    <row r="471" spans="26:139" ht="16.5" thickTop="1" thickBot="1" x14ac:dyDescent="0.3">
      <c r="AA471" s="319" t="s">
        <v>536</v>
      </c>
      <c r="AB471" s="273">
        <v>0</v>
      </c>
      <c r="AC471" s="63">
        <v>0</v>
      </c>
      <c r="AD471" s="18">
        <v>0</v>
      </c>
      <c r="AE471" s="26"/>
      <c r="AF471" s="26"/>
      <c r="AG471" s="26"/>
      <c r="AH471" s="36"/>
      <c r="BA471" s="319" t="s">
        <v>536</v>
      </c>
      <c r="BB471" s="273">
        <v>0</v>
      </c>
      <c r="BC471" s="63">
        <v>0</v>
      </c>
      <c r="BD471" s="18">
        <v>0</v>
      </c>
      <c r="BE471" s="26"/>
      <c r="BF471" s="26"/>
      <c r="BG471" s="26"/>
      <c r="BH471" s="36"/>
      <c r="BX471" s="196"/>
      <c r="BY471" s="196"/>
      <c r="BZ471" s="196"/>
      <c r="CA471" s="37"/>
      <c r="CB471" s="26"/>
      <c r="CC471" s="63">
        <v>0</v>
      </c>
      <c r="CD471" s="18">
        <v>0</v>
      </c>
      <c r="CE471" s="26"/>
      <c r="CF471" s="26"/>
      <c r="CG471" s="26"/>
      <c r="CH471" s="36"/>
      <c r="CI471" s="196"/>
      <c r="CJ471" s="196"/>
      <c r="CK471" s="196"/>
      <c r="CL471" s="196"/>
      <c r="CM471" s="196"/>
      <c r="CN471" s="196"/>
      <c r="CO471" s="196"/>
      <c r="CP471" s="196"/>
      <c r="CQ471" s="196"/>
      <c r="CR471" s="196"/>
      <c r="CS471" s="196"/>
      <c r="CT471" s="196"/>
      <c r="CU471" s="196"/>
      <c r="CV471" s="196"/>
      <c r="CW471" s="196"/>
      <c r="CX471" s="196"/>
      <c r="CY471" s="196"/>
      <c r="CZ471" s="196"/>
      <c r="DA471" s="37"/>
      <c r="DB471" s="26"/>
      <c r="DC471" s="63">
        <v>0</v>
      </c>
      <c r="DD471" s="18">
        <v>0</v>
      </c>
      <c r="DE471" s="26"/>
      <c r="DF471" s="26"/>
      <c r="DG471" s="26"/>
      <c r="DH471" s="36"/>
      <c r="DI471" s="196"/>
      <c r="DJ471" s="196"/>
      <c r="DK471" s="196"/>
      <c r="DL471" s="196"/>
      <c r="DM471" s="196"/>
      <c r="DN471" s="196"/>
      <c r="DO471" s="196"/>
      <c r="DP471" s="196"/>
      <c r="DQ471" s="196"/>
      <c r="DR471" s="196"/>
      <c r="DS471" s="196"/>
      <c r="DT471" s="196"/>
      <c r="EA471" s="23" t="s">
        <v>367</v>
      </c>
      <c r="EB471" s="26">
        <f>IF($EA$471="PJ",($EB$470*0.25),0)</f>
        <v>0</v>
      </c>
      <c r="EC471" s="26"/>
      <c r="ED471" s="26"/>
      <c r="EE471" s="37" t="s">
        <v>339</v>
      </c>
      <c r="EF471" s="26">
        <f>$EB$467*4</f>
        <v>0</v>
      </c>
      <c r="EG471" s="26"/>
      <c r="EH471" s="36"/>
      <c r="EI471" s="164"/>
    </row>
    <row r="472" spans="26:139" ht="16.5" thickTop="1" thickBot="1" x14ac:dyDescent="0.3">
      <c r="AA472" s="37"/>
      <c r="AB472" s="26"/>
      <c r="AC472" s="26"/>
      <c r="AD472" s="26"/>
      <c r="AE472" s="26"/>
      <c r="AF472" s="26"/>
      <c r="AG472" s="26"/>
      <c r="AH472" s="36"/>
      <c r="BA472" s="37"/>
      <c r="BB472" s="26"/>
      <c r="BC472" s="26"/>
      <c r="BD472" s="26"/>
      <c r="BE472" s="26"/>
      <c r="BF472" s="26"/>
      <c r="BG472" s="26"/>
      <c r="BH472" s="36"/>
      <c r="BX472" s="196"/>
      <c r="BY472" s="196"/>
      <c r="BZ472" s="196"/>
      <c r="CA472" s="37"/>
      <c r="CB472" s="26"/>
      <c r="CC472" s="26"/>
      <c r="CD472" s="26"/>
      <c r="CE472" s="26"/>
      <c r="CF472" s="26"/>
      <c r="CG472" s="26"/>
      <c r="CH472" s="36"/>
      <c r="CI472" s="196"/>
      <c r="CJ472" s="196"/>
      <c r="CK472" s="196"/>
      <c r="CL472" s="196"/>
      <c r="CM472" s="196"/>
      <c r="CN472" s="196"/>
      <c r="CO472" s="196"/>
      <c r="CP472" s="196"/>
      <c r="CQ472" s="196"/>
      <c r="CR472" s="196"/>
      <c r="CS472" s="196"/>
      <c r="CT472" s="196"/>
      <c r="CU472" s="196"/>
      <c r="CV472" s="196"/>
      <c r="CW472" s="196"/>
      <c r="CX472" s="196"/>
      <c r="CY472" s="196"/>
      <c r="CZ472" s="196"/>
      <c r="DA472" s="37"/>
      <c r="DB472" s="26"/>
      <c r="DC472" s="26"/>
      <c r="DD472" s="26"/>
      <c r="DE472" s="26"/>
      <c r="DF472" s="26"/>
      <c r="DG472" s="26"/>
      <c r="DH472" s="36"/>
      <c r="DI472" s="196"/>
      <c r="DJ472" s="196"/>
      <c r="DK472" s="196"/>
      <c r="DL472" s="196"/>
      <c r="DM472" s="196"/>
      <c r="DN472" s="196"/>
      <c r="DO472" s="196"/>
      <c r="DP472" s="196"/>
      <c r="DQ472" s="196"/>
      <c r="DR472" s="196"/>
      <c r="DS472" s="196"/>
      <c r="DT472" s="196"/>
      <c r="EA472" s="25" t="s">
        <v>64</v>
      </c>
      <c r="EB472" s="109">
        <v>0</v>
      </c>
      <c r="EC472" s="26"/>
      <c r="ED472" s="26"/>
      <c r="EE472" s="37" t="s">
        <v>361</v>
      </c>
      <c r="EF472" s="26" t="str">
        <f>$EB$467</f>
        <v>0</v>
      </c>
      <c r="EG472" s="26"/>
      <c r="EH472" s="36"/>
      <c r="EI472" s="164"/>
    </row>
    <row r="473" spans="26:139" ht="16.5" thickTop="1" thickBot="1" x14ac:dyDescent="0.3">
      <c r="Z473" s="271"/>
      <c r="AA473" s="53" t="s">
        <v>92</v>
      </c>
      <c r="AB473" s="75">
        <f>$AB$467+$AB$468+$AB$471+$AB$470</f>
        <v>0</v>
      </c>
      <c r="AC473" s="26"/>
      <c r="AD473" s="26"/>
      <c r="AE473" s="26"/>
      <c r="AF473" s="26"/>
      <c r="AG473" s="26"/>
      <c r="AH473" s="36"/>
      <c r="AZ473" s="271"/>
      <c r="BA473" s="53" t="s">
        <v>92</v>
      </c>
      <c r="BB473" s="75">
        <f>$BB$467+$BB$468+$BB$471+$BB$470</f>
        <v>0</v>
      </c>
      <c r="BC473" s="26"/>
      <c r="BD473" s="26"/>
      <c r="BE473" s="26"/>
      <c r="BF473" s="26"/>
      <c r="BG473" s="26"/>
      <c r="BH473" s="36"/>
      <c r="BX473" s="196"/>
      <c r="BY473" s="196"/>
      <c r="BZ473" s="196"/>
      <c r="CA473" s="53" t="s">
        <v>92</v>
      </c>
      <c r="CB473" s="75">
        <f>$CB$467+$CB$468+$CB$470</f>
        <v>0</v>
      </c>
      <c r="CC473" s="26"/>
      <c r="CD473" s="26"/>
      <c r="CE473" s="26"/>
      <c r="CF473" s="26"/>
      <c r="CG473" s="26"/>
      <c r="CH473" s="36"/>
      <c r="CI473" s="196"/>
      <c r="CJ473" s="196"/>
      <c r="CK473" s="196"/>
      <c r="CL473" s="196"/>
      <c r="CM473" s="196"/>
      <c r="CN473" s="196"/>
      <c r="CO473" s="196"/>
      <c r="CP473" s="196"/>
      <c r="CQ473" s="196"/>
      <c r="CR473" s="196"/>
      <c r="CS473" s="196"/>
      <c r="CT473" s="196"/>
      <c r="CU473" s="196"/>
      <c r="CV473" s="196"/>
      <c r="CW473" s="196"/>
      <c r="CX473" s="196"/>
      <c r="CY473" s="196"/>
      <c r="CZ473" s="196"/>
      <c r="DA473" s="53" t="s">
        <v>92</v>
      </c>
      <c r="DB473" s="75">
        <f>$DB$467+$DB$468+$DB$470</f>
        <v>0</v>
      </c>
      <c r="DC473" s="26"/>
      <c r="DD473" s="26"/>
      <c r="DE473" s="26"/>
      <c r="DF473" s="26"/>
      <c r="DG473" s="26"/>
      <c r="DH473" s="36"/>
      <c r="DI473" s="196"/>
      <c r="DJ473" s="196"/>
      <c r="DK473" s="196"/>
      <c r="DL473" s="196"/>
      <c r="DM473" s="196"/>
      <c r="DN473" s="196"/>
      <c r="DO473" s="196"/>
      <c r="DP473" s="196"/>
      <c r="DQ473" s="196"/>
      <c r="DR473" s="196"/>
      <c r="DS473" s="196"/>
      <c r="DT473" s="196"/>
      <c r="EA473" s="37"/>
      <c r="EB473" s="62"/>
      <c r="EC473" s="26"/>
      <c r="ED473" s="26"/>
      <c r="EE473" s="26"/>
      <c r="EF473" s="26"/>
      <c r="EG473" s="26"/>
      <c r="EH473" s="36"/>
      <c r="EI473" s="164"/>
    </row>
    <row r="474" spans="26:139" ht="16.5" thickTop="1" thickBot="1" x14ac:dyDescent="0.3">
      <c r="AA474" s="108" t="s">
        <v>102</v>
      </c>
      <c r="AB474" s="110"/>
      <c r="AC474" s="26"/>
      <c r="AD474" s="26"/>
      <c r="AE474" s="26"/>
      <c r="AF474" s="26"/>
      <c r="AG474" s="26"/>
      <c r="AH474" s="36"/>
      <c r="BA474" s="108" t="s">
        <v>102</v>
      </c>
      <c r="BB474" s="110"/>
      <c r="BC474" s="26"/>
      <c r="BD474" s="26"/>
      <c r="BE474" s="26"/>
      <c r="BF474" s="26"/>
      <c r="BG474" s="26"/>
      <c r="BH474" s="36"/>
      <c r="BX474" s="196"/>
      <c r="BY474" s="196"/>
      <c r="BZ474" s="196"/>
      <c r="CA474" s="108" t="s">
        <v>102</v>
      </c>
      <c r="CB474" s="110"/>
      <c r="CC474" s="26"/>
      <c r="CD474" s="26"/>
      <c r="CE474" s="26"/>
      <c r="CF474" s="26"/>
      <c r="CG474" s="26"/>
      <c r="CH474" s="36"/>
      <c r="CI474" s="196"/>
      <c r="CJ474" s="196"/>
      <c r="CK474" s="196"/>
      <c r="CL474" s="196"/>
      <c r="CM474" s="196"/>
      <c r="CN474" s="196"/>
      <c r="CO474" s="196"/>
      <c r="CP474" s="196"/>
      <c r="CQ474" s="196"/>
      <c r="CR474" s="196"/>
      <c r="CS474" s="196"/>
      <c r="CT474" s="196"/>
      <c r="CU474" s="196"/>
      <c r="CV474" s="196"/>
      <c r="CW474" s="196"/>
      <c r="CX474" s="196"/>
      <c r="CY474" s="196"/>
      <c r="CZ474" s="196"/>
      <c r="DA474" s="108" t="s">
        <v>102</v>
      </c>
      <c r="DB474" s="110"/>
      <c r="DC474" s="26"/>
      <c r="DD474" s="26"/>
      <c r="DE474" s="26"/>
      <c r="DF474" s="26"/>
      <c r="DG474" s="26"/>
      <c r="DH474" s="36"/>
      <c r="DI474" s="196"/>
      <c r="DJ474" s="196"/>
      <c r="DK474" s="196"/>
      <c r="DL474" s="196"/>
      <c r="DM474" s="196"/>
      <c r="DN474" s="196"/>
      <c r="DO474" s="196"/>
      <c r="DP474" s="196"/>
      <c r="DQ474" s="196"/>
      <c r="DR474" s="196"/>
      <c r="DS474" s="196"/>
      <c r="DT474" s="196"/>
      <c r="EA474" s="53" t="s">
        <v>367</v>
      </c>
      <c r="EB474" s="177">
        <f>$EB$470+$EB$471+$EB$472</f>
        <v>0</v>
      </c>
      <c r="EC474" s="179"/>
      <c r="ED474" s="26"/>
      <c r="EE474" s="26"/>
      <c r="EF474" s="26"/>
      <c r="EG474" s="26"/>
      <c r="EH474" s="36"/>
      <c r="EI474" s="164"/>
    </row>
    <row r="475" spans="26:139" ht="16.5" thickTop="1" thickBot="1" x14ac:dyDescent="0.3">
      <c r="AA475" s="41" t="s">
        <v>103</v>
      </c>
      <c r="AB475" s="5">
        <f>$AB$467+$AB$469+$AB$470</f>
        <v>0</v>
      </c>
      <c r="AC475" s="31"/>
      <c r="AD475" s="31"/>
      <c r="AE475" s="31"/>
      <c r="AF475" s="31"/>
      <c r="AG475" s="31"/>
      <c r="AH475" s="43"/>
      <c r="BA475" s="41" t="s">
        <v>103</v>
      </c>
      <c r="BB475" s="5">
        <f>$BB$467+$BB$469+$BB$470</f>
        <v>0</v>
      </c>
      <c r="BC475" s="31"/>
      <c r="BD475" s="31"/>
      <c r="BE475" s="31"/>
      <c r="BF475" s="31"/>
      <c r="BG475" s="31"/>
      <c r="BH475" s="43"/>
      <c r="BX475" s="196"/>
      <c r="BY475" s="196"/>
      <c r="BZ475" s="196"/>
      <c r="CA475" s="41" t="s">
        <v>103</v>
      </c>
      <c r="CB475" s="5">
        <f>$CB$467+$CB$469+$CB$470</f>
        <v>0</v>
      </c>
      <c r="CC475" s="31"/>
      <c r="CD475" s="31"/>
      <c r="CE475" s="31"/>
      <c r="CF475" s="31"/>
      <c r="CG475" s="31"/>
      <c r="CH475" s="43"/>
      <c r="CI475" s="196"/>
      <c r="CJ475" s="196"/>
      <c r="CK475" s="196"/>
      <c r="CL475" s="196"/>
      <c r="CM475" s="196"/>
      <c r="CN475" s="196"/>
      <c r="CO475" s="196"/>
      <c r="CP475" s="196"/>
      <c r="CQ475" s="196"/>
      <c r="CR475" s="196"/>
      <c r="CS475" s="196"/>
      <c r="CT475" s="196"/>
      <c r="CU475" s="196"/>
      <c r="CV475" s="196"/>
      <c r="CW475" s="196"/>
      <c r="CX475" s="196"/>
      <c r="CY475" s="196"/>
      <c r="CZ475" s="196"/>
      <c r="DA475" s="41" t="s">
        <v>103</v>
      </c>
      <c r="DB475" s="5">
        <f>$DB$467+$DB$469+$DB$470</f>
        <v>0</v>
      </c>
      <c r="DC475" s="31"/>
      <c r="DD475" s="31"/>
      <c r="DE475" s="31"/>
      <c r="DF475" s="31"/>
      <c r="DG475" s="31"/>
      <c r="DH475" s="43"/>
      <c r="DI475" s="196"/>
      <c r="DJ475" s="196"/>
      <c r="DK475" s="196"/>
      <c r="DL475" s="196"/>
      <c r="DM475" s="196"/>
      <c r="DN475" s="196"/>
      <c r="DO475" s="196"/>
      <c r="DP475" s="196"/>
      <c r="DQ475" s="196"/>
      <c r="DR475" s="196"/>
      <c r="DS475" s="196"/>
      <c r="DT475" s="196"/>
      <c r="EA475" s="41" t="s">
        <v>368</v>
      </c>
      <c r="EB475" s="183">
        <f>IF($EB$474&lt;=18000,($EB$474*1.05),IF(AND($EB$474&gt;=18001,$EB$474&lt;=40000),$EB$474,IF(AND($EB$474&gt;=40001,$EB$474&lt;=70000),$EB$474-($EB$474*0.1),IF($EB$474&gt;=70001,($EB$474-($EB$474*0.2))))))</f>
        <v>0</v>
      </c>
      <c r="EC475" s="100"/>
      <c r="ED475" s="31"/>
      <c r="EE475" s="31"/>
      <c r="EF475" s="31"/>
      <c r="EG475" s="31"/>
      <c r="EH475" s="43"/>
      <c r="EI475" s="164"/>
    </row>
    <row r="476" spans="26:139" x14ac:dyDescent="0.25">
      <c r="BX476" s="196"/>
      <c r="BY476" s="196"/>
      <c r="BZ476" s="196"/>
      <c r="CA476" s="196"/>
      <c r="CB476" s="196"/>
      <c r="CC476" s="196"/>
      <c r="CD476" s="196"/>
      <c r="CE476" s="196"/>
      <c r="CF476" s="196"/>
      <c r="CG476" s="196"/>
      <c r="CH476" s="196"/>
      <c r="CI476" s="196"/>
      <c r="CJ476" s="196"/>
      <c r="CK476" s="196"/>
      <c r="CL476" s="196"/>
      <c r="CM476" s="196"/>
      <c r="CN476" s="196"/>
      <c r="CO476" s="196"/>
      <c r="CP476" s="196"/>
      <c r="CQ476" s="196"/>
      <c r="CR476" s="196"/>
      <c r="CS476" s="196"/>
      <c r="CT476" s="196"/>
      <c r="CU476" s="196"/>
      <c r="CV476" s="196"/>
      <c r="CW476" s="196"/>
      <c r="CX476" s="196"/>
      <c r="CY476" s="196"/>
      <c r="CZ476" s="196"/>
      <c r="DA476" s="196"/>
      <c r="DB476" s="196"/>
      <c r="DC476" s="196"/>
      <c r="DD476" s="196"/>
      <c r="DE476" s="196"/>
      <c r="DF476" s="196"/>
      <c r="DG476" s="196"/>
      <c r="DH476" s="196"/>
      <c r="DI476" s="196"/>
      <c r="DJ476" s="196"/>
      <c r="DK476" s="196"/>
      <c r="DL476" s="196"/>
      <c r="DM476" s="196"/>
      <c r="DN476" s="196"/>
      <c r="DO476" s="196"/>
      <c r="DP476" s="196"/>
      <c r="DQ476" s="196"/>
      <c r="DR476" s="196"/>
      <c r="DS476" s="196"/>
      <c r="DT476" s="196"/>
      <c r="EA476" s="164"/>
      <c r="EB476" s="164"/>
      <c r="EC476" s="164"/>
      <c r="ED476" s="164"/>
      <c r="EE476" s="164"/>
      <c r="EF476" s="164"/>
      <c r="EG476" s="164"/>
      <c r="EH476" s="164"/>
      <c r="EI476" s="164"/>
    </row>
    <row r="477" spans="26:139" x14ac:dyDescent="0.25">
      <c r="BX477" s="196"/>
      <c r="BY477" s="196"/>
      <c r="BZ477" s="196"/>
      <c r="CA477" s="196"/>
      <c r="CB477" s="196"/>
      <c r="CC477" s="196"/>
      <c r="CD477" s="196"/>
      <c r="CE477" s="196"/>
      <c r="CF477" s="196"/>
      <c r="CG477" s="196"/>
      <c r="CH477" s="196"/>
      <c r="CI477" s="196"/>
      <c r="CJ477" s="196"/>
      <c r="CK477" s="196"/>
      <c r="CL477" s="196"/>
      <c r="CM477" s="196"/>
      <c r="CN477" s="196"/>
      <c r="CO477" s="196"/>
      <c r="CP477" s="196"/>
      <c r="CQ477" s="196"/>
      <c r="CR477" s="196"/>
      <c r="CS477" s="196"/>
      <c r="CT477" s="196"/>
      <c r="CU477" s="196"/>
      <c r="CV477" s="196"/>
      <c r="CW477" s="196"/>
      <c r="CX477" s="196"/>
      <c r="CY477" s="196"/>
      <c r="CZ477" s="196"/>
      <c r="DA477" s="196"/>
      <c r="DB477" s="196"/>
      <c r="DC477" s="196"/>
      <c r="DD477" s="196"/>
      <c r="DE477" s="196"/>
      <c r="DF477" s="196"/>
      <c r="DG477" s="196"/>
      <c r="DH477" s="196"/>
      <c r="DI477" s="196"/>
      <c r="DJ477" s="196"/>
      <c r="DK477" s="196"/>
      <c r="DL477" s="196"/>
      <c r="DM477" s="196"/>
      <c r="DN477" s="196"/>
      <c r="DO477" s="196"/>
      <c r="DP477" s="196"/>
      <c r="DQ477" s="196"/>
      <c r="DR477" s="196"/>
      <c r="DS477" s="196"/>
      <c r="DT477" s="196"/>
      <c r="EA477" s="164"/>
      <c r="EB477" s="164"/>
      <c r="EC477" s="164"/>
      <c r="ED477" s="164"/>
      <c r="EE477" s="164"/>
      <c r="EF477" s="164"/>
      <c r="EG477" s="164"/>
      <c r="EH477" s="164"/>
      <c r="EI477" s="164"/>
    </row>
    <row r="478" spans="26:139" x14ac:dyDescent="0.25">
      <c r="BX478" s="196"/>
      <c r="BY478" s="196"/>
      <c r="BZ478" s="196"/>
      <c r="CA478" s="196"/>
      <c r="CB478" s="196"/>
      <c r="CC478" s="196"/>
      <c r="CD478" s="196"/>
      <c r="CE478" s="196"/>
      <c r="CF478" s="196"/>
      <c r="CG478" s="196"/>
      <c r="CH478" s="196"/>
      <c r="CI478" s="196"/>
      <c r="CJ478" s="196"/>
      <c r="CK478" s="196"/>
      <c r="CL478" s="196"/>
      <c r="CM478" s="196"/>
      <c r="CN478" s="196"/>
      <c r="CO478" s="196"/>
      <c r="CP478" s="196"/>
      <c r="CQ478" s="196"/>
      <c r="CR478" s="196"/>
      <c r="CS478" s="196"/>
      <c r="CT478" s="196"/>
      <c r="CU478" s="196"/>
      <c r="CV478" s="196"/>
      <c r="CW478" s="196"/>
      <c r="CX478" s="196"/>
      <c r="CY478" s="196"/>
      <c r="CZ478" s="196"/>
      <c r="DA478" s="196"/>
      <c r="DB478" s="196"/>
      <c r="DC478" s="196"/>
      <c r="DD478" s="196"/>
      <c r="DE478" s="196"/>
      <c r="DF478" s="196"/>
      <c r="DG478" s="196"/>
      <c r="DH478" s="196"/>
      <c r="DI478" s="196"/>
      <c r="DJ478" s="196"/>
      <c r="DK478" s="196"/>
      <c r="DL478" s="196"/>
      <c r="DM478" s="196"/>
      <c r="DN478" s="196"/>
      <c r="DO478" s="196"/>
      <c r="DP478" s="196"/>
      <c r="DQ478" s="196"/>
      <c r="DR478" s="196"/>
      <c r="DS478" s="196"/>
      <c r="DT478" s="196"/>
      <c r="EA478" s="164"/>
      <c r="EB478" s="164"/>
      <c r="EC478" s="164"/>
      <c r="ED478" s="164"/>
      <c r="EE478" s="164"/>
      <c r="EF478" s="164"/>
      <c r="EG478" s="164"/>
      <c r="EH478" s="164"/>
      <c r="EI478" s="164"/>
    </row>
    <row r="479" spans="26:139" x14ac:dyDescent="0.25">
      <c r="BX479" s="196"/>
      <c r="BY479" s="196"/>
      <c r="BZ479" s="196"/>
      <c r="CA479" s="196"/>
      <c r="CB479" s="196"/>
      <c r="CC479" s="196"/>
      <c r="CD479" s="196"/>
      <c r="CE479" s="196"/>
      <c r="CF479" s="196"/>
      <c r="CG479" s="196"/>
      <c r="CH479" s="196"/>
      <c r="CI479" s="196"/>
      <c r="CJ479" s="196"/>
      <c r="CK479" s="196"/>
      <c r="CL479" s="196"/>
      <c r="CM479" s="196"/>
      <c r="CN479" s="196"/>
      <c r="CO479" s="196"/>
      <c r="CP479" s="196"/>
      <c r="CQ479" s="196"/>
      <c r="CR479" s="196"/>
      <c r="CS479" s="196"/>
      <c r="CT479" s="196"/>
      <c r="CU479" s="196"/>
      <c r="CV479" s="196"/>
      <c r="CW479" s="196"/>
      <c r="CX479" s="196"/>
      <c r="CY479" s="196"/>
      <c r="CZ479" s="196"/>
      <c r="DA479" s="196"/>
      <c r="DB479" s="196"/>
      <c r="DC479" s="196"/>
      <c r="DD479" s="196"/>
      <c r="DE479" s="196"/>
      <c r="DF479" s="196"/>
      <c r="DG479" s="196"/>
      <c r="DH479" s="196"/>
      <c r="DI479" s="196"/>
      <c r="DJ479" s="196"/>
      <c r="DK479" s="196"/>
      <c r="DL479" s="196"/>
      <c r="DM479" s="196"/>
      <c r="DN479" s="196"/>
      <c r="DO479" s="196"/>
      <c r="DP479" s="196"/>
      <c r="DQ479" s="196"/>
      <c r="DR479" s="196"/>
      <c r="DS479" s="196"/>
      <c r="DT479" s="196"/>
      <c r="EA479" s="164"/>
      <c r="EB479" s="164"/>
      <c r="EC479" s="164"/>
      <c r="ED479" s="164"/>
      <c r="EE479" s="164"/>
      <c r="EF479" s="164"/>
      <c r="EG479" s="164"/>
      <c r="EH479" s="164"/>
      <c r="EI479" s="164"/>
    </row>
    <row r="480" spans="26:139" x14ac:dyDescent="0.25">
      <c r="BX480" s="196"/>
      <c r="BY480" s="196"/>
      <c r="BZ480" s="196"/>
      <c r="CA480" s="196"/>
      <c r="CB480" s="196"/>
      <c r="CC480" s="196"/>
      <c r="CD480" s="196"/>
      <c r="CE480" s="196"/>
      <c r="CF480" s="196"/>
      <c r="CG480" s="196"/>
      <c r="CH480" s="196"/>
      <c r="CI480" s="196"/>
      <c r="CJ480" s="196"/>
      <c r="CK480" s="196"/>
      <c r="CL480" s="196"/>
      <c r="CM480" s="196"/>
      <c r="CN480" s="196"/>
      <c r="CO480" s="196"/>
      <c r="CP480" s="196"/>
      <c r="CQ480" s="196"/>
      <c r="CR480" s="196"/>
      <c r="CS480" s="196"/>
      <c r="CT480" s="196"/>
      <c r="CU480" s="196"/>
      <c r="CV480" s="196"/>
      <c r="CW480" s="196"/>
      <c r="CX480" s="196"/>
      <c r="CY480" s="196"/>
      <c r="CZ480" s="196"/>
      <c r="DA480" s="196"/>
      <c r="DB480" s="196"/>
      <c r="DC480" s="196"/>
      <c r="DD480" s="196"/>
      <c r="DE480" s="196"/>
      <c r="DF480" s="196"/>
      <c r="DG480" s="196"/>
      <c r="DH480" s="196"/>
      <c r="DI480" s="196"/>
      <c r="DJ480" s="196"/>
      <c r="DK480" s="196"/>
      <c r="DL480" s="196"/>
      <c r="DM480" s="196"/>
      <c r="DN480" s="196"/>
      <c r="DO480" s="196"/>
      <c r="DP480" s="196"/>
      <c r="DQ480" s="196"/>
      <c r="DR480" s="196"/>
      <c r="DS480" s="196"/>
      <c r="DT480" s="196"/>
      <c r="EA480" s="164"/>
      <c r="EB480" s="164"/>
      <c r="EC480" s="164"/>
      <c r="ED480" s="164"/>
      <c r="EE480" s="164"/>
      <c r="EF480" s="164"/>
      <c r="EG480" s="164"/>
      <c r="EH480" s="164"/>
      <c r="EI480" s="164"/>
    </row>
    <row r="481" spans="76:139" x14ac:dyDescent="0.25">
      <c r="BX481" s="196"/>
      <c r="BY481" s="196"/>
      <c r="BZ481" s="196"/>
      <c r="CA481" s="196"/>
      <c r="CB481" s="196"/>
      <c r="CC481" s="196"/>
      <c r="CD481" s="196"/>
      <c r="CE481" s="196"/>
      <c r="CF481" s="196"/>
      <c r="CG481" s="196"/>
      <c r="CH481" s="196"/>
      <c r="CI481" s="196"/>
      <c r="CJ481" s="196"/>
      <c r="CK481" s="196"/>
      <c r="CL481" s="196"/>
      <c r="CM481" s="196"/>
      <c r="CN481" s="196"/>
      <c r="CO481" s="196"/>
      <c r="CP481" s="196"/>
      <c r="CQ481" s="196"/>
      <c r="CR481" s="196"/>
      <c r="CS481" s="196"/>
      <c r="CT481" s="196"/>
      <c r="CU481" s="196"/>
      <c r="CV481" s="196"/>
      <c r="CW481" s="196"/>
      <c r="CX481" s="196"/>
      <c r="CY481" s="196"/>
      <c r="CZ481" s="196"/>
      <c r="DA481" s="196"/>
      <c r="DB481" s="196"/>
      <c r="DC481" s="196"/>
      <c r="DD481" s="196"/>
      <c r="DE481" s="196"/>
      <c r="DF481" s="196"/>
      <c r="DG481" s="196"/>
      <c r="DH481" s="196"/>
      <c r="DI481" s="196"/>
      <c r="DJ481" s="196"/>
      <c r="DK481" s="196"/>
      <c r="DL481" s="196"/>
      <c r="DM481" s="196"/>
      <c r="DN481" s="196"/>
      <c r="DO481" s="196"/>
      <c r="DP481" s="196"/>
      <c r="DQ481" s="196"/>
      <c r="DR481" s="196"/>
      <c r="DS481" s="196"/>
      <c r="DT481" s="196"/>
      <c r="EA481" s="164"/>
      <c r="EB481" s="164"/>
      <c r="EC481" s="164"/>
      <c r="ED481" s="164"/>
      <c r="EE481" s="164"/>
      <c r="EF481" s="164"/>
      <c r="EG481" s="164"/>
      <c r="EH481" s="164"/>
      <c r="EI481" s="164"/>
    </row>
    <row r="482" spans="76:139" x14ac:dyDescent="0.25">
      <c r="BX482" s="196"/>
      <c r="BY482" s="196"/>
      <c r="BZ482" s="196"/>
      <c r="CA482" s="196"/>
      <c r="CB482" s="196"/>
      <c r="CC482" s="196"/>
      <c r="CD482" s="196"/>
      <c r="CE482" s="196"/>
      <c r="CF482" s="196"/>
      <c r="CG482" s="196"/>
      <c r="CH482" s="196"/>
      <c r="CI482" s="196"/>
      <c r="CJ482" s="196"/>
      <c r="CK482" s="196"/>
      <c r="CL482" s="196"/>
      <c r="CM482" s="196"/>
      <c r="CN482" s="196"/>
      <c r="CO482" s="196"/>
      <c r="CP482" s="196"/>
      <c r="CQ482" s="196"/>
      <c r="CR482" s="196"/>
      <c r="CS482" s="196"/>
      <c r="CT482" s="196"/>
      <c r="CU482" s="196"/>
      <c r="CV482" s="196"/>
      <c r="CW482" s="196"/>
      <c r="CX482" s="196"/>
      <c r="CY482" s="196"/>
      <c r="CZ482" s="196"/>
      <c r="DA482" s="196"/>
      <c r="DB482" s="196"/>
      <c r="DC482" s="196"/>
      <c r="DD482" s="196"/>
      <c r="DE482" s="196"/>
      <c r="DF482" s="196"/>
      <c r="DG482" s="196"/>
      <c r="DH482" s="196"/>
      <c r="DI482" s="196"/>
      <c r="DJ482" s="196"/>
      <c r="DK482" s="196"/>
      <c r="DL482" s="196"/>
      <c r="DM482" s="196"/>
      <c r="DN482" s="196"/>
      <c r="DO482" s="196"/>
      <c r="DP482" s="196"/>
      <c r="DQ482" s="196"/>
      <c r="DR482" s="196"/>
      <c r="DS482" s="196"/>
      <c r="DT482" s="196"/>
      <c r="EA482" s="164"/>
      <c r="EB482" s="164"/>
      <c r="EC482" s="164"/>
      <c r="ED482" s="164"/>
      <c r="EE482" s="164"/>
      <c r="EF482" s="164"/>
      <c r="EG482" s="164"/>
      <c r="EH482" s="164"/>
      <c r="EI482" s="164"/>
    </row>
    <row r="483" spans="76:139" x14ac:dyDescent="0.25">
      <c r="BX483" s="196"/>
      <c r="BY483" s="196"/>
      <c r="BZ483" s="196"/>
      <c r="CA483" s="196"/>
      <c r="CB483" s="196"/>
      <c r="CC483" s="196"/>
      <c r="CD483" s="196"/>
      <c r="CE483" s="196"/>
      <c r="CF483" s="196"/>
      <c r="CG483" s="196"/>
      <c r="CH483" s="196"/>
      <c r="CI483" s="196"/>
      <c r="CJ483" s="196"/>
      <c r="CK483" s="196"/>
      <c r="CL483" s="196"/>
      <c r="CM483" s="196"/>
      <c r="CN483" s="196"/>
      <c r="CO483" s="196"/>
      <c r="CP483" s="196"/>
      <c r="CQ483" s="196"/>
      <c r="CR483" s="196"/>
      <c r="CS483" s="196"/>
      <c r="CT483" s="196"/>
      <c r="CU483" s="196"/>
      <c r="CV483" s="196"/>
      <c r="CW483" s="196"/>
      <c r="CX483" s="196"/>
      <c r="CY483" s="196"/>
      <c r="CZ483" s="196"/>
      <c r="DA483" s="196"/>
      <c r="DB483" s="196"/>
      <c r="DC483" s="196"/>
      <c r="DD483" s="196"/>
      <c r="DE483" s="196"/>
      <c r="DF483" s="196"/>
      <c r="DG483" s="196"/>
      <c r="DH483" s="196"/>
      <c r="DI483" s="196"/>
      <c r="DJ483" s="196"/>
      <c r="DK483" s="196"/>
      <c r="DL483" s="196"/>
      <c r="DM483" s="196"/>
      <c r="DN483" s="196"/>
      <c r="DO483" s="196"/>
      <c r="DP483" s="196"/>
      <c r="DQ483" s="196"/>
      <c r="DR483" s="196"/>
      <c r="DS483" s="196"/>
      <c r="DT483" s="196"/>
      <c r="EA483" s="164"/>
      <c r="EB483" s="164"/>
      <c r="EC483" s="164"/>
      <c r="ED483" s="164"/>
      <c r="EE483" s="164"/>
      <c r="EF483" s="164"/>
      <c r="EG483" s="164"/>
      <c r="EH483" s="164"/>
      <c r="EI483" s="164"/>
    </row>
    <row r="484" spans="76:139" x14ac:dyDescent="0.25">
      <c r="BX484" s="196"/>
      <c r="BY484" s="196"/>
      <c r="BZ484" s="196"/>
      <c r="CA484" s="196"/>
      <c r="CB484" s="196"/>
      <c r="CC484" s="196"/>
      <c r="CD484" s="196"/>
      <c r="CE484" s="196"/>
      <c r="CF484" s="196"/>
      <c r="CG484" s="196"/>
      <c r="CH484" s="196"/>
      <c r="CI484" s="196"/>
      <c r="CJ484" s="196"/>
      <c r="CK484" s="196"/>
      <c r="CL484" s="196"/>
      <c r="CM484" s="196"/>
      <c r="CN484" s="196"/>
      <c r="CO484" s="196"/>
      <c r="CP484" s="196"/>
      <c r="CQ484" s="196"/>
      <c r="CR484" s="196"/>
      <c r="CS484" s="196"/>
      <c r="CT484" s="196"/>
      <c r="CU484" s="196"/>
      <c r="CV484" s="196"/>
      <c r="CW484" s="196"/>
      <c r="CX484" s="196"/>
      <c r="CY484" s="196"/>
      <c r="CZ484" s="196"/>
      <c r="DA484" s="196"/>
      <c r="DB484" s="196"/>
      <c r="DC484" s="196"/>
      <c r="DD484" s="196"/>
      <c r="DE484" s="196"/>
      <c r="DF484" s="196"/>
      <c r="DG484" s="196"/>
      <c r="DH484" s="196"/>
      <c r="DI484" s="196"/>
      <c r="DJ484" s="196"/>
      <c r="DK484" s="196"/>
      <c r="DL484" s="196"/>
      <c r="DM484" s="196"/>
      <c r="DN484" s="196"/>
      <c r="DO484" s="196"/>
      <c r="DP484" s="196"/>
      <c r="DQ484" s="196"/>
      <c r="DR484" s="196"/>
      <c r="DS484" s="196"/>
      <c r="DT484" s="196"/>
      <c r="EA484" s="164"/>
      <c r="EB484" s="164"/>
      <c r="EC484" s="164"/>
      <c r="ED484" s="164"/>
      <c r="EE484" s="164"/>
      <c r="EF484" s="164"/>
      <c r="EG484" s="164"/>
      <c r="EH484" s="164"/>
      <c r="EI484" s="164"/>
    </row>
    <row r="485" spans="76:139" x14ac:dyDescent="0.25">
      <c r="BX485" s="196"/>
      <c r="BY485" s="196"/>
      <c r="BZ485" s="196"/>
      <c r="CA485" s="196"/>
      <c r="CB485" s="196"/>
      <c r="CC485" s="196"/>
      <c r="CD485" s="196"/>
      <c r="CE485" s="196"/>
      <c r="CF485" s="196"/>
      <c r="CG485" s="196"/>
      <c r="CH485" s="196"/>
      <c r="CI485" s="196"/>
      <c r="CJ485" s="196"/>
      <c r="CK485" s="196"/>
      <c r="CL485" s="196"/>
      <c r="CM485" s="196"/>
      <c r="CN485" s="196"/>
      <c r="CO485" s="196"/>
      <c r="CP485" s="196"/>
      <c r="CQ485" s="196"/>
      <c r="CR485" s="196"/>
      <c r="CS485" s="196"/>
      <c r="CT485" s="196"/>
      <c r="CU485" s="196"/>
      <c r="CV485" s="196"/>
      <c r="CW485" s="196"/>
      <c r="CX485" s="196"/>
      <c r="CY485" s="196"/>
      <c r="CZ485" s="196"/>
      <c r="DA485" s="196"/>
      <c r="DB485" s="196"/>
      <c r="DC485" s="196"/>
      <c r="DD485" s="196"/>
      <c r="DE485" s="196"/>
      <c r="DF485" s="196"/>
      <c r="DG485" s="196"/>
      <c r="DH485" s="196"/>
      <c r="DI485" s="196"/>
      <c r="DJ485" s="196"/>
      <c r="DK485" s="196"/>
      <c r="DL485" s="196"/>
      <c r="DM485" s="196"/>
      <c r="DN485" s="196"/>
      <c r="DO485" s="196"/>
      <c r="DP485" s="196"/>
      <c r="DQ485" s="196"/>
      <c r="DR485" s="196"/>
      <c r="DS485" s="196"/>
      <c r="DT485" s="196"/>
      <c r="EA485" s="164"/>
      <c r="EB485" s="164"/>
      <c r="EC485" s="164"/>
      <c r="ED485" s="164"/>
      <c r="EE485" s="164"/>
      <c r="EF485" s="164"/>
      <c r="EG485" s="164"/>
      <c r="EH485" s="164"/>
      <c r="EI485" s="164"/>
    </row>
    <row r="486" spans="76:139" x14ac:dyDescent="0.25">
      <c r="BX486" s="196"/>
      <c r="BY486" s="196"/>
      <c r="BZ486" s="196"/>
      <c r="CA486" s="196"/>
      <c r="CB486" s="196"/>
      <c r="CC486" s="196"/>
      <c r="CD486" s="196"/>
      <c r="CE486" s="196"/>
      <c r="CF486" s="196"/>
      <c r="CG486" s="196"/>
      <c r="CH486" s="196"/>
      <c r="CI486" s="196"/>
      <c r="CJ486" s="196"/>
      <c r="CK486" s="196"/>
      <c r="CL486" s="196"/>
      <c r="CM486" s="196"/>
      <c r="CN486" s="196"/>
      <c r="CO486" s="196"/>
      <c r="CP486" s="196"/>
      <c r="CQ486" s="196"/>
      <c r="CR486" s="196"/>
      <c r="CS486" s="196"/>
      <c r="CT486" s="196"/>
      <c r="CU486" s="196"/>
      <c r="CV486" s="196"/>
      <c r="CW486" s="196"/>
      <c r="CX486" s="196"/>
      <c r="CY486" s="196"/>
      <c r="CZ486" s="196"/>
      <c r="DA486" s="196"/>
      <c r="DB486" s="196"/>
      <c r="DC486" s="196"/>
      <c r="DD486" s="196"/>
      <c r="DE486" s="196"/>
      <c r="DF486" s="196"/>
      <c r="DG486" s="196"/>
      <c r="DH486" s="196"/>
      <c r="DI486" s="196"/>
      <c r="DJ486" s="196"/>
      <c r="DK486" s="196"/>
      <c r="DL486" s="196"/>
      <c r="DM486" s="196"/>
      <c r="DN486" s="196"/>
      <c r="DO486" s="196"/>
      <c r="DP486" s="196"/>
      <c r="DQ486" s="196"/>
      <c r="DR486" s="196"/>
      <c r="DS486" s="196"/>
      <c r="DT486" s="196"/>
      <c r="EA486" s="164"/>
      <c r="EB486" s="164"/>
      <c r="EC486" s="164"/>
      <c r="ED486" s="164"/>
      <c r="EE486" s="164"/>
      <c r="EF486" s="164"/>
      <c r="EG486" s="164"/>
      <c r="EH486" s="164"/>
      <c r="EI486" s="164"/>
    </row>
    <row r="487" spans="76:139" x14ac:dyDescent="0.25">
      <c r="BX487" s="196"/>
      <c r="BY487" s="196"/>
      <c r="BZ487" s="196"/>
      <c r="CA487" s="196"/>
      <c r="CB487" s="196"/>
      <c r="CC487" s="196"/>
      <c r="CD487" s="196"/>
      <c r="CE487" s="196"/>
      <c r="CF487" s="196"/>
      <c r="CG487" s="196"/>
      <c r="CH487" s="196"/>
      <c r="CI487" s="196"/>
      <c r="CJ487" s="196"/>
      <c r="CK487" s="196"/>
      <c r="CL487" s="196"/>
      <c r="CM487" s="196"/>
      <c r="CN487" s="196"/>
      <c r="CO487" s="196"/>
      <c r="CP487" s="196"/>
      <c r="CQ487" s="196"/>
      <c r="CR487" s="196"/>
      <c r="CS487" s="196"/>
      <c r="CT487" s="196"/>
      <c r="CU487" s="196"/>
      <c r="CV487" s="196"/>
      <c r="CW487" s="196"/>
      <c r="CX487" s="196"/>
      <c r="CY487" s="196"/>
      <c r="CZ487" s="196"/>
      <c r="DA487" s="196"/>
      <c r="DB487" s="196"/>
      <c r="DC487" s="196"/>
      <c r="DD487" s="196"/>
      <c r="DE487" s="196"/>
      <c r="DF487" s="196"/>
      <c r="DG487" s="196"/>
      <c r="DH487" s="196"/>
      <c r="DI487" s="196"/>
      <c r="DJ487" s="196"/>
      <c r="DK487" s="196"/>
      <c r="DL487" s="196"/>
      <c r="DM487" s="196"/>
      <c r="DN487" s="196"/>
      <c r="DO487" s="196"/>
      <c r="DP487" s="196"/>
      <c r="DQ487" s="196"/>
      <c r="DR487" s="196"/>
      <c r="DS487" s="196"/>
      <c r="DT487" s="196"/>
      <c r="EA487" s="164"/>
      <c r="EB487" s="164"/>
      <c r="EC487" s="164"/>
      <c r="ED487" s="164"/>
      <c r="EE487" s="164"/>
      <c r="EF487" s="164"/>
      <c r="EG487" s="164"/>
      <c r="EH487" s="164"/>
      <c r="EI487" s="164"/>
    </row>
    <row r="488" spans="76:139" x14ac:dyDescent="0.25">
      <c r="BX488" s="196"/>
      <c r="BY488" s="196"/>
      <c r="BZ488" s="196"/>
      <c r="CA488" s="196"/>
      <c r="CB488" s="196"/>
      <c r="CC488" s="196"/>
      <c r="CD488" s="196"/>
      <c r="CE488" s="196"/>
      <c r="CF488" s="196"/>
      <c r="CG488" s="196"/>
      <c r="CH488" s="196"/>
      <c r="CI488" s="196"/>
      <c r="CJ488" s="196"/>
      <c r="CK488" s="196"/>
      <c r="CL488" s="196"/>
      <c r="CM488" s="196"/>
      <c r="CN488" s="196"/>
      <c r="CO488" s="196"/>
      <c r="CP488" s="196"/>
      <c r="CQ488" s="196"/>
      <c r="CR488" s="196"/>
      <c r="CS488" s="196"/>
      <c r="CT488" s="196"/>
      <c r="CU488" s="196"/>
      <c r="CV488" s="196"/>
      <c r="CW488" s="196"/>
      <c r="CX488" s="196"/>
      <c r="CY488" s="196"/>
      <c r="CZ488" s="196"/>
      <c r="DA488" s="196"/>
      <c r="DB488" s="196"/>
      <c r="DC488" s="196"/>
      <c r="DD488" s="196"/>
      <c r="DE488" s="196"/>
      <c r="DF488" s="196"/>
      <c r="DG488" s="196"/>
      <c r="DH488" s="196"/>
      <c r="DI488" s="196"/>
      <c r="DJ488" s="196"/>
      <c r="DK488" s="196"/>
      <c r="DL488" s="196"/>
      <c r="DM488" s="196"/>
      <c r="DN488" s="196"/>
      <c r="DO488" s="196"/>
      <c r="DP488" s="196"/>
      <c r="DQ488" s="196"/>
      <c r="DR488" s="196"/>
      <c r="DS488" s="196"/>
      <c r="DT488" s="196"/>
      <c r="EA488" s="164"/>
      <c r="EB488" s="164"/>
      <c r="EC488" s="164"/>
      <c r="ED488" s="164"/>
      <c r="EE488" s="164"/>
      <c r="EF488" s="164"/>
      <c r="EG488" s="164"/>
      <c r="EH488" s="164"/>
      <c r="EI488" s="164"/>
    </row>
    <row r="489" spans="76:139" x14ac:dyDescent="0.25">
      <c r="BX489" s="196"/>
      <c r="BY489" s="196"/>
      <c r="BZ489" s="196"/>
      <c r="CA489" s="196"/>
      <c r="CB489" s="196"/>
      <c r="CC489" s="196"/>
      <c r="CD489" s="196"/>
      <c r="CE489" s="196"/>
      <c r="CF489" s="196"/>
      <c r="CG489" s="196"/>
      <c r="CH489" s="196"/>
      <c r="CI489" s="196"/>
      <c r="CJ489" s="196"/>
      <c r="CK489" s="196"/>
      <c r="CL489" s="196"/>
      <c r="CM489" s="196"/>
      <c r="CN489" s="196"/>
      <c r="CO489" s="196"/>
      <c r="CP489" s="196"/>
      <c r="CQ489" s="196"/>
      <c r="CR489" s="196"/>
      <c r="CS489" s="196"/>
      <c r="CT489" s="196"/>
      <c r="CU489" s="196"/>
      <c r="CV489" s="196"/>
      <c r="CW489" s="196"/>
      <c r="CX489" s="196"/>
      <c r="CY489" s="196"/>
      <c r="CZ489" s="196"/>
      <c r="DA489" s="196"/>
      <c r="DB489" s="196"/>
      <c r="DC489" s="196"/>
      <c r="DD489" s="196"/>
      <c r="DE489" s="196"/>
      <c r="DF489" s="196"/>
      <c r="DG489" s="196"/>
      <c r="DH489" s="196"/>
      <c r="DI489" s="196"/>
      <c r="DJ489" s="196"/>
      <c r="DK489" s="196"/>
      <c r="DL489" s="196"/>
      <c r="DM489" s="196"/>
      <c r="DN489" s="196"/>
      <c r="DO489" s="196"/>
      <c r="DP489" s="196"/>
      <c r="DQ489" s="196"/>
      <c r="DR489" s="196"/>
      <c r="DS489" s="196"/>
      <c r="DT489" s="196"/>
      <c r="EA489" s="164"/>
      <c r="EB489" s="164"/>
      <c r="EC489" s="164"/>
      <c r="ED489" s="164"/>
      <c r="EE489" s="164"/>
      <c r="EF489" s="164"/>
      <c r="EG489" s="164"/>
      <c r="EH489" s="164"/>
      <c r="EI489" s="164"/>
    </row>
    <row r="490" spans="76:139" x14ac:dyDescent="0.25">
      <c r="BX490" s="196"/>
      <c r="BY490" s="196"/>
      <c r="BZ490" s="196"/>
      <c r="CA490" s="196"/>
      <c r="CB490" s="196"/>
      <c r="CC490" s="196"/>
      <c r="CD490" s="196"/>
      <c r="CE490" s="196"/>
      <c r="CF490" s="196"/>
      <c r="CG490" s="196"/>
      <c r="CH490" s="196"/>
      <c r="CI490" s="196"/>
      <c r="CJ490" s="196"/>
      <c r="CK490" s="196"/>
      <c r="CL490" s="196"/>
      <c r="CM490" s="196"/>
      <c r="CN490" s="196"/>
      <c r="CO490" s="196"/>
      <c r="CP490" s="196"/>
      <c r="CQ490" s="196"/>
      <c r="CR490" s="196"/>
      <c r="CS490" s="196"/>
      <c r="CT490" s="196"/>
      <c r="CU490" s="196"/>
      <c r="CV490" s="196"/>
      <c r="CW490" s="196"/>
      <c r="CX490" s="196"/>
      <c r="CY490" s="196"/>
      <c r="CZ490" s="196"/>
      <c r="DA490" s="196"/>
      <c r="DB490" s="196"/>
      <c r="DC490" s="196"/>
      <c r="DD490" s="196"/>
      <c r="DE490" s="196"/>
      <c r="DF490" s="196"/>
      <c r="DG490" s="196"/>
      <c r="DH490" s="196"/>
      <c r="DI490" s="196"/>
      <c r="DJ490" s="196"/>
      <c r="DK490" s="196"/>
      <c r="DL490" s="196"/>
      <c r="DM490" s="196"/>
      <c r="DN490" s="196"/>
      <c r="DO490" s="196"/>
      <c r="DP490" s="196"/>
      <c r="DQ490" s="196"/>
      <c r="DR490" s="196"/>
      <c r="DS490" s="196"/>
      <c r="DT490" s="196"/>
      <c r="EA490" s="164"/>
      <c r="EB490" s="164"/>
      <c r="EC490" s="164"/>
      <c r="ED490" s="164"/>
      <c r="EE490" s="164"/>
      <c r="EF490" s="164"/>
      <c r="EG490" s="164"/>
      <c r="EH490" s="164"/>
      <c r="EI490" s="164"/>
    </row>
    <row r="491" spans="76:139" x14ac:dyDescent="0.25">
      <c r="BX491" s="196"/>
      <c r="BY491" s="196"/>
      <c r="BZ491" s="196"/>
      <c r="CA491" s="196"/>
      <c r="CB491" s="196"/>
      <c r="CC491" s="196"/>
      <c r="CD491" s="196"/>
      <c r="CE491" s="196"/>
      <c r="CF491" s="196"/>
      <c r="CG491" s="196"/>
      <c r="CH491" s="196"/>
      <c r="CI491" s="196"/>
      <c r="CJ491" s="196"/>
      <c r="CK491" s="196"/>
      <c r="CL491" s="196"/>
      <c r="CM491" s="196"/>
      <c r="CN491" s="196"/>
      <c r="CO491" s="196"/>
      <c r="CP491" s="196"/>
      <c r="CQ491" s="196"/>
      <c r="CR491" s="196"/>
      <c r="CS491" s="196"/>
      <c r="CT491" s="196"/>
      <c r="CU491" s="196"/>
      <c r="CV491" s="196"/>
      <c r="CW491" s="196"/>
      <c r="CX491" s="196"/>
      <c r="CY491" s="196"/>
      <c r="CZ491" s="196"/>
      <c r="DA491" s="196"/>
      <c r="DB491" s="196"/>
      <c r="DC491" s="196"/>
      <c r="DD491" s="196"/>
      <c r="DE491" s="196"/>
      <c r="DF491" s="196"/>
      <c r="DG491" s="196"/>
      <c r="DH491" s="196"/>
      <c r="DI491" s="196"/>
      <c r="DJ491" s="196"/>
      <c r="DK491" s="196"/>
      <c r="DL491" s="196"/>
      <c r="DM491" s="196"/>
      <c r="DN491" s="196"/>
      <c r="DO491" s="196"/>
      <c r="DP491" s="196"/>
      <c r="DQ491" s="196"/>
      <c r="DR491" s="196"/>
      <c r="DS491" s="196"/>
      <c r="DT491" s="196"/>
      <c r="EA491" s="164"/>
      <c r="EB491" s="164"/>
      <c r="EC491" s="164"/>
      <c r="ED491" s="164"/>
      <c r="EE491" s="164"/>
      <c r="EF491" s="164"/>
      <c r="EG491" s="164"/>
      <c r="EH491" s="164"/>
      <c r="EI491" s="164"/>
    </row>
    <row r="492" spans="76:139" x14ac:dyDescent="0.25">
      <c r="BX492" s="196"/>
      <c r="BY492" s="196"/>
      <c r="BZ492" s="196"/>
      <c r="CA492" s="196"/>
      <c r="CB492" s="196"/>
      <c r="CC492" s="196"/>
      <c r="CD492" s="196"/>
      <c r="CE492" s="196"/>
      <c r="CF492" s="196"/>
      <c r="CG492" s="196"/>
      <c r="CH492" s="196"/>
      <c r="CI492" s="196"/>
      <c r="CJ492" s="196"/>
      <c r="CK492" s="196"/>
      <c r="CL492" s="196"/>
      <c r="CM492" s="196"/>
      <c r="CN492" s="196"/>
      <c r="CO492" s="196"/>
      <c r="CP492" s="196"/>
      <c r="CQ492" s="196"/>
      <c r="CR492" s="196"/>
      <c r="CS492" s="196"/>
      <c r="CT492" s="196"/>
      <c r="CU492" s="196"/>
      <c r="CV492" s="196"/>
      <c r="CW492" s="196"/>
      <c r="CX492" s="196"/>
      <c r="CY492" s="196"/>
      <c r="CZ492" s="196"/>
      <c r="DA492" s="196"/>
      <c r="DB492" s="196"/>
      <c r="DC492" s="196"/>
      <c r="DD492" s="196"/>
      <c r="DE492" s="196"/>
      <c r="DF492" s="196"/>
      <c r="DG492" s="196"/>
      <c r="DH492" s="196"/>
      <c r="DI492" s="196"/>
      <c r="DJ492" s="196"/>
      <c r="DK492" s="196"/>
      <c r="DL492" s="196"/>
      <c r="DM492" s="196"/>
      <c r="DN492" s="196"/>
      <c r="DO492" s="196"/>
      <c r="DP492" s="196"/>
      <c r="DQ492" s="196"/>
      <c r="DR492" s="196"/>
      <c r="DS492" s="196"/>
      <c r="DT492" s="196"/>
      <c r="EA492" s="164"/>
      <c r="EB492" s="164"/>
      <c r="EC492" s="164"/>
      <c r="ED492" s="164"/>
      <c r="EE492" s="164"/>
      <c r="EF492" s="164"/>
      <c r="EG492" s="164"/>
      <c r="EH492" s="164"/>
      <c r="EI492" s="164"/>
    </row>
    <row r="493" spans="76:139" x14ac:dyDescent="0.25">
      <c r="BX493" s="196"/>
      <c r="BY493" s="196"/>
      <c r="BZ493" s="196"/>
      <c r="CA493" s="196"/>
      <c r="CB493" s="196"/>
      <c r="CC493" s="196"/>
      <c r="CD493" s="196"/>
      <c r="CE493" s="196"/>
      <c r="CF493" s="196"/>
      <c r="CG493" s="196"/>
      <c r="CH493" s="196"/>
      <c r="CI493" s="196"/>
      <c r="CJ493" s="196"/>
      <c r="CK493" s="196"/>
      <c r="CL493" s="196"/>
      <c r="CM493" s="196"/>
      <c r="CN493" s="196"/>
      <c r="CO493" s="196"/>
      <c r="CP493" s="196"/>
      <c r="CQ493" s="196"/>
      <c r="CR493" s="196"/>
      <c r="CS493" s="196"/>
      <c r="CT493" s="196"/>
      <c r="CU493" s="196"/>
      <c r="CV493" s="196"/>
      <c r="CW493" s="196"/>
      <c r="CX493" s="196"/>
      <c r="CY493" s="196"/>
      <c r="CZ493" s="196"/>
      <c r="DA493" s="196"/>
      <c r="DB493" s="196"/>
      <c r="DC493" s="196"/>
      <c r="DD493" s="196"/>
      <c r="DE493" s="196"/>
      <c r="DF493" s="196"/>
      <c r="DG493" s="196"/>
      <c r="DH493" s="196"/>
      <c r="DI493" s="196"/>
      <c r="DJ493" s="196"/>
      <c r="DK493" s="196"/>
      <c r="DL493" s="196"/>
      <c r="DM493" s="196"/>
      <c r="DN493" s="196"/>
      <c r="DO493" s="196"/>
      <c r="DP493" s="196"/>
      <c r="DQ493" s="196"/>
      <c r="DR493" s="196"/>
      <c r="DS493" s="196"/>
      <c r="DT493" s="196"/>
      <c r="EA493" s="164"/>
      <c r="EB493" s="164"/>
      <c r="EC493" s="164"/>
      <c r="ED493" s="164"/>
      <c r="EE493" s="164"/>
      <c r="EF493" s="164"/>
      <c r="EG493" s="164"/>
      <c r="EH493" s="164"/>
      <c r="EI493" s="164"/>
    </row>
    <row r="494" spans="76:139" x14ac:dyDescent="0.25">
      <c r="BX494" s="196"/>
      <c r="BY494" s="196"/>
      <c r="BZ494" s="196"/>
      <c r="CA494" s="196"/>
      <c r="CB494" s="196"/>
      <c r="CC494" s="196"/>
      <c r="CD494" s="196"/>
      <c r="CE494" s="196"/>
      <c r="CF494" s="196"/>
      <c r="CG494" s="196"/>
      <c r="CH494" s="196"/>
      <c r="CI494" s="196"/>
      <c r="CJ494" s="196"/>
      <c r="CK494" s="196"/>
      <c r="CL494" s="196"/>
      <c r="CM494" s="196"/>
      <c r="CN494" s="196"/>
      <c r="CO494" s="196"/>
      <c r="CP494" s="196"/>
      <c r="CQ494" s="196"/>
      <c r="CR494" s="196"/>
      <c r="CS494" s="196"/>
      <c r="CT494" s="196"/>
      <c r="CU494" s="196"/>
      <c r="CV494" s="196"/>
      <c r="CW494" s="196"/>
      <c r="CX494" s="196"/>
      <c r="CY494" s="196"/>
      <c r="CZ494" s="196"/>
      <c r="DA494" s="196"/>
      <c r="DB494" s="196"/>
      <c r="DC494" s="196"/>
      <c r="DD494" s="196"/>
      <c r="DE494" s="196"/>
      <c r="DF494" s="196"/>
      <c r="DG494" s="196"/>
      <c r="DH494" s="196"/>
      <c r="DI494" s="196"/>
      <c r="DJ494" s="196"/>
      <c r="DK494" s="196"/>
      <c r="DL494" s="196"/>
      <c r="DM494" s="196"/>
      <c r="DN494" s="196"/>
      <c r="DO494" s="196"/>
      <c r="DP494" s="196"/>
      <c r="DQ494" s="196"/>
      <c r="DR494" s="196"/>
      <c r="DS494" s="196"/>
      <c r="DT494" s="196"/>
      <c r="EA494" s="164"/>
      <c r="EB494" s="164"/>
      <c r="EC494" s="164"/>
      <c r="ED494" s="164"/>
      <c r="EE494" s="164"/>
      <c r="EF494" s="164"/>
      <c r="EG494" s="164"/>
      <c r="EH494" s="164"/>
      <c r="EI494" s="164"/>
    </row>
    <row r="495" spans="76:139" x14ac:dyDescent="0.25">
      <c r="BX495" s="196"/>
      <c r="BY495" s="196"/>
      <c r="BZ495" s="196"/>
      <c r="CA495" s="196"/>
      <c r="CB495" s="196"/>
      <c r="CC495" s="196"/>
      <c r="CD495" s="196"/>
      <c r="CE495" s="196"/>
      <c r="CF495" s="196"/>
      <c r="CG495" s="196"/>
      <c r="CH495" s="196"/>
      <c r="CI495" s="196"/>
      <c r="CJ495" s="196"/>
      <c r="CK495" s="196"/>
      <c r="CL495" s="196"/>
      <c r="CM495" s="196"/>
      <c r="CN495" s="196"/>
      <c r="CO495" s="196"/>
      <c r="CP495" s="196"/>
      <c r="CQ495" s="196"/>
      <c r="CR495" s="196"/>
      <c r="CS495" s="196"/>
      <c r="CT495" s="196"/>
      <c r="CU495" s="196"/>
      <c r="CV495" s="196"/>
      <c r="CW495" s="196"/>
      <c r="CX495" s="196"/>
      <c r="CY495" s="196"/>
      <c r="CZ495" s="196"/>
      <c r="DA495" s="196"/>
      <c r="DB495" s="196"/>
      <c r="DC495" s="196"/>
      <c r="DD495" s="196"/>
      <c r="DE495" s="196"/>
      <c r="DF495" s="196"/>
      <c r="DG495" s="196"/>
      <c r="DH495" s="196"/>
      <c r="DI495" s="196"/>
      <c r="DJ495" s="196"/>
      <c r="DK495" s="196"/>
      <c r="DL495" s="196"/>
      <c r="DM495" s="196"/>
      <c r="DN495" s="196"/>
      <c r="DO495" s="196"/>
      <c r="DP495" s="196"/>
      <c r="DQ495" s="196"/>
      <c r="DR495" s="196"/>
      <c r="DS495" s="196"/>
      <c r="DT495" s="196"/>
      <c r="EA495" s="164"/>
      <c r="EB495" s="164"/>
      <c r="EC495" s="164"/>
      <c r="ED495" s="164"/>
      <c r="EE495" s="164"/>
      <c r="EF495" s="164"/>
      <c r="EG495" s="164"/>
      <c r="EH495" s="164"/>
      <c r="EI495" s="164"/>
    </row>
    <row r="496" spans="76:139" x14ac:dyDescent="0.25">
      <c r="BX496" s="196"/>
      <c r="BY496" s="196"/>
      <c r="BZ496" s="196"/>
      <c r="CA496" s="196"/>
      <c r="CB496" s="196"/>
      <c r="CC496" s="196"/>
      <c r="CD496" s="196"/>
      <c r="CE496" s="196"/>
      <c r="CF496" s="196"/>
      <c r="CG496" s="196"/>
      <c r="CH496" s="196"/>
      <c r="CI496" s="196"/>
      <c r="CJ496" s="196"/>
      <c r="CK496" s="196"/>
      <c r="CL496" s="196"/>
      <c r="CM496" s="196"/>
      <c r="CN496" s="196"/>
      <c r="CO496" s="196"/>
      <c r="CP496" s="196"/>
      <c r="CQ496" s="196"/>
      <c r="CR496" s="196"/>
      <c r="CS496" s="196"/>
      <c r="CT496" s="196"/>
      <c r="CU496" s="196"/>
      <c r="CV496" s="196"/>
      <c r="CW496" s="196"/>
      <c r="CX496" s="196"/>
      <c r="CY496" s="196"/>
      <c r="CZ496" s="196"/>
      <c r="DA496" s="196"/>
      <c r="DB496" s="196"/>
      <c r="DC496" s="196"/>
      <c r="DD496" s="196"/>
      <c r="DE496" s="196"/>
      <c r="DF496" s="196"/>
      <c r="DG496" s="196"/>
      <c r="DH496" s="196"/>
      <c r="DI496" s="196"/>
      <c r="DJ496" s="196"/>
      <c r="DK496" s="196"/>
      <c r="DL496" s="196"/>
      <c r="DM496" s="196"/>
      <c r="DN496" s="196"/>
      <c r="DO496" s="196"/>
      <c r="DP496" s="196"/>
      <c r="DQ496" s="196"/>
      <c r="DR496" s="196"/>
      <c r="DS496" s="196"/>
      <c r="DT496" s="196"/>
      <c r="EA496" s="164"/>
      <c r="EB496" s="164"/>
      <c r="EC496" s="164"/>
      <c r="ED496" s="164"/>
      <c r="EE496" s="164"/>
      <c r="EF496" s="164"/>
      <c r="EG496" s="164"/>
      <c r="EH496" s="164"/>
      <c r="EI496" s="164"/>
    </row>
    <row r="497" spans="6:139" x14ac:dyDescent="0.25">
      <c r="BX497" s="196"/>
      <c r="BY497" s="196"/>
      <c r="BZ497" s="196"/>
      <c r="CA497" s="196"/>
      <c r="CB497" s="196"/>
      <c r="CC497" s="196"/>
      <c r="CD497" s="196"/>
      <c r="CE497" s="196"/>
      <c r="CF497" s="196"/>
      <c r="CG497" s="196"/>
      <c r="CH497" s="196"/>
      <c r="CI497" s="196"/>
      <c r="CJ497" s="196"/>
      <c r="CK497" s="196"/>
      <c r="CL497" s="196"/>
      <c r="CM497" s="196"/>
      <c r="CN497" s="196"/>
      <c r="CO497" s="196"/>
      <c r="CP497" s="196"/>
      <c r="CQ497" s="196"/>
      <c r="CR497" s="196"/>
      <c r="CS497" s="196"/>
      <c r="CT497" s="196"/>
      <c r="CU497" s="196"/>
      <c r="CV497" s="196"/>
      <c r="CW497" s="196"/>
      <c r="CX497" s="196"/>
      <c r="CY497" s="196"/>
      <c r="CZ497" s="196"/>
      <c r="DA497" s="196"/>
      <c r="DB497" s="196"/>
      <c r="DC497" s="196"/>
      <c r="DD497" s="196"/>
      <c r="DE497" s="196"/>
      <c r="DF497" s="196"/>
      <c r="DG497" s="196"/>
      <c r="DH497" s="196"/>
      <c r="DI497" s="196"/>
      <c r="DJ497" s="196"/>
      <c r="DK497" s="196"/>
      <c r="DL497" s="196"/>
      <c r="DM497" s="196"/>
      <c r="DN497" s="196"/>
      <c r="DO497" s="196"/>
      <c r="DP497" s="196"/>
      <c r="DQ497" s="196"/>
      <c r="DR497" s="196"/>
      <c r="DS497" s="196"/>
      <c r="DT497" s="196"/>
      <c r="EA497" s="164"/>
      <c r="EB497" s="164"/>
      <c r="EC497" s="164"/>
      <c r="ED497" s="164"/>
      <c r="EE497" s="164"/>
      <c r="EF497" s="164"/>
      <c r="EG497" s="164"/>
      <c r="EH497" s="164"/>
      <c r="EI497" s="164"/>
    </row>
    <row r="498" spans="6:139" x14ac:dyDescent="0.25">
      <c r="F498" s="73"/>
      <c r="BX498" s="196"/>
      <c r="BY498" s="196"/>
      <c r="BZ498" s="196"/>
      <c r="CA498" s="196"/>
      <c r="CB498" s="196"/>
      <c r="CC498" s="196"/>
      <c r="CD498" s="196"/>
      <c r="CE498" s="196"/>
      <c r="CF498" s="196"/>
      <c r="CG498" s="196"/>
      <c r="CH498" s="196"/>
      <c r="CI498" s="196"/>
      <c r="CJ498" s="196"/>
      <c r="CK498" s="196"/>
      <c r="CL498" s="196"/>
      <c r="CM498" s="196"/>
      <c r="CN498" s="196"/>
      <c r="CO498" s="196"/>
      <c r="CP498" s="196"/>
      <c r="CQ498" s="196"/>
      <c r="CR498" s="196"/>
      <c r="CS498" s="196"/>
      <c r="CT498" s="196"/>
      <c r="CU498" s="196"/>
      <c r="CV498" s="196"/>
      <c r="CW498" s="196"/>
      <c r="CX498" s="196"/>
      <c r="CY498" s="196"/>
      <c r="CZ498" s="196"/>
      <c r="DA498" s="196"/>
      <c r="DB498" s="196"/>
      <c r="DC498" s="196"/>
      <c r="DD498" s="196"/>
      <c r="DE498" s="196"/>
      <c r="DF498" s="196"/>
      <c r="DG498" s="196"/>
      <c r="DH498" s="196"/>
      <c r="DI498" s="196"/>
      <c r="DJ498" s="196"/>
      <c r="DK498" s="196"/>
      <c r="DL498" s="196"/>
      <c r="DM498" s="196"/>
      <c r="DN498" s="196"/>
      <c r="DO498" s="196"/>
      <c r="DP498" s="196"/>
      <c r="DQ498" s="196"/>
      <c r="DR498" s="196"/>
      <c r="DS498" s="196"/>
      <c r="DT498" s="196"/>
      <c r="EA498" s="164"/>
      <c r="EB498" s="164"/>
      <c r="EC498" s="164"/>
      <c r="ED498" s="164"/>
      <c r="EE498" s="164"/>
      <c r="EF498" s="164"/>
      <c r="EG498" s="164"/>
      <c r="EH498" s="164"/>
      <c r="EI498" s="164"/>
    </row>
    <row r="499" spans="6:139" ht="15.75" thickBot="1" x14ac:dyDescent="0.3">
      <c r="F499" s="10"/>
      <c r="BX499" s="196"/>
      <c r="BY499" s="196"/>
      <c r="BZ499" s="196"/>
      <c r="CA499" s="196"/>
      <c r="CB499" s="196"/>
      <c r="CC499" s="196"/>
      <c r="CD499" s="196"/>
      <c r="CE499" s="196"/>
      <c r="CF499" s="196"/>
      <c r="CG499" s="196"/>
      <c r="CH499" s="196"/>
      <c r="CI499" s="196"/>
      <c r="CJ499" s="196"/>
      <c r="CK499" s="196"/>
      <c r="CL499" s="196"/>
      <c r="CM499" s="196"/>
      <c r="CN499" s="196"/>
      <c r="CO499" s="196"/>
      <c r="CP499" s="196"/>
      <c r="CQ499" s="196"/>
      <c r="CR499" s="196"/>
      <c r="CS499" s="196"/>
      <c r="CT499" s="196"/>
      <c r="CU499" s="196"/>
      <c r="CV499" s="196"/>
      <c r="CW499" s="196"/>
      <c r="CX499" s="196"/>
      <c r="CY499" s="196"/>
      <c r="CZ499" s="196"/>
      <c r="DA499" s="196"/>
      <c r="DB499" s="196"/>
      <c r="DC499" s="196"/>
      <c r="DD499" s="196"/>
      <c r="DE499" s="196"/>
      <c r="DF499" s="196"/>
      <c r="DG499" s="196"/>
      <c r="DH499" s="196"/>
      <c r="DI499" s="196"/>
      <c r="DJ499" s="196"/>
      <c r="DK499" s="196"/>
      <c r="DL499" s="196"/>
      <c r="DM499" s="196"/>
      <c r="DN499" s="196"/>
      <c r="DO499" s="196"/>
      <c r="DP499" s="196"/>
      <c r="DQ499" s="196"/>
      <c r="DR499" s="196"/>
      <c r="DS499" s="196"/>
      <c r="DT499" s="196"/>
      <c r="EA499" s="164"/>
      <c r="EB499" s="164"/>
      <c r="EC499" s="164"/>
      <c r="ED499" s="164"/>
      <c r="EE499" s="164"/>
      <c r="EF499" s="164"/>
      <c r="EG499" s="164"/>
      <c r="EH499" s="164"/>
      <c r="EI499" s="164"/>
    </row>
    <row r="500" spans="6:139" ht="16.5" thickTop="1" thickBot="1" x14ac:dyDescent="0.3">
      <c r="F500" s="10"/>
      <c r="AA500" s="559" t="s">
        <v>146</v>
      </c>
      <c r="AB500" s="562"/>
      <c r="AC500" s="560"/>
      <c r="AD500" s="560"/>
      <c r="AE500" s="560"/>
      <c r="AF500" s="560"/>
      <c r="AG500" s="561"/>
      <c r="AH500" s="44">
        <f>$AH$502</f>
        <v>0</v>
      </c>
      <c r="AI500" s="266" t="str">
        <f>IF(OR($A$3=0,$A$3="0",$AH$502=0),"0",IF($AH$502&gt;$A$3,$A$3,$AH$502))</f>
        <v>0</v>
      </c>
      <c r="BA500" s="559" t="s">
        <v>148</v>
      </c>
      <c r="BB500" s="562"/>
      <c r="BC500" s="560"/>
      <c r="BD500" s="560"/>
      <c r="BE500" s="560"/>
      <c r="BF500" s="560"/>
      <c r="BG500" s="561"/>
      <c r="BH500" s="44">
        <f>$BH$502</f>
        <v>0</v>
      </c>
      <c r="BX500" s="196"/>
      <c r="BY500" s="196"/>
      <c r="BZ500" s="196"/>
      <c r="CA500" s="196"/>
      <c r="CB500" s="196"/>
      <c r="CC500" s="196"/>
      <c r="CD500" s="196"/>
      <c r="CE500" s="196"/>
      <c r="CF500" s="196"/>
      <c r="CG500" s="196"/>
      <c r="CH500" s="196"/>
      <c r="CI500" s="196"/>
      <c r="CJ500" s="196"/>
      <c r="CK500" s="196"/>
      <c r="CL500" s="196"/>
      <c r="CM500" s="196"/>
      <c r="CN500" s="196"/>
      <c r="CO500" s="196"/>
      <c r="CP500" s="196"/>
      <c r="CQ500" s="196"/>
      <c r="CR500" s="196"/>
      <c r="CS500" s="196"/>
      <c r="CT500" s="196"/>
      <c r="CU500" s="196"/>
      <c r="CV500" s="196"/>
      <c r="CW500" s="196"/>
      <c r="CX500" s="196"/>
      <c r="CY500" s="196"/>
      <c r="CZ500" s="196"/>
      <c r="DA500" s="196"/>
      <c r="DB500" s="196"/>
      <c r="DC500" s="196"/>
      <c r="DD500" s="196"/>
      <c r="DE500" s="196"/>
      <c r="DF500" s="196"/>
      <c r="DG500" s="196"/>
      <c r="DH500" s="196"/>
      <c r="DI500" s="196"/>
      <c r="DJ500" s="196"/>
      <c r="DK500" s="196"/>
      <c r="DL500" s="196"/>
      <c r="DM500" s="196"/>
      <c r="DN500" s="196"/>
      <c r="DO500" s="196"/>
      <c r="DP500" s="196"/>
      <c r="DQ500" s="196"/>
      <c r="DR500" s="196"/>
      <c r="DS500" s="196"/>
      <c r="DT500" s="196"/>
      <c r="EA500" s="164"/>
      <c r="EB500" s="164"/>
      <c r="EC500" s="164"/>
      <c r="ED500" s="164"/>
      <c r="EE500" s="164"/>
      <c r="EF500" s="164"/>
      <c r="EG500" s="164"/>
      <c r="EH500" s="164"/>
      <c r="EI500" s="164"/>
    </row>
    <row r="501" spans="6:139" ht="16.5" thickTop="1" thickBot="1" x14ac:dyDescent="0.3">
      <c r="F501" s="10"/>
      <c r="AA501" s="67" t="s">
        <v>55</v>
      </c>
      <c r="AB501" s="5">
        <f>$AB$519</f>
        <v>0</v>
      </c>
      <c r="BA501" s="90" t="s">
        <v>55</v>
      </c>
      <c r="BB501" s="5">
        <f>$BB$519</f>
        <v>0</v>
      </c>
      <c r="BX501" s="196"/>
      <c r="BY501" s="196"/>
      <c r="BZ501" s="196"/>
      <c r="CA501" s="196"/>
      <c r="CB501" s="196"/>
      <c r="CC501" s="196"/>
      <c r="CD501" s="196"/>
      <c r="CE501" s="196"/>
      <c r="CF501" s="196"/>
      <c r="CG501" s="196"/>
      <c r="CH501" s="196"/>
      <c r="CI501" s="196"/>
      <c r="CJ501" s="196"/>
      <c r="CK501" s="196"/>
      <c r="CL501" s="196"/>
      <c r="CM501" s="196"/>
      <c r="CN501" s="196"/>
      <c r="CO501" s="196"/>
      <c r="CP501" s="196"/>
      <c r="CQ501" s="196"/>
      <c r="CR501" s="196"/>
      <c r="CS501" s="196"/>
      <c r="CT501" s="196"/>
      <c r="CU501" s="196"/>
      <c r="CV501" s="196"/>
      <c r="CW501" s="196"/>
      <c r="CX501" s="196"/>
      <c r="CY501" s="196"/>
      <c r="CZ501" s="196"/>
      <c r="DA501" s="196"/>
      <c r="DB501" s="196"/>
      <c r="DC501" s="196"/>
      <c r="DD501" s="196"/>
      <c r="DE501" s="196"/>
      <c r="DF501" s="196"/>
      <c r="DG501" s="196"/>
      <c r="DH501" s="196"/>
      <c r="DI501" s="196"/>
      <c r="DJ501" s="196"/>
      <c r="DK501" s="196"/>
      <c r="DL501" s="196"/>
      <c r="DM501" s="196"/>
      <c r="DN501" s="196"/>
      <c r="DO501" s="196"/>
      <c r="DP501" s="196"/>
      <c r="DQ501" s="196"/>
      <c r="DR501" s="196"/>
      <c r="DS501" s="196"/>
      <c r="DT501" s="196"/>
      <c r="EA501" s="164"/>
      <c r="EB501" s="164"/>
      <c r="EC501" s="164"/>
      <c r="ED501" s="164"/>
      <c r="EE501" s="164"/>
      <c r="EF501" s="164"/>
      <c r="EG501" s="164"/>
      <c r="EH501" s="164"/>
      <c r="EI501" s="164"/>
    </row>
    <row r="502" spans="6:139" ht="16.5" thickTop="1" thickBot="1" x14ac:dyDescent="0.3">
      <c r="F502" s="10"/>
      <c r="AA502" s="67" t="s">
        <v>56</v>
      </c>
      <c r="AB502" s="5">
        <f>$AB$533</f>
        <v>0</v>
      </c>
      <c r="AG502" s="149" t="str">
        <f>IF($AH$502&lt;=$AH$500,"","")</f>
        <v/>
      </c>
      <c r="AH502" s="79">
        <f>$AH$505+$AH$504</f>
        <v>0</v>
      </c>
      <c r="BA502" s="90" t="s">
        <v>56</v>
      </c>
      <c r="BB502" s="5">
        <f>$BB$533</f>
        <v>0</v>
      </c>
      <c r="BG502" s="149" t="str">
        <f>IF($BH$502&lt;=$BH$500,"","")</f>
        <v/>
      </c>
      <c r="BH502" s="79">
        <f>$BH$505+$BH$504</f>
        <v>0</v>
      </c>
      <c r="BX502" s="196"/>
      <c r="BY502" s="196"/>
      <c r="BZ502" s="196"/>
      <c r="CA502" s="196"/>
      <c r="CB502" s="196"/>
      <c r="CC502" s="196"/>
      <c r="CD502" s="196"/>
      <c r="CE502" s="196"/>
      <c r="CF502" s="196"/>
      <c r="CG502" s="196"/>
      <c r="CH502" s="196"/>
      <c r="CI502" s="196"/>
      <c r="CJ502" s="196"/>
      <c r="CK502" s="196"/>
      <c r="CL502" s="196"/>
      <c r="CM502" s="196"/>
      <c r="CN502" s="196"/>
      <c r="CO502" s="196"/>
      <c r="CP502" s="196"/>
      <c r="CQ502" s="196"/>
      <c r="CR502" s="196"/>
      <c r="CS502" s="196"/>
      <c r="CT502" s="196"/>
      <c r="CU502" s="196"/>
      <c r="CV502" s="196"/>
      <c r="CW502" s="196"/>
      <c r="CX502" s="196"/>
      <c r="CY502" s="196"/>
      <c r="CZ502" s="196"/>
      <c r="DA502" s="196"/>
      <c r="DB502" s="196"/>
      <c r="DC502" s="196"/>
      <c r="DD502" s="196"/>
      <c r="DE502" s="196"/>
      <c r="DF502" s="196"/>
      <c r="DG502" s="196"/>
      <c r="DH502" s="196"/>
      <c r="DI502" s="196"/>
      <c r="DJ502" s="196"/>
      <c r="DK502" s="196"/>
      <c r="DL502" s="196"/>
      <c r="DM502" s="196"/>
      <c r="DN502" s="196"/>
      <c r="DO502" s="196"/>
      <c r="DP502" s="196"/>
      <c r="DQ502" s="196"/>
      <c r="DR502" s="196"/>
      <c r="DS502" s="196"/>
      <c r="DT502" s="196"/>
      <c r="EA502" s="164"/>
      <c r="EB502" s="164"/>
      <c r="EC502" s="164"/>
      <c r="ED502" s="164"/>
      <c r="EE502" s="164"/>
      <c r="EF502" s="164"/>
      <c r="EG502" s="164"/>
      <c r="EH502" s="164"/>
      <c r="EI502" s="164"/>
    </row>
    <row r="503" spans="6:139" ht="16.5" thickTop="1" thickBot="1" x14ac:dyDescent="0.3">
      <c r="F503" s="10"/>
      <c r="AA503" s="67" t="s">
        <v>57</v>
      </c>
      <c r="AB503" s="5">
        <f>$AB$547</f>
        <v>0</v>
      </c>
      <c r="BA503" s="90" t="s">
        <v>57</v>
      </c>
      <c r="BB503" s="5">
        <f>$BB$547</f>
        <v>0</v>
      </c>
      <c r="BX503" s="196"/>
      <c r="BY503" s="196"/>
      <c r="BZ503" s="196"/>
      <c r="CA503" s="196"/>
      <c r="CB503" s="196"/>
      <c r="CC503" s="196"/>
      <c r="CD503" s="196"/>
      <c r="CE503" s="196"/>
      <c r="CF503" s="196"/>
      <c r="CG503" s="196"/>
      <c r="CH503" s="196"/>
      <c r="CI503" s="196"/>
      <c r="CJ503" s="196"/>
      <c r="CK503" s="196"/>
      <c r="CL503" s="196"/>
      <c r="CM503" s="196"/>
      <c r="CN503" s="196"/>
      <c r="CO503" s="196"/>
      <c r="CP503" s="196"/>
      <c r="CQ503" s="196"/>
      <c r="CR503" s="196"/>
      <c r="CS503" s="196"/>
      <c r="CT503" s="196"/>
      <c r="CU503" s="196"/>
      <c r="CV503" s="196"/>
      <c r="CW503" s="196"/>
      <c r="CX503" s="196"/>
      <c r="CY503" s="196"/>
      <c r="CZ503" s="196"/>
      <c r="DA503" s="196"/>
      <c r="DB503" s="196"/>
      <c r="DC503" s="196"/>
      <c r="DD503" s="196"/>
      <c r="DE503" s="196"/>
      <c r="DF503" s="196"/>
      <c r="DG503" s="196"/>
      <c r="DH503" s="196"/>
      <c r="DI503" s="196"/>
      <c r="DJ503" s="196"/>
      <c r="DK503" s="196"/>
      <c r="DL503" s="196"/>
      <c r="DM503" s="196"/>
      <c r="DN503" s="196"/>
      <c r="DO503" s="196"/>
      <c r="DP503" s="196"/>
      <c r="DQ503" s="196"/>
      <c r="DR503" s="196"/>
      <c r="DS503" s="196"/>
      <c r="DT503" s="196"/>
      <c r="EA503" s="164"/>
      <c r="EB503" s="164"/>
      <c r="EC503" s="164"/>
      <c r="ED503" s="164"/>
      <c r="EE503" s="164"/>
      <c r="EF503" s="164"/>
      <c r="EG503" s="164"/>
      <c r="EH503" s="164"/>
      <c r="EI503" s="164"/>
    </row>
    <row r="504" spans="6:139" ht="16.5" thickTop="1" thickBot="1" x14ac:dyDescent="0.3">
      <c r="F504" s="10"/>
      <c r="AA504" s="67" t="s">
        <v>58</v>
      </c>
      <c r="AB504" s="5">
        <f>$AB$561</f>
        <v>0</v>
      </c>
      <c r="AF504" s="500" t="s">
        <v>15</v>
      </c>
      <c r="AG504" s="501"/>
      <c r="AH504" s="5">
        <f>$AH$589*$AB$518</f>
        <v>0</v>
      </c>
      <c r="BA504" s="90" t="s">
        <v>58</v>
      </c>
      <c r="BB504" s="5">
        <f>$BB$561</f>
        <v>0</v>
      </c>
      <c r="BF504" s="500" t="s">
        <v>15</v>
      </c>
      <c r="BG504" s="501"/>
      <c r="BH504" s="5">
        <f>$BH$589*$BB$518</f>
        <v>0</v>
      </c>
      <c r="BX504" s="196"/>
      <c r="BY504" s="196"/>
      <c r="BZ504" s="196"/>
      <c r="CA504" s="196"/>
      <c r="CB504" s="196"/>
      <c r="CC504" s="196"/>
      <c r="CD504" s="196"/>
      <c r="CE504" s="196"/>
      <c r="CF504" s="196"/>
      <c r="CG504" s="196"/>
      <c r="CH504" s="196"/>
      <c r="CI504" s="196"/>
      <c r="CJ504" s="196"/>
      <c r="CK504" s="196"/>
      <c r="CL504" s="196"/>
      <c r="CM504" s="196"/>
      <c r="CN504" s="196"/>
      <c r="CO504" s="196"/>
      <c r="CP504" s="196"/>
      <c r="CQ504" s="196"/>
      <c r="CR504" s="196"/>
      <c r="CS504" s="196"/>
      <c r="CT504" s="196"/>
      <c r="CU504" s="196"/>
      <c r="CV504" s="196"/>
      <c r="CW504" s="196"/>
      <c r="CX504" s="196"/>
      <c r="CY504" s="196"/>
      <c r="CZ504" s="196"/>
      <c r="DA504" s="196"/>
      <c r="DB504" s="196"/>
      <c r="DC504" s="196"/>
      <c r="DD504" s="196"/>
      <c r="DE504" s="196"/>
      <c r="DF504" s="196"/>
      <c r="DG504" s="196"/>
      <c r="DH504" s="196"/>
      <c r="DI504" s="196"/>
      <c r="DJ504" s="196"/>
      <c r="DK504" s="196"/>
      <c r="DL504" s="196"/>
      <c r="DM504" s="196"/>
      <c r="DN504" s="196"/>
      <c r="DO504" s="196"/>
      <c r="DP504" s="196"/>
      <c r="DQ504" s="196"/>
      <c r="DR504" s="196"/>
      <c r="DS504" s="196"/>
      <c r="DT504" s="196"/>
      <c r="EA504" s="164"/>
      <c r="EB504" s="164"/>
      <c r="EC504" s="164"/>
      <c r="ED504" s="164"/>
      <c r="EE504" s="164"/>
      <c r="EF504" s="164"/>
      <c r="EG504" s="164"/>
      <c r="EH504" s="164"/>
      <c r="EI504" s="164"/>
    </row>
    <row r="505" spans="6:139" ht="16.5" thickTop="1" thickBot="1" x14ac:dyDescent="0.3">
      <c r="F505" s="73"/>
      <c r="AA505" s="67" t="s">
        <v>59</v>
      </c>
      <c r="AB505" s="5">
        <f>$AB$575</f>
        <v>0</v>
      </c>
      <c r="AF505" s="502" t="s">
        <v>11</v>
      </c>
      <c r="AG505" s="503"/>
      <c r="AH505" s="5">
        <f>SUM($AB$501:$AB$505)</f>
        <v>0</v>
      </c>
      <c r="BA505" s="90" t="s">
        <v>59</v>
      </c>
      <c r="BB505" s="5">
        <f>$BB$575</f>
        <v>0</v>
      </c>
      <c r="BF505" s="502" t="s">
        <v>11</v>
      </c>
      <c r="BG505" s="503"/>
      <c r="BH505" s="5">
        <f>SUM($BB$501:$BB$505)</f>
        <v>0</v>
      </c>
      <c r="BX505" s="196"/>
      <c r="BY505" s="196"/>
      <c r="BZ505" s="196"/>
      <c r="CA505" s="196"/>
      <c r="CB505" s="196"/>
      <c r="CC505" s="196"/>
      <c r="CD505" s="196"/>
      <c r="CE505" s="196"/>
      <c r="CF505" s="196"/>
      <c r="CG505" s="196"/>
      <c r="CH505" s="196"/>
      <c r="CI505" s="196"/>
      <c r="CJ505" s="196"/>
      <c r="CK505" s="196"/>
      <c r="CL505" s="196"/>
      <c r="CM505" s="196"/>
      <c r="CN505" s="196"/>
      <c r="CO505" s="196"/>
      <c r="CP505" s="196"/>
      <c r="CQ505" s="196"/>
      <c r="CR505" s="196"/>
      <c r="CS505" s="196"/>
      <c r="CT505" s="196"/>
      <c r="CU505" s="196"/>
      <c r="CV505" s="196"/>
      <c r="CW505" s="196"/>
      <c r="CX505" s="196"/>
      <c r="CY505" s="196"/>
      <c r="CZ505" s="196"/>
      <c r="DA505" s="196"/>
      <c r="DB505" s="196"/>
      <c r="DC505" s="196"/>
      <c r="DD505" s="196"/>
      <c r="DE505" s="196"/>
      <c r="DF505" s="196"/>
      <c r="DG505" s="196"/>
      <c r="DH505" s="196"/>
      <c r="DI505" s="196"/>
      <c r="DJ505" s="196"/>
      <c r="DK505" s="196"/>
      <c r="DL505" s="196"/>
      <c r="DM505" s="196"/>
      <c r="DN505" s="196"/>
      <c r="DO505" s="196"/>
      <c r="DP505" s="196"/>
      <c r="DQ505" s="196"/>
      <c r="DR505" s="196"/>
      <c r="DS505" s="196"/>
      <c r="DT505" s="196"/>
      <c r="EA505" s="164"/>
      <c r="EB505" s="164"/>
      <c r="EC505" s="164"/>
      <c r="ED505" s="164"/>
      <c r="EE505" s="164"/>
      <c r="EF505" s="164"/>
      <c r="EG505" s="164"/>
      <c r="EH505" s="164"/>
      <c r="EI505" s="164"/>
    </row>
    <row r="506" spans="6:139" ht="16.5" thickTop="1" thickBot="1" x14ac:dyDescent="0.3">
      <c r="BX506" s="196"/>
      <c r="BY506" s="196"/>
      <c r="BZ506" s="196"/>
      <c r="CA506" s="196"/>
      <c r="CB506" s="196"/>
      <c r="CC506" s="196"/>
      <c r="CD506" s="196"/>
      <c r="CE506" s="196"/>
      <c r="CF506" s="196"/>
      <c r="CG506" s="196"/>
      <c r="CH506" s="196"/>
      <c r="CI506" s="196"/>
      <c r="CJ506" s="196"/>
      <c r="CK506" s="196"/>
      <c r="CL506" s="196"/>
      <c r="CM506" s="196"/>
      <c r="CN506" s="196"/>
      <c r="CO506" s="196"/>
      <c r="CP506" s="196"/>
      <c r="CQ506" s="196"/>
      <c r="CR506" s="196"/>
      <c r="CS506" s="196"/>
      <c r="CT506" s="196"/>
      <c r="CU506" s="196"/>
      <c r="CV506" s="196"/>
      <c r="CW506" s="196"/>
      <c r="CX506" s="196"/>
      <c r="CY506" s="196"/>
      <c r="CZ506" s="196"/>
      <c r="DA506" s="196"/>
      <c r="DB506" s="196"/>
      <c r="DC506" s="196"/>
      <c r="DD506" s="196"/>
      <c r="DE506" s="196"/>
      <c r="DF506" s="196"/>
      <c r="DG506" s="196"/>
      <c r="DH506" s="196"/>
      <c r="DI506" s="196"/>
      <c r="DJ506" s="196"/>
      <c r="DK506" s="196"/>
      <c r="DL506" s="196"/>
      <c r="DM506" s="196"/>
      <c r="DN506" s="196"/>
      <c r="DO506" s="196"/>
      <c r="DP506" s="196"/>
      <c r="DQ506" s="196"/>
      <c r="DR506" s="196"/>
      <c r="DS506" s="196"/>
      <c r="DT506" s="196"/>
      <c r="EA506" s="164"/>
      <c r="EB506" s="164"/>
      <c r="EC506" s="164"/>
      <c r="ED506" s="164"/>
      <c r="EE506" s="164"/>
      <c r="EF506" s="164"/>
      <c r="EG506" s="164"/>
      <c r="EH506" s="164"/>
      <c r="EI506" s="164"/>
    </row>
    <row r="507" spans="6:139" ht="15.75" thickBot="1" x14ac:dyDescent="0.3">
      <c r="AA507" s="48" t="s">
        <v>31</v>
      </c>
      <c r="AB507" s="49">
        <f>AVERAGE($AC$507:$AD$507)</f>
        <v>0</v>
      </c>
      <c r="AC507" s="50">
        <f>SUM($AC$508:$AC$515)</f>
        <v>0</v>
      </c>
      <c r="AD507" s="50">
        <f>SUM($AD$508:$AD$515)</f>
        <v>0</v>
      </c>
      <c r="AE507" s="49"/>
      <c r="AF507" s="49"/>
      <c r="AG507" s="49"/>
      <c r="AH507" s="69"/>
      <c r="BA507" s="48" t="s">
        <v>31</v>
      </c>
      <c r="BB507" s="49">
        <f>AVERAGE($BC$507:$BD$507)</f>
        <v>0</v>
      </c>
      <c r="BC507" s="50">
        <f>SUM($BC$508:$BC$515)</f>
        <v>0</v>
      </c>
      <c r="BD507" s="50">
        <f>SUM($BD$508:$BD$515)</f>
        <v>0</v>
      </c>
      <c r="BE507" s="49"/>
      <c r="BF507" s="49"/>
      <c r="BG507" s="49"/>
      <c r="BH507" s="69"/>
      <c r="BX507" s="196"/>
      <c r="BY507" s="196"/>
      <c r="BZ507" s="196"/>
      <c r="CA507" s="196"/>
      <c r="CB507" s="196"/>
      <c r="CC507" s="196"/>
      <c r="CD507" s="196"/>
      <c r="CE507" s="196"/>
      <c r="CF507" s="196"/>
      <c r="CG507" s="196"/>
      <c r="CH507" s="196"/>
      <c r="CI507" s="196"/>
      <c r="CJ507" s="196"/>
      <c r="CK507" s="196"/>
      <c r="CL507" s="196"/>
      <c r="CM507" s="196"/>
      <c r="CN507" s="196"/>
      <c r="CO507" s="196"/>
      <c r="CP507" s="196"/>
      <c r="CQ507" s="196"/>
      <c r="CR507" s="196"/>
      <c r="CS507" s="196"/>
      <c r="CT507" s="196"/>
      <c r="CU507" s="196"/>
      <c r="CV507" s="196"/>
      <c r="CW507" s="196"/>
      <c r="CX507" s="196"/>
      <c r="CY507" s="196"/>
      <c r="CZ507" s="196"/>
      <c r="DA507" s="196"/>
      <c r="DB507" s="196"/>
      <c r="DC507" s="196"/>
      <c r="DD507" s="196"/>
      <c r="DE507" s="196"/>
      <c r="DF507" s="196"/>
      <c r="DG507" s="196"/>
      <c r="DH507" s="196"/>
      <c r="DI507" s="196"/>
      <c r="DJ507" s="196"/>
      <c r="DK507" s="196"/>
      <c r="DL507" s="196"/>
      <c r="DM507" s="196"/>
      <c r="DN507" s="196"/>
      <c r="DO507" s="196"/>
      <c r="DP507" s="196"/>
      <c r="DQ507" s="196"/>
      <c r="DR507" s="196"/>
      <c r="DS507" s="196"/>
      <c r="DT507" s="196"/>
      <c r="EA507" s="164"/>
      <c r="EB507" s="164"/>
      <c r="EC507" s="164"/>
      <c r="ED507" s="164"/>
      <c r="EE507" s="164"/>
      <c r="EF507" s="164"/>
      <c r="EG507" s="164"/>
      <c r="EH507" s="164"/>
      <c r="EI507" s="164"/>
    </row>
    <row r="508" spans="6:139" ht="16.5" thickTop="1" thickBot="1" x14ac:dyDescent="0.3">
      <c r="AA508" s="27">
        <f>$B$29</f>
        <v>0.3</v>
      </c>
      <c r="AB508" s="26">
        <f>($AB$507*$AA$508)+$AB$507</f>
        <v>0</v>
      </c>
      <c r="AC508" s="18">
        <v>0</v>
      </c>
      <c r="AD508" s="18">
        <v>0</v>
      </c>
      <c r="AE508" s="26"/>
      <c r="AF508" s="26"/>
      <c r="AG508" s="26"/>
      <c r="AH508" s="36"/>
      <c r="BA508" s="27">
        <f>$B$29</f>
        <v>0.3</v>
      </c>
      <c r="BB508" s="26">
        <f>($BB$507*$BA$508)+$BB$507</f>
        <v>0</v>
      </c>
      <c r="BC508" s="18">
        <v>0</v>
      </c>
      <c r="BD508" s="18">
        <v>0</v>
      </c>
      <c r="BE508" s="26"/>
      <c r="BF508" s="26"/>
      <c r="BG508" s="26"/>
      <c r="BH508" s="36"/>
      <c r="BX508" s="196"/>
      <c r="BY508" s="196"/>
      <c r="BZ508" s="196"/>
      <c r="CA508" s="196"/>
      <c r="CB508" s="196"/>
      <c r="CC508" s="196"/>
      <c r="CD508" s="196"/>
      <c r="CE508" s="196"/>
      <c r="CF508" s="196"/>
      <c r="CG508" s="196"/>
      <c r="CH508" s="196"/>
      <c r="CI508" s="196"/>
      <c r="CJ508" s="196"/>
      <c r="CK508" s="196"/>
      <c r="CL508" s="196"/>
      <c r="CM508" s="196"/>
      <c r="CN508" s="196"/>
      <c r="CO508" s="196"/>
      <c r="CP508" s="196"/>
      <c r="CQ508" s="196"/>
      <c r="CR508" s="196"/>
      <c r="CS508" s="196"/>
      <c r="CT508" s="196"/>
      <c r="CU508" s="196"/>
      <c r="CV508" s="196"/>
      <c r="CW508" s="196"/>
      <c r="CX508" s="196"/>
      <c r="CY508" s="196"/>
      <c r="CZ508" s="196"/>
      <c r="DA508" s="196"/>
      <c r="DB508" s="196"/>
      <c r="DC508" s="196"/>
      <c r="DD508" s="196"/>
      <c r="DE508" s="196"/>
      <c r="DF508" s="196"/>
      <c r="DG508" s="196"/>
      <c r="DH508" s="196"/>
      <c r="DI508" s="196"/>
      <c r="DJ508" s="196"/>
      <c r="DK508" s="196"/>
      <c r="DL508" s="196"/>
      <c r="DM508" s="196"/>
      <c r="DN508" s="196"/>
      <c r="DO508" s="196"/>
      <c r="DP508" s="196"/>
      <c r="DQ508" s="196"/>
      <c r="DR508" s="196"/>
      <c r="DS508" s="196"/>
      <c r="DT508" s="196"/>
      <c r="EA508" s="164"/>
      <c r="EB508" s="164"/>
      <c r="EC508" s="164"/>
      <c r="ED508" s="164"/>
      <c r="EE508" s="164"/>
      <c r="EF508" s="164"/>
      <c r="EG508" s="164"/>
      <c r="EH508" s="164"/>
      <c r="EI508" s="164"/>
    </row>
    <row r="509" spans="6:139" ht="16.5" thickTop="1" thickBot="1" x14ac:dyDescent="0.3">
      <c r="AA509" s="25" t="s">
        <v>32</v>
      </c>
      <c r="AB509" s="26">
        <f>IF($AC$507&lt;$AB$508,$AC$507,$AB$508)</f>
        <v>0</v>
      </c>
      <c r="AC509" s="18">
        <v>0</v>
      </c>
      <c r="AD509" s="18">
        <v>0</v>
      </c>
      <c r="AE509" s="26"/>
      <c r="AF509" s="26"/>
      <c r="AG509" s="26"/>
      <c r="AH509" s="36"/>
      <c r="BA509" s="25" t="s">
        <v>32</v>
      </c>
      <c r="BB509" s="26">
        <f>IF($BC$507&lt;$BB$508,$BC$507,$BB$508)</f>
        <v>0</v>
      </c>
      <c r="BC509" s="18">
        <v>0</v>
      </c>
      <c r="BD509" s="18">
        <v>0</v>
      </c>
      <c r="BE509" s="26"/>
      <c r="BF509" s="26"/>
      <c r="BG509" s="26"/>
      <c r="BH509" s="36"/>
      <c r="BX509" s="196"/>
      <c r="BY509" s="196"/>
      <c r="BZ509" s="196"/>
      <c r="CA509" s="196"/>
      <c r="CB509" s="196"/>
      <c r="CC509" s="196"/>
      <c r="CD509" s="196"/>
      <c r="CE509" s="196"/>
      <c r="CF509" s="196"/>
      <c r="CG509" s="196"/>
      <c r="CH509" s="196"/>
      <c r="CI509" s="196"/>
      <c r="CJ509" s="196"/>
      <c r="CK509" s="196"/>
      <c r="CL509" s="196"/>
      <c r="CM509" s="196"/>
      <c r="CN509" s="196"/>
      <c r="CO509" s="196"/>
      <c r="CP509" s="196"/>
      <c r="CQ509" s="196"/>
      <c r="CR509" s="196"/>
      <c r="CS509" s="196"/>
      <c r="CT509" s="196"/>
      <c r="CU509" s="196"/>
      <c r="CV509" s="196"/>
      <c r="CW509" s="196"/>
      <c r="CX509" s="196"/>
      <c r="CY509" s="196"/>
      <c r="CZ509" s="196"/>
      <c r="DA509" s="196"/>
      <c r="DB509" s="196"/>
      <c r="DC509" s="196"/>
      <c r="DD509" s="196"/>
      <c r="DE509" s="196"/>
      <c r="DF509" s="196"/>
      <c r="DG509" s="196"/>
      <c r="DH509" s="196"/>
      <c r="DI509" s="196"/>
      <c r="DJ509" s="196"/>
      <c r="DK509" s="196"/>
      <c r="DL509" s="196"/>
      <c r="DM509" s="196"/>
      <c r="DN509" s="196"/>
      <c r="DO509" s="196"/>
      <c r="DP509" s="196"/>
      <c r="DQ509" s="196"/>
      <c r="DR509" s="196"/>
      <c r="DS509" s="196"/>
      <c r="DT509" s="196"/>
      <c r="EA509" s="164"/>
      <c r="EB509" s="164"/>
      <c r="EC509" s="164"/>
      <c r="ED509" s="164"/>
      <c r="EE509" s="164"/>
      <c r="EF509" s="164"/>
      <c r="EG509" s="164"/>
      <c r="EH509" s="164"/>
      <c r="EI509" s="164"/>
    </row>
    <row r="510" spans="6:139" ht="16.5" thickTop="1" thickBot="1" x14ac:dyDescent="0.3">
      <c r="AA510" s="25" t="s">
        <v>34</v>
      </c>
      <c r="AB510" s="26">
        <f>IF($AD$507&lt;$AB$508,$AD$507,$AB$508)</f>
        <v>0</v>
      </c>
      <c r="AC510" s="18">
        <v>0</v>
      </c>
      <c r="AD510" s="18">
        <v>0</v>
      </c>
      <c r="AE510" s="26"/>
      <c r="AF510" s="26"/>
      <c r="AG510" s="26"/>
      <c r="AH510" s="36"/>
      <c r="BA510" s="25" t="s">
        <v>34</v>
      </c>
      <c r="BB510" s="26">
        <f>IF($BD$507&lt;$BB$508,$BD$507,$BB$508)</f>
        <v>0</v>
      </c>
      <c r="BC510" s="18">
        <v>0</v>
      </c>
      <c r="BD510" s="18">
        <v>0</v>
      </c>
      <c r="BE510" s="26"/>
      <c r="BF510" s="26"/>
      <c r="BG510" s="26"/>
      <c r="BH510" s="36"/>
      <c r="BX510" s="196"/>
      <c r="BY510" s="196"/>
      <c r="BZ510" s="196"/>
      <c r="CA510" s="196"/>
      <c r="CB510" s="196"/>
      <c r="CC510" s="196"/>
      <c r="CD510" s="196"/>
      <c r="CE510" s="196"/>
      <c r="CF510" s="196"/>
      <c r="CG510" s="196"/>
      <c r="CH510" s="196"/>
      <c r="CI510" s="196"/>
      <c r="CJ510" s="196"/>
      <c r="CK510" s="196"/>
      <c r="CL510" s="196"/>
      <c r="CM510" s="196"/>
      <c r="CN510" s="196"/>
      <c r="CO510" s="196"/>
      <c r="CP510" s="196"/>
      <c r="CQ510" s="196"/>
      <c r="CR510" s="196"/>
      <c r="CS510" s="196"/>
      <c r="CT510" s="196"/>
      <c r="CU510" s="196"/>
      <c r="CV510" s="196"/>
      <c r="CW510" s="196"/>
      <c r="CX510" s="196"/>
      <c r="CY510" s="196"/>
      <c r="CZ510" s="196"/>
      <c r="DA510" s="196"/>
      <c r="DB510" s="196"/>
      <c r="DC510" s="196"/>
      <c r="DD510" s="196"/>
      <c r="DE510" s="196"/>
      <c r="DF510" s="196"/>
      <c r="DG510" s="196"/>
      <c r="DH510" s="196"/>
      <c r="DI510" s="196"/>
      <c r="DJ510" s="196"/>
      <c r="DK510" s="196"/>
      <c r="DL510" s="196"/>
      <c r="DM510" s="196"/>
      <c r="DN510" s="196"/>
      <c r="DO510" s="196"/>
      <c r="DP510" s="196"/>
      <c r="DQ510" s="196"/>
      <c r="DR510" s="196"/>
      <c r="DS510" s="196"/>
      <c r="DT510" s="196"/>
      <c r="EA510" s="164"/>
      <c r="EB510" s="164"/>
      <c r="EC510" s="164"/>
      <c r="ED510" s="164"/>
      <c r="EE510" s="164"/>
      <c r="EF510" s="164"/>
      <c r="EG510" s="164"/>
      <c r="EH510" s="164"/>
      <c r="EI510" s="164"/>
    </row>
    <row r="511" spans="6:139" ht="16.5" thickTop="1" thickBot="1" x14ac:dyDescent="0.3">
      <c r="AA511" s="25" t="s">
        <v>60</v>
      </c>
      <c r="AB511" s="26">
        <f>IF($AB$509&amp;$AB$510="","0",AVERAGE($AB$509:$AB$510))</f>
        <v>0</v>
      </c>
      <c r="AC511" s="18">
        <v>0</v>
      </c>
      <c r="AD511" s="18">
        <v>0</v>
      </c>
      <c r="AE511" s="26"/>
      <c r="AF511" s="26"/>
      <c r="AG511" s="26"/>
      <c r="AH511" s="36"/>
      <c r="BA511" s="25" t="s">
        <v>60</v>
      </c>
      <c r="BB511" s="26">
        <f>IF($BB$509&amp;$BB$510="","0",AVERAGE($BB$509:$BB$510))</f>
        <v>0</v>
      </c>
      <c r="BC511" s="18">
        <v>0</v>
      </c>
      <c r="BD511" s="18">
        <v>0</v>
      </c>
      <c r="BE511" s="26"/>
      <c r="BF511" s="26"/>
      <c r="BG511" s="26"/>
      <c r="BH511" s="36"/>
      <c r="BX511" s="196"/>
      <c r="BY511" s="196"/>
      <c r="BZ511" s="196"/>
      <c r="CA511" s="196"/>
      <c r="CB511" s="196"/>
      <c r="CC511" s="196"/>
      <c r="CD511" s="196"/>
      <c r="CE511" s="196"/>
      <c r="CF511" s="196"/>
      <c r="CG511" s="196"/>
      <c r="CH511" s="196"/>
      <c r="CI511" s="196"/>
      <c r="CJ511" s="196"/>
      <c r="CK511" s="196"/>
      <c r="CL511" s="196"/>
      <c r="CM511" s="196"/>
      <c r="CN511" s="196"/>
      <c r="CO511" s="196"/>
      <c r="CP511" s="196"/>
      <c r="CQ511" s="196"/>
      <c r="CR511" s="196"/>
      <c r="CS511" s="196"/>
      <c r="CT511" s="196"/>
      <c r="CU511" s="196"/>
      <c r="CV511" s="196"/>
      <c r="CW511" s="196"/>
      <c r="CX511" s="196"/>
      <c r="CY511" s="196"/>
      <c r="CZ511" s="196"/>
      <c r="DA511" s="196"/>
      <c r="DB511" s="196"/>
      <c r="DC511" s="196"/>
      <c r="DD511" s="196"/>
      <c r="DE511" s="196"/>
      <c r="DF511" s="196"/>
      <c r="DG511" s="196"/>
      <c r="DH511" s="196"/>
      <c r="DI511" s="196"/>
      <c r="DJ511" s="196"/>
      <c r="DK511" s="196"/>
      <c r="DL511" s="196"/>
      <c r="DM511" s="196"/>
      <c r="DN511" s="196"/>
      <c r="DO511" s="196"/>
      <c r="DP511" s="196"/>
      <c r="DQ511" s="196"/>
      <c r="DR511" s="196"/>
      <c r="DS511" s="196"/>
      <c r="DT511" s="196"/>
      <c r="EA511" s="164"/>
      <c r="EB511" s="164"/>
      <c r="EC511" s="164"/>
      <c r="ED511" s="164"/>
      <c r="EE511" s="164"/>
      <c r="EF511" s="164"/>
      <c r="EG511" s="164"/>
      <c r="EH511" s="164"/>
      <c r="EI511" s="164"/>
    </row>
    <row r="512" spans="6:139" ht="16.5" thickTop="1" thickBot="1" x14ac:dyDescent="0.3">
      <c r="AA512" s="37" t="s">
        <v>50</v>
      </c>
      <c r="AB512" s="47">
        <v>1</v>
      </c>
      <c r="AC512" s="18">
        <v>0</v>
      </c>
      <c r="AD512" s="18">
        <v>0</v>
      </c>
      <c r="AE512" s="26"/>
      <c r="AF512" s="26"/>
      <c r="AG512" s="26"/>
      <c r="AH512" s="36"/>
      <c r="BA512" s="37" t="s">
        <v>50</v>
      </c>
      <c r="BB512" s="47">
        <v>1</v>
      </c>
      <c r="BC512" s="18">
        <v>0</v>
      </c>
      <c r="BD512" s="18">
        <v>0</v>
      </c>
      <c r="BE512" s="26"/>
      <c r="BF512" s="26"/>
      <c r="BG512" s="26"/>
      <c r="BH512" s="36"/>
      <c r="BX512" s="196"/>
      <c r="BY512" s="196"/>
      <c r="BZ512" s="196"/>
      <c r="CA512" s="196"/>
      <c r="CB512" s="196"/>
      <c r="CC512" s="196"/>
      <c r="CD512" s="196"/>
      <c r="CE512" s="196"/>
      <c r="CF512" s="196"/>
      <c r="CG512" s="196"/>
      <c r="CH512" s="196"/>
      <c r="CI512" s="196"/>
      <c r="CJ512" s="196"/>
      <c r="CK512" s="196"/>
      <c r="CL512" s="196"/>
      <c r="CM512" s="196"/>
      <c r="CN512" s="196"/>
      <c r="CO512" s="196"/>
      <c r="CP512" s="196"/>
      <c r="CQ512" s="196"/>
      <c r="CR512" s="196"/>
      <c r="CS512" s="196"/>
      <c r="CT512" s="196"/>
      <c r="CU512" s="196"/>
      <c r="CV512" s="196"/>
      <c r="CW512" s="196"/>
      <c r="CX512" s="196"/>
      <c r="CY512" s="196"/>
      <c r="CZ512" s="196"/>
      <c r="DA512" s="196"/>
      <c r="DB512" s="196"/>
      <c r="DC512" s="196"/>
      <c r="DD512" s="196"/>
      <c r="DE512" s="196"/>
      <c r="DF512" s="196"/>
      <c r="DG512" s="196"/>
      <c r="DH512" s="196"/>
      <c r="DI512" s="196"/>
      <c r="DJ512" s="196"/>
      <c r="DK512" s="196"/>
      <c r="DL512" s="196"/>
      <c r="DM512" s="196"/>
      <c r="DN512" s="196"/>
      <c r="DO512" s="196"/>
      <c r="DP512" s="196"/>
      <c r="DQ512" s="196"/>
      <c r="DR512" s="196"/>
      <c r="DS512" s="196"/>
      <c r="DT512" s="196"/>
      <c r="EA512" s="164"/>
      <c r="EB512" s="164"/>
      <c r="EC512" s="164"/>
      <c r="ED512" s="164"/>
      <c r="EE512" s="164"/>
      <c r="EF512" s="164"/>
      <c r="EG512" s="164"/>
      <c r="EH512" s="164"/>
      <c r="EI512" s="164"/>
    </row>
    <row r="513" spans="27:139" ht="16.5" thickTop="1" thickBot="1" x14ac:dyDescent="0.3">
      <c r="AA513" s="53" t="s">
        <v>61</v>
      </c>
      <c r="AB513" s="54">
        <f>$AB$511*$AB$512</f>
        <v>0</v>
      </c>
      <c r="AC513" s="18">
        <v>0</v>
      </c>
      <c r="AD513" s="18">
        <v>0</v>
      </c>
      <c r="AE513" s="26"/>
      <c r="AF513" s="26"/>
      <c r="AG513" s="26"/>
      <c r="AH513" s="36"/>
      <c r="BA513" s="53" t="s">
        <v>61</v>
      </c>
      <c r="BB513" s="54">
        <f>$BB$511*$BB$512</f>
        <v>0</v>
      </c>
      <c r="BC513" s="18">
        <v>0</v>
      </c>
      <c r="BD513" s="18">
        <v>0</v>
      </c>
      <c r="BE513" s="26"/>
      <c r="BF513" s="26"/>
      <c r="BG513" s="26"/>
      <c r="BH513" s="36"/>
      <c r="BX513" s="196"/>
      <c r="BY513" s="196"/>
      <c r="BZ513" s="196"/>
      <c r="CA513" s="196"/>
      <c r="CB513" s="196"/>
      <c r="CC513" s="196"/>
      <c r="CD513" s="196"/>
      <c r="CE513" s="196"/>
      <c r="CF513" s="196"/>
      <c r="CG513" s="196"/>
      <c r="CH513" s="196"/>
      <c r="CI513" s="196"/>
      <c r="CJ513" s="196"/>
      <c r="CK513" s="196"/>
      <c r="CL513" s="196"/>
      <c r="CM513" s="196"/>
      <c r="CN513" s="196"/>
      <c r="CO513" s="196"/>
      <c r="CP513" s="196"/>
      <c r="CQ513" s="196"/>
      <c r="CR513" s="196"/>
      <c r="CS513" s="196"/>
      <c r="CT513" s="196"/>
      <c r="CU513" s="196"/>
      <c r="CV513" s="196"/>
      <c r="CW513" s="196"/>
      <c r="CX513" s="196"/>
      <c r="CY513" s="196"/>
      <c r="CZ513" s="196"/>
      <c r="DA513" s="196"/>
      <c r="DB513" s="196"/>
      <c r="DC513" s="196"/>
      <c r="DD513" s="196"/>
      <c r="DE513" s="196"/>
      <c r="DF513" s="196"/>
      <c r="DG513" s="196"/>
      <c r="DH513" s="196"/>
      <c r="DI513" s="196"/>
      <c r="DJ513" s="196"/>
      <c r="DK513" s="196"/>
      <c r="DL513" s="196"/>
      <c r="DM513" s="196"/>
      <c r="DN513" s="196"/>
      <c r="DO513" s="196"/>
      <c r="DP513" s="196"/>
      <c r="DQ513" s="196"/>
      <c r="DR513" s="196"/>
      <c r="DS513" s="196"/>
      <c r="DT513" s="196"/>
      <c r="EA513" s="164"/>
      <c r="EB513" s="164"/>
      <c r="EC513" s="164"/>
      <c r="ED513" s="164"/>
      <c r="EE513" s="164"/>
      <c r="EF513" s="164"/>
      <c r="EG513" s="164"/>
      <c r="EH513" s="164"/>
      <c r="EI513" s="164"/>
    </row>
    <row r="514" spans="27:139" ht="16.5" thickTop="1" thickBot="1" x14ac:dyDescent="0.3">
      <c r="AA514" s="37" t="s">
        <v>62</v>
      </c>
      <c r="AB514" s="26"/>
      <c r="AC514" s="18">
        <v>0</v>
      </c>
      <c r="AD514" s="18">
        <v>0</v>
      </c>
      <c r="AE514" s="26"/>
      <c r="AF514" s="26"/>
      <c r="AG514" s="26"/>
      <c r="AH514" s="36"/>
      <c r="BA514" s="37" t="s">
        <v>62</v>
      </c>
      <c r="BB514" s="26"/>
      <c r="BC514" s="18">
        <v>0</v>
      </c>
      <c r="BD514" s="18">
        <v>0</v>
      </c>
      <c r="BE514" s="26"/>
      <c r="BF514" s="26"/>
      <c r="BG514" s="26"/>
      <c r="BH514" s="36"/>
      <c r="BX514" s="196"/>
      <c r="BY514" s="196"/>
      <c r="BZ514" s="196"/>
      <c r="CA514" s="196"/>
      <c r="CB514" s="196"/>
      <c r="CC514" s="196"/>
      <c r="CD514" s="196"/>
      <c r="CE514" s="196"/>
      <c r="CF514" s="196"/>
      <c r="CG514" s="196"/>
      <c r="CH514" s="196"/>
      <c r="CI514" s="196"/>
      <c r="CJ514" s="196"/>
      <c r="CK514" s="196"/>
      <c r="CL514" s="196"/>
      <c r="CM514" s="196"/>
      <c r="CN514" s="196"/>
      <c r="CO514" s="196"/>
      <c r="CP514" s="196"/>
      <c r="CQ514" s="196"/>
      <c r="CR514" s="196"/>
      <c r="CS514" s="196"/>
      <c r="CT514" s="196"/>
      <c r="CU514" s="196"/>
      <c r="CV514" s="196"/>
      <c r="CW514" s="196"/>
      <c r="CX514" s="196"/>
      <c r="CY514" s="196"/>
      <c r="CZ514" s="196"/>
      <c r="DA514" s="196"/>
      <c r="DB514" s="196"/>
      <c r="DC514" s="196"/>
      <c r="DD514" s="196"/>
      <c r="DE514" s="196"/>
      <c r="DF514" s="196"/>
      <c r="DG514" s="196"/>
      <c r="DH514" s="196"/>
      <c r="DI514" s="196"/>
      <c r="DJ514" s="196"/>
      <c r="DK514" s="196"/>
      <c r="DL514" s="196"/>
      <c r="DM514" s="196"/>
      <c r="DN514" s="196"/>
      <c r="DO514" s="196"/>
      <c r="DP514" s="196"/>
      <c r="DQ514" s="196"/>
      <c r="DR514" s="196"/>
      <c r="DS514" s="196"/>
      <c r="DT514" s="196"/>
      <c r="EA514" s="164"/>
      <c r="EB514" s="164"/>
      <c r="EC514" s="164"/>
      <c r="ED514" s="164"/>
      <c r="EE514" s="164"/>
      <c r="EF514" s="164"/>
      <c r="EG514" s="164"/>
      <c r="EH514" s="164"/>
      <c r="EI514" s="164"/>
    </row>
    <row r="515" spans="27:139" ht="16.5" thickTop="1" thickBot="1" x14ac:dyDescent="0.3">
      <c r="AA515" s="37" t="s">
        <v>50</v>
      </c>
      <c r="AB515" s="47">
        <v>1</v>
      </c>
      <c r="AC515" s="18">
        <v>0</v>
      </c>
      <c r="AD515" s="18">
        <v>0</v>
      </c>
      <c r="AE515" s="26"/>
      <c r="AF515" s="26"/>
      <c r="AG515" s="26"/>
      <c r="AH515" s="36"/>
      <c r="BA515" s="37" t="s">
        <v>50</v>
      </c>
      <c r="BB515" s="47">
        <v>1</v>
      </c>
      <c r="BC515" s="18">
        <v>0</v>
      </c>
      <c r="BD515" s="18">
        <v>0</v>
      </c>
      <c r="BE515" s="26"/>
      <c r="BF515" s="26"/>
      <c r="BG515" s="26"/>
      <c r="BH515" s="36"/>
      <c r="BX515" s="196"/>
      <c r="BY515" s="196"/>
      <c r="BZ515" s="196"/>
      <c r="CA515" s="196"/>
      <c r="CB515" s="196"/>
      <c r="CC515" s="196"/>
      <c r="CD515" s="196"/>
      <c r="CE515" s="196"/>
      <c r="CF515" s="196"/>
      <c r="CG515" s="196"/>
      <c r="CH515" s="196"/>
      <c r="CI515" s="196"/>
      <c r="CJ515" s="196"/>
      <c r="CK515" s="196"/>
      <c r="CL515" s="196"/>
      <c r="CM515" s="196"/>
      <c r="CN515" s="196"/>
      <c r="CO515" s="196"/>
      <c r="CP515" s="196"/>
      <c r="CQ515" s="196"/>
      <c r="CR515" s="196"/>
      <c r="CS515" s="196"/>
      <c r="CT515" s="196"/>
      <c r="CU515" s="196"/>
      <c r="CV515" s="196"/>
      <c r="CW515" s="196"/>
      <c r="CX515" s="196"/>
      <c r="CY515" s="196"/>
      <c r="CZ515" s="196"/>
      <c r="DA515" s="196"/>
      <c r="DB515" s="196"/>
      <c r="DC515" s="196"/>
      <c r="DD515" s="196"/>
      <c r="DE515" s="196"/>
      <c r="DF515" s="196"/>
      <c r="DG515" s="196"/>
      <c r="DH515" s="196"/>
      <c r="DI515" s="196"/>
      <c r="DJ515" s="196"/>
      <c r="DK515" s="196"/>
      <c r="DL515" s="196"/>
      <c r="DM515" s="196"/>
      <c r="DN515" s="196"/>
      <c r="DO515" s="196"/>
      <c r="DP515" s="196"/>
      <c r="DQ515" s="196"/>
      <c r="DR515" s="196"/>
      <c r="DS515" s="196"/>
      <c r="DT515" s="196"/>
      <c r="EA515" s="164"/>
      <c r="EB515" s="164"/>
      <c r="EC515" s="164"/>
      <c r="ED515" s="164"/>
      <c r="EE515" s="164"/>
      <c r="EF515" s="164"/>
      <c r="EG515" s="164"/>
      <c r="EH515" s="164"/>
      <c r="EI515" s="164"/>
    </row>
    <row r="516" spans="27:139" ht="16.5" thickTop="1" thickBot="1" x14ac:dyDescent="0.3">
      <c r="AA516" s="37" t="s">
        <v>63</v>
      </c>
      <c r="AB516" s="26"/>
      <c r="AC516" s="26"/>
      <c r="AD516" s="26"/>
      <c r="AE516" s="26"/>
      <c r="AF516" s="26"/>
      <c r="AG516" s="26"/>
      <c r="AH516" s="36"/>
      <c r="BA516" s="37" t="s">
        <v>63</v>
      </c>
      <c r="BB516" s="26"/>
      <c r="BC516" s="26"/>
      <c r="BD516" s="26"/>
      <c r="BE516" s="26"/>
      <c r="BF516" s="26"/>
      <c r="BG516" s="26"/>
      <c r="BH516" s="36"/>
      <c r="BX516" s="196"/>
      <c r="BY516" s="196"/>
      <c r="BZ516" s="196"/>
      <c r="CA516" s="196"/>
      <c r="CB516" s="196"/>
      <c r="CC516" s="196"/>
      <c r="CD516" s="196"/>
      <c r="CE516" s="196"/>
      <c r="CF516" s="196"/>
      <c r="CG516" s="196"/>
      <c r="CH516" s="196"/>
      <c r="CI516" s="196"/>
      <c r="CJ516" s="196"/>
      <c r="CK516" s="196"/>
      <c r="CL516" s="196"/>
      <c r="CM516" s="196"/>
      <c r="CN516" s="196"/>
      <c r="CO516" s="196"/>
      <c r="CP516" s="196"/>
      <c r="CQ516" s="196"/>
      <c r="CR516" s="196"/>
      <c r="CS516" s="196"/>
      <c r="CT516" s="196"/>
      <c r="CU516" s="196"/>
      <c r="CV516" s="196"/>
      <c r="CW516" s="196"/>
      <c r="CX516" s="196"/>
      <c r="CY516" s="196"/>
      <c r="CZ516" s="196"/>
      <c r="DA516" s="196"/>
      <c r="DB516" s="196"/>
      <c r="DC516" s="196"/>
      <c r="DD516" s="196"/>
      <c r="DE516" s="196"/>
      <c r="DF516" s="196"/>
      <c r="DG516" s="196"/>
      <c r="DH516" s="196"/>
      <c r="DI516" s="196"/>
      <c r="DJ516" s="196"/>
      <c r="DK516" s="196"/>
      <c r="DL516" s="196"/>
      <c r="DM516" s="196"/>
      <c r="DN516" s="196"/>
      <c r="DO516" s="196"/>
      <c r="DP516" s="196"/>
      <c r="DQ516" s="196"/>
      <c r="DR516" s="196"/>
      <c r="DS516" s="196"/>
      <c r="DT516" s="196"/>
      <c r="EA516" s="164"/>
      <c r="EB516" s="164"/>
      <c r="EC516" s="164"/>
      <c r="ED516" s="164"/>
      <c r="EE516" s="164"/>
      <c r="EF516" s="164"/>
      <c r="EG516" s="164"/>
      <c r="EH516" s="164"/>
      <c r="EI516" s="164"/>
    </row>
    <row r="517" spans="27:139" ht="16.5" thickTop="1" thickBot="1" x14ac:dyDescent="0.3">
      <c r="AA517" s="37" t="s">
        <v>64</v>
      </c>
      <c r="AB517" s="26"/>
      <c r="AC517" s="26"/>
      <c r="AD517" s="26"/>
      <c r="AE517" s="26"/>
      <c r="AF517" s="26"/>
      <c r="AG517" s="26"/>
      <c r="AH517" s="36"/>
      <c r="BA517" s="37" t="s">
        <v>64</v>
      </c>
      <c r="BB517" s="26"/>
      <c r="BC517" s="26"/>
      <c r="BD517" s="26"/>
      <c r="BE517" s="26"/>
      <c r="BF517" s="26"/>
      <c r="BG517" s="26"/>
      <c r="BH517" s="36"/>
      <c r="BX517" s="196"/>
      <c r="BY517" s="196"/>
      <c r="BZ517" s="196"/>
      <c r="CA517" s="196"/>
      <c r="CB517" s="196"/>
      <c r="CC517" s="196"/>
      <c r="CD517" s="196"/>
      <c r="CE517" s="196"/>
      <c r="CF517" s="196"/>
      <c r="CG517" s="196"/>
      <c r="CH517" s="196"/>
      <c r="CI517" s="196"/>
      <c r="CJ517" s="196"/>
      <c r="CK517" s="196"/>
      <c r="CL517" s="196"/>
      <c r="CM517" s="196"/>
      <c r="CN517" s="196"/>
      <c r="CO517" s="196"/>
      <c r="CP517" s="196"/>
      <c r="CQ517" s="196"/>
      <c r="CR517" s="196"/>
      <c r="CS517" s="196"/>
      <c r="CT517" s="196"/>
      <c r="CU517" s="196"/>
      <c r="CV517" s="196"/>
      <c r="CW517" s="196"/>
      <c r="CX517" s="196"/>
      <c r="CY517" s="196"/>
      <c r="CZ517" s="196"/>
      <c r="DA517" s="196"/>
      <c r="DB517" s="196"/>
      <c r="DC517" s="196"/>
      <c r="DD517" s="196"/>
      <c r="DE517" s="196"/>
      <c r="DF517" s="196"/>
      <c r="DG517" s="196"/>
      <c r="DH517" s="196"/>
      <c r="DI517" s="196"/>
      <c r="DJ517" s="196"/>
      <c r="DK517" s="196"/>
      <c r="DL517" s="196"/>
      <c r="DM517" s="196"/>
      <c r="DN517" s="196"/>
      <c r="DO517" s="196"/>
      <c r="DP517" s="196"/>
      <c r="DQ517" s="196"/>
      <c r="DR517" s="196"/>
      <c r="DS517" s="196"/>
      <c r="DT517" s="196"/>
      <c r="EA517" s="164"/>
      <c r="EB517" s="164"/>
      <c r="EC517" s="164"/>
      <c r="ED517" s="164"/>
      <c r="EE517" s="164"/>
      <c r="EF517" s="164"/>
      <c r="EG517" s="164"/>
      <c r="EH517" s="164"/>
      <c r="EI517" s="164"/>
    </row>
    <row r="518" spans="27:139" ht="16.5" thickTop="1" thickBot="1" x14ac:dyDescent="0.3">
      <c r="AA518" s="23" t="s">
        <v>96</v>
      </c>
      <c r="AB518" s="109">
        <v>0</v>
      </c>
      <c r="AC518" s="26"/>
      <c r="AD518" s="26"/>
      <c r="AE518" s="26"/>
      <c r="AF518" s="26"/>
      <c r="AG518" s="26"/>
      <c r="AH518" s="36"/>
      <c r="BA518" s="23" t="s">
        <v>96</v>
      </c>
      <c r="BB518" s="109">
        <v>0</v>
      </c>
      <c r="BC518" s="26"/>
      <c r="BD518" s="26"/>
      <c r="BE518" s="26"/>
      <c r="BF518" s="26"/>
      <c r="BG518" s="26"/>
      <c r="BH518" s="36"/>
      <c r="BX518" s="196"/>
      <c r="BY518" s="196"/>
      <c r="BZ518" s="196"/>
      <c r="CA518" s="196"/>
      <c r="CB518" s="196"/>
      <c r="CC518" s="196"/>
      <c r="CD518" s="196"/>
      <c r="CE518" s="196"/>
      <c r="CF518" s="196"/>
      <c r="CG518" s="196"/>
      <c r="CH518" s="196"/>
      <c r="CI518" s="196"/>
      <c r="CJ518" s="196"/>
      <c r="CK518" s="196"/>
      <c r="CL518" s="196"/>
      <c r="CM518" s="196"/>
      <c r="CN518" s="196"/>
      <c r="CO518" s="196"/>
      <c r="CP518" s="196"/>
      <c r="CQ518" s="196"/>
      <c r="CR518" s="196"/>
      <c r="CS518" s="196"/>
      <c r="CT518" s="196"/>
      <c r="CU518" s="196"/>
      <c r="CV518" s="196"/>
      <c r="CW518" s="196"/>
      <c r="CX518" s="196"/>
      <c r="CY518" s="196"/>
      <c r="CZ518" s="196"/>
      <c r="DA518" s="196"/>
      <c r="DB518" s="196"/>
      <c r="DC518" s="196"/>
      <c r="DD518" s="196"/>
      <c r="DE518" s="196"/>
      <c r="DF518" s="196"/>
      <c r="DG518" s="196"/>
      <c r="DH518" s="196"/>
      <c r="DI518" s="196"/>
      <c r="DJ518" s="196"/>
      <c r="DK518" s="196"/>
      <c r="DL518" s="196"/>
      <c r="DM518" s="196"/>
      <c r="DN518" s="196"/>
      <c r="DO518" s="196"/>
      <c r="DP518" s="196"/>
      <c r="DQ518" s="196"/>
      <c r="DR518" s="196"/>
      <c r="DS518" s="196"/>
      <c r="DT518" s="196"/>
      <c r="EA518" s="164"/>
      <c r="EB518" s="164"/>
      <c r="EC518" s="164"/>
      <c r="ED518" s="164"/>
      <c r="EE518" s="164"/>
      <c r="EF518" s="164"/>
      <c r="EG518" s="164"/>
      <c r="EH518" s="164"/>
      <c r="EI518" s="164"/>
    </row>
    <row r="519" spans="27:139" ht="16.5" thickTop="1" thickBot="1" x14ac:dyDescent="0.3">
      <c r="AA519" s="41" t="s">
        <v>97</v>
      </c>
      <c r="AB519" s="42">
        <f>$AB$513*$AB$518</f>
        <v>0</v>
      </c>
      <c r="AC519" s="100"/>
      <c r="AD519" s="31"/>
      <c r="AE519" s="31"/>
      <c r="AF519" s="31"/>
      <c r="AG519" s="31"/>
      <c r="AH519" s="43"/>
      <c r="BA519" s="41" t="s">
        <v>97</v>
      </c>
      <c r="BB519" s="42">
        <f>$BB$513*$BB$518</f>
        <v>0</v>
      </c>
      <c r="BC519" s="100"/>
      <c r="BD519" s="31"/>
      <c r="BE519" s="31"/>
      <c r="BF519" s="31"/>
      <c r="BG519" s="31"/>
      <c r="BH519" s="43"/>
      <c r="BX519" s="196"/>
      <c r="BY519" s="196"/>
      <c r="BZ519" s="196"/>
      <c r="CA519" s="196"/>
      <c r="CB519" s="196"/>
      <c r="CC519" s="196"/>
      <c r="CD519" s="196"/>
      <c r="CE519" s="196"/>
      <c r="CF519" s="196"/>
      <c r="CG519" s="196"/>
      <c r="CH519" s="196"/>
      <c r="CI519" s="196"/>
      <c r="CJ519" s="196"/>
      <c r="CK519" s="196"/>
      <c r="CL519" s="196"/>
      <c r="CM519" s="196"/>
      <c r="CN519" s="196"/>
      <c r="CO519" s="196"/>
      <c r="CP519" s="196"/>
      <c r="CQ519" s="196"/>
      <c r="CR519" s="196"/>
      <c r="CS519" s="196"/>
      <c r="CT519" s="196"/>
      <c r="CU519" s="196"/>
      <c r="CV519" s="196"/>
      <c r="CW519" s="196"/>
      <c r="CX519" s="196"/>
      <c r="CY519" s="196"/>
      <c r="CZ519" s="196"/>
      <c r="DA519" s="196"/>
      <c r="DB519" s="196"/>
      <c r="DC519" s="196"/>
      <c r="DD519" s="196"/>
      <c r="DE519" s="196"/>
      <c r="DF519" s="196"/>
      <c r="DG519" s="196"/>
      <c r="DH519" s="196"/>
      <c r="DI519" s="196"/>
      <c r="DJ519" s="196"/>
      <c r="DK519" s="196"/>
      <c r="DL519" s="196"/>
      <c r="DM519" s="196"/>
      <c r="DN519" s="196"/>
      <c r="DO519" s="196"/>
      <c r="DP519" s="196"/>
      <c r="DQ519" s="196"/>
      <c r="DR519" s="196"/>
      <c r="DS519" s="196"/>
      <c r="DT519" s="196"/>
      <c r="EA519" s="164"/>
      <c r="EB519" s="164"/>
      <c r="EC519" s="164"/>
      <c r="ED519" s="164"/>
      <c r="EE519" s="164"/>
      <c r="EF519" s="164"/>
      <c r="EG519" s="164"/>
      <c r="EH519" s="164"/>
      <c r="EI519" s="164"/>
    </row>
    <row r="520" spans="27:139" ht="15.75" thickBot="1" x14ac:dyDescent="0.3">
      <c r="BX520" s="196"/>
      <c r="BY520" s="196"/>
      <c r="BZ520" s="196"/>
      <c r="CA520" s="196"/>
      <c r="CB520" s="196"/>
      <c r="CC520" s="196"/>
      <c r="CD520" s="196"/>
      <c r="CE520" s="196"/>
      <c r="CF520" s="196"/>
      <c r="CG520" s="196"/>
      <c r="CH520" s="196"/>
      <c r="CI520" s="196"/>
      <c r="CJ520" s="196"/>
      <c r="CK520" s="196"/>
      <c r="CL520" s="196"/>
      <c r="CM520" s="196"/>
      <c r="CN520" s="196"/>
      <c r="CO520" s="196"/>
      <c r="CP520" s="196"/>
      <c r="CQ520" s="196"/>
      <c r="CR520" s="196"/>
      <c r="CS520" s="196"/>
      <c r="CT520" s="196"/>
      <c r="CU520" s="196"/>
      <c r="CV520" s="196"/>
      <c r="CW520" s="196"/>
      <c r="CX520" s="196"/>
      <c r="CY520" s="196"/>
      <c r="CZ520" s="196"/>
      <c r="DA520" s="196"/>
      <c r="DB520" s="196"/>
      <c r="DC520" s="196"/>
      <c r="DD520" s="196"/>
      <c r="DE520" s="196"/>
      <c r="DF520" s="196"/>
      <c r="DG520" s="196"/>
      <c r="DH520" s="196"/>
      <c r="DI520" s="196"/>
      <c r="DJ520" s="196"/>
      <c r="DK520" s="196"/>
      <c r="DL520" s="196"/>
      <c r="DM520" s="196"/>
      <c r="DN520" s="196"/>
      <c r="DO520" s="196"/>
      <c r="DP520" s="196"/>
      <c r="DQ520" s="196"/>
      <c r="DR520" s="196"/>
      <c r="DS520" s="196"/>
      <c r="DT520" s="196"/>
      <c r="EA520" s="164"/>
      <c r="EB520" s="164"/>
      <c r="EC520" s="164"/>
      <c r="ED520" s="164"/>
      <c r="EE520" s="164"/>
      <c r="EF520" s="164"/>
      <c r="EG520" s="164"/>
      <c r="EH520" s="164"/>
      <c r="EI520" s="164"/>
    </row>
    <row r="521" spans="27:139" ht="15.75" thickBot="1" x14ac:dyDescent="0.3">
      <c r="AA521" s="48" t="s">
        <v>31</v>
      </c>
      <c r="AB521" s="49">
        <f>AVERAGE($AC$521:$AD$521)</f>
        <v>0</v>
      </c>
      <c r="AC521" s="50">
        <f>SUM($AC$522:$AC$529)</f>
        <v>0</v>
      </c>
      <c r="AD521" s="50">
        <f>SUM($AD$522:$AD$529)</f>
        <v>0</v>
      </c>
      <c r="AE521" s="49"/>
      <c r="AF521" s="49"/>
      <c r="AG521" s="49"/>
      <c r="AH521" s="69"/>
      <c r="BA521" s="48" t="s">
        <v>31</v>
      </c>
      <c r="BB521" s="49">
        <f>AVERAGE($BC$521:$BD$521)</f>
        <v>0</v>
      </c>
      <c r="BC521" s="50">
        <f>SUM($BC$522:$BC$529)</f>
        <v>0</v>
      </c>
      <c r="BD521" s="50">
        <f>SUM($BD$522:$BD$529)</f>
        <v>0</v>
      </c>
      <c r="BE521" s="49"/>
      <c r="BF521" s="49"/>
      <c r="BG521" s="49"/>
      <c r="BH521" s="69"/>
      <c r="BX521" s="196"/>
      <c r="BY521" s="196"/>
      <c r="BZ521" s="196"/>
      <c r="CA521" s="196"/>
      <c r="CB521" s="196"/>
      <c r="CC521" s="196"/>
      <c r="CD521" s="196"/>
      <c r="CE521" s="196"/>
      <c r="CF521" s="196"/>
      <c r="CG521" s="196"/>
      <c r="CH521" s="196"/>
      <c r="CI521" s="196"/>
      <c r="CJ521" s="196"/>
      <c r="CK521" s="196"/>
      <c r="CL521" s="196"/>
      <c r="CM521" s="196"/>
      <c r="CN521" s="196"/>
      <c r="CO521" s="196"/>
      <c r="CP521" s="196"/>
      <c r="CQ521" s="196"/>
      <c r="CR521" s="196"/>
      <c r="CS521" s="196"/>
      <c r="CT521" s="196"/>
      <c r="CU521" s="196"/>
      <c r="CV521" s="196"/>
      <c r="CW521" s="196"/>
      <c r="CX521" s="196"/>
      <c r="CY521" s="196"/>
      <c r="CZ521" s="196"/>
      <c r="DA521" s="196"/>
      <c r="DB521" s="196"/>
      <c r="DC521" s="196"/>
      <c r="DD521" s="196"/>
      <c r="DE521" s="196"/>
      <c r="DF521" s="196"/>
      <c r="DG521" s="196"/>
      <c r="DH521" s="196"/>
      <c r="DI521" s="196"/>
      <c r="DJ521" s="196"/>
      <c r="DK521" s="196"/>
      <c r="DL521" s="196"/>
      <c r="DM521" s="196"/>
      <c r="DN521" s="196"/>
      <c r="DO521" s="196"/>
      <c r="DP521" s="196"/>
      <c r="DQ521" s="196"/>
      <c r="DR521" s="196"/>
      <c r="DS521" s="196"/>
      <c r="DT521" s="196"/>
      <c r="EA521" s="164"/>
      <c r="EB521" s="164"/>
      <c r="EC521" s="164"/>
      <c r="ED521" s="164"/>
      <c r="EE521" s="164"/>
      <c r="EF521" s="164"/>
      <c r="EG521" s="164"/>
      <c r="EH521" s="164"/>
      <c r="EI521" s="164"/>
    </row>
    <row r="522" spans="27:139" ht="16.5" thickTop="1" thickBot="1" x14ac:dyDescent="0.3">
      <c r="AA522" s="27">
        <f>$B$29</f>
        <v>0.3</v>
      </c>
      <c r="AB522" s="26">
        <f>($AB$521*$AA$522)+$AB$521</f>
        <v>0</v>
      </c>
      <c r="AC522" s="18">
        <v>0</v>
      </c>
      <c r="AD522" s="18">
        <v>0</v>
      </c>
      <c r="AE522" s="26"/>
      <c r="AF522" s="26"/>
      <c r="AG522" s="26"/>
      <c r="AH522" s="36"/>
      <c r="BA522" s="27">
        <f>$B$29</f>
        <v>0.3</v>
      </c>
      <c r="BB522" s="26">
        <f>($BB$521*$BA$522)+$BB$521</f>
        <v>0</v>
      </c>
      <c r="BC522" s="18">
        <v>0</v>
      </c>
      <c r="BD522" s="18">
        <v>0</v>
      </c>
      <c r="BE522" s="26"/>
      <c r="BF522" s="26"/>
      <c r="BG522" s="26"/>
      <c r="BH522" s="36"/>
      <c r="BX522" s="196"/>
      <c r="BY522" s="196"/>
      <c r="BZ522" s="196"/>
      <c r="CA522" s="196"/>
      <c r="CB522" s="196"/>
      <c r="CC522" s="196"/>
      <c r="CD522" s="196"/>
      <c r="CE522" s="196"/>
      <c r="CF522" s="196"/>
      <c r="CG522" s="196"/>
      <c r="CH522" s="196"/>
      <c r="CI522" s="196"/>
      <c r="CJ522" s="196"/>
      <c r="CK522" s="196"/>
      <c r="CL522" s="196"/>
      <c r="CM522" s="196"/>
      <c r="CN522" s="196"/>
      <c r="CO522" s="196"/>
      <c r="CP522" s="196"/>
      <c r="CQ522" s="196"/>
      <c r="CR522" s="196"/>
      <c r="CS522" s="196"/>
      <c r="CT522" s="196"/>
      <c r="CU522" s="196"/>
      <c r="CV522" s="196"/>
      <c r="CW522" s="196"/>
      <c r="CX522" s="196"/>
      <c r="CY522" s="196"/>
      <c r="CZ522" s="196"/>
      <c r="DA522" s="196"/>
      <c r="DB522" s="196"/>
      <c r="DC522" s="196"/>
      <c r="DD522" s="196"/>
      <c r="DE522" s="196"/>
      <c r="DF522" s="196"/>
      <c r="DG522" s="196"/>
      <c r="DH522" s="196"/>
      <c r="DI522" s="196"/>
      <c r="DJ522" s="196"/>
      <c r="DK522" s="196"/>
      <c r="DL522" s="196"/>
      <c r="DM522" s="196"/>
      <c r="DN522" s="196"/>
      <c r="DO522" s="196"/>
      <c r="DP522" s="196"/>
      <c r="DQ522" s="196"/>
      <c r="DR522" s="196"/>
      <c r="DS522" s="196"/>
      <c r="DT522" s="196"/>
      <c r="EA522" s="164"/>
      <c r="EB522" s="164"/>
      <c r="EC522" s="164"/>
      <c r="ED522" s="164"/>
      <c r="EE522" s="164"/>
      <c r="EF522" s="164"/>
      <c r="EG522" s="164"/>
      <c r="EH522" s="164"/>
      <c r="EI522" s="164"/>
    </row>
    <row r="523" spans="27:139" ht="16.5" thickTop="1" thickBot="1" x14ac:dyDescent="0.3">
      <c r="AA523" s="25" t="s">
        <v>32</v>
      </c>
      <c r="AB523" s="26">
        <f>IF($AC$521&lt;$AB$522,$AC$521,$AB$522)</f>
        <v>0</v>
      </c>
      <c r="AC523" s="18">
        <v>0</v>
      </c>
      <c r="AD523" s="18">
        <v>0</v>
      </c>
      <c r="AE523" s="26"/>
      <c r="AF523" s="26"/>
      <c r="AG523" s="26"/>
      <c r="AH523" s="36"/>
      <c r="BA523" s="25" t="s">
        <v>32</v>
      </c>
      <c r="BB523" s="26">
        <f>IF($BC$521&lt;$BB$522,$BC$521,$BB$522)</f>
        <v>0</v>
      </c>
      <c r="BC523" s="18">
        <v>0</v>
      </c>
      <c r="BD523" s="18">
        <v>0</v>
      </c>
      <c r="BE523" s="26"/>
      <c r="BF523" s="26"/>
      <c r="BG523" s="26"/>
      <c r="BH523" s="36"/>
      <c r="BX523" s="196"/>
      <c r="BY523" s="196"/>
      <c r="BZ523" s="196"/>
      <c r="CA523" s="196"/>
      <c r="CB523" s="196"/>
      <c r="CC523" s="196"/>
      <c r="CD523" s="196"/>
      <c r="CE523" s="196"/>
      <c r="CF523" s="196"/>
      <c r="CG523" s="196"/>
      <c r="CH523" s="196"/>
      <c r="CI523" s="196"/>
      <c r="CJ523" s="196"/>
      <c r="CK523" s="196"/>
      <c r="CL523" s="196"/>
      <c r="CM523" s="196"/>
      <c r="CN523" s="196"/>
      <c r="CO523" s="196"/>
      <c r="CP523" s="196"/>
      <c r="CQ523" s="196"/>
      <c r="CR523" s="196"/>
      <c r="CS523" s="196"/>
      <c r="CT523" s="196"/>
      <c r="CU523" s="196"/>
      <c r="CV523" s="196"/>
      <c r="CW523" s="196"/>
      <c r="CX523" s="196"/>
      <c r="CY523" s="196"/>
      <c r="CZ523" s="196"/>
      <c r="DA523" s="196"/>
      <c r="DB523" s="196"/>
      <c r="DC523" s="196"/>
      <c r="DD523" s="196"/>
      <c r="DE523" s="196"/>
      <c r="DF523" s="196"/>
      <c r="DG523" s="196"/>
      <c r="DH523" s="196"/>
      <c r="DI523" s="196"/>
      <c r="DJ523" s="196"/>
      <c r="DK523" s="196"/>
      <c r="DL523" s="196"/>
      <c r="DM523" s="196"/>
      <c r="DN523" s="196"/>
      <c r="DO523" s="196"/>
      <c r="DP523" s="196"/>
      <c r="DQ523" s="196"/>
      <c r="DR523" s="196"/>
      <c r="DS523" s="196"/>
      <c r="DT523" s="196"/>
      <c r="EA523" s="164"/>
      <c r="EB523" s="164"/>
      <c r="EC523" s="164"/>
      <c r="ED523" s="164"/>
      <c r="EE523" s="164"/>
      <c r="EF523" s="164"/>
      <c r="EG523" s="164"/>
      <c r="EH523" s="164"/>
      <c r="EI523" s="164"/>
    </row>
    <row r="524" spans="27:139" ht="16.5" thickTop="1" thickBot="1" x14ac:dyDescent="0.3">
      <c r="AA524" s="25" t="s">
        <v>34</v>
      </c>
      <c r="AB524" s="26">
        <f>IF($AD$521&lt;$AB$522,$AD$521,$AB$522)</f>
        <v>0</v>
      </c>
      <c r="AC524" s="18">
        <v>0</v>
      </c>
      <c r="AD524" s="18">
        <v>0</v>
      </c>
      <c r="AE524" s="26"/>
      <c r="AF524" s="26"/>
      <c r="AG524" s="26"/>
      <c r="AH524" s="36"/>
      <c r="BA524" s="25" t="s">
        <v>34</v>
      </c>
      <c r="BB524" s="26">
        <f>IF($BD$521&lt;$BB$522,$BD$521,$BB$522)</f>
        <v>0</v>
      </c>
      <c r="BC524" s="18">
        <v>0</v>
      </c>
      <c r="BD524" s="18">
        <v>0</v>
      </c>
      <c r="BE524" s="26"/>
      <c r="BF524" s="26"/>
      <c r="BG524" s="26"/>
      <c r="BH524" s="36"/>
      <c r="BX524" s="196"/>
      <c r="BY524" s="196"/>
      <c r="BZ524" s="196"/>
      <c r="CA524" s="196"/>
      <c r="CB524" s="196"/>
      <c r="CC524" s="196"/>
      <c r="CD524" s="196"/>
      <c r="CE524" s="196"/>
      <c r="CF524" s="196"/>
      <c r="CG524" s="196"/>
      <c r="CH524" s="196"/>
      <c r="CI524" s="196"/>
      <c r="CJ524" s="196"/>
      <c r="CK524" s="196"/>
      <c r="CL524" s="196"/>
      <c r="CM524" s="196"/>
      <c r="CN524" s="196"/>
      <c r="CO524" s="196"/>
      <c r="CP524" s="196"/>
      <c r="CQ524" s="196"/>
      <c r="CR524" s="196"/>
      <c r="CS524" s="196"/>
      <c r="CT524" s="196"/>
      <c r="CU524" s="196"/>
      <c r="CV524" s="196"/>
      <c r="CW524" s="196"/>
      <c r="CX524" s="196"/>
      <c r="CY524" s="196"/>
      <c r="CZ524" s="196"/>
      <c r="DA524" s="196"/>
      <c r="DB524" s="196"/>
      <c r="DC524" s="196"/>
      <c r="DD524" s="196"/>
      <c r="DE524" s="196"/>
      <c r="DF524" s="196"/>
      <c r="DG524" s="196"/>
      <c r="DH524" s="196"/>
      <c r="DI524" s="196"/>
      <c r="DJ524" s="196"/>
      <c r="DK524" s="196"/>
      <c r="DL524" s="196"/>
      <c r="DM524" s="196"/>
      <c r="DN524" s="196"/>
      <c r="DO524" s="196"/>
      <c r="DP524" s="196"/>
      <c r="DQ524" s="196"/>
      <c r="DR524" s="196"/>
      <c r="DS524" s="196"/>
      <c r="DT524" s="196"/>
      <c r="EA524" s="164"/>
      <c r="EB524" s="164"/>
      <c r="EC524" s="164"/>
      <c r="ED524" s="164"/>
      <c r="EE524" s="164"/>
      <c r="EF524" s="164"/>
      <c r="EG524" s="164"/>
      <c r="EH524" s="164"/>
      <c r="EI524" s="164"/>
    </row>
    <row r="525" spans="27:139" ht="16.5" thickTop="1" thickBot="1" x14ac:dyDescent="0.3">
      <c r="AA525" s="25" t="s">
        <v>60</v>
      </c>
      <c r="AB525" s="26">
        <f>IF($AB$523&amp;$AB$524="","0",AVERAGE($AB$523:$AB$524))</f>
        <v>0</v>
      </c>
      <c r="AC525" s="18">
        <v>0</v>
      </c>
      <c r="AD525" s="18">
        <v>0</v>
      </c>
      <c r="AE525" s="26"/>
      <c r="AF525" s="26"/>
      <c r="AG525" s="26"/>
      <c r="AH525" s="36"/>
      <c r="BA525" s="25" t="s">
        <v>60</v>
      </c>
      <c r="BB525" s="26">
        <f>IF($BB$523&amp;$BB$524="","0",AVERAGE($BB$523:$BB$524))</f>
        <v>0</v>
      </c>
      <c r="BC525" s="18">
        <v>0</v>
      </c>
      <c r="BD525" s="18">
        <v>0</v>
      </c>
      <c r="BE525" s="26"/>
      <c r="BF525" s="26"/>
      <c r="BG525" s="26"/>
      <c r="BH525" s="36"/>
      <c r="BX525" s="196"/>
      <c r="BY525" s="196"/>
      <c r="BZ525" s="196"/>
      <c r="CA525" s="196"/>
      <c r="CB525" s="196"/>
      <c r="CC525" s="196"/>
      <c r="CD525" s="196"/>
      <c r="CE525" s="196"/>
      <c r="CF525" s="196"/>
      <c r="CG525" s="196"/>
      <c r="CH525" s="196"/>
      <c r="CI525" s="196"/>
      <c r="CJ525" s="196"/>
      <c r="CK525" s="196"/>
      <c r="CL525" s="196"/>
      <c r="CM525" s="196"/>
      <c r="CN525" s="196"/>
      <c r="CO525" s="196"/>
      <c r="CP525" s="196"/>
      <c r="CQ525" s="196"/>
      <c r="CR525" s="196"/>
      <c r="CS525" s="196"/>
      <c r="CT525" s="196"/>
      <c r="CU525" s="196"/>
      <c r="CV525" s="196"/>
      <c r="CW525" s="196"/>
      <c r="CX525" s="196"/>
      <c r="CY525" s="196"/>
      <c r="CZ525" s="196"/>
      <c r="DA525" s="196"/>
      <c r="DB525" s="196"/>
      <c r="DC525" s="196"/>
      <c r="DD525" s="196"/>
      <c r="DE525" s="196"/>
      <c r="DF525" s="196"/>
      <c r="DG525" s="196"/>
      <c r="DH525" s="196"/>
      <c r="DI525" s="196"/>
      <c r="DJ525" s="196"/>
      <c r="DK525" s="196"/>
      <c r="DL525" s="196"/>
      <c r="DM525" s="196"/>
      <c r="DN525" s="196"/>
      <c r="DO525" s="196"/>
      <c r="DP525" s="196"/>
      <c r="DQ525" s="196"/>
      <c r="DR525" s="196"/>
      <c r="DS525" s="196"/>
      <c r="DT525" s="196"/>
      <c r="EA525" s="164"/>
      <c r="EB525" s="164"/>
      <c r="EC525" s="164"/>
      <c r="ED525" s="164"/>
      <c r="EE525" s="164"/>
      <c r="EF525" s="164"/>
      <c r="EG525" s="164"/>
      <c r="EH525" s="164"/>
      <c r="EI525" s="164"/>
    </row>
    <row r="526" spans="27:139" ht="16.5" thickTop="1" thickBot="1" x14ac:dyDescent="0.3">
      <c r="AA526" s="37" t="s">
        <v>50</v>
      </c>
      <c r="AB526" s="47">
        <v>1</v>
      </c>
      <c r="AC526" s="18">
        <v>0</v>
      </c>
      <c r="AD526" s="18">
        <v>0</v>
      </c>
      <c r="AE526" s="26"/>
      <c r="AF526" s="26"/>
      <c r="AG526" s="26"/>
      <c r="AH526" s="36"/>
      <c r="BA526" s="37" t="s">
        <v>50</v>
      </c>
      <c r="BB526" s="47">
        <v>1</v>
      </c>
      <c r="BC526" s="18">
        <v>0</v>
      </c>
      <c r="BD526" s="18">
        <v>0</v>
      </c>
      <c r="BE526" s="26"/>
      <c r="BF526" s="26"/>
      <c r="BG526" s="26"/>
      <c r="BH526" s="36"/>
      <c r="BX526" s="196"/>
      <c r="BY526" s="196"/>
      <c r="BZ526" s="196"/>
      <c r="CA526" s="196"/>
      <c r="CB526" s="196"/>
      <c r="CC526" s="196"/>
      <c r="CD526" s="196"/>
      <c r="CE526" s="196"/>
      <c r="CF526" s="196"/>
      <c r="CG526" s="196"/>
      <c r="CH526" s="196"/>
      <c r="CI526" s="196"/>
      <c r="CJ526" s="196"/>
      <c r="CK526" s="196"/>
      <c r="CL526" s="196"/>
      <c r="CM526" s="196"/>
      <c r="CN526" s="196"/>
      <c r="CO526" s="196"/>
      <c r="CP526" s="196"/>
      <c r="CQ526" s="196"/>
      <c r="CR526" s="196"/>
      <c r="CS526" s="196"/>
      <c r="CT526" s="196"/>
      <c r="CU526" s="196"/>
      <c r="CV526" s="196"/>
      <c r="CW526" s="196"/>
      <c r="CX526" s="196"/>
      <c r="CY526" s="196"/>
      <c r="CZ526" s="196"/>
      <c r="DA526" s="196"/>
      <c r="DB526" s="196"/>
      <c r="DC526" s="196"/>
      <c r="DD526" s="196"/>
      <c r="DE526" s="196"/>
      <c r="DF526" s="196"/>
      <c r="DG526" s="196"/>
      <c r="DH526" s="196"/>
      <c r="DI526" s="196"/>
      <c r="DJ526" s="196"/>
      <c r="DK526" s="196"/>
      <c r="DL526" s="196"/>
      <c r="DM526" s="196"/>
      <c r="DN526" s="196"/>
      <c r="DO526" s="196"/>
      <c r="DP526" s="196"/>
      <c r="DQ526" s="196"/>
      <c r="DR526" s="196"/>
      <c r="DS526" s="196"/>
      <c r="DT526" s="196"/>
      <c r="EA526" s="164"/>
      <c r="EB526" s="164"/>
      <c r="EC526" s="164"/>
      <c r="ED526" s="164"/>
      <c r="EE526" s="164"/>
      <c r="EF526" s="164"/>
      <c r="EG526" s="164"/>
      <c r="EH526" s="164"/>
      <c r="EI526" s="164"/>
    </row>
    <row r="527" spans="27:139" ht="16.5" thickTop="1" thickBot="1" x14ac:dyDescent="0.3">
      <c r="AA527" s="53" t="s">
        <v>74</v>
      </c>
      <c r="AB527" s="54">
        <f>$AB$525*$AB$526</f>
        <v>0</v>
      </c>
      <c r="AC527" s="18">
        <v>0</v>
      </c>
      <c r="AD527" s="18">
        <v>0</v>
      </c>
      <c r="AE527" s="26"/>
      <c r="AF527" s="26"/>
      <c r="AG527" s="26"/>
      <c r="AH527" s="36"/>
      <c r="BA527" s="53" t="s">
        <v>74</v>
      </c>
      <c r="BB527" s="54">
        <f>$BB$525*$BB$526</f>
        <v>0</v>
      </c>
      <c r="BC527" s="18">
        <v>0</v>
      </c>
      <c r="BD527" s="18">
        <v>0</v>
      </c>
      <c r="BE527" s="26"/>
      <c r="BF527" s="26"/>
      <c r="BG527" s="26"/>
      <c r="BH527" s="36"/>
      <c r="BX527" s="196"/>
      <c r="BY527" s="196"/>
      <c r="BZ527" s="196"/>
      <c r="CA527" s="196"/>
      <c r="CB527" s="196"/>
      <c r="CC527" s="196"/>
      <c r="CD527" s="196"/>
      <c r="CE527" s="196"/>
      <c r="CF527" s="196"/>
      <c r="CG527" s="196"/>
      <c r="CH527" s="196"/>
      <c r="CI527" s="196"/>
      <c r="CJ527" s="196"/>
      <c r="CK527" s="196"/>
      <c r="CL527" s="196"/>
      <c r="CM527" s="196"/>
      <c r="CN527" s="196"/>
      <c r="CO527" s="196"/>
      <c r="CP527" s="196"/>
      <c r="CQ527" s="196"/>
      <c r="CR527" s="196"/>
      <c r="CS527" s="196"/>
      <c r="CT527" s="196"/>
      <c r="CU527" s="196"/>
      <c r="CV527" s="196"/>
      <c r="CW527" s="196"/>
      <c r="CX527" s="196"/>
      <c r="CY527" s="196"/>
      <c r="CZ527" s="196"/>
      <c r="DA527" s="196"/>
      <c r="DB527" s="196"/>
      <c r="DC527" s="196"/>
      <c r="DD527" s="196"/>
      <c r="DE527" s="196"/>
      <c r="DF527" s="196"/>
      <c r="DG527" s="196"/>
      <c r="DH527" s="196"/>
      <c r="DI527" s="196"/>
      <c r="DJ527" s="196"/>
      <c r="DK527" s="196"/>
      <c r="DL527" s="196"/>
      <c r="DM527" s="196"/>
      <c r="DN527" s="196"/>
      <c r="DO527" s="196"/>
      <c r="DP527" s="196"/>
      <c r="DQ527" s="196"/>
      <c r="DR527" s="196"/>
      <c r="DS527" s="196"/>
      <c r="DT527" s="196"/>
      <c r="EA527" s="164"/>
      <c r="EB527" s="164"/>
      <c r="EC527" s="164"/>
      <c r="ED527" s="164"/>
      <c r="EE527" s="164"/>
      <c r="EF527" s="164"/>
      <c r="EG527" s="164"/>
      <c r="EH527" s="164"/>
      <c r="EI527" s="164"/>
    </row>
    <row r="528" spans="27:139" ht="16.5" thickTop="1" thickBot="1" x14ac:dyDescent="0.3">
      <c r="AA528" s="37" t="s">
        <v>62</v>
      </c>
      <c r="AB528" s="26"/>
      <c r="AC528" s="18">
        <v>0</v>
      </c>
      <c r="AD528" s="18">
        <v>0</v>
      </c>
      <c r="AE528" s="26"/>
      <c r="AF528" s="26"/>
      <c r="AG528" s="26"/>
      <c r="AH528" s="36"/>
      <c r="BA528" s="37" t="s">
        <v>62</v>
      </c>
      <c r="BB528" s="26"/>
      <c r="BC528" s="18">
        <v>0</v>
      </c>
      <c r="BD528" s="18">
        <v>0</v>
      </c>
      <c r="BE528" s="26"/>
      <c r="BF528" s="26"/>
      <c r="BG528" s="26"/>
      <c r="BH528" s="36"/>
      <c r="BX528" s="196"/>
      <c r="BY528" s="196"/>
      <c r="BZ528" s="196"/>
      <c r="CA528" s="196"/>
      <c r="CB528" s="196"/>
      <c r="CC528" s="196"/>
      <c r="CD528" s="196"/>
      <c r="CE528" s="196"/>
      <c r="CF528" s="196"/>
      <c r="CG528" s="196"/>
      <c r="CH528" s="196"/>
      <c r="CI528" s="196"/>
      <c r="CJ528" s="196"/>
      <c r="CK528" s="196"/>
      <c r="CL528" s="196"/>
      <c r="CM528" s="196"/>
      <c r="CN528" s="196"/>
      <c r="CO528" s="196"/>
      <c r="CP528" s="196"/>
      <c r="CQ528" s="196"/>
      <c r="CR528" s="196"/>
      <c r="CS528" s="196"/>
      <c r="CT528" s="196"/>
      <c r="CU528" s="196"/>
      <c r="CV528" s="196"/>
      <c r="CW528" s="196"/>
      <c r="CX528" s="196"/>
      <c r="CY528" s="196"/>
      <c r="CZ528" s="196"/>
      <c r="DA528" s="196"/>
      <c r="DB528" s="196"/>
      <c r="DC528" s="196"/>
      <c r="DD528" s="196"/>
      <c r="DE528" s="196"/>
      <c r="DF528" s="196"/>
      <c r="DG528" s="196"/>
      <c r="DH528" s="196"/>
      <c r="DI528" s="196"/>
      <c r="DJ528" s="196"/>
      <c r="DK528" s="196"/>
      <c r="DL528" s="196"/>
      <c r="DM528" s="196"/>
      <c r="DN528" s="196"/>
      <c r="DO528" s="196"/>
      <c r="DP528" s="196"/>
      <c r="DQ528" s="196"/>
      <c r="DR528" s="196"/>
      <c r="DS528" s="196"/>
      <c r="DT528" s="196"/>
      <c r="EA528" s="164"/>
      <c r="EB528" s="164"/>
      <c r="EC528" s="164"/>
      <c r="ED528" s="164"/>
      <c r="EE528" s="164"/>
      <c r="EF528" s="164"/>
      <c r="EG528" s="164"/>
      <c r="EH528" s="164"/>
      <c r="EI528" s="164"/>
    </row>
    <row r="529" spans="27:139" ht="16.5" thickTop="1" thickBot="1" x14ac:dyDescent="0.3">
      <c r="AA529" s="37" t="s">
        <v>50</v>
      </c>
      <c r="AB529" s="47">
        <v>1</v>
      </c>
      <c r="AC529" s="18">
        <v>0</v>
      </c>
      <c r="AD529" s="18">
        <v>0</v>
      </c>
      <c r="AE529" s="26"/>
      <c r="AF529" s="26"/>
      <c r="AG529" s="26"/>
      <c r="AH529" s="36"/>
      <c r="BA529" s="37" t="s">
        <v>50</v>
      </c>
      <c r="BB529" s="47">
        <v>1</v>
      </c>
      <c r="BC529" s="18">
        <v>0</v>
      </c>
      <c r="BD529" s="18">
        <v>0</v>
      </c>
      <c r="BE529" s="26"/>
      <c r="BF529" s="26"/>
      <c r="BG529" s="26"/>
      <c r="BH529" s="36"/>
      <c r="BX529" s="196"/>
      <c r="BY529" s="196"/>
      <c r="BZ529" s="196"/>
      <c r="CA529" s="196"/>
      <c r="CB529" s="196"/>
      <c r="CC529" s="196"/>
      <c r="CD529" s="196"/>
      <c r="CE529" s="196"/>
      <c r="CF529" s="196"/>
      <c r="CG529" s="196"/>
      <c r="CH529" s="196"/>
      <c r="CI529" s="196"/>
      <c r="CJ529" s="196"/>
      <c r="CK529" s="196"/>
      <c r="CL529" s="196"/>
      <c r="CM529" s="196"/>
      <c r="CN529" s="196"/>
      <c r="CO529" s="196"/>
      <c r="CP529" s="196"/>
      <c r="CQ529" s="196"/>
      <c r="CR529" s="196"/>
      <c r="CS529" s="196"/>
      <c r="CT529" s="196"/>
      <c r="CU529" s="196"/>
      <c r="CV529" s="196"/>
      <c r="CW529" s="196"/>
      <c r="CX529" s="196"/>
      <c r="CY529" s="196"/>
      <c r="CZ529" s="196"/>
      <c r="DA529" s="196"/>
      <c r="DB529" s="196"/>
      <c r="DC529" s="196"/>
      <c r="DD529" s="196"/>
      <c r="DE529" s="196"/>
      <c r="DF529" s="196"/>
      <c r="DG529" s="196"/>
      <c r="DH529" s="196"/>
      <c r="DI529" s="196"/>
      <c r="DJ529" s="196"/>
      <c r="DK529" s="196"/>
      <c r="DL529" s="196"/>
      <c r="DM529" s="196"/>
      <c r="DN529" s="196"/>
      <c r="DO529" s="196"/>
      <c r="DP529" s="196"/>
      <c r="DQ529" s="196"/>
      <c r="DR529" s="196"/>
      <c r="DS529" s="196"/>
      <c r="DT529" s="196"/>
      <c r="EA529" s="164"/>
      <c r="EB529" s="164"/>
      <c r="EC529" s="164"/>
      <c r="ED529" s="164"/>
      <c r="EE529" s="164"/>
      <c r="EF529" s="164"/>
      <c r="EG529" s="164"/>
      <c r="EH529" s="164"/>
      <c r="EI529" s="164"/>
    </row>
    <row r="530" spans="27:139" ht="16.5" thickTop="1" thickBot="1" x14ac:dyDescent="0.3">
      <c r="AA530" s="37" t="s">
        <v>79</v>
      </c>
      <c r="AB530" s="26"/>
      <c r="AC530" s="26"/>
      <c r="AD530" s="26"/>
      <c r="AE530" s="26"/>
      <c r="AF530" s="26"/>
      <c r="AG530" s="26"/>
      <c r="AH530" s="36"/>
      <c r="BA530" s="37" t="s">
        <v>79</v>
      </c>
      <c r="BB530" s="26"/>
      <c r="BC530" s="26"/>
      <c r="BD530" s="26"/>
      <c r="BE530" s="26"/>
      <c r="BF530" s="26"/>
      <c r="BG530" s="26"/>
      <c r="BH530" s="36"/>
      <c r="BX530" s="196"/>
      <c r="BY530" s="196"/>
      <c r="BZ530" s="196"/>
      <c r="CA530" s="196"/>
      <c r="CB530" s="196"/>
      <c r="CC530" s="196"/>
      <c r="CD530" s="196"/>
      <c r="CE530" s="196"/>
      <c r="CF530" s="196"/>
      <c r="CG530" s="196"/>
      <c r="CH530" s="196"/>
      <c r="CI530" s="196"/>
      <c r="CJ530" s="196"/>
      <c r="CK530" s="196"/>
      <c r="CL530" s="196"/>
      <c r="CM530" s="196"/>
      <c r="CN530" s="196"/>
      <c r="CO530" s="196"/>
      <c r="CP530" s="196"/>
      <c r="CQ530" s="196"/>
      <c r="CR530" s="196"/>
      <c r="CS530" s="196"/>
      <c r="CT530" s="196"/>
      <c r="CU530" s="196"/>
      <c r="CV530" s="196"/>
      <c r="CW530" s="196"/>
      <c r="CX530" s="196"/>
      <c r="CY530" s="196"/>
      <c r="CZ530" s="196"/>
      <c r="DA530" s="196"/>
      <c r="DB530" s="196"/>
      <c r="DC530" s="196"/>
      <c r="DD530" s="196"/>
      <c r="DE530" s="196"/>
      <c r="DF530" s="196"/>
      <c r="DG530" s="196"/>
      <c r="DH530" s="196"/>
      <c r="DI530" s="196"/>
      <c r="DJ530" s="196"/>
      <c r="DK530" s="196"/>
      <c r="DL530" s="196"/>
      <c r="DM530" s="196"/>
      <c r="DN530" s="196"/>
      <c r="DO530" s="196"/>
      <c r="DP530" s="196"/>
      <c r="DQ530" s="196"/>
      <c r="DR530" s="196"/>
      <c r="DS530" s="196"/>
      <c r="DT530" s="196"/>
      <c r="EA530" s="164"/>
      <c r="EB530" s="164"/>
      <c r="EC530" s="164"/>
      <c r="ED530" s="164"/>
      <c r="EE530" s="164"/>
      <c r="EF530" s="164"/>
      <c r="EG530" s="164"/>
      <c r="EH530" s="164"/>
      <c r="EI530" s="164"/>
    </row>
    <row r="531" spans="27:139" ht="16.5" thickTop="1" thickBot="1" x14ac:dyDescent="0.3">
      <c r="AA531" s="37" t="s">
        <v>64</v>
      </c>
      <c r="AB531" s="26"/>
      <c r="AC531" s="26"/>
      <c r="AD531" s="26"/>
      <c r="AE531" s="26"/>
      <c r="AF531" s="26"/>
      <c r="AG531" s="26"/>
      <c r="AH531" s="36"/>
      <c r="BA531" s="37" t="s">
        <v>64</v>
      </c>
      <c r="BB531" s="26"/>
      <c r="BC531" s="26"/>
      <c r="BD531" s="26"/>
      <c r="BE531" s="26"/>
      <c r="BF531" s="26"/>
      <c r="BG531" s="26"/>
      <c r="BH531" s="36"/>
      <c r="BX531" s="196"/>
      <c r="BY531" s="196"/>
      <c r="BZ531" s="196"/>
      <c r="CA531" s="196"/>
      <c r="CB531" s="196"/>
      <c r="CC531" s="196"/>
      <c r="CD531" s="196"/>
      <c r="CE531" s="196"/>
      <c r="CF531" s="196"/>
      <c r="CG531" s="196"/>
      <c r="CH531" s="196"/>
      <c r="CI531" s="196"/>
      <c r="CJ531" s="196"/>
      <c r="CK531" s="196"/>
      <c r="CL531" s="196"/>
      <c r="CM531" s="196"/>
      <c r="CN531" s="196"/>
      <c r="CO531" s="196"/>
      <c r="CP531" s="196"/>
      <c r="CQ531" s="196"/>
      <c r="CR531" s="196"/>
      <c r="CS531" s="196"/>
      <c r="CT531" s="196"/>
      <c r="CU531" s="196"/>
      <c r="CV531" s="196"/>
      <c r="CW531" s="196"/>
      <c r="CX531" s="196"/>
      <c r="CY531" s="196"/>
      <c r="CZ531" s="196"/>
      <c r="DA531" s="196"/>
      <c r="DB531" s="196"/>
      <c r="DC531" s="196"/>
      <c r="DD531" s="196"/>
      <c r="DE531" s="196"/>
      <c r="DF531" s="196"/>
      <c r="DG531" s="196"/>
      <c r="DH531" s="196"/>
      <c r="DI531" s="196"/>
      <c r="DJ531" s="196"/>
      <c r="DK531" s="196"/>
      <c r="DL531" s="196"/>
      <c r="DM531" s="196"/>
      <c r="DN531" s="196"/>
      <c r="DO531" s="196"/>
      <c r="DP531" s="196"/>
      <c r="DQ531" s="196"/>
      <c r="DR531" s="196"/>
      <c r="DS531" s="196"/>
      <c r="DT531" s="196"/>
      <c r="EA531" s="164"/>
      <c r="EB531" s="164"/>
      <c r="EC531" s="164"/>
      <c r="ED531" s="164"/>
      <c r="EE531" s="164"/>
      <c r="EF531" s="164"/>
      <c r="EG531" s="164"/>
      <c r="EH531" s="164"/>
      <c r="EI531" s="164"/>
    </row>
    <row r="532" spans="27:139" ht="16.5" thickTop="1" thickBot="1" x14ac:dyDescent="0.3">
      <c r="AA532" s="23" t="s">
        <v>96</v>
      </c>
      <c r="AB532" s="109">
        <v>0</v>
      </c>
      <c r="AC532" s="26"/>
      <c r="AD532" s="26"/>
      <c r="AE532" s="26"/>
      <c r="AF532" s="26"/>
      <c r="AG532" s="26"/>
      <c r="AH532" s="36"/>
      <c r="BA532" s="23" t="s">
        <v>96</v>
      </c>
      <c r="BB532" s="109">
        <v>0</v>
      </c>
      <c r="BC532" s="26"/>
      <c r="BD532" s="26"/>
      <c r="BE532" s="26"/>
      <c r="BF532" s="26"/>
      <c r="BG532" s="26"/>
      <c r="BH532" s="36"/>
      <c r="BX532" s="196"/>
      <c r="BY532" s="196"/>
      <c r="BZ532" s="196"/>
      <c r="CA532" s="196"/>
      <c r="CB532" s="196"/>
      <c r="CC532" s="196"/>
      <c r="CD532" s="196"/>
      <c r="CE532" s="196"/>
      <c r="CF532" s="196"/>
      <c r="CG532" s="196"/>
      <c r="CH532" s="196"/>
      <c r="CI532" s="196"/>
      <c r="CJ532" s="196"/>
      <c r="CK532" s="196"/>
      <c r="CL532" s="196"/>
      <c r="CM532" s="196"/>
      <c r="CN532" s="196"/>
      <c r="CO532" s="196"/>
      <c r="CP532" s="196"/>
      <c r="CQ532" s="196"/>
      <c r="CR532" s="196"/>
      <c r="CS532" s="196"/>
      <c r="CT532" s="196"/>
      <c r="CU532" s="196"/>
      <c r="CV532" s="196"/>
      <c r="CW532" s="196"/>
      <c r="CX532" s="196"/>
      <c r="CY532" s="196"/>
      <c r="CZ532" s="196"/>
      <c r="DA532" s="196"/>
      <c r="DB532" s="196"/>
      <c r="DC532" s="196"/>
      <c r="DD532" s="196"/>
      <c r="DE532" s="196"/>
      <c r="DF532" s="196"/>
      <c r="DG532" s="196"/>
      <c r="DH532" s="196"/>
      <c r="DI532" s="196"/>
      <c r="DJ532" s="196"/>
      <c r="DK532" s="196"/>
      <c r="DL532" s="196"/>
      <c r="DM532" s="196"/>
      <c r="DN532" s="196"/>
      <c r="DO532" s="196"/>
      <c r="DP532" s="196"/>
      <c r="DQ532" s="196"/>
      <c r="DR532" s="196"/>
      <c r="DS532" s="196"/>
      <c r="DT532" s="196"/>
      <c r="EA532" s="164"/>
      <c r="EB532" s="164"/>
      <c r="EC532" s="164"/>
      <c r="ED532" s="164"/>
      <c r="EE532" s="164"/>
      <c r="EF532" s="164"/>
      <c r="EG532" s="164"/>
      <c r="EH532" s="164"/>
      <c r="EI532" s="164"/>
    </row>
    <row r="533" spans="27:139" ht="16.5" thickTop="1" thickBot="1" x14ac:dyDescent="0.3">
      <c r="AA533" s="41" t="s">
        <v>98</v>
      </c>
      <c r="AB533" s="42">
        <f>$AB$527*$AB$532</f>
        <v>0</v>
      </c>
      <c r="AC533" s="100"/>
      <c r="AD533" s="31"/>
      <c r="AE533" s="31"/>
      <c r="AF533" s="31"/>
      <c r="AG533" s="31"/>
      <c r="AH533" s="43"/>
      <c r="BA533" s="41" t="s">
        <v>98</v>
      </c>
      <c r="BB533" s="42">
        <f>$BB$527*$BB$532</f>
        <v>0</v>
      </c>
      <c r="BC533" s="100"/>
      <c r="BD533" s="31"/>
      <c r="BE533" s="31"/>
      <c r="BF533" s="31"/>
      <c r="BG533" s="31"/>
      <c r="BH533" s="43"/>
      <c r="BX533" s="196"/>
      <c r="BY533" s="196"/>
      <c r="BZ533" s="196"/>
      <c r="CA533" s="196"/>
      <c r="CB533" s="196"/>
      <c r="CC533" s="196"/>
      <c r="CD533" s="196"/>
      <c r="CE533" s="196"/>
      <c r="CF533" s="196"/>
      <c r="CG533" s="196"/>
      <c r="CH533" s="196"/>
      <c r="CI533" s="196"/>
      <c r="CJ533" s="196"/>
      <c r="CK533" s="196"/>
      <c r="CL533" s="196"/>
      <c r="CM533" s="196"/>
      <c r="CN533" s="196"/>
      <c r="CO533" s="196"/>
      <c r="CP533" s="196"/>
      <c r="CQ533" s="196"/>
      <c r="CR533" s="196"/>
      <c r="CS533" s="196"/>
      <c r="CT533" s="196"/>
      <c r="CU533" s="196"/>
      <c r="CV533" s="196"/>
      <c r="CW533" s="196"/>
      <c r="CX533" s="196"/>
      <c r="CY533" s="196"/>
      <c r="CZ533" s="196"/>
      <c r="DA533" s="196"/>
      <c r="DB533" s="196"/>
      <c r="DC533" s="196"/>
      <c r="DD533" s="196"/>
      <c r="DE533" s="196"/>
      <c r="DF533" s="196"/>
      <c r="DG533" s="196"/>
      <c r="DH533" s="196"/>
      <c r="DI533" s="196"/>
      <c r="DJ533" s="196"/>
      <c r="DK533" s="196"/>
      <c r="DL533" s="196"/>
      <c r="DM533" s="196"/>
      <c r="DN533" s="196"/>
      <c r="DO533" s="196"/>
      <c r="DP533" s="196"/>
      <c r="DQ533" s="196"/>
      <c r="DR533" s="196"/>
      <c r="DS533" s="196"/>
      <c r="DT533" s="196"/>
      <c r="EA533" s="164"/>
      <c r="EB533" s="164"/>
      <c r="EC533" s="164"/>
      <c r="ED533" s="164"/>
      <c r="EE533" s="164"/>
      <c r="EF533" s="164"/>
      <c r="EG533" s="164"/>
      <c r="EH533" s="164"/>
      <c r="EI533" s="164"/>
    </row>
    <row r="534" spans="27:139" ht="15.75" thickBot="1" x14ac:dyDescent="0.3">
      <c r="BX534" s="196"/>
      <c r="BY534" s="196"/>
      <c r="BZ534" s="196"/>
      <c r="CA534" s="196"/>
      <c r="CB534" s="196"/>
      <c r="CC534" s="196"/>
      <c r="CD534" s="196"/>
      <c r="CE534" s="196"/>
      <c r="CF534" s="196"/>
      <c r="CG534" s="196"/>
      <c r="CH534" s="196"/>
      <c r="CI534" s="196"/>
      <c r="CJ534" s="196"/>
      <c r="CK534" s="196"/>
      <c r="CL534" s="196"/>
      <c r="CM534" s="196"/>
      <c r="CN534" s="196"/>
      <c r="CO534" s="196"/>
      <c r="CP534" s="196"/>
      <c r="CQ534" s="196"/>
      <c r="CR534" s="196"/>
      <c r="CS534" s="196"/>
      <c r="CT534" s="196"/>
      <c r="CU534" s="196"/>
      <c r="CV534" s="196"/>
      <c r="CW534" s="196"/>
      <c r="CX534" s="196"/>
      <c r="CY534" s="196"/>
      <c r="CZ534" s="196"/>
      <c r="DA534" s="196"/>
      <c r="DB534" s="196"/>
      <c r="DC534" s="196"/>
      <c r="DD534" s="196"/>
      <c r="DE534" s="196"/>
      <c r="DF534" s="196"/>
      <c r="DG534" s="196"/>
      <c r="DH534" s="196"/>
      <c r="DI534" s="196"/>
      <c r="DJ534" s="196"/>
      <c r="DK534" s="196"/>
      <c r="DL534" s="196"/>
      <c r="DM534" s="196"/>
      <c r="DN534" s="196"/>
      <c r="DO534" s="196"/>
      <c r="DP534" s="196"/>
      <c r="DQ534" s="196"/>
      <c r="DR534" s="196"/>
      <c r="DS534" s="196"/>
      <c r="DT534" s="196"/>
      <c r="EA534" s="164"/>
      <c r="EB534" s="164"/>
      <c r="EC534" s="164"/>
      <c r="ED534" s="164"/>
      <c r="EE534" s="164"/>
      <c r="EF534" s="164"/>
      <c r="EG534" s="164"/>
      <c r="EH534" s="164"/>
      <c r="EI534" s="164"/>
    </row>
    <row r="535" spans="27:139" ht="15.75" thickBot="1" x14ac:dyDescent="0.3">
      <c r="AA535" s="48" t="s">
        <v>31</v>
      </c>
      <c r="AB535" s="49">
        <f>AVERAGE($AC$535:$AD$535)</f>
        <v>0</v>
      </c>
      <c r="AC535" s="50">
        <f>SUM($AC$536:$AC$543)</f>
        <v>0</v>
      </c>
      <c r="AD535" s="50">
        <f>SUM($AD$536:$AD$543)</f>
        <v>0</v>
      </c>
      <c r="AE535" s="49"/>
      <c r="AF535" s="49"/>
      <c r="AG535" s="49"/>
      <c r="AH535" s="69"/>
      <c r="BA535" s="48" t="s">
        <v>31</v>
      </c>
      <c r="BB535" s="49">
        <f>AVERAGE($BC$535:$BD$535)</f>
        <v>0</v>
      </c>
      <c r="BC535" s="50">
        <f>SUM($BC$536:$BC$543)</f>
        <v>0</v>
      </c>
      <c r="BD535" s="50">
        <f>SUM($BD$536:$BD$543)</f>
        <v>0</v>
      </c>
      <c r="BE535" s="49"/>
      <c r="BF535" s="49"/>
      <c r="BG535" s="49"/>
      <c r="BH535" s="69"/>
      <c r="BX535" s="196"/>
      <c r="BY535" s="196"/>
      <c r="BZ535" s="196"/>
      <c r="CA535" s="196"/>
      <c r="CB535" s="196"/>
      <c r="CC535" s="196"/>
      <c r="CD535" s="196"/>
      <c r="CE535" s="196"/>
      <c r="CF535" s="196"/>
      <c r="CG535" s="196"/>
      <c r="CH535" s="196"/>
      <c r="CI535" s="196"/>
      <c r="CJ535" s="196"/>
      <c r="CK535" s="196"/>
      <c r="CL535" s="196"/>
      <c r="CM535" s="196"/>
      <c r="CN535" s="196"/>
      <c r="CO535" s="196"/>
      <c r="CP535" s="196"/>
      <c r="CQ535" s="196"/>
      <c r="CR535" s="196"/>
      <c r="CS535" s="196"/>
      <c r="CT535" s="196"/>
      <c r="CU535" s="196"/>
      <c r="CV535" s="196"/>
      <c r="CW535" s="196"/>
      <c r="CX535" s="196"/>
      <c r="CY535" s="196"/>
      <c r="CZ535" s="196"/>
      <c r="DA535" s="196"/>
      <c r="DB535" s="196"/>
      <c r="DC535" s="196"/>
      <c r="DD535" s="196"/>
      <c r="DE535" s="196"/>
      <c r="DF535" s="196"/>
      <c r="DG535" s="196"/>
      <c r="DH535" s="196"/>
      <c r="DI535" s="196"/>
      <c r="DJ535" s="196"/>
      <c r="DK535" s="196"/>
      <c r="DL535" s="196"/>
      <c r="DM535" s="196"/>
      <c r="DN535" s="196"/>
      <c r="DO535" s="196"/>
      <c r="DP535" s="196"/>
      <c r="DQ535" s="196"/>
      <c r="DR535" s="196"/>
      <c r="DS535" s="196"/>
      <c r="DT535" s="196"/>
      <c r="EA535" s="164"/>
      <c r="EB535" s="164"/>
      <c r="EC535" s="164"/>
      <c r="ED535" s="164"/>
      <c r="EE535" s="164"/>
      <c r="EF535" s="164"/>
      <c r="EG535" s="164"/>
      <c r="EH535" s="164"/>
      <c r="EI535" s="164"/>
    </row>
    <row r="536" spans="27:139" ht="16.5" thickTop="1" thickBot="1" x14ac:dyDescent="0.3">
      <c r="AA536" s="27">
        <f>$B$29</f>
        <v>0.3</v>
      </c>
      <c r="AB536" s="26">
        <f>($AB$535*$AA$536)+$AB$535</f>
        <v>0</v>
      </c>
      <c r="AC536" s="18">
        <v>0</v>
      </c>
      <c r="AD536" s="18">
        <v>0</v>
      </c>
      <c r="AE536" s="26"/>
      <c r="AF536" s="26"/>
      <c r="AG536" s="26"/>
      <c r="AH536" s="36"/>
      <c r="BA536" s="27">
        <f>$B$29</f>
        <v>0.3</v>
      </c>
      <c r="BB536" s="26">
        <f>($BB$535*$BA$536)+$BB$535</f>
        <v>0</v>
      </c>
      <c r="BC536" s="18">
        <v>0</v>
      </c>
      <c r="BD536" s="18">
        <v>0</v>
      </c>
      <c r="BE536" s="26"/>
      <c r="BF536" s="26"/>
      <c r="BG536" s="26"/>
      <c r="BH536" s="36"/>
      <c r="BX536" s="196"/>
      <c r="BY536" s="196"/>
      <c r="BZ536" s="196"/>
      <c r="CA536" s="196"/>
      <c r="CB536" s="196"/>
      <c r="CC536" s="196"/>
      <c r="CD536" s="196"/>
      <c r="CE536" s="196"/>
      <c r="CF536" s="196"/>
      <c r="CG536" s="196"/>
      <c r="CH536" s="196"/>
      <c r="CI536" s="196"/>
      <c r="CJ536" s="196"/>
      <c r="CK536" s="196"/>
      <c r="CL536" s="196"/>
      <c r="CM536" s="196"/>
      <c r="CN536" s="196"/>
      <c r="CO536" s="196"/>
      <c r="CP536" s="196"/>
      <c r="CQ536" s="196"/>
      <c r="CR536" s="196"/>
      <c r="CS536" s="196"/>
      <c r="CT536" s="196"/>
      <c r="CU536" s="196"/>
      <c r="CV536" s="196"/>
      <c r="CW536" s="196"/>
      <c r="CX536" s="196"/>
      <c r="CY536" s="196"/>
      <c r="CZ536" s="196"/>
      <c r="DA536" s="196"/>
      <c r="DB536" s="196"/>
      <c r="DC536" s="196"/>
      <c r="DD536" s="196"/>
      <c r="DE536" s="196"/>
      <c r="DF536" s="196"/>
      <c r="DG536" s="196"/>
      <c r="DH536" s="196"/>
      <c r="DI536" s="196"/>
      <c r="DJ536" s="196"/>
      <c r="DK536" s="196"/>
      <c r="DL536" s="196"/>
      <c r="DM536" s="196"/>
      <c r="DN536" s="196"/>
      <c r="DO536" s="196"/>
      <c r="DP536" s="196"/>
      <c r="DQ536" s="196"/>
      <c r="DR536" s="196"/>
      <c r="DS536" s="196"/>
      <c r="DT536" s="196"/>
      <c r="EA536" s="164"/>
      <c r="EB536" s="164"/>
      <c r="EC536" s="164"/>
      <c r="ED536" s="164"/>
      <c r="EE536" s="164"/>
      <c r="EF536" s="164"/>
      <c r="EG536" s="164"/>
      <c r="EH536" s="164"/>
      <c r="EI536" s="164"/>
    </row>
    <row r="537" spans="27:139" ht="16.5" thickTop="1" thickBot="1" x14ac:dyDescent="0.3">
      <c r="AA537" s="25" t="s">
        <v>32</v>
      </c>
      <c r="AB537" s="26">
        <f>IF($AC$535&lt;$AB$536,$AC$535,$AB$536)</f>
        <v>0</v>
      </c>
      <c r="AC537" s="18">
        <v>0</v>
      </c>
      <c r="AD537" s="18">
        <v>0</v>
      </c>
      <c r="AE537" s="26"/>
      <c r="AF537" s="26"/>
      <c r="AG537" s="26"/>
      <c r="AH537" s="36"/>
      <c r="BA537" s="25" t="s">
        <v>32</v>
      </c>
      <c r="BB537" s="26">
        <f>IF($BC$535&lt;$BB$536,$BC$535,$BB$536)</f>
        <v>0</v>
      </c>
      <c r="BC537" s="18">
        <v>0</v>
      </c>
      <c r="BD537" s="18">
        <v>0</v>
      </c>
      <c r="BE537" s="26"/>
      <c r="BF537" s="26"/>
      <c r="BG537" s="26"/>
      <c r="BH537" s="36"/>
      <c r="BX537" s="196"/>
      <c r="BY537" s="196"/>
      <c r="BZ537" s="196"/>
      <c r="CA537" s="196"/>
      <c r="CB537" s="196"/>
      <c r="CC537" s="196"/>
      <c r="CD537" s="196"/>
      <c r="CE537" s="196"/>
      <c r="CF537" s="196"/>
      <c r="CG537" s="196"/>
      <c r="CH537" s="196"/>
      <c r="CI537" s="196"/>
      <c r="CJ537" s="196"/>
      <c r="CK537" s="196"/>
      <c r="CL537" s="196"/>
      <c r="CM537" s="196"/>
      <c r="CN537" s="196"/>
      <c r="CO537" s="196"/>
      <c r="CP537" s="196"/>
      <c r="CQ537" s="196"/>
      <c r="CR537" s="196"/>
      <c r="CS537" s="196"/>
      <c r="CT537" s="196"/>
      <c r="CU537" s="196"/>
      <c r="CV537" s="196"/>
      <c r="CW537" s="196"/>
      <c r="CX537" s="196"/>
      <c r="CY537" s="196"/>
      <c r="CZ537" s="196"/>
      <c r="DA537" s="196"/>
      <c r="DB537" s="196"/>
      <c r="DC537" s="196"/>
      <c r="DD537" s="196"/>
      <c r="DE537" s="196"/>
      <c r="DF537" s="196"/>
      <c r="DG537" s="196"/>
      <c r="DH537" s="196"/>
      <c r="DI537" s="196"/>
      <c r="DJ537" s="196"/>
      <c r="DK537" s="196"/>
      <c r="DL537" s="196"/>
      <c r="DM537" s="196"/>
      <c r="DN537" s="196"/>
      <c r="DO537" s="196"/>
      <c r="DP537" s="196"/>
      <c r="DQ537" s="196"/>
      <c r="DR537" s="196"/>
      <c r="DS537" s="196"/>
      <c r="DT537" s="196"/>
      <c r="EA537" s="164"/>
      <c r="EB537" s="164"/>
      <c r="EC537" s="164"/>
      <c r="ED537" s="164"/>
      <c r="EE537" s="164"/>
      <c r="EF537" s="164"/>
      <c r="EG537" s="164"/>
      <c r="EH537" s="164"/>
      <c r="EI537" s="164"/>
    </row>
    <row r="538" spans="27:139" ht="16.5" thickTop="1" thickBot="1" x14ac:dyDescent="0.3">
      <c r="AA538" s="25" t="s">
        <v>34</v>
      </c>
      <c r="AB538" s="26">
        <f>IF($AD$535&lt;$AB$536,$AD$535,$AB$536)</f>
        <v>0</v>
      </c>
      <c r="AC538" s="18">
        <v>0</v>
      </c>
      <c r="AD538" s="18">
        <v>0</v>
      </c>
      <c r="AE538" s="26"/>
      <c r="AF538" s="26"/>
      <c r="AG538" s="26"/>
      <c r="AH538" s="36"/>
      <c r="BA538" s="25" t="s">
        <v>34</v>
      </c>
      <c r="BB538" s="26">
        <f>IF($BD$535&lt;$BB$536,$BD$535,$BB$536)</f>
        <v>0</v>
      </c>
      <c r="BC538" s="18">
        <v>0</v>
      </c>
      <c r="BD538" s="18">
        <v>0</v>
      </c>
      <c r="BE538" s="26"/>
      <c r="BF538" s="26"/>
      <c r="BG538" s="26"/>
      <c r="BH538" s="36"/>
      <c r="BX538" s="196"/>
      <c r="BY538" s="196"/>
      <c r="BZ538" s="196"/>
      <c r="CA538" s="196"/>
      <c r="CB538" s="196"/>
      <c r="CC538" s="196"/>
      <c r="CD538" s="196"/>
      <c r="CE538" s="196"/>
      <c r="CF538" s="196"/>
      <c r="CG538" s="196"/>
      <c r="CH538" s="196"/>
      <c r="CI538" s="196"/>
      <c r="CJ538" s="196"/>
      <c r="CK538" s="196"/>
      <c r="CL538" s="196"/>
      <c r="CM538" s="196"/>
      <c r="CN538" s="196"/>
      <c r="CO538" s="196"/>
      <c r="CP538" s="196"/>
      <c r="CQ538" s="196"/>
      <c r="CR538" s="196"/>
      <c r="CS538" s="196"/>
      <c r="CT538" s="196"/>
      <c r="CU538" s="196"/>
      <c r="CV538" s="196"/>
      <c r="CW538" s="196"/>
      <c r="CX538" s="196"/>
      <c r="CY538" s="196"/>
      <c r="CZ538" s="196"/>
      <c r="DA538" s="196"/>
      <c r="DB538" s="196"/>
      <c r="DC538" s="196"/>
      <c r="DD538" s="196"/>
      <c r="DE538" s="196"/>
      <c r="DF538" s="196"/>
      <c r="DG538" s="196"/>
      <c r="DH538" s="196"/>
      <c r="DI538" s="196"/>
      <c r="DJ538" s="196"/>
      <c r="DK538" s="196"/>
      <c r="DL538" s="196"/>
      <c r="DM538" s="196"/>
      <c r="DN538" s="196"/>
      <c r="DO538" s="196"/>
      <c r="DP538" s="196"/>
      <c r="DQ538" s="196"/>
      <c r="DR538" s="196"/>
      <c r="DS538" s="196"/>
      <c r="DT538" s="196"/>
      <c r="EA538" s="164"/>
      <c r="EB538" s="164"/>
      <c r="EC538" s="164"/>
      <c r="ED538" s="164"/>
      <c r="EE538" s="164"/>
      <c r="EF538" s="164"/>
      <c r="EG538" s="164"/>
      <c r="EH538" s="164"/>
      <c r="EI538" s="164"/>
    </row>
    <row r="539" spans="27:139" ht="16.5" thickTop="1" thickBot="1" x14ac:dyDescent="0.3">
      <c r="AA539" s="25" t="s">
        <v>60</v>
      </c>
      <c r="AB539" s="26">
        <f>IF($AB$537&amp;$AB$538="","0",AVERAGE($AB$537:$AB$538))</f>
        <v>0</v>
      </c>
      <c r="AC539" s="18">
        <v>0</v>
      </c>
      <c r="AD539" s="18">
        <v>0</v>
      </c>
      <c r="AE539" s="26"/>
      <c r="AF539" s="26"/>
      <c r="AG539" s="26"/>
      <c r="AH539" s="36"/>
      <c r="BA539" s="25" t="s">
        <v>60</v>
      </c>
      <c r="BB539" s="26">
        <f>IF($BB$537&amp;$BB$538="","0",AVERAGE($BB$537:$BB$538))</f>
        <v>0</v>
      </c>
      <c r="BC539" s="18">
        <v>0</v>
      </c>
      <c r="BD539" s="18">
        <v>0</v>
      </c>
      <c r="BE539" s="26"/>
      <c r="BF539" s="26"/>
      <c r="BG539" s="26"/>
      <c r="BH539" s="36"/>
      <c r="BX539" s="196"/>
      <c r="BY539" s="196"/>
      <c r="BZ539" s="196"/>
      <c r="CA539" s="196"/>
      <c r="CB539" s="196"/>
      <c r="CC539" s="196"/>
      <c r="CD539" s="196"/>
      <c r="CE539" s="196"/>
      <c r="CF539" s="196"/>
      <c r="CG539" s="196"/>
      <c r="CH539" s="196"/>
      <c r="CI539" s="196"/>
      <c r="CJ539" s="196"/>
      <c r="CK539" s="196"/>
      <c r="CL539" s="196"/>
      <c r="CM539" s="196"/>
      <c r="CN539" s="196"/>
      <c r="CO539" s="196"/>
      <c r="CP539" s="196"/>
      <c r="CQ539" s="196"/>
      <c r="CR539" s="196"/>
      <c r="CS539" s="196"/>
      <c r="CT539" s="196"/>
      <c r="CU539" s="196"/>
      <c r="CV539" s="196"/>
      <c r="CW539" s="196"/>
      <c r="CX539" s="196"/>
      <c r="CY539" s="196"/>
      <c r="CZ539" s="196"/>
      <c r="DA539" s="196"/>
      <c r="DB539" s="196"/>
      <c r="DC539" s="196"/>
      <c r="DD539" s="196"/>
      <c r="DE539" s="196"/>
      <c r="DF539" s="196"/>
      <c r="DG539" s="196"/>
      <c r="DH539" s="196"/>
      <c r="DI539" s="196"/>
      <c r="DJ539" s="196"/>
      <c r="DK539" s="196"/>
      <c r="DL539" s="196"/>
      <c r="DM539" s="196"/>
      <c r="DN539" s="196"/>
      <c r="DO539" s="196"/>
      <c r="DP539" s="196"/>
      <c r="DQ539" s="196"/>
      <c r="DR539" s="196"/>
      <c r="DS539" s="196"/>
      <c r="DT539" s="196"/>
      <c r="EA539" s="164"/>
      <c r="EB539" s="164"/>
      <c r="EC539" s="164"/>
      <c r="ED539" s="164"/>
      <c r="EE539" s="164"/>
      <c r="EF539" s="164"/>
      <c r="EG539" s="164"/>
      <c r="EH539" s="164"/>
      <c r="EI539" s="164"/>
    </row>
    <row r="540" spans="27:139" ht="16.5" thickTop="1" thickBot="1" x14ac:dyDescent="0.3">
      <c r="AA540" s="37" t="s">
        <v>50</v>
      </c>
      <c r="AB540" s="47">
        <v>1</v>
      </c>
      <c r="AC540" s="18">
        <v>0</v>
      </c>
      <c r="AD540" s="18">
        <v>0</v>
      </c>
      <c r="AE540" s="26"/>
      <c r="AF540" s="26"/>
      <c r="AG540" s="26"/>
      <c r="AH540" s="36"/>
      <c r="BA540" s="37" t="s">
        <v>50</v>
      </c>
      <c r="BB540" s="47">
        <v>1</v>
      </c>
      <c r="BC540" s="18">
        <v>0</v>
      </c>
      <c r="BD540" s="18">
        <v>0</v>
      </c>
      <c r="BE540" s="26"/>
      <c r="BF540" s="26"/>
      <c r="BG540" s="26"/>
      <c r="BH540" s="36"/>
      <c r="BX540" s="196"/>
      <c r="BY540" s="196"/>
      <c r="BZ540" s="196"/>
      <c r="CA540" s="196"/>
      <c r="CB540" s="196"/>
      <c r="CC540" s="196"/>
      <c r="CD540" s="196"/>
      <c r="CE540" s="196"/>
      <c r="CF540" s="196"/>
      <c r="CG540" s="196"/>
      <c r="CH540" s="196"/>
      <c r="CI540" s="196"/>
      <c r="CJ540" s="196"/>
      <c r="CK540" s="196"/>
      <c r="CL540" s="196"/>
      <c r="CM540" s="196"/>
      <c r="CN540" s="196"/>
      <c r="CO540" s="196"/>
      <c r="CP540" s="196"/>
      <c r="CQ540" s="196"/>
      <c r="CR540" s="196"/>
      <c r="CS540" s="196"/>
      <c r="CT540" s="196"/>
      <c r="CU540" s="196"/>
      <c r="CV540" s="196"/>
      <c r="CW540" s="196"/>
      <c r="CX540" s="196"/>
      <c r="CY540" s="196"/>
      <c r="CZ540" s="196"/>
      <c r="DA540" s="196"/>
      <c r="DB540" s="196"/>
      <c r="DC540" s="196"/>
      <c r="DD540" s="196"/>
      <c r="DE540" s="196"/>
      <c r="DF540" s="196"/>
      <c r="DG540" s="196"/>
      <c r="DH540" s="196"/>
      <c r="DI540" s="196"/>
      <c r="DJ540" s="196"/>
      <c r="DK540" s="196"/>
      <c r="DL540" s="196"/>
      <c r="DM540" s="196"/>
      <c r="DN540" s="196"/>
      <c r="DO540" s="196"/>
      <c r="DP540" s="196"/>
      <c r="DQ540" s="196"/>
      <c r="DR540" s="196"/>
      <c r="DS540" s="196"/>
      <c r="DT540" s="196"/>
      <c r="EA540" s="164"/>
      <c r="EB540" s="164"/>
      <c r="EC540" s="164"/>
      <c r="ED540" s="164"/>
      <c r="EE540" s="164"/>
      <c r="EF540" s="164"/>
      <c r="EG540" s="164"/>
      <c r="EH540" s="164"/>
      <c r="EI540" s="164"/>
    </row>
    <row r="541" spans="27:139" ht="16.5" thickTop="1" thickBot="1" x14ac:dyDescent="0.3">
      <c r="AA541" s="53" t="s">
        <v>86</v>
      </c>
      <c r="AB541" s="54">
        <f>$AB$539*$AB$540</f>
        <v>0</v>
      </c>
      <c r="AC541" s="18">
        <v>0</v>
      </c>
      <c r="AD541" s="18">
        <v>0</v>
      </c>
      <c r="AE541" s="26"/>
      <c r="AF541" s="26"/>
      <c r="AG541" s="26"/>
      <c r="AH541" s="36"/>
      <c r="BA541" s="53" t="s">
        <v>86</v>
      </c>
      <c r="BB541" s="54">
        <f>$BB$539*$BB$540</f>
        <v>0</v>
      </c>
      <c r="BC541" s="18">
        <v>0</v>
      </c>
      <c r="BD541" s="18">
        <v>0</v>
      </c>
      <c r="BE541" s="26"/>
      <c r="BF541" s="26"/>
      <c r="BG541" s="26"/>
      <c r="BH541" s="36"/>
      <c r="BX541" s="196"/>
      <c r="BY541" s="196"/>
      <c r="BZ541" s="196"/>
      <c r="CA541" s="196"/>
      <c r="CB541" s="196"/>
      <c r="CC541" s="196"/>
      <c r="CD541" s="196"/>
      <c r="CE541" s="196"/>
      <c r="CF541" s="196"/>
      <c r="CG541" s="196"/>
      <c r="CH541" s="196"/>
      <c r="CI541" s="196"/>
      <c r="CJ541" s="196"/>
      <c r="CK541" s="196"/>
      <c r="CL541" s="196"/>
      <c r="CM541" s="196"/>
      <c r="CN541" s="196"/>
      <c r="CO541" s="196"/>
      <c r="CP541" s="196"/>
      <c r="CQ541" s="196"/>
      <c r="CR541" s="196"/>
      <c r="CS541" s="196"/>
      <c r="CT541" s="196"/>
      <c r="CU541" s="196"/>
      <c r="CV541" s="196"/>
      <c r="CW541" s="196"/>
      <c r="CX541" s="196"/>
      <c r="CY541" s="196"/>
      <c r="CZ541" s="196"/>
      <c r="DA541" s="196"/>
      <c r="DB541" s="196"/>
      <c r="DC541" s="196"/>
      <c r="DD541" s="196"/>
      <c r="DE541" s="196"/>
      <c r="DF541" s="196"/>
      <c r="DG541" s="196"/>
      <c r="DH541" s="196"/>
      <c r="DI541" s="196"/>
      <c r="DJ541" s="196"/>
      <c r="DK541" s="196"/>
      <c r="DL541" s="196"/>
      <c r="DM541" s="196"/>
      <c r="DN541" s="196"/>
      <c r="DO541" s="196"/>
      <c r="DP541" s="196"/>
      <c r="DQ541" s="196"/>
      <c r="DR541" s="196"/>
      <c r="DS541" s="196"/>
      <c r="DT541" s="196"/>
      <c r="EA541" s="164"/>
      <c r="EB541" s="164"/>
      <c r="EC541" s="164"/>
      <c r="ED541" s="164"/>
      <c r="EE541" s="164"/>
      <c r="EF541" s="164"/>
      <c r="EG541" s="164"/>
      <c r="EH541" s="164"/>
      <c r="EI541" s="164"/>
    </row>
    <row r="542" spans="27:139" ht="16.5" thickTop="1" thickBot="1" x14ac:dyDescent="0.3">
      <c r="AA542" s="37" t="s">
        <v>62</v>
      </c>
      <c r="AB542" s="26"/>
      <c r="AC542" s="18">
        <v>0</v>
      </c>
      <c r="AD542" s="18">
        <v>0</v>
      </c>
      <c r="AE542" s="26"/>
      <c r="AF542" s="26"/>
      <c r="AG542" s="26"/>
      <c r="AH542" s="36"/>
      <c r="BA542" s="37" t="s">
        <v>62</v>
      </c>
      <c r="BB542" s="26"/>
      <c r="BC542" s="18">
        <v>0</v>
      </c>
      <c r="BD542" s="18">
        <v>0</v>
      </c>
      <c r="BE542" s="26"/>
      <c r="BF542" s="26"/>
      <c r="BG542" s="26"/>
      <c r="BH542" s="36"/>
      <c r="BX542" s="196"/>
      <c r="BY542" s="196"/>
      <c r="BZ542" s="196"/>
      <c r="CA542" s="196"/>
      <c r="CB542" s="196"/>
      <c r="CC542" s="196"/>
      <c r="CD542" s="196"/>
      <c r="CE542" s="196"/>
      <c r="CF542" s="196"/>
      <c r="CG542" s="196"/>
      <c r="CH542" s="196"/>
      <c r="CI542" s="196"/>
      <c r="CJ542" s="196"/>
      <c r="CK542" s="196"/>
      <c r="CL542" s="196"/>
      <c r="CM542" s="196"/>
      <c r="CN542" s="196"/>
      <c r="CO542" s="196"/>
      <c r="CP542" s="196"/>
      <c r="CQ542" s="196"/>
      <c r="CR542" s="196"/>
      <c r="CS542" s="196"/>
      <c r="CT542" s="196"/>
      <c r="CU542" s="196"/>
      <c r="CV542" s="196"/>
      <c r="CW542" s="196"/>
      <c r="CX542" s="196"/>
      <c r="CY542" s="196"/>
      <c r="CZ542" s="196"/>
      <c r="DA542" s="196"/>
      <c r="DB542" s="196"/>
      <c r="DC542" s="196"/>
      <c r="DD542" s="196"/>
      <c r="DE542" s="196"/>
      <c r="DF542" s="196"/>
      <c r="DG542" s="196"/>
      <c r="DH542" s="196"/>
      <c r="DI542" s="196"/>
      <c r="DJ542" s="196"/>
      <c r="DK542" s="196"/>
      <c r="DL542" s="196"/>
      <c r="DM542" s="196"/>
      <c r="DN542" s="196"/>
      <c r="DO542" s="196"/>
      <c r="DP542" s="196"/>
      <c r="DQ542" s="196"/>
      <c r="DR542" s="196"/>
      <c r="DS542" s="196"/>
      <c r="DT542" s="196"/>
      <c r="EA542" s="164"/>
      <c r="EB542" s="164"/>
      <c r="EC542" s="164"/>
      <c r="ED542" s="164"/>
      <c r="EE542" s="164"/>
      <c r="EF542" s="164"/>
      <c r="EG542" s="164"/>
      <c r="EH542" s="164"/>
      <c r="EI542" s="164"/>
    </row>
    <row r="543" spans="27:139" ht="16.5" thickTop="1" thickBot="1" x14ac:dyDescent="0.3">
      <c r="AA543" s="37" t="s">
        <v>50</v>
      </c>
      <c r="AB543" s="47">
        <v>1</v>
      </c>
      <c r="AC543" s="18">
        <v>0</v>
      </c>
      <c r="AD543" s="18">
        <v>0</v>
      </c>
      <c r="AE543" s="26"/>
      <c r="AF543" s="26"/>
      <c r="AG543" s="26"/>
      <c r="AH543" s="36"/>
      <c r="BA543" s="37" t="s">
        <v>50</v>
      </c>
      <c r="BB543" s="47">
        <v>1</v>
      </c>
      <c r="BC543" s="18">
        <v>0</v>
      </c>
      <c r="BD543" s="18">
        <v>0</v>
      </c>
      <c r="BE543" s="26"/>
      <c r="BF543" s="26"/>
      <c r="BG543" s="26"/>
      <c r="BH543" s="36"/>
      <c r="BX543" s="196"/>
      <c r="BY543" s="196"/>
      <c r="BZ543" s="196"/>
      <c r="CA543" s="196"/>
      <c r="CB543" s="196"/>
      <c r="CC543" s="196"/>
      <c r="CD543" s="196"/>
      <c r="CE543" s="196"/>
      <c r="CF543" s="196"/>
      <c r="CG543" s="196"/>
      <c r="CH543" s="196"/>
      <c r="CI543" s="196"/>
      <c r="CJ543" s="196"/>
      <c r="CK543" s="196"/>
      <c r="CL543" s="196"/>
      <c r="CM543" s="196"/>
      <c r="CN543" s="196"/>
      <c r="CO543" s="196"/>
      <c r="CP543" s="196"/>
      <c r="CQ543" s="196"/>
      <c r="CR543" s="196"/>
      <c r="CS543" s="196"/>
      <c r="CT543" s="196"/>
      <c r="CU543" s="196"/>
      <c r="CV543" s="196"/>
      <c r="CW543" s="196"/>
      <c r="CX543" s="196"/>
      <c r="CY543" s="196"/>
      <c r="CZ543" s="196"/>
      <c r="DA543" s="196"/>
      <c r="DB543" s="196"/>
      <c r="DC543" s="196"/>
      <c r="DD543" s="196"/>
      <c r="DE543" s="196"/>
      <c r="DF543" s="196"/>
      <c r="DG543" s="196"/>
      <c r="DH543" s="196"/>
      <c r="DI543" s="196"/>
      <c r="DJ543" s="196"/>
      <c r="DK543" s="196"/>
      <c r="DL543" s="196"/>
      <c r="DM543" s="196"/>
      <c r="DN543" s="196"/>
      <c r="DO543" s="196"/>
      <c r="DP543" s="196"/>
      <c r="DQ543" s="196"/>
      <c r="DR543" s="196"/>
      <c r="DS543" s="196"/>
      <c r="DT543" s="196"/>
      <c r="EA543" s="164"/>
      <c r="EB543" s="164"/>
      <c r="EC543" s="164"/>
      <c r="ED543" s="164"/>
      <c r="EE543" s="164"/>
      <c r="EF543" s="164"/>
      <c r="EG543" s="164"/>
      <c r="EH543" s="164"/>
      <c r="EI543" s="164"/>
    </row>
    <row r="544" spans="27:139" ht="16.5" thickTop="1" thickBot="1" x14ac:dyDescent="0.3">
      <c r="AA544" s="37" t="s">
        <v>87</v>
      </c>
      <c r="AB544" s="26"/>
      <c r="AC544" s="26"/>
      <c r="AD544" s="26"/>
      <c r="AE544" s="26"/>
      <c r="AF544" s="26"/>
      <c r="AG544" s="26"/>
      <c r="AH544" s="36"/>
      <c r="BA544" s="37" t="s">
        <v>87</v>
      </c>
      <c r="BB544" s="26"/>
      <c r="BC544" s="26"/>
      <c r="BD544" s="26"/>
      <c r="BE544" s="26"/>
      <c r="BF544" s="26"/>
      <c r="BG544" s="26"/>
      <c r="BH544" s="36"/>
      <c r="BX544" s="196"/>
      <c r="BY544" s="196"/>
      <c r="BZ544" s="196"/>
      <c r="CA544" s="196"/>
      <c r="CB544" s="196"/>
      <c r="CC544" s="196"/>
      <c r="CD544" s="196"/>
      <c r="CE544" s="196"/>
      <c r="CF544" s="196"/>
      <c r="CG544" s="196"/>
      <c r="CH544" s="196"/>
      <c r="CI544" s="196"/>
      <c r="CJ544" s="196"/>
      <c r="CK544" s="196"/>
      <c r="CL544" s="196"/>
      <c r="CM544" s="196"/>
      <c r="CN544" s="196"/>
      <c r="CO544" s="196"/>
      <c r="CP544" s="196"/>
      <c r="CQ544" s="196"/>
      <c r="CR544" s="196"/>
      <c r="CS544" s="196"/>
      <c r="CT544" s="196"/>
      <c r="CU544" s="196"/>
      <c r="CV544" s="196"/>
      <c r="CW544" s="196"/>
      <c r="CX544" s="196"/>
      <c r="CY544" s="196"/>
      <c r="CZ544" s="196"/>
      <c r="DA544" s="196"/>
      <c r="DB544" s="196"/>
      <c r="DC544" s="196"/>
      <c r="DD544" s="196"/>
      <c r="DE544" s="196"/>
      <c r="DF544" s="196"/>
      <c r="DG544" s="196"/>
      <c r="DH544" s="196"/>
      <c r="DI544" s="196"/>
      <c r="DJ544" s="196"/>
      <c r="DK544" s="196"/>
      <c r="DL544" s="196"/>
      <c r="DM544" s="196"/>
      <c r="DN544" s="196"/>
      <c r="DO544" s="196"/>
      <c r="DP544" s="196"/>
      <c r="DQ544" s="196"/>
      <c r="DR544" s="196"/>
      <c r="DS544" s="196"/>
      <c r="DT544" s="196"/>
      <c r="EA544" s="164"/>
      <c r="EB544" s="164"/>
      <c r="EC544" s="164"/>
      <c r="ED544" s="164"/>
      <c r="EE544" s="164"/>
      <c r="EF544" s="164"/>
      <c r="EG544" s="164"/>
      <c r="EH544" s="164"/>
      <c r="EI544" s="164"/>
    </row>
    <row r="545" spans="27:139" ht="16.5" thickTop="1" thickBot="1" x14ac:dyDescent="0.3">
      <c r="AA545" s="37" t="s">
        <v>64</v>
      </c>
      <c r="AB545" s="26"/>
      <c r="AC545" s="26"/>
      <c r="AD545" s="26"/>
      <c r="AE545" s="26"/>
      <c r="AF545" s="26"/>
      <c r="AG545" s="26"/>
      <c r="AH545" s="36"/>
      <c r="BA545" s="37" t="s">
        <v>64</v>
      </c>
      <c r="BB545" s="26"/>
      <c r="BC545" s="26"/>
      <c r="BD545" s="26"/>
      <c r="BE545" s="26"/>
      <c r="BF545" s="26"/>
      <c r="BG545" s="26"/>
      <c r="BH545" s="36"/>
      <c r="BX545" s="196"/>
      <c r="BY545" s="196"/>
      <c r="BZ545" s="196"/>
      <c r="CA545" s="196"/>
      <c r="CB545" s="196"/>
      <c r="CC545" s="196"/>
      <c r="CD545" s="196"/>
      <c r="CE545" s="196"/>
      <c r="CF545" s="196"/>
      <c r="CG545" s="196"/>
      <c r="CH545" s="196"/>
      <c r="CI545" s="196"/>
      <c r="CJ545" s="196"/>
      <c r="CK545" s="196"/>
      <c r="CL545" s="196"/>
      <c r="CM545" s="196"/>
      <c r="CN545" s="196"/>
      <c r="CO545" s="196"/>
      <c r="CP545" s="196"/>
      <c r="CQ545" s="196"/>
      <c r="CR545" s="196"/>
      <c r="CS545" s="196"/>
      <c r="CT545" s="196"/>
      <c r="CU545" s="196"/>
      <c r="CV545" s="196"/>
      <c r="CW545" s="196"/>
      <c r="CX545" s="196"/>
      <c r="CY545" s="196"/>
      <c r="CZ545" s="196"/>
      <c r="DA545" s="196"/>
      <c r="DB545" s="196"/>
      <c r="DC545" s="196"/>
      <c r="DD545" s="196"/>
      <c r="DE545" s="196"/>
      <c r="DF545" s="196"/>
      <c r="DG545" s="196"/>
      <c r="DH545" s="196"/>
      <c r="DI545" s="196"/>
      <c r="DJ545" s="196"/>
      <c r="DK545" s="196"/>
      <c r="DL545" s="196"/>
      <c r="DM545" s="196"/>
      <c r="DN545" s="196"/>
      <c r="DO545" s="196"/>
      <c r="DP545" s="196"/>
      <c r="DQ545" s="196"/>
      <c r="DR545" s="196"/>
      <c r="DS545" s="196"/>
      <c r="DT545" s="196"/>
      <c r="EA545" s="164"/>
      <c r="EB545" s="164"/>
      <c r="EC545" s="164"/>
      <c r="ED545" s="164"/>
      <c r="EE545" s="164"/>
      <c r="EF545" s="164"/>
      <c r="EG545" s="164"/>
      <c r="EH545" s="164"/>
      <c r="EI545" s="164"/>
    </row>
    <row r="546" spans="27:139" ht="16.5" thickTop="1" thickBot="1" x14ac:dyDescent="0.3">
      <c r="AA546" s="23" t="s">
        <v>96</v>
      </c>
      <c r="AB546" s="109">
        <v>0</v>
      </c>
      <c r="AC546" s="26"/>
      <c r="AD546" s="26"/>
      <c r="AE546" s="26"/>
      <c r="AF546" s="26"/>
      <c r="AG546" s="26"/>
      <c r="AH546" s="36"/>
      <c r="BA546" s="23" t="s">
        <v>96</v>
      </c>
      <c r="BB546" s="109">
        <v>0</v>
      </c>
      <c r="BC546" s="26"/>
      <c r="BD546" s="26"/>
      <c r="BE546" s="26"/>
      <c r="BF546" s="26"/>
      <c r="BG546" s="26"/>
      <c r="BH546" s="36"/>
      <c r="BX546" s="196"/>
      <c r="BY546" s="196"/>
      <c r="BZ546" s="196"/>
      <c r="CA546" s="196"/>
      <c r="CB546" s="196"/>
      <c r="CC546" s="196"/>
      <c r="CD546" s="196"/>
      <c r="CE546" s="196"/>
      <c r="CF546" s="196"/>
      <c r="CG546" s="196"/>
      <c r="CH546" s="196"/>
      <c r="CI546" s="196"/>
      <c r="CJ546" s="196"/>
      <c r="CK546" s="196"/>
      <c r="CL546" s="196"/>
      <c r="CM546" s="196"/>
      <c r="CN546" s="196"/>
      <c r="CO546" s="196"/>
      <c r="CP546" s="196"/>
      <c r="CQ546" s="196"/>
      <c r="CR546" s="196"/>
      <c r="CS546" s="196"/>
      <c r="CT546" s="196"/>
      <c r="CU546" s="196"/>
      <c r="CV546" s="196"/>
      <c r="CW546" s="196"/>
      <c r="CX546" s="196"/>
      <c r="CY546" s="196"/>
      <c r="CZ546" s="196"/>
      <c r="DA546" s="196"/>
      <c r="DB546" s="196"/>
      <c r="DC546" s="196"/>
      <c r="DD546" s="196"/>
      <c r="DE546" s="196"/>
      <c r="DF546" s="196"/>
      <c r="DG546" s="196"/>
      <c r="DH546" s="196"/>
      <c r="DI546" s="196"/>
      <c r="DJ546" s="196"/>
      <c r="DK546" s="196"/>
      <c r="DL546" s="196"/>
      <c r="DM546" s="196"/>
      <c r="DN546" s="196"/>
      <c r="DO546" s="196"/>
      <c r="DP546" s="196"/>
      <c r="DQ546" s="196"/>
      <c r="DR546" s="196"/>
      <c r="DS546" s="196"/>
      <c r="DT546" s="196"/>
      <c r="EA546" s="164"/>
      <c r="EB546" s="164"/>
      <c r="EC546" s="164"/>
      <c r="ED546" s="164"/>
      <c r="EE546" s="164"/>
      <c r="EF546" s="164"/>
      <c r="EG546" s="164"/>
      <c r="EH546" s="164"/>
      <c r="EI546" s="164"/>
    </row>
    <row r="547" spans="27:139" ht="16.5" thickTop="1" thickBot="1" x14ac:dyDescent="0.3">
      <c r="AA547" s="41" t="s">
        <v>99</v>
      </c>
      <c r="AB547" s="42">
        <f>$AB$541*$AB$546</f>
        <v>0</v>
      </c>
      <c r="AC547" s="100"/>
      <c r="AD547" s="31"/>
      <c r="AE547" s="31"/>
      <c r="AF547" s="31"/>
      <c r="AG547" s="31"/>
      <c r="AH547" s="43"/>
      <c r="BA547" s="41" t="s">
        <v>99</v>
      </c>
      <c r="BB547" s="42">
        <f>$BB$541*$BB$546</f>
        <v>0</v>
      </c>
      <c r="BC547" s="100"/>
      <c r="BD547" s="31"/>
      <c r="BE547" s="31"/>
      <c r="BF547" s="31"/>
      <c r="BG547" s="31"/>
      <c r="BH547" s="43"/>
      <c r="BX547" s="196"/>
      <c r="BY547" s="196"/>
      <c r="BZ547" s="196"/>
      <c r="CA547" s="196"/>
      <c r="CB547" s="196"/>
      <c r="CC547" s="196"/>
      <c r="CD547" s="196"/>
      <c r="CE547" s="196"/>
      <c r="CF547" s="196"/>
      <c r="CG547" s="196"/>
      <c r="CH547" s="196"/>
      <c r="CI547" s="196"/>
      <c r="CJ547" s="196"/>
      <c r="CK547" s="196"/>
      <c r="CL547" s="196"/>
      <c r="CM547" s="196"/>
      <c r="CN547" s="196"/>
      <c r="CO547" s="196"/>
      <c r="CP547" s="196"/>
      <c r="CQ547" s="196"/>
      <c r="CR547" s="196"/>
      <c r="CS547" s="196"/>
      <c r="CT547" s="196"/>
      <c r="CU547" s="196"/>
      <c r="CV547" s="196"/>
      <c r="CW547" s="196"/>
      <c r="CX547" s="196"/>
      <c r="CY547" s="196"/>
      <c r="CZ547" s="196"/>
      <c r="DA547" s="196"/>
      <c r="DB547" s="196"/>
      <c r="DC547" s="196"/>
      <c r="DD547" s="196"/>
      <c r="DE547" s="196"/>
      <c r="DF547" s="196"/>
      <c r="DG547" s="196"/>
      <c r="DH547" s="196"/>
      <c r="DI547" s="196"/>
      <c r="DJ547" s="196"/>
      <c r="DK547" s="196"/>
      <c r="DL547" s="196"/>
      <c r="DM547" s="196"/>
      <c r="DN547" s="196"/>
      <c r="DO547" s="196"/>
      <c r="DP547" s="196"/>
      <c r="DQ547" s="196"/>
      <c r="DR547" s="196"/>
      <c r="DS547" s="196"/>
      <c r="DT547" s="196"/>
      <c r="EA547" s="164"/>
      <c r="EB547" s="164"/>
      <c r="EC547" s="164"/>
      <c r="ED547" s="164"/>
      <c r="EE547" s="164"/>
      <c r="EF547" s="164"/>
      <c r="EG547" s="164"/>
      <c r="EH547" s="164"/>
      <c r="EI547" s="164"/>
    </row>
    <row r="548" spans="27:139" ht="15.75" thickBot="1" x14ac:dyDescent="0.3">
      <c r="BX548" s="196"/>
      <c r="BY548" s="196"/>
      <c r="BZ548" s="196"/>
      <c r="CA548" s="196"/>
      <c r="CB548" s="196"/>
      <c r="CC548" s="196"/>
      <c r="CD548" s="196"/>
      <c r="CE548" s="196"/>
      <c r="CF548" s="196"/>
      <c r="CG548" s="196"/>
      <c r="CH548" s="196"/>
      <c r="CI548" s="196"/>
      <c r="CJ548" s="196"/>
      <c r="CK548" s="196"/>
      <c r="CL548" s="196"/>
      <c r="CM548" s="196"/>
      <c r="CN548" s="196"/>
      <c r="CO548" s="196"/>
      <c r="CP548" s="196"/>
      <c r="CQ548" s="196"/>
      <c r="CR548" s="196"/>
      <c r="CS548" s="196"/>
      <c r="CT548" s="196"/>
      <c r="CU548" s="196"/>
      <c r="CV548" s="196"/>
      <c r="CW548" s="196"/>
      <c r="CX548" s="196"/>
      <c r="CY548" s="196"/>
      <c r="CZ548" s="196"/>
      <c r="DA548" s="196"/>
      <c r="DB548" s="196"/>
      <c r="DC548" s="196"/>
      <c r="DD548" s="196"/>
      <c r="DE548" s="196"/>
      <c r="DF548" s="196"/>
      <c r="DG548" s="196"/>
      <c r="DH548" s="196"/>
      <c r="DI548" s="196"/>
      <c r="DJ548" s="196"/>
      <c r="DK548" s="196"/>
      <c r="DL548" s="196"/>
      <c r="DM548" s="196"/>
      <c r="DN548" s="196"/>
      <c r="DO548" s="196"/>
      <c r="DP548" s="196"/>
      <c r="DQ548" s="196"/>
      <c r="DR548" s="196"/>
      <c r="DS548" s="196"/>
      <c r="DT548" s="196"/>
      <c r="EA548" s="164"/>
      <c r="EB548" s="164"/>
      <c r="EC548" s="164"/>
      <c r="ED548" s="164"/>
      <c r="EE548" s="164"/>
      <c r="EF548" s="164"/>
      <c r="EG548" s="164"/>
      <c r="EH548" s="164"/>
      <c r="EI548" s="164"/>
    </row>
    <row r="549" spans="27:139" ht="15.75" thickBot="1" x14ac:dyDescent="0.3">
      <c r="AA549" s="48" t="s">
        <v>31</v>
      </c>
      <c r="AB549" s="49">
        <f>AVERAGE($AC$549:$AD$549)</f>
        <v>0</v>
      </c>
      <c r="AC549" s="50">
        <f>SUM($AC$550:$AC$557)</f>
        <v>0</v>
      </c>
      <c r="AD549" s="50">
        <f>SUM($AD$550:$AD$557)</f>
        <v>0</v>
      </c>
      <c r="AE549" s="49"/>
      <c r="AF549" s="49"/>
      <c r="AG549" s="49"/>
      <c r="AH549" s="69"/>
      <c r="BA549" s="48" t="s">
        <v>31</v>
      </c>
      <c r="BB549" s="49">
        <f>AVERAGE($BC$549:$BD$549)</f>
        <v>0</v>
      </c>
      <c r="BC549" s="50">
        <f>SUM($BC$550:$BC$557)</f>
        <v>0</v>
      </c>
      <c r="BD549" s="50">
        <f>SUM($BD$550:$BD$557)</f>
        <v>0</v>
      </c>
      <c r="BE549" s="49"/>
      <c r="BF549" s="49"/>
      <c r="BG549" s="49"/>
      <c r="BH549" s="69"/>
      <c r="BX549" s="196"/>
      <c r="BY549" s="196"/>
      <c r="BZ549" s="196"/>
      <c r="CA549" s="196"/>
      <c r="CB549" s="196"/>
      <c r="CC549" s="196"/>
      <c r="CD549" s="196"/>
      <c r="CE549" s="196"/>
      <c r="CF549" s="196"/>
      <c r="CG549" s="196"/>
      <c r="CH549" s="196"/>
      <c r="CI549" s="196"/>
      <c r="CJ549" s="196"/>
      <c r="CK549" s="196"/>
      <c r="CL549" s="196"/>
      <c r="CM549" s="196"/>
      <c r="CN549" s="196"/>
      <c r="CO549" s="196"/>
      <c r="CP549" s="196"/>
      <c r="CQ549" s="196"/>
      <c r="CR549" s="196"/>
      <c r="CS549" s="196"/>
      <c r="CT549" s="196"/>
      <c r="CU549" s="196"/>
      <c r="CV549" s="196"/>
      <c r="CW549" s="196"/>
      <c r="CX549" s="196"/>
      <c r="CY549" s="196"/>
      <c r="CZ549" s="196"/>
      <c r="DA549" s="196"/>
      <c r="DB549" s="196"/>
      <c r="DC549" s="196"/>
      <c r="DD549" s="196"/>
      <c r="DE549" s="196"/>
      <c r="DF549" s="196"/>
      <c r="DG549" s="196"/>
      <c r="DH549" s="196"/>
      <c r="DI549" s="196"/>
      <c r="DJ549" s="196"/>
      <c r="DK549" s="196"/>
      <c r="DL549" s="196"/>
      <c r="DM549" s="196"/>
      <c r="DN549" s="196"/>
      <c r="DO549" s="196"/>
      <c r="DP549" s="196"/>
      <c r="DQ549" s="196"/>
      <c r="DR549" s="196"/>
      <c r="DS549" s="196"/>
      <c r="DT549" s="196"/>
      <c r="EA549" s="164"/>
      <c r="EB549" s="164"/>
      <c r="EC549" s="164"/>
      <c r="ED549" s="164"/>
      <c r="EE549" s="164"/>
      <c r="EF549" s="164"/>
      <c r="EG549" s="164"/>
      <c r="EH549" s="164"/>
      <c r="EI549" s="164"/>
    </row>
    <row r="550" spans="27:139" ht="16.5" thickTop="1" thickBot="1" x14ac:dyDescent="0.3">
      <c r="AA550" s="27">
        <f>$B$29</f>
        <v>0.3</v>
      </c>
      <c r="AB550" s="26">
        <f>($AB$549*$AA$550)+$AB$549</f>
        <v>0</v>
      </c>
      <c r="AC550" s="18">
        <v>0</v>
      </c>
      <c r="AD550" s="18">
        <v>0</v>
      </c>
      <c r="AE550" s="26"/>
      <c r="AF550" s="26"/>
      <c r="AG550" s="26"/>
      <c r="AH550" s="36"/>
      <c r="BA550" s="27">
        <f>$B$29</f>
        <v>0.3</v>
      </c>
      <c r="BB550" s="26">
        <f>($BB$549*$BA$550)+$BB$549</f>
        <v>0</v>
      </c>
      <c r="BC550" s="18">
        <v>0</v>
      </c>
      <c r="BD550" s="18">
        <v>0</v>
      </c>
      <c r="BE550" s="26"/>
      <c r="BF550" s="26"/>
      <c r="BG550" s="26"/>
      <c r="BH550" s="36"/>
      <c r="BX550" s="196"/>
      <c r="BY550" s="196"/>
      <c r="BZ550" s="196"/>
      <c r="CA550" s="196"/>
      <c r="CB550" s="196"/>
      <c r="CC550" s="196"/>
      <c r="CD550" s="196"/>
      <c r="CE550" s="196"/>
      <c r="CF550" s="196"/>
      <c r="CG550" s="196"/>
      <c r="CH550" s="196"/>
      <c r="CI550" s="196"/>
      <c r="CJ550" s="196"/>
      <c r="CK550" s="196"/>
      <c r="CL550" s="196"/>
      <c r="CM550" s="196"/>
      <c r="CN550" s="196"/>
      <c r="CO550" s="196"/>
      <c r="CP550" s="196"/>
      <c r="CQ550" s="196"/>
      <c r="CR550" s="196"/>
      <c r="CS550" s="196"/>
      <c r="CT550" s="196"/>
      <c r="CU550" s="196"/>
      <c r="CV550" s="196"/>
      <c r="CW550" s="196"/>
      <c r="CX550" s="196"/>
      <c r="CY550" s="196"/>
      <c r="CZ550" s="196"/>
      <c r="DA550" s="196"/>
      <c r="DB550" s="196"/>
      <c r="DC550" s="196"/>
      <c r="DD550" s="196"/>
      <c r="DE550" s="196"/>
      <c r="DF550" s="196"/>
      <c r="DG550" s="196"/>
      <c r="DH550" s="196"/>
      <c r="DI550" s="196"/>
      <c r="DJ550" s="196"/>
      <c r="DK550" s="196"/>
      <c r="DL550" s="196"/>
      <c r="DM550" s="196"/>
      <c r="DN550" s="196"/>
      <c r="DO550" s="196"/>
      <c r="DP550" s="196"/>
      <c r="DQ550" s="196"/>
      <c r="DR550" s="196"/>
      <c r="DS550" s="196"/>
      <c r="DT550" s="196"/>
      <c r="EA550" s="164"/>
      <c r="EB550" s="164"/>
      <c r="EC550" s="164"/>
      <c r="ED550" s="164"/>
      <c r="EE550" s="164"/>
      <c r="EF550" s="164"/>
      <c r="EG550" s="164"/>
      <c r="EH550" s="164"/>
      <c r="EI550" s="164"/>
    </row>
    <row r="551" spans="27:139" ht="16.5" thickTop="1" thickBot="1" x14ac:dyDescent="0.3">
      <c r="AA551" s="25" t="s">
        <v>32</v>
      </c>
      <c r="AB551" s="26">
        <f>IF($AC$549&lt;$AB$550,$AC$549,$AB$550)</f>
        <v>0</v>
      </c>
      <c r="AC551" s="18">
        <v>0</v>
      </c>
      <c r="AD551" s="18">
        <v>0</v>
      </c>
      <c r="AE551" s="26"/>
      <c r="AF551" s="26"/>
      <c r="AG551" s="26"/>
      <c r="AH551" s="36"/>
      <c r="BA551" s="25" t="s">
        <v>32</v>
      </c>
      <c r="BB551" s="26">
        <f>IF($BC$549&lt;$BB$550,$BC$549,$BB$550)</f>
        <v>0</v>
      </c>
      <c r="BC551" s="18">
        <v>0</v>
      </c>
      <c r="BD551" s="18">
        <v>0</v>
      </c>
      <c r="BE551" s="26"/>
      <c r="BF551" s="26"/>
      <c r="BG551" s="26"/>
      <c r="BH551" s="36"/>
      <c r="BX551" s="196"/>
      <c r="BY551" s="196"/>
      <c r="BZ551" s="196"/>
      <c r="CA551" s="196"/>
      <c r="CB551" s="196"/>
      <c r="CC551" s="196"/>
      <c r="CD551" s="196"/>
      <c r="CE551" s="196"/>
      <c r="CF551" s="196"/>
      <c r="CG551" s="196"/>
      <c r="CH551" s="196"/>
      <c r="CI551" s="196"/>
      <c r="CJ551" s="196"/>
      <c r="CK551" s="196"/>
      <c r="CL551" s="196"/>
      <c r="CM551" s="196"/>
      <c r="CN551" s="196"/>
      <c r="CO551" s="196"/>
      <c r="CP551" s="196"/>
      <c r="CQ551" s="196"/>
      <c r="CR551" s="196"/>
      <c r="CS551" s="196"/>
      <c r="CT551" s="196"/>
      <c r="CU551" s="196"/>
      <c r="CV551" s="196"/>
      <c r="CW551" s="196"/>
      <c r="CX551" s="196"/>
      <c r="CY551" s="196"/>
      <c r="CZ551" s="196"/>
      <c r="DA551" s="196"/>
      <c r="DB551" s="196"/>
      <c r="DC551" s="196"/>
      <c r="DD551" s="196"/>
      <c r="DE551" s="196"/>
      <c r="DF551" s="196"/>
      <c r="DG551" s="196"/>
      <c r="DH551" s="196"/>
      <c r="DI551" s="196"/>
      <c r="DJ551" s="196"/>
      <c r="DK551" s="196"/>
      <c r="DL551" s="196"/>
      <c r="DM551" s="196"/>
      <c r="DN551" s="196"/>
      <c r="DO551" s="196"/>
      <c r="DP551" s="196"/>
      <c r="DQ551" s="196"/>
      <c r="DR551" s="196"/>
      <c r="DS551" s="196"/>
      <c r="DT551" s="196"/>
      <c r="EA551" s="164"/>
      <c r="EB551" s="164"/>
      <c r="EC551" s="164"/>
      <c r="ED551" s="164"/>
      <c r="EE551" s="164"/>
      <c r="EF551" s="164"/>
      <c r="EG551" s="164"/>
      <c r="EH551" s="164"/>
      <c r="EI551" s="164"/>
    </row>
    <row r="552" spans="27:139" ht="16.5" thickTop="1" thickBot="1" x14ac:dyDescent="0.3">
      <c r="AA552" s="25" t="s">
        <v>34</v>
      </c>
      <c r="AB552" s="26">
        <f>IF($AD$549&lt;$AB$550,$AD$549,$AB$550)</f>
        <v>0</v>
      </c>
      <c r="AC552" s="18">
        <v>0</v>
      </c>
      <c r="AD552" s="18">
        <v>0</v>
      </c>
      <c r="AE552" s="26"/>
      <c r="AF552" s="26"/>
      <c r="AG552" s="26"/>
      <c r="AH552" s="36"/>
      <c r="BA552" s="25" t="s">
        <v>34</v>
      </c>
      <c r="BB552" s="26">
        <f>IF($BD$549&lt;$BB$550,$BD$549,$BB$550)</f>
        <v>0</v>
      </c>
      <c r="BC552" s="18">
        <v>0</v>
      </c>
      <c r="BD552" s="18">
        <v>0</v>
      </c>
      <c r="BE552" s="26"/>
      <c r="BF552" s="26"/>
      <c r="BG552" s="26"/>
      <c r="BH552" s="36"/>
      <c r="BX552" s="196"/>
      <c r="BY552" s="196"/>
      <c r="BZ552" s="196"/>
      <c r="CA552" s="196"/>
      <c r="CB552" s="196"/>
      <c r="CC552" s="196"/>
      <c r="CD552" s="196"/>
      <c r="CE552" s="196"/>
      <c r="CF552" s="196"/>
      <c r="CG552" s="196"/>
      <c r="CH552" s="196"/>
      <c r="CI552" s="196"/>
      <c r="CJ552" s="196"/>
      <c r="CK552" s="196"/>
      <c r="CL552" s="196"/>
      <c r="CM552" s="196"/>
      <c r="CN552" s="196"/>
      <c r="CO552" s="196"/>
      <c r="CP552" s="196"/>
      <c r="CQ552" s="196"/>
      <c r="CR552" s="196"/>
      <c r="CS552" s="196"/>
      <c r="CT552" s="196"/>
      <c r="CU552" s="196"/>
      <c r="CV552" s="196"/>
      <c r="CW552" s="196"/>
      <c r="CX552" s="196"/>
      <c r="CY552" s="196"/>
      <c r="CZ552" s="196"/>
      <c r="DA552" s="196"/>
      <c r="DB552" s="196"/>
      <c r="DC552" s="196"/>
      <c r="DD552" s="196"/>
      <c r="DE552" s="196"/>
      <c r="DF552" s="196"/>
      <c r="DG552" s="196"/>
      <c r="DH552" s="196"/>
      <c r="DI552" s="196"/>
      <c r="DJ552" s="196"/>
      <c r="DK552" s="196"/>
      <c r="DL552" s="196"/>
      <c r="DM552" s="196"/>
      <c r="DN552" s="196"/>
      <c r="DO552" s="196"/>
      <c r="DP552" s="196"/>
      <c r="DQ552" s="196"/>
      <c r="DR552" s="196"/>
      <c r="DS552" s="196"/>
      <c r="DT552" s="196"/>
      <c r="EA552" s="164"/>
      <c r="EB552" s="164"/>
      <c r="EC552" s="164"/>
      <c r="ED552" s="164"/>
      <c r="EE552" s="164"/>
      <c r="EF552" s="164"/>
      <c r="EG552" s="164"/>
      <c r="EH552" s="164"/>
      <c r="EI552" s="164"/>
    </row>
    <row r="553" spans="27:139" ht="16.5" thickTop="1" thickBot="1" x14ac:dyDescent="0.3">
      <c r="AA553" s="25" t="s">
        <v>60</v>
      </c>
      <c r="AB553" s="26">
        <f>IF($AB$551&amp;$AB$552="","0",AVERAGE($AB$551:$AB$552))</f>
        <v>0</v>
      </c>
      <c r="AC553" s="18">
        <v>0</v>
      </c>
      <c r="AD553" s="18">
        <v>0</v>
      </c>
      <c r="AE553" s="26"/>
      <c r="AF553" s="26"/>
      <c r="AG553" s="26"/>
      <c r="AH553" s="36"/>
      <c r="BA553" s="25" t="s">
        <v>60</v>
      </c>
      <c r="BB553" s="26">
        <f>IF($BB$551&amp;$BB$552="","0",AVERAGE($BB$551:$BB$552))</f>
        <v>0</v>
      </c>
      <c r="BC553" s="18">
        <v>0</v>
      </c>
      <c r="BD553" s="18">
        <v>0</v>
      </c>
      <c r="BE553" s="26"/>
      <c r="BF553" s="26"/>
      <c r="BG553" s="26"/>
      <c r="BH553" s="36"/>
      <c r="BX553" s="196"/>
      <c r="BY553" s="196"/>
      <c r="BZ553" s="196"/>
      <c r="CA553" s="196"/>
      <c r="CB553" s="196"/>
      <c r="CC553" s="196"/>
      <c r="CD553" s="196"/>
      <c r="CE553" s="196"/>
      <c r="CF553" s="196"/>
      <c r="CG553" s="196"/>
      <c r="CH553" s="196"/>
      <c r="CI553" s="196"/>
      <c r="CJ553" s="196"/>
      <c r="CK553" s="196"/>
      <c r="CL553" s="196"/>
      <c r="CM553" s="196"/>
      <c r="CN553" s="196"/>
      <c r="CO553" s="196"/>
      <c r="CP553" s="196"/>
      <c r="CQ553" s="196"/>
      <c r="CR553" s="196"/>
      <c r="CS553" s="196"/>
      <c r="CT553" s="196"/>
      <c r="CU553" s="196"/>
      <c r="CV553" s="196"/>
      <c r="CW553" s="196"/>
      <c r="CX553" s="196"/>
      <c r="CY553" s="196"/>
      <c r="CZ553" s="196"/>
      <c r="DA553" s="196"/>
      <c r="DB553" s="196"/>
      <c r="DC553" s="196"/>
      <c r="DD553" s="196"/>
      <c r="DE553" s="196"/>
      <c r="DF553" s="196"/>
      <c r="DG553" s="196"/>
      <c r="DH553" s="196"/>
      <c r="DI553" s="196"/>
      <c r="DJ553" s="196"/>
      <c r="DK553" s="196"/>
      <c r="DL553" s="196"/>
      <c r="DM553" s="196"/>
      <c r="DN553" s="196"/>
      <c r="DO553" s="196"/>
      <c r="DP553" s="196"/>
      <c r="DQ553" s="196"/>
      <c r="DR553" s="196"/>
      <c r="DS553" s="196"/>
      <c r="DT553" s="196"/>
      <c r="EA553" s="164"/>
      <c r="EB553" s="164"/>
      <c r="EC553" s="164"/>
      <c r="ED553" s="164"/>
      <c r="EE553" s="164"/>
      <c r="EF553" s="164"/>
      <c r="EG553" s="164"/>
      <c r="EH553" s="164"/>
      <c r="EI553" s="164"/>
    </row>
    <row r="554" spans="27:139" ht="16.5" thickTop="1" thickBot="1" x14ac:dyDescent="0.3">
      <c r="AA554" s="37" t="s">
        <v>50</v>
      </c>
      <c r="AB554" s="47">
        <v>1</v>
      </c>
      <c r="AC554" s="18">
        <v>0</v>
      </c>
      <c r="AD554" s="18">
        <v>0</v>
      </c>
      <c r="AE554" s="26"/>
      <c r="AF554" s="26"/>
      <c r="AG554" s="26"/>
      <c r="AH554" s="36"/>
      <c r="BA554" s="37" t="s">
        <v>50</v>
      </c>
      <c r="BB554" s="47">
        <v>1</v>
      </c>
      <c r="BC554" s="18">
        <v>0</v>
      </c>
      <c r="BD554" s="18">
        <v>0</v>
      </c>
      <c r="BE554" s="26"/>
      <c r="BF554" s="26"/>
      <c r="BG554" s="26"/>
      <c r="BH554" s="36"/>
      <c r="BX554" s="196"/>
      <c r="BY554" s="196"/>
      <c r="BZ554" s="196"/>
      <c r="CA554" s="196"/>
      <c r="CB554" s="196"/>
      <c r="CC554" s="196"/>
      <c r="CD554" s="196"/>
      <c r="CE554" s="196"/>
      <c r="CF554" s="196"/>
      <c r="CG554" s="196"/>
      <c r="CH554" s="196"/>
      <c r="CI554" s="196"/>
      <c r="CJ554" s="196"/>
      <c r="CK554" s="196"/>
      <c r="CL554" s="196"/>
      <c r="CM554" s="196"/>
      <c r="CN554" s="196"/>
      <c r="CO554" s="196"/>
      <c r="CP554" s="196"/>
      <c r="CQ554" s="196"/>
      <c r="CR554" s="196"/>
      <c r="CS554" s="196"/>
      <c r="CT554" s="196"/>
      <c r="CU554" s="196"/>
      <c r="CV554" s="196"/>
      <c r="CW554" s="196"/>
      <c r="CX554" s="196"/>
      <c r="CY554" s="196"/>
      <c r="CZ554" s="196"/>
      <c r="DA554" s="196"/>
      <c r="DB554" s="196"/>
      <c r="DC554" s="196"/>
      <c r="DD554" s="196"/>
      <c r="DE554" s="196"/>
      <c r="DF554" s="196"/>
      <c r="DG554" s="196"/>
      <c r="DH554" s="196"/>
      <c r="DI554" s="196"/>
      <c r="DJ554" s="196"/>
      <c r="DK554" s="196"/>
      <c r="DL554" s="196"/>
      <c r="DM554" s="196"/>
      <c r="DN554" s="196"/>
      <c r="DO554" s="196"/>
      <c r="DP554" s="196"/>
      <c r="DQ554" s="196"/>
      <c r="DR554" s="196"/>
      <c r="DS554" s="196"/>
      <c r="DT554" s="196"/>
      <c r="EA554" s="164"/>
      <c r="EB554" s="164"/>
      <c r="EC554" s="164"/>
      <c r="ED554" s="164"/>
      <c r="EE554" s="164"/>
      <c r="EF554" s="164"/>
      <c r="EG554" s="164"/>
      <c r="EH554" s="164"/>
      <c r="EI554" s="164"/>
    </row>
    <row r="555" spans="27:139" ht="16.5" thickTop="1" thickBot="1" x14ac:dyDescent="0.3">
      <c r="AA555" s="53" t="s">
        <v>90</v>
      </c>
      <c r="AB555" s="54">
        <f>$AB$553*$AB$554</f>
        <v>0</v>
      </c>
      <c r="AC555" s="18">
        <v>0</v>
      </c>
      <c r="AD555" s="18">
        <v>0</v>
      </c>
      <c r="AE555" s="26"/>
      <c r="AF555" s="26"/>
      <c r="AG555" s="26"/>
      <c r="AH555" s="36"/>
      <c r="BA555" s="53" t="s">
        <v>90</v>
      </c>
      <c r="BB555" s="54">
        <f>$BB$553*$BB$554</f>
        <v>0</v>
      </c>
      <c r="BC555" s="18">
        <v>0</v>
      </c>
      <c r="BD555" s="18">
        <v>0</v>
      </c>
      <c r="BE555" s="26"/>
      <c r="BF555" s="26"/>
      <c r="BG555" s="26"/>
      <c r="BH555" s="36"/>
      <c r="BX555" s="196"/>
      <c r="BY555" s="196"/>
      <c r="BZ555" s="196"/>
      <c r="CA555" s="196"/>
      <c r="CB555" s="196"/>
      <c r="CC555" s="196"/>
      <c r="CD555" s="196"/>
      <c r="CE555" s="196"/>
      <c r="CF555" s="196"/>
      <c r="CG555" s="196"/>
      <c r="CH555" s="196"/>
      <c r="CI555" s="196"/>
      <c r="CJ555" s="196"/>
      <c r="CK555" s="196"/>
      <c r="CL555" s="196"/>
      <c r="CM555" s="196"/>
      <c r="CN555" s="196"/>
      <c r="CO555" s="196"/>
      <c r="CP555" s="196"/>
      <c r="CQ555" s="196"/>
      <c r="CR555" s="196"/>
      <c r="CS555" s="196"/>
      <c r="CT555" s="196"/>
      <c r="CU555" s="196"/>
      <c r="CV555" s="196"/>
      <c r="CW555" s="196"/>
      <c r="CX555" s="196"/>
      <c r="CY555" s="196"/>
      <c r="CZ555" s="196"/>
      <c r="DA555" s="196"/>
      <c r="DB555" s="196"/>
      <c r="DC555" s="196"/>
      <c r="DD555" s="196"/>
      <c r="DE555" s="196"/>
      <c r="DF555" s="196"/>
      <c r="DG555" s="196"/>
      <c r="DH555" s="196"/>
      <c r="DI555" s="196"/>
      <c r="DJ555" s="196"/>
      <c r="DK555" s="196"/>
      <c r="DL555" s="196"/>
      <c r="DM555" s="196"/>
      <c r="DN555" s="196"/>
      <c r="DO555" s="196"/>
      <c r="DP555" s="196"/>
      <c r="DQ555" s="196"/>
      <c r="DR555" s="196"/>
      <c r="DS555" s="196"/>
      <c r="DT555" s="196"/>
      <c r="EA555" s="164"/>
      <c r="EB555" s="164"/>
      <c r="EC555" s="164"/>
      <c r="ED555" s="164"/>
      <c r="EE555" s="164"/>
      <c r="EF555" s="164"/>
      <c r="EG555" s="164"/>
      <c r="EH555" s="164"/>
      <c r="EI555" s="164"/>
    </row>
    <row r="556" spans="27:139" ht="16.5" thickTop="1" thickBot="1" x14ac:dyDescent="0.3">
      <c r="AA556" s="37" t="s">
        <v>62</v>
      </c>
      <c r="AB556" s="26"/>
      <c r="AC556" s="18">
        <v>0</v>
      </c>
      <c r="AD556" s="18">
        <v>0</v>
      </c>
      <c r="AE556" s="26"/>
      <c r="AF556" s="26"/>
      <c r="AG556" s="26"/>
      <c r="AH556" s="36"/>
      <c r="BA556" s="37" t="s">
        <v>62</v>
      </c>
      <c r="BB556" s="26"/>
      <c r="BC556" s="18">
        <v>0</v>
      </c>
      <c r="BD556" s="18">
        <v>0</v>
      </c>
      <c r="BE556" s="26"/>
      <c r="BF556" s="26"/>
      <c r="BG556" s="26"/>
      <c r="BH556" s="36"/>
      <c r="BX556" s="196"/>
      <c r="BY556" s="196"/>
      <c r="BZ556" s="196"/>
      <c r="CA556" s="196"/>
      <c r="CB556" s="196"/>
      <c r="CC556" s="196"/>
      <c r="CD556" s="196"/>
      <c r="CE556" s="196"/>
      <c r="CF556" s="196"/>
      <c r="CG556" s="196"/>
      <c r="CH556" s="196"/>
      <c r="CI556" s="196"/>
      <c r="CJ556" s="196"/>
      <c r="CK556" s="196"/>
      <c r="CL556" s="196"/>
      <c r="CM556" s="196"/>
      <c r="CN556" s="196"/>
      <c r="CO556" s="196"/>
      <c r="CP556" s="196"/>
      <c r="CQ556" s="196"/>
      <c r="CR556" s="196"/>
      <c r="CS556" s="196"/>
      <c r="CT556" s="196"/>
      <c r="CU556" s="196"/>
      <c r="CV556" s="196"/>
      <c r="CW556" s="196"/>
      <c r="CX556" s="196"/>
      <c r="CY556" s="196"/>
      <c r="CZ556" s="196"/>
      <c r="DA556" s="196"/>
      <c r="DB556" s="196"/>
      <c r="DC556" s="196"/>
      <c r="DD556" s="196"/>
      <c r="DE556" s="196"/>
      <c r="DF556" s="196"/>
      <c r="DG556" s="196"/>
      <c r="DH556" s="196"/>
      <c r="DI556" s="196"/>
      <c r="DJ556" s="196"/>
      <c r="DK556" s="196"/>
      <c r="DL556" s="196"/>
      <c r="DM556" s="196"/>
      <c r="DN556" s="196"/>
      <c r="DO556" s="196"/>
      <c r="DP556" s="196"/>
      <c r="DQ556" s="196"/>
      <c r="DR556" s="196"/>
      <c r="DS556" s="196"/>
      <c r="DT556" s="196"/>
      <c r="EA556" s="164"/>
      <c r="EB556" s="164"/>
      <c r="EC556" s="164"/>
      <c r="ED556" s="164"/>
      <c r="EE556" s="164"/>
      <c r="EF556" s="164"/>
      <c r="EG556" s="164"/>
      <c r="EH556" s="164"/>
      <c r="EI556" s="164"/>
    </row>
    <row r="557" spans="27:139" ht="16.5" thickTop="1" thickBot="1" x14ac:dyDescent="0.3">
      <c r="AA557" s="37" t="s">
        <v>50</v>
      </c>
      <c r="AB557" s="47">
        <v>1</v>
      </c>
      <c r="AC557" s="18">
        <v>0</v>
      </c>
      <c r="AD557" s="18">
        <v>0</v>
      </c>
      <c r="AE557" s="26"/>
      <c r="AF557" s="26"/>
      <c r="AG557" s="26"/>
      <c r="AH557" s="36"/>
      <c r="BA557" s="37" t="s">
        <v>50</v>
      </c>
      <c r="BB557" s="47">
        <v>1</v>
      </c>
      <c r="BC557" s="18">
        <v>0</v>
      </c>
      <c r="BD557" s="18">
        <v>0</v>
      </c>
      <c r="BE557" s="26"/>
      <c r="BF557" s="26"/>
      <c r="BG557" s="26"/>
      <c r="BH557" s="36"/>
      <c r="BX557" s="196"/>
      <c r="BY557" s="196"/>
      <c r="BZ557" s="196"/>
      <c r="CA557" s="196"/>
      <c r="CB557" s="196"/>
      <c r="CC557" s="196"/>
      <c r="CD557" s="196"/>
      <c r="CE557" s="196"/>
      <c r="CF557" s="196"/>
      <c r="CG557" s="196"/>
      <c r="CH557" s="196"/>
      <c r="CI557" s="196"/>
      <c r="CJ557" s="196"/>
      <c r="CK557" s="196"/>
      <c r="CL557" s="196"/>
      <c r="CM557" s="196"/>
      <c r="CN557" s="196"/>
      <c r="CO557" s="196"/>
      <c r="CP557" s="196"/>
      <c r="CQ557" s="196"/>
      <c r="CR557" s="196"/>
      <c r="CS557" s="196"/>
      <c r="CT557" s="196"/>
      <c r="CU557" s="196"/>
      <c r="CV557" s="196"/>
      <c r="CW557" s="196"/>
      <c r="CX557" s="196"/>
      <c r="CY557" s="196"/>
      <c r="CZ557" s="196"/>
      <c r="DA557" s="196"/>
      <c r="DB557" s="196"/>
      <c r="DC557" s="196"/>
      <c r="DD557" s="196"/>
      <c r="DE557" s="196"/>
      <c r="DF557" s="196"/>
      <c r="DG557" s="196"/>
      <c r="DH557" s="196"/>
      <c r="DI557" s="196"/>
      <c r="DJ557" s="196"/>
      <c r="DK557" s="196"/>
      <c r="DL557" s="196"/>
      <c r="DM557" s="196"/>
      <c r="DN557" s="196"/>
      <c r="DO557" s="196"/>
      <c r="DP557" s="196"/>
      <c r="DQ557" s="196"/>
      <c r="DR557" s="196"/>
      <c r="DS557" s="196"/>
      <c r="DT557" s="196"/>
      <c r="EA557" s="164"/>
      <c r="EB557" s="164"/>
      <c r="EC557" s="164"/>
      <c r="ED557" s="164"/>
      <c r="EE557" s="164"/>
      <c r="EF557" s="164"/>
      <c r="EG557" s="164"/>
      <c r="EH557" s="164"/>
      <c r="EI557" s="164"/>
    </row>
    <row r="558" spans="27:139" ht="16.5" thickTop="1" thickBot="1" x14ac:dyDescent="0.3">
      <c r="AA558" s="37" t="s">
        <v>91</v>
      </c>
      <c r="AB558" s="26"/>
      <c r="AC558" s="26"/>
      <c r="AD558" s="26"/>
      <c r="AE558" s="26"/>
      <c r="AF558" s="26"/>
      <c r="AG558" s="26"/>
      <c r="AH558" s="36"/>
      <c r="BA558" s="37" t="s">
        <v>91</v>
      </c>
      <c r="BB558" s="26"/>
      <c r="BC558" s="26"/>
      <c r="BD558" s="26"/>
      <c r="BE558" s="26"/>
      <c r="BF558" s="26"/>
      <c r="BG558" s="26"/>
      <c r="BH558" s="36"/>
      <c r="BX558" s="196"/>
      <c r="BY558" s="196"/>
      <c r="BZ558" s="196"/>
      <c r="CA558" s="196"/>
      <c r="CB558" s="196"/>
      <c r="CC558" s="196"/>
      <c r="CD558" s="196"/>
      <c r="CE558" s="196"/>
      <c r="CF558" s="196"/>
      <c r="CG558" s="196"/>
      <c r="CH558" s="196"/>
      <c r="CI558" s="196"/>
      <c r="CJ558" s="196"/>
      <c r="CK558" s="196"/>
      <c r="CL558" s="196"/>
      <c r="CM558" s="196"/>
      <c r="CN558" s="196"/>
      <c r="CO558" s="196"/>
      <c r="CP558" s="196"/>
      <c r="CQ558" s="196"/>
      <c r="CR558" s="196"/>
      <c r="CS558" s="196"/>
      <c r="CT558" s="196"/>
      <c r="CU558" s="196"/>
      <c r="CV558" s="196"/>
      <c r="CW558" s="196"/>
      <c r="CX558" s="196"/>
      <c r="CY558" s="196"/>
      <c r="CZ558" s="196"/>
      <c r="DA558" s="196"/>
      <c r="DB558" s="196"/>
      <c r="DC558" s="196"/>
      <c r="DD558" s="196"/>
      <c r="DE558" s="196"/>
      <c r="DF558" s="196"/>
      <c r="DG558" s="196"/>
      <c r="DH558" s="196"/>
      <c r="DI558" s="196"/>
      <c r="DJ558" s="196"/>
      <c r="DK558" s="196"/>
      <c r="DL558" s="196"/>
      <c r="DM558" s="196"/>
      <c r="DN558" s="196"/>
      <c r="DO558" s="196"/>
      <c r="DP558" s="196"/>
      <c r="DQ558" s="196"/>
      <c r="DR558" s="196"/>
      <c r="DS558" s="196"/>
      <c r="DT558" s="196"/>
      <c r="EA558" s="164"/>
      <c r="EB558" s="164"/>
      <c r="EC558" s="164"/>
      <c r="ED558" s="164"/>
      <c r="EE558" s="164"/>
      <c r="EF558" s="164"/>
      <c r="EG558" s="164"/>
      <c r="EH558" s="164"/>
      <c r="EI558" s="164"/>
    </row>
    <row r="559" spans="27:139" ht="16.5" thickTop="1" thickBot="1" x14ac:dyDescent="0.3">
      <c r="AA559" s="37" t="s">
        <v>64</v>
      </c>
      <c r="AB559" s="26"/>
      <c r="AC559" s="26"/>
      <c r="AD559" s="26"/>
      <c r="AE559" s="26"/>
      <c r="AF559" s="26"/>
      <c r="AG559" s="26"/>
      <c r="AH559" s="36"/>
      <c r="BA559" s="37" t="s">
        <v>64</v>
      </c>
      <c r="BB559" s="26"/>
      <c r="BC559" s="26"/>
      <c r="BD559" s="26"/>
      <c r="BE559" s="26"/>
      <c r="BF559" s="26"/>
      <c r="BG559" s="26"/>
      <c r="BH559" s="36"/>
      <c r="BX559" s="196"/>
      <c r="BY559" s="196"/>
      <c r="BZ559" s="196"/>
      <c r="CA559" s="196"/>
      <c r="CB559" s="196"/>
      <c r="CC559" s="196"/>
      <c r="CD559" s="196"/>
      <c r="CE559" s="196"/>
      <c r="CF559" s="196"/>
      <c r="CG559" s="196"/>
      <c r="CH559" s="196"/>
      <c r="CI559" s="196"/>
      <c r="CJ559" s="196"/>
      <c r="CK559" s="196"/>
      <c r="CL559" s="196"/>
      <c r="CM559" s="196"/>
      <c r="CN559" s="196"/>
      <c r="CO559" s="196"/>
      <c r="CP559" s="196"/>
      <c r="CQ559" s="196"/>
      <c r="CR559" s="196"/>
      <c r="CS559" s="196"/>
      <c r="CT559" s="196"/>
      <c r="CU559" s="196"/>
      <c r="CV559" s="196"/>
      <c r="CW559" s="196"/>
      <c r="CX559" s="196"/>
      <c r="CY559" s="196"/>
      <c r="CZ559" s="196"/>
      <c r="DA559" s="196"/>
      <c r="DB559" s="196"/>
      <c r="DC559" s="196"/>
      <c r="DD559" s="196"/>
      <c r="DE559" s="196"/>
      <c r="DF559" s="196"/>
      <c r="DG559" s="196"/>
      <c r="DH559" s="196"/>
      <c r="DI559" s="196"/>
      <c r="DJ559" s="196"/>
      <c r="DK559" s="196"/>
      <c r="DL559" s="196"/>
      <c r="DM559" s="196"/>
      <c r="DN559" s="196"/>
      <c r="DO559" s="196"/>
      <c r="DP559" s="196"/>
      <c r="DQ559" s="196"/>
      <c r="DR559" s="196"/>
      <c r="DS559" s="196"/>
      <c r="DT559" s="196"/>
      <c r="EA559" s="164"/>
      <c r="EB559" s="164"/>
      <c r="EC559" s="164"/>
      <c r="ED559" s="164"/>
      <c r="EE559" s="164"/>
      <c r="EF559" s="164"/>
      <c r="EG559" s="164"/>
      <c r="EH559" s="164"/>
      <c r="EI559" s="164"/>
    </row>
    <row r="560" spans="27:139" ht="16.5" thickTop="1" thickBot="1" x14ac:dyDescent="0.3">
      <c r="AA560" s="23" t="s">
        <v>96</v>
      </c>
      <c r="AB560" s="109">
        <v>0</v>
      </c>
      <c r="AC560" s="26"/>
      <c r="AD560" s="26"/>
      <c r="AE560" s="26"/>
      <c r="AF560" s="26"/>
      <c r="AG560" s="26"/>
      <c r="AH560" s="36"/>
      <c r="BA560" s="23" t="s">
        <v>96</v>
      </c>
      <c r="BB560" s="109">
        <v>0</v>
      </c>
      <c r="BC560" s="26"/>
      <c r="BD560" s="26"/>
      <c r="BE560" s="26"/>
      <c r="BF560" s="26"/>
      <c r="BG560" s="26"/>
      <c r="BH560" s="36"/>
      <c r="BX560" s="196"/>
      <c r="BY560" s="196"/>
      <c r="BZ560" s="196"/>
      <c r="CA560" s="196"/>
      <c r="CB560" s="196"/>
      <c r="CC560" s="196"/>
      <c r="CD560" s="196"/>
      <c r="CE560" s="196"/>
      <c r="CF560" s="196"/>
      <c r="CG560" s="196"/>
      <c r="CH560" s="196"/>
      <c r="CI560" s="196"/>
      <c r="CJ560" s="196"/>
      <c r="CK560" s="196"/>
      <c r="CL560" s="196"/>
      <c r="CM560" s="196"/>
      <c r="CN560" s="196"/>
      <c r="CO560" s="196"/>
      <c r="CP560" s="196"/>
      <c r="CQ560" s="196"/>
      <c r="CR560" s="196"/>
      <c r="CS560" s="196"/>
      <c r="CT560" s="196"/>
      <c r="CU560" s="196"/>
      <c r="CV560" s="196"/>
      <c r="CW560" s="196"/>
      <c r="CX560" s="196"/>
      <c r="CY560" s="196"/>
      <c r="CZ560" s="196"/>
      <c r="DA560" s="196"/>
      <c r="DB560" s="196"/>
      <c r="DC560" s="196"/>
      <c r="DD560" s="196"/>
      <c r="DE560" s="196"/>
      <c r="DF560" s="196"/>
      <c r="DG560" s="196"/>
      <c r="DH560" s="196"/>
      <c r="DI560" s="196"/>
      <c r="DJ560" s="196"/>
      <c r="DK560" s="196"/>
      <c r="DL560" s="196"/>
      <c r="DM560" s="196"/>
      <c r="DN560" s="196"/>
      <c r="DO560" s="196"/>
      <c r="DP560" s="196"/>
      <c r="DQ560" s="196"/>
      <c r="DR560" s="196"/>
      <c r="DS560" s="196"/>
      <c r="DT560" s="196"/>
      <c r="EA560" s="164"/>
      <c r="EB560" s="164"/>
      <c r="EC560" s="164"/>
      <c r="ED560" s="164"/>
      <c r="EE560" s="164"/>
      <c r="EF560" s="164"/>
      <c r="EG560" s="164"/>
      <c r="EH560" s="164"/>
      <c r="EI560" s="164"/>
    </row>
    <row r="561" spans="27:139" ht="16.5" thickTop="1" thickBot="1" x14ac:dyDescent="0.3">
      <c r="AA561" s="41" t="s">
        <v>100</v>
      </c>
      <c r="AB561" s="42">
        <f>$AB$555*$AB$560</f>
        <v>0</v>
      </c>
      <c r="AC561" s="100"/>
      <c r="AD561" s="31"/>
      <c r="AE561" s="31"/>
      <c r="AF561" s="31"/>
      <c r="AG561" s="31"/>
      <c r="AH561" s="43"/>
      <c r="BA561" s="41" t="s">
        <v>100</v>
      </c>
      <c r="BB561" s="42">
        <f>$BB$555*$BB$560</f>
        <v>0</v>
      </c>
      <c r="BC561" s="100"/>
      <c r="BD561" s="31"/>
      <c r="BE561" s="31"/>
      <c r="BF561" s="31"/>
      <c r="BG561" s="31"/>
      <c r="BH561" s="43"/>
      <c r="BX561" s="196"/>
      <c r="BY561" s="196"/>
      <c r="BZ561" s="196"/>
      <c r="CA561" s="196"/>
      <c r="CB561" s="196"/>
      <c r="CC561" s="196"/>
      <c r="CD561" s="196"/>
      <c r="CE561" s="196"/>
      <c r="CF561" s="196"/>
      <c r="CG561" s="196"/>
      <c r="CH561" s="196"/>
      <c r="CI561" s="196"/>
      <c r="CJ561" s="196"/>
      <c r="CK561" s="196"/>
      <c r="CL561" s="196"/>
      <c r="CM561" s="196"/>
      <c r="CN561" s="196"/>
      <c r="CO561" s="196"/>
      <c r="CP561" s="196"/>
      <c r="CQ561" s="196"/>
      <c r="CR561" s="196"/>
      <c r="CS561" s="196"/>
      <c r="CT561" s="196"/>
      <c r="CU561" s="196"/>
      <c r="CV561" s="196"/>
      <c r="CW561" s="196"/>
      <c r="CX561" s="196"/>
      <c r="CY561" s="196"/>
      <c r="CZ561" s="196"/>
      <c r="DA561" s="196"/>
      <c r="DB561" s="196"/>
      <c r="DC561" s="196"/>
      <c r="DD561" s="196"/>
      <c r="DE561" s="196"/>
      <c r="DF561" s="196"/>
      <c r="DG561" s="196"/>
      <c r="DH561" s="196"/>
      <c r="DI561" s="196"/>
      <c r="DJ561" s="196"/>
      <c r="DK561" s="196"/>
      <c r="DL561" s="196"/>
      <c r="DM561" s="196"/>
      <c r="DN561" s="196"/>
      <c r="DO561" s="196"/>
      <c r="DP561" s="196"/>
      <c r="DQ561" s="196"/>
      <c r="DR561" s="196"/>
      <c r="DS561" s="196"/>
      <c r="DT561" s="196"/>
      <c r="EA561" s="164"/>
      <c r="EB561" s="164"/>
      <c r="EC561" s="164"/>
      <c r="ED561" s="164"/>
      <c r="EE561" s="164"/>
      <c r="EF561" s="164"/>
      <c r="EG561" s="164"/>
      <c r="EH561" s="164"/>
      <c r="EI561" s="164"/>
    </row>
    <row r="562" spans="27:139" ht="15.75" thickBot="1" x14ac:dyDescent="0.3">
      <c r="BX562" s="196"/>
      <c r="BY562" s="196"/>
      <c r="BZ562" s="196"/>
      <c r="CA562" s="196"/>
      <c r="CB562" s="196"/>
      <c r="CC562" s="196"/>
      <c r="CD562" s="196"/>
      <c r="CE562" s="196"/>
      <c r="CF562" s="196"/>
      <c r="CG562" s="196"/>
      <c r="CH562" s="196"/>
      <c r="CI562" s="196"/>
      <c r="CJ562" s="196"/>
      <c r="CK562" s="196"/>
      <c r="CL562" s="196"/>
      <c r="CM562" s="196"/>
      <c r="CN562" s="196"/>
      <c r="CO562" s="196"/>
      <c r="CP562" s="196"/>
      <c r="CQ562" s="196"/>
      <c r="CR562" s="196"/>
      <c r="CS562" s="196"/>
      <c r="CT562" s="196"/>
      <c r="CU562" s="196"/>
      <c r="CV562" s="196"/>
      <c r="CW562" s="196"/>
      <c r="CX562" s="196"/>
      <c r="CY562" s="196"/>
      <c r="CZ562" s="196"/>
      <c r="DA562" s="196"/>
      <c r="DB562" s="196"/>
      <c r="DC562" s="196"/>
      <c r="DD562" s="196"/>
      <c r="DE562" s="196"/>
      <c r="DF562" s="196"/>
      <c r="DG562" s="196"/>
      <c r="DH562" s="196"/>
      <c r="DI562" s="196"/>
      <c r="DJ562" s="196"/>
      <c r="DK562" s="196"/>
      <c r="DL562" s="196"/>
      <c r="DM562" s="196"/>
      <c r="DN562" s="196"/>
      <c r="DO562" s="196"/>
      <c r="DP562" s="196"/>
      <c r="DQ562" s="196"/>
      <c r="DR562" s="196"/>
      <c r="DS562" s="196"/>
      <c r="DT562" s="196"/>
      <c r="EA562" s="164"/>
      <c r="EB562" s="164"/>
      <c r="EC562" s="164"/>
      <c r="ED562" s="164"/>
      <c r="EE562" s="164"/>
      <c r="EF562" s="164"/>
      <c r="EG562" s="164"/>
      <c r="EH562" s="164"/>
      <c r="EI562" s="164"/>
    </row>
    <row r="563" spans="27:139" ht="15.75" thickBot="1" x14ac:dyDescent="0.3">
      <c r="AA563" s="48" t="s">
        <v>31</v>
      </c>
      <c r="AB563" s="49">
        <f>AVERAGE($AC$563:$AD$563)</f>
        <v>0</v>
      </c>
      <c r="AC563" s="50">
        <f>SUM($AC$564:$AC$571)</f>
        <v>0</v>
      </c>
      <c r="AD563" s="50">
        <f>SUM($AD$564:$AD$571)</f>
        <v>0</v>
      </c>
      <c r="AE563" s="49"/>
      <c r="AF563" s="49"/>
      <c r="AG563" s="49"/>
      <c r="AH563" s="69"/>
      <c r="BA563" s="48" t="s">
        <v>31</v>
      </c>
      <c r="BB563" s="49">
        <f>AVERAGE($BC$563:$BD$563)</f>
        <v>0</v>
      </c>
      <c r="BC563" s="50">
        <f>SUM($BC$564:$BC$571)</f>
        <v>0</v>
      </c>
      <c r="BD563" s="50">
        <f>SUM($BD$564:$BD$571)</f>
        <v>0</v>
      </c>
      <c r="BE563" s="49"/>
      <c r="BF563" s="49"/>
      <c r="BG563" s="49"/>
      <c r="BH563" s="69"/>
      <c r="BX563" s="196"/>
      <c r="BY563" s="196"/>
      <c r="BZ563" s="196"/>
      <c r="CA563" s="196"/>
      <c r="CB563" s="196"/>
      <c r="CC563" s="196"/>
      <c r="CD563" s="196"/>
      <c r="CE563" s="196"/>
      <c r="CF563" s="196"/>
      <c r="CG563" s="196"/>
      <c r="CH563" s="196"/>
      <c r="CI563" s="196"/>
      <c r="CJ563" s="196"/>
      <c r="CK563" s="196"/>
      <c r="CL563" s="196"/>
      <c r="CM563" s="196"/>
      <c r="CN563" s="196"/>
      <c r="CO563" s="196"/>
      <c r="CP563" s="196"/>
      <c r="CQ563" s="196"/>
      <c r="CR563" s="196"/>
      <c r="CS563" s="196"/>
      <c r="CT563" s="196"/>
      <c r="CU563" s="196"/>
      <c r="CV563" s="196"/>
      <c r="CW563" s="196"/>
      <c r="CX563" s="196"/>
      <c r="CY563" s="196"/>
      <c r="CZ563" s="196"/>
      <c r="DA563" s="196"/>
      <c r="DB563" s="196"/>
      <c r="DC563" s="196"/>
      <c r="DD563" s="196"/>
      <c r="DE563" s="196"/>
      <c r="DF563" s="196"/>
      <c r="DG563" s="196"/>
      <c r="DH563" s="196"/>
      <c r="DI563" s="196"/>
      <c r="DJ563" s="196"/>
      <c r="DK563" s="196"/>
      <c r="DL563" s="196"/>
      <c r="DM563" s="196"/>
      <c r="DN563" s="196"/>
      <c r="DO563" s="196"/>
      <c r="DP563" s="196"/>
      <c r="DQ563" s="196"/>
      <c r="DR563" s="196"/>
      <c r="DS563" s="196"/>
      <c r="DT563" s="196"/>
      <c r="EA563" s="164"/>
      <c r="EB563" s="164"/>
      <c r="EC563" s="164"/>
      <c r="ED563" s="164"/>
      <c r="EE563" s="164"/>
      <c r="EF563" s="164"/>
      <c r="EG563" s="164"/>
      <c r="EH563" s="164"/>
      <c r="EI563" s="164"/>
    </row>
    <row r="564" spans="27:139" ht="16.5" thickTop="1" thickBot="1" x14ac:dyDescent="0.3">
      <c r="AA564" s="27">
        <f>$B$29</f>
        <v>0.3</v>
      </c>
      <c r="AB564" s="26">
        <f>($AB$563*$AA$564)+$AB$563</f>
        <v>0</v>
      </c>
      <c r="AC564" s="18">
        <v>0</v>
      </c>
      <c r="AD564" s="18">
        <v>0</v>
      </c>
      <c r="AE564" s="26"/>
      <c r="AF564" s="26"/>
      <c r="AG564" s="26"/>
      <c r="AH564" s="36"/>
      <c r="BA564" s="27">
        <f>$B$29</f>
        <v>0.3</v>
      </c>
      <c r="BB564" s="26">
        <f>($BB$563*$BA$564)+$BB$563</f>
        <v>0</v>
      </c>
      <c r="BC564" s="18">
        <v>0</v>
      </c>
      <c r="BD564" s="18">
        <v>0</v>
      </c>
      <c r="BE564" s="26"/>
      <c r="BF564" s="26"/>
      <c r="BG564" s="26"/>
      <c r="BH564" s="36"/>
      <c r="BX564" s="196"/>
      <c r="BY564" s="196"/>
      <c r="BZ564" s="196"/>
      <c r="CA564" s="196"/>
      <c r="CB564" s="196"/>
      <c r="CC564" s="196"/>
      <c r="CD564" s="196"/>
      <c r="CE564" s="196"/>
      <c r="CF564" s="196"/>
      <c r="CG564" s="196"/>
      <c r="CH564" s="196"/>
      <c r="CI564" s="196"/>
      <c r="CJ564" s="196"/>
      <c r="CK564" s="196"/>
      <c r="CL564" s="196"/>
      <c r="CM564" s="196"/>
      <c r="CN564" s="196"/>
      <c r="CO564" s="196"/>
      <c r="CP564" s="196"/>
      <c r="CQ564" s="196"/>
      <c r="CR564" s="196"/>
      <c r="CS564" s="196"/>
      <c r="CT564" s="196"/>
      <c r="CU564" s="196"/>
      <c r="CV564" s="196"/>
      <c r="CW564" s="196"/>
      <c r="CX564" s="196"/>
      <c r="CY564" s="196"/>
      <c r="CZ564" s="196"/>
      <c r="DA564" s="196"/>
      <c r="DB564" s="196"/>
      <c r="DC564" s="196"/>
      <c r="DD564" s="196"/>
      <c r="DE564" s="196"/>
      <c r="DF564" s="196"/>
      <c r="DG564" s="196"/>
      <c r="DH564" s="196"/>
      <c r="DI564" s="196"/>
      <c r="DJ564" s="196"/>
      <c r="DK564" s="196"/>
      <c r="DL564" s="196"/>
      <c r="DM564" s="196"/>
      <c r="DN564" s="196"/>
      <c r="DO564" s="196"/>
      <c r="DP564" s="196"/>
      <c r="DQ564" s="196"/>
      <c r="DR564" s="196"/>
      <c r="DS564" s="196"/>
      <c r="DT564" s="196"/>
      <c r="EA564" s="164"/>
      <c r="EB564" s="164"/>
      <c r="EC564" s="164"/>
      <c r="ED564" s="164"/>
      <c r="EE564" s="164"/>
      <c r="EF564" s="164"/>
      <c r="EG564" s="164"/>
      <c r="EH564" s="164"/>
      <c r="EI564" s="164"/>
    </row>
    <row r="565" spans="27:139" ht="16.5" thickTop="1" thickBot="1" x14ac:dyDescent="0.3">
      <c r="AA565" s="25" t="s">
        <v>32</v>
      </c>
      <c r="AB565" s="26">
        <f>IF($AC$563&lt;$AB$564,$AC$563,$AB$564)</f>
        <v>0</v>
      </c>
      <c r="AC565" s="18">
        <v>0</v>
      </c>
      <c r="AD565" s="18">
        <v>0</v>
      </c>
      <c r="AE565" s="26"/>
      <c r="AF565" s="26"/>
      <c r="AG565" s="26"/>
      <c r="AH565" s="36"/>
      <c r="BA565" s="25" t="s">
        <v>32</v>
      </c>
      <c r="BB565" s="26">
        <f>IF($BC$563&lt;$BB$564,$BC$563,$BB$564)</f>
        <v>0</v>
      </c>
      <c r="BC565" s="18">
        <v>0</v>
      </c>
      <c r="BD565" s="18">
        <v>0</v>
      </c>
      <c r="BE565" s="26"/>
      <c r="BF565" s="26"/>
      <c r="BG565" s="26"/>
      <c r="BH565" s="36"/>
      <c r="BX565" s="196"/>
      <c r="BY565" s="196"/>
      <c r="BZ565" s="196"/>
      <c r="CA565" s="196"/>
      <c r="CB565" s="196"/>
      <c r="CC565" s="196"/>
      <c r="CD565" s="196"/>
      <c r="CE565" s="196"/>
      <c r="CF565" s="196"/>
      <c r="CG565" s="196"/>
      <c r="CH565" s="196"/>
      <c r="CI565" s="196"/>
      <c r="CJ565" s="196"/>
      <c r="CK565" s="196"/>
      <c r="CL565" s="196"/>
      <c r="CM565" s="196"/>
      <c r="CN565" s="196"/>
      <c r="CO565" s="196"/>
      <c r="CP565" s="196"/>
      <c r="CQ565" s="196"/>
      <c r="CR565" s="196"/>
      <c r="CS565" s="196"/>
      <c r="CT565" s="196"/>
      <c r="CU565" s="196"/>
      <c r="CV565" s="196"/>
      <c r="CW565" s="196"/>
      <c r="CX565" s="196"/>
      <c r="CY565" s="196"/>
      <c r="CZ565" s="196"/>
      <c r="DA565" s="196"/>
      <c r="DB565" s="196"/>
      <c r="DC565" s="196"/>
      <c r="DD565" s="196"/>
      <c r="DE565" s="196"/>
      <c r="DF565" s="196"/>
      <c r="DG565" s="196"/>
      <c r="DH565" s="196"/>
      <c r="DI565" s="196"/>
      <c r="DJ565" s="196"/>
      <c r="DK565" s="196"/>
      <c r="DL565" s="196"/>
      <c r="DM565" s="196"/>
      <c r="DN565" s="196"/>
      <c r="DO565" s="196"/>
      <c r="DP565" s="196"/>
      <c r="DQ565" s="196"/>
      <c r="DR565" s="196"/>
      <c r="DS565" s="196"/>
      <c r="DT565" s="196"/>
      <c r="EA565" s="164"/>
      <c r="EB565" s="164"/>
      <c r="EC565" s="164"/>
      <c r="ED565" s="164"/>
      <c r="EE565" s="164"/>
      <c r="EF565" s="164"/>
      <c r="EG565" s="164"/>
      <c r="EH565" s="164"/>
      <c r="EI565" s="164"/>
    </row>
    <row r="566" spans="27:139" ht="16.5" thickTop="1" thickBot="1" x14ac:dyDescent="0.3">
      <c r="AA566" s="25" t="s">
        <v>34</v>
      </c>
      <c r="AB566" s="26">
        <f>IF($AD$563&lt;$AB$564,$AD$563,$AB$564)</f>
        <v>0</v>
      </c>
      <c r="AC566" s="18">
        <v>0</v>
      </c>
      <c r="AD566" s="18">
        <v>0</v>
      </c>
      <c r="AE566" s="26"/>
      <c r="AF566" s="26"/>
      <c r="AG566" s="26"/>
      <c r="AH566" s="36"/>
      <c r="BA566" s="25" t="s">
        <v>34</v>
      </c>
      <c r="BB566" s="26">
        <f>IF($BD$563&lt;$BB$564,$BD$563,$BB$564)</f>
        <v>0</v>
      </c>
      <c r="BC566" s="18">
        <v>0</v>
      </c>
      <c r="BD566" s="18">
        <v>0</v>
      </c>
      <c r="BE566" s="26"/>
      <c r="BF566" s="26"/>
      <c r="BG566" s="26"/>
      <c r="BH566" s="36"/>
      <c r="BX566" s="196"/>
      <c r="BY566" s="196"/>
      <c r="BZ566" s="196"/>
      <c r="CA566" s="196"/>
      <c r="CB566" s="196"/>
      <c r="CC566" s="196"/>
      <c r="CD566" s="196"/>
      <c r="CE566" s="196"/>
      <c r="CF566" s="196"/>
      <c r="CG566" s="196"/>
      <c r="CH566" s="196"/>
      <c r="CI566" s="196"/>
      <c r="CJ566" s="196"/>
      <c r="CK566" s="196"/>
      <c r="CL566" s="196"/>
      <c r="CM566" s="196"/>
      <c r="CN566" s="196"/>
      <c r="CO566" s="196"/>
      <c r="CP566" s="196"/>
      <c r="CQ566" s="196"/>
      <c r="CR566" s="196"/>
      <c r="CS566" s="196"/>
      <c r="CT566" s="196"/>
      <c r="CU566" s="196"/>
      <c r="CV566" s="196"/>
      <c r="CW566" s="196"/>
      <c r="CX566" s="196"/>
      <c r="CY566" s="196"/>
      <c r="CZ566" s="196"/>
      <c r="DA566" s="196"/>
      <c r="DB566" s="196"/>
      <c r="DC566" s="196"/>
      <c r="DD566" s="196"/>
      <c r="DE566" s="196"/>
      <c r="DF566" s="196"/>
      <c r="DG566" s="196"/>
      <c r="DH566" s="196"/>
      <c r="DI566" s="196"/>
      <c r="DJ566" s="196"/>
      <c r="DK566" s="196"/>
      <c r="DL566" s="196"/>
      <c r="DM566" s="196"/>
      <c r="DN566" s="196"/>
      <c r="DO566" s="196"/>
      <c r="DP566" s="196"/>
      <c r="DQ566" s="196"/>
      <c r="DR566" s="196"/>
      <c r="DS566" s="196"/>
      <c r="DT566" s="196"/>
      <c r="EA566" s="164"/>
      <c r="EB566" s="164"/>
      <c r="EC566" s="164"/>
      <c r="ED566" s="164"/>
      <c r="EE566" s="164"/>
      <c r="EF566" s="164"/>
      <c r="EG566" s="164"/>
      <c r="EH566" s="164"/>
      <c r="EI566" s="164"/>
    </row>
    <row r="567" spans="27:139" ht="16.5" thickTop="1" thickBot="1" x14ac:dyDescent="0.3">
      <c r="AA567" s="25" t="s">
        <v>60</v>
      </c>
      <c r="AB567" s="26">
        <f>IF($AB$565&amp;$AB$566="","0",AVERAGE($AB$565:$AB$566))</f>
        <v>0</v>
      </c>
      <c r="AC567" s="18">
        <v>0</v>
      </c>
      <c r="AD567" s="18">
        <v>0</v>
      </c>
      <c r="AE567" s="26"/>
      <c r="AF567" s="26"/>
      <c r="AG567" s="26"/>
      <c r="AH567" s="36"/>
      <c r="BA567" s="25" t="s">
        <v>60</v>
      </c>
      <c r="BB567" s="26">
        <f>IF($BB$565&amp;$BB$566="","0",AVERAGE($BB$565:$BB$566))</f>
        <v>0</v>
      </c>
      <c r="BC567" s="18">
        <v>0</v>
      </c>
      <c r="BD567" s="18">
        <v>0</v>
      </c>
      <c r="BE567" s="26"/>
      <c r="BF567" s="26"/>
      <c r="BG567" s="26"/>
      <c r="BH567" s="36"/>
      <c r="BX567" s="196"/>
      <c r="BY567" s="196"/>
      <c r="BZ567" s="196"/>
      <c r="CA567" s="196"/>
      <c r="CB567" s="196"/>
      <c r="CC567" s="196"/>
      <c r="CD567" s="196"/>
      <c r="CE567" s="196"/>
      <c r="CF567" s="196"/>
      <c r="CG567" s="196"/>
      <c r="CH567" s="196"/>
      <c r="CI567" s="196"/>
      <c r="CJ567" s="196"/>
      <c r="CK567" s="196"/>
      <c r="CL567" s="196"/>
      <c r="CM567" s="196"/>
      <c r="CN567" s="196"/>
      <c r="CO567" s="196"/>
      <c r="CP567" s="196"/>
      <c r="CQ567" s="196"/>
      <c r="CR567" s="196"/>
      <c r="CS567" s="196"/>
      <c r="CT567" s="196"/>
      <c r="CU567" s="196"/>
      <c r="CV567" s="196"/>
      <c r="CW567" s="196"/>
      <c r="CX567" s="196"/>
      <c r="CY567" s="196"/>
      <c r="CZ567" s="196"/>
      <c r="DA567" s="196"/>
      <c r="DB567" s="196"/>
      <c r="DC567" s="196"/>
      <c r="DD567" s="196"/>
      <c r="DE567" s="196"/>
      <c r="DF567" s="196"/>
      <c r="DG567" s="196"/>
      <c r="DH567" s="196"/>
      <c r="DI567" s="196"/>
      <c r="DJ567" s="196"/>
      <c r="DK567" s="196"/>
      <c r="DL567" s="196"/>
      <c r="DM567" s="196"/>
      <c r="DN567" s="196"/>
      <c r="DO567" s="196"/>
      <c r="DP567" s="196"/>
      <c r="DQ567" s="196"/>
      <c r="DR567" s="196"/>
      <c r="DS567" s="196"/>
      <c r="DT567" s="196"/>
      <c r="EA567" s="164"/>
      <c r="EB567" s="164"/>
      <c r="EC567" s="164"/>
      <c r="ED567" s="164"/>
      <c r="EE567" s="164"/>
      <c r="EF567" s="164"/>
      <c r="EG567" s="164"/>
      <c r="EH567" s="164"/>
      <c r="EI567" s="164"/>
    </row>
    <row r="568" spans="27:139" ht="16.5" thickTop="1" thickBot="1" x14ac:dyDescent="0.3">
      <c r="AA568" s="37" t="s">
        <v>50</v>
      </c>
      <c r="AB568" s="47">
        <v>1</v>
      </c>
      <c r="AC568" s="18">
        <v>0</v>
      </c>
      <c r="AD568" s="18">
        <v>0</v>
      </c>
      <c r="AE568" s="26"/>
      <c r="AF568" s="26"/>
      <c r="AG568" s="26"/>
      <c r="AH568" s="36"/>
      <c r="BA568" s="37" t="s">
        <v>50</v>
      </c>
      <c r="BB568" s="47">
        <v>1</v>
      </c>
      <c r="BC568" s="18">
        <v>0</v>
      </c>
      <c r="BD568" s="18">
        <v>0</v>
      </c>
      <c r="BE568" s="26"/>
      <c r="BF568" s="26"/>
      <c r="BG568" s="26"/>
      <c r="BH568" s="36"/>
      <c r="BX568" s="196"/>
      <c r="BY568" s="196"/>
      <c r="BZ568" s="196"/>
      <c r="CA568" s="196"/>
      <c r="CB568" s="196"/>
      <c r="CC568" s="196"/>
      <c r="CD568" s="196"/>
      <c r="CE568" s="196"/>
      <c r="CF568" s="196"/>
      <c r="CG568" s="196"/>
      <c r="CH568" s="196"/>
      <c r="CI568" s="196"/>
      <c r="CJ568" s="196"/>
      <c r="CK568" s="196"/>
      <c r="CL568" s="196"/>
      <c r="CM568" s="196"/>
      <c r="CN568" s="196"/>
      <c r="CO568" s="196"/>
      <c r="CP568" s="196"/>
      <c r="CQ568" s="196"/>
      <c r="CR568" s="196"/>
      <c r="CS568" s="196"/>
      <c r="CT568" s="196"/>
      <c r="CU568" s="196"/>
      <c r="CV568" s="196"/>
      <c r="CW568" s="196"/>
      <c r="CX568" s="196"/>
      <c r="CY568" s="196"/>
      <c r="CZ568" s="196"/>
      <c r="DA568" s="196"/>
      <c r="DB568" s="196"/>
      <c r="DC568" s="196"/>
      <c r="DD568" s="196"/>
      <c r="DE568" s="196"/>
      <c r="DF568" s="196"/>
      <c r="DG568" s="196"/>
      <c r="DH568" s="196"/>
      <c r="DI568" s="196"/>
      <c r="DJ568" s="196"/>
      <c r="DK568" s="196"/>
      <c r="DL568" s="196"/>
      <c r="DM568" s="196"/>
      <c r="DN568" s="196"/>
      <c r="DO568" s="196"/>
      <c r="DP568" s="196"/>
      <c r="DQ568" s="196"/>
      <c r="DR568" s="196"/>
      <c r="DS568" s="196"/>
      <c r="DT568" s="196"/>
      <c r="EA568" s="164"/>
      <c r="EB568" s="164"/>
      <c r="EC568" s="164"/>
      <c r="ED568" s="164"/>
      <c r="EE568" s="164"/>
      <c r="EF568" s="164"/>
      <c r="EG568" s="164"/>
      <c r="EH568" s="164"/>
      <c r="EI568" s="164"/>
    </row>
    <row r="569" spans="27:139" ht="16.5" thickTop="1" thickBot="1" x14ac:dyDescent="0.3">
      <c r="AA569" s="53" t="s">
        <v>92</v>
      </c>
      <c r="AB569" s="54">
        <f>$AB$567*$AB$568</f>
        <v>0</v>
      </c>
      <c r="AC569" s="18">
        <v>0</v>
      </c>
      <c r="AD569" s="18">
        <v>0</v>
      </c>
      <c r="AE569" s="26"/>
      <c r="AF569" s="26"/>
      <c r="AG569" s="26"/>
      <c r="AH569" s="36"/>
      <c r="BA569" s="53" t="s">
        <v>92</v>
      </c>
      <c r="BB569" s="54">
        <f>$BB$567*$BB$568</f>
        <v>0</v>
      </c>
      <c r="BC569" s="18">
        <v>0</v>
      </c>
      <c r="BD569" s="18">
        <v>0</v>
      </c>
      <c r="BE569" s="26"/>
      <c r="BF569" s="26"/>
      <c r="BG569" s="26"/>
      <c r="BH569" s="36"/>
      <c r="BX569" s="196"/>
      <c r="BY569" s="196"/>
      <c r="BZ569" s="196"/>
      <c r="CA569" s="196"/>
      <c r="CB569" s="196"/>
      <c r="CC569" s="196"/>
      <c r="CD569" s="196"/>
      <c r="CE569" s="196"/>
      <c r="CF569" s="196"/>
      <c r="CG569" s="196"/>
      <c r="CH569" s="196"/>
      <c r="CI569" s="196"/>
      <c r="CJ569" s="196"/>
      <c r="CK569" s="196"/>
      <c r="CL569" s="196"/>
      <c r="CM569" s="196"/>
      <c r="CN569" s="196"/>
      <c r="CO569" s="196"/>
      <c r="CP569" s="196"/>
      <c r="CQ569" s="196"/>
      <c r="CR569" s="196"/>
      <c r="CS569" s="196"/>
      <c r="CT569" s="196"/>
      <c r="CU569" s="196"/>
      <c r="CV569" s="196"/>
      <c r="CW569" s="196"/>
      <c r="CX569" s="196"/>
      <c r="CY569" s="196"/>
      <c r="CZ569" s="196"/>
      <c r="DA569" s="196"/>
      <c r="DB569" s="196"/>
      <c r="DC569" s="196"/>
      <c r="DD569" s="196"/>
      <c r="DE569" s="196"/>
      <c r="DF569" s="196"/>
      <c r="DG569" s="196"/>
      <c r="DH569" s="196"/>
      <c r="DI569" s="196"/>
      <c r="DJ569" s="196"/>
      <c r="DK569" s="196"/>
      <c r="DL569" s="196"/>
      <c r="DM569" s="196"/>
      <c r="DN569" s="196"/>
      <c r="DO569" s="196"/>
      <c r="DP569" s="196"/>
      <c r="DQ569" s="196"/>
      <c r="DR569" s="196"/>
      <c r="DS569" s="196"/>
      <c r="DT569" s="196"/>
      <c r="EA569" s="164"/>
      <c r="EB569" s="164"/>
      <c r="EC569" s="164"/>
      <c r="ED569" s="164"/>
      <c r="EE569" s="164"/>
      <c r="EF569" s="164"/>
      <c r="EG569" s="164"/>
      <c r="EH569" s="164"/>
      <c r="EI569" s="164"/>
    </row>
    <row r="570" spans="27:139" ht="16.5" thickTop="1" thickBot="1" x14ac:dyDescent="0.3">
      <c r="AA570" s="37" t="s">
        <v>62</v>
      </c>
      <c r="AB570" s="26"/>
      <c r="AC570" s="18">
        <v>0</v>
      </c>
      <c r="AD570" s="18">
        <v>0</v>
      </c>
      <c r="AE570" s="26"/>
      <c r="AF570" s="26"/>
      <c r="AG570" s="26"/>
      <c r="AH570" s="36"/>
      <c r="BA570" s="37" t="s">
        <v>62</v>
      </c>
      <c r="BB570" s="26"/>
      <c r="BC570" s="18">
        <v>0</v>
      </c>
      <c r="BD570" s="18">
        <v>0</v>
      </c>
      <c r="BE570" s="26"/>
      <c r="BF570" s="26"/>
      <c r="BG570" s="26"/>
      <c r="BH570" s="36"/>
      <c r="BX570" s="196"/>
      <c r="BY570" s="196"/>
      <c r="BZ570" s="196"/>
      <c r="CA570" s="196"/>
      <c r="CB570" s="196"/>
      <c r="CC570" s="196"/>
      <c r="CD570" s="196"/>
      <c r="CE570" s="196"/>
      <c r="CF570" s="196"/>
      <c r="CG570" s="196"/>
      <c r="CH570" s="196"/>
      <c r="CI570" s="196"/>
      <c r="CJ570" s="196"/>
      <c r="CK570" s="196"/>
      <c r="CL570" s="196"/>
      <c r="CM570" s="196"/>
      <c r="CN570" s="196"/>
      <c r="CO570" s="196"/>
      <c r="CP570" s="196"/>
      <c r="CQ570" s="196"/>
      <c r="CR570" s="196"/>
      <c r="CS570" s="196"/>
      <c r="CT570" s="196"/>
      <c r="CU570" s="196"/>
      <c r="CV570" s="196"/>
      <c r="CW570" s="196"/>
      <c r="CX570" s="196"/>
      <c r="CY570" s="196"/>
      <c r="CZ570" s="196"/>
      <c r="DA570" s="196"/>
      <c r="DB570" s="196"/>
      <c r="DC570" s="196"/>
      <c r="DD570" s="196"/>
      <c r="DE570" s="196"/>
      <c r="DF570" s="196"/>
      <c r="DG570" s="196"/>
      <c r="DH570" s="196"/>
      <c r="DI570" s="196"/>
      <c r="DJ570" s="196"/>
      <c r="DK570" s="196"/>
      <c r="DL570" s="196"/>
      <c r="DM570" s="196"/>
      <c r="DN570" s="196"/>
      <c r="DO570" s="196"/>
      <c r="DP570" s="196"/>
      <c r="DQ570" s="196"/>
      <c r="DR570" s="196"/>
      <c r="DS570" s="196"/>
      <c r="DT570" s="196"/>
      <c r="EA570" s="164"/>
      <c r="EB570" s="164"/>
      <c r="EC570" s="164"/>
      <c r="ED570" s="164"/>
      <c r="EE570" s="164"/>
      <c r="EF570" s="164"/>
      <c r="EG570" s="164"/>
      <c r="EH570" s="164"/>
      <c r="EI570" s="164"/>
    </row>
    <row r="571" spans="27:139" ht="16.5" thickTop="1" thickBot="1" x14ac:dyDescent="0.3">
      <c r="AA571" s="37" t="s">
        <v>50</v>
      </c>
      <c r="AB571" s="47">
        <v>1</v>
      </c>
      <c r="AC571" s="18">
        <v>0</v>
      </c>
      <c r="AD571" s="18">
        <v>0</v>
      </c>
      <c r="AE571" s="26"/>
      <c r="AF571" s="26"/>
      <c r="AG571" s="26"/>
      <c r="AH571" s="36"/>
      <c r="BA571" s="37" t="s">
        <v>50</v>
      </c>
      <c r="BB571" s="47">
        <v>1</v>
      </c>
      <c r="BC571" s="18">
        <v>0</v>
      </c>
      <c r="BD571" s="18">
        <v>0</v>
      </c>
      <c r="BE571" s="26"/>
      <c r="BF571" s="26"/>
      <c r="BG571" s="26"/>
      <c r="BH571" s="36"/>
      <c r="BX571" s="196"/>
      <c r="BY571" s="196"/>
      <c r="BZ571" s="196"/>
      <c r="CA571" s="196"/>
      <c r="CB571" s="196"/>
      <c r="CC571" s="196"/>
      <c r="CD571" s="196"/>
      <c r="CE571" s="196"/>
      <c r="CF571" s="196"/>
      <c r="CG571" s="196"/>
      <c r="CH571" s="196"/>
      <c r="CI571" s="196"/>
      <c r="CJ571" s="196"/>
      <c r="CK571" s="196"/>
      <c r="CL571" s="196"/>
      <c r="CM571" s="196"/>
      <c r="CN571" s="196"/>
      <c r="CO571" s="196"/>
      <c r="CP571" s="196"/>
      <c r="CQ571" s="196"/>
      <c r="CR571" s="196"/>
      <c r="CS571" s="196"/>
      <c r="CT571" s="196"/>
      <c r="CU571" s="196"/>
      <c r="CV571" s="196"/>
      <c r="CW571" s="196"/>
      <c r="CX571" s="196"/>
      <c r="CY571" s="196"/>
      <c r="CZ571" s="196"/>
      <c r="DA571" s="196"/>
      <c r="DB571" s="196"/>
      <c r="DC571" s="196"/>
      <c r="DD571" s="196"/>
      <c r="DE571" s="196"/>
      <c r="DF571" s="196"/>
      <c r="DG571" s="196"/>
      <c r="DH571" s="196"/>
      <c r="DI571" s="196"/>
      <c r="DJ571" s="196"/>
      <c r="DK571" s="196"/>
      <c r="DL571" s="196"/>
      <c r="DM571" s="196"/>
      <c r="DN571" s="196"/>
      <c r="DO571" s="196"/>
      <c r="DP571" s="196"/>
      <c r="DQ571" s="196"/>
      <c r="DR571" s="196"/>
      <c r="DS571" s="196"/>
      <c r="DT571" s="196"/>
      <c r="EA571" s="164"/>
      <c r="EB571" s="164"/>
      <c r="EC571" s="164"/>
      <c r="ED571" s="164"/>
      <c r="EE571" s="164"/>
      <c r="EF571" s="164"/>
      <c r="EG571" s="164"/>
      <c r="EH571" s="164"/>
      <c r="EI571" s="164"/>
    </row>
    <row r="572" spans="27:139" ht="16.5" thickTop="1" thickBot="1" x14ac:dyDescent="0.3">
      <c r="AA572" s="37" t="s">
        <v>94</v>
      </c>
      <c r="AB572" s="26"/>
      <c r="AC572" s="26"/>
      <c r="AD572" s="26"/>
      <c r="AE572" s="26"/>
      <c r="AF572" s="26"/>
      <c r="AG572" s="26"/>
      <c r="AH572" s="36"/>
      <c r="BA572" s="37" t="s">
        <v>94</v>
      </c>
      <c r="BB572" s="26"/>
      <c r="BC572" s="26"/>
      <c r="BD572" s="26"/>
      <c r="BE572" s="26"/>
      <c r="BF572" s="26"/>
      <c r="BG572" s="26"/>
      <c r="BH572" s="36"/>
      <c r="BX572" s="196"/>
      <c r="BY572" s="196"/>
      <c r="BZ572" s="196"/>
      <c r="CA572" s="196"/>
      <c r="CB572" s="196"/>
      <c r="CC572" s="196"/>
      <c r="CD572" s="196"/>
      <c r="CE572" s="196"/>
      <c r="CF572" s="196"/>
      <c r="CG572" s="196"/>
      <c r="CH572" s="196"/>
      <c r="CI572" s="196"/>
      <c r="CJ572" s="196"/>
      <c r="CK572" s="196"/>
      <c r="CL572" s="196"/>
      <c r="CM572" s="196"/>
      <c r="CN572" s="196"/>
      <c r="CO572" s="196"/>
      <c r="CP572" s="196"/>
      <c r="CQ572" s="196"/>
      <c r="CR572" s="196"/>
      <c r="CS572" s="196"/>
      <c r="CT572" s="196"/>
      <c r="CU572" s="196"/>
      <c r="CV572" s="196"/>
      <c r="CW572" s="196"/>
      <c r="CX572" s="196"/>
      <c r="CY572" s="196"/>
      <c r="CZ572" s="196"/>
      <c r="DA572" s="196"/>
      <c r="DB572" s="196"/>
      <c r="DC572" s="196"/>
      <c r="DD572" s="196"/>
      <c r="DE572" s="196"/>
      <c r="DF572" s="196"/>
      <c r="DG572" s="196"/>
      <c r="DH572" s="196"/>
      <c r="DI572" s="196"/>
      <c r="DJ572" s="196"/>
      <c r="DK572" s="196"/>
      <c r="DL572" s="196"/>
      <c r="DM572" s="196"/>
      <c r="DN572" s="196"/>
      <c r="DO572" s="196"/>
      <c r="DP572" s="196"/>
      <c r="DQ572" s="196"/>
      <c r="DR572" s="196"/>
      <c r="DS572" s="196"/>
      <c r="DT572" s="196"/>
      <c r="EA572" s="164"/>
      <c r="EB572" s="164"/>
      <c r="EC572" s="164"/>
      <c r="ED572" s="164"/>
      <c r="EE572" s="164"/>
      <c r="EF572" s="164"/>
      <c r="EG572" s="164"/>
      <c r="EH572" s="164"/>
      <c r="EI572" s="164"/>
    </row>
    <row r="573" spans="27:139" ht="16.5" thickTop="1" thickBot="1" x14ac:dyDescent="0.3">
      <c r="AA573" s="37" t="s">
        <v>64</v>
      </c>
      <c r="AB573" s="26"/>
      <c r="AC573" s="26"/>
      <c r="AD573" s="26"/>
      <c r="AE573" s="26"/>
      <c r="AF573" s="26"/>
      <c r="AG573" s="26"/>
      <c r="AH573" s="36"/>
      <c r="BA573" s="37" t="s">
        <v>64</v>
      </c>
      <c r="BB573" s="26"/>
      <c r="BC573" s="26"/>
      <c r="BD573" s="26"/>
      <c r="BE573" s="26"/>
      <c r="BF573" s="26"/>
      <c r="BG573" s="26"/>
      <c r="BH573" s="36"/>
      <c r="BX573" s="196"/>
      <c r="BY573" s="196"/>
      <c r="BZ573" s="196"/>
      <c r="CA573" s="196"/>
      <c r="CB573" s="196"/>
      <c r="CC573" s="196"/>
      <c r="CD573" s="196"/>
      <c r="CE573" s="196"/>
      <c r="CF573" s="196"/>
      <c r="CG573" s="196"/>
      <c r="CH573" s="196"/>
      <c r="CI573" s="196"/>
      <c r="CJ573" s="196"/>
      <c r="CK573" s="196"/>
      <c r="CL573" s="196"/>
      <c r="CM573" s="196"/>
      <c r="CN573" s="196"/>
      <c r="CO573" s="196"/>
      <c r="CP573" s="196"/>
      <c r="CQ573" s="196"/>
      <c r="CR573" s="196"/>
      <c r="CS573" s="196"/>
      <c r="CT573" s="196"/>
      <c r="CU573" s="196"/>
      <c r="CV573" s="196"/>
      <c r="CW573" s="196"/>
      <c r="CX573" s="196"/>
      <c r="CY573" s="196"/>
      <c r="CZ573" s="196"/>
      <c r="DA573" s="196"/>
      <c r="DB573" s="196"/>
      <c r="DC573" s="196"/>
      <c r="DD573" s="196"/>
      <c r="DE573" s="196"/>
      <c r="DF573" s="196"/>
      <c r="DG573" s="196"/>
      <c r="DH573" s="196"/>
      <c r="DI573" s="196"/>
      <c r="DJ573" s="196"/>
      <c r="DK573" s="196"/>
      <c r="DL573" s="196"/>
      <c r="DM573" s="196"/>
      <c r="DN573" s="196"/>
      <c r="DO573" s="196"/>
      <c r="DP573" s="196"/>
      <c r="DQ573" s="196"/>
      <c r="DR573" s="196"/>
      <c r="DS573" s="196"/>
      <c r="DT573" s="196"/>
      <c r="EA573" s="164"/>
      <c r="EB573" s="164"/>
      <c r="EC573" s="164"/>
      <c r="ED573" s="164"/>
      <c r="EE573" s="164"/>
      <c r="EF573" s="164"/>
      <c r="EG573" s="164"/>
      <c r="EH573" s="164"/>
      <c r="EI573" s="164"/>
    </row>
    <row r="574" spans="27:139" ht="16.5" thickTop="1" thickBot="1" x14ac:dyDescent="0.3">
      <c r="AA574" s="23" t="s">
        <v>96</v>
      </c>
      <c r="AB574" s="109">
        <v>0</v>
      </c>
      <c r="AC574" s="26"/>
      <c r="AD574" s="26"/>
      <c r="AE574" s="26"/>
      <c r="AF574" s="26"/>
      <c r="AG574" s="26"/>
      <c r="AH574" s="36"/>
      <c r="BA574" s="23" t="s">
        <v>96</v>
      </c>
      <c r="BB574" s="109">
        <v>0</v>
      </c>
      <c r="BC574" s="26"/>
      <c r="BD574" s="26"/>
      <c r="BE574" s="26"/>
      <c r="BF574" s="26"/>
      <c r="BG574" s="26"/>
      <c r="BH574" s="36"/>
      <c r="BX574" s="196"/>
      <c r="BY574" s="196"/>
      <c r="BZ574" s="196"/>
      <c r="CA574" s="196"/>
      <c r="CB574" s="196"/>
      <c r="CC574" s="196"/>
      <c r="CD574" s="196"/>
      <c r="CE574" s="196"/>
      <c r="CF574" s="196"/>
      <c r="CG574" s="196"/>
      <c r="CH574" s="196"/>
      <c r="CI574" s="196"/>
      <c r="CJ574" s="196"/>
      <c r="CK574" s="196"/>
      <c r="CL574" s="196"/>
      <c r="CM574" s="196"/>
      <c r="CN574" s="196"/>
      <c r="CO574" s="196"/>
      <c r="CP574" s="196"/>
      <c r="CQ574" s="196"/>
      <c r="CR574" s="196"/>
      <c r="CS574" s="196"/>
      <c r="CT574" s="196"/>
      <c r="CU574" s="196"/>
      <c r="CV574" s="196"/>
      <c r="CW574" s="196"/>
      <c r="CX574" s="196"/>
      <c r="CY574" s="196"/>
      <c r="CZ574" s="196"/>
      <c r="DA574" s="196"/>
      <c r="DB574" s="196"/>
      <c r="DC574" s="196"/>
      <c r="DD574" s="196"/>
      <c r="DE574" s="196"/>
      <c r="DF574" s="196"/>
      <c r="DG574" s="196"/>
      <c r="DH574" s="196"/>
      <c r="DI574" s="196"/>
      <c r="DJ574" s="196"/>
      <c r="DK574" s="196"/>
      <c r="DL574" s="196"/>
      <c r="DM574" s="196"/>
      <c r="DN574" s="196"/>
      <c r="DO574" s="196"/>
      <c r="DP574" s="196"/>
      <c r="DQ574" s="196"/>
      <c r="DR574" s="196"/>
      <c r="DS574" s="196"/>
      <c r="DT574" s="196"/>
      <c r="EA574" s="164"/>
      <c r="EB574" s="164"/>
      <c r="EC574" s="164"/>
      <c r="ED574" s="164"/>
      <c r="EE574" s="164"/>
      <c r="EF574" s="164"/>
      <c r="EG574" s="164"/>
      <c r="EH574" s="164"/>
      <c r="EI574" s="164"/>
    </row>
    <row r="575" spans="27:139" ht="16.5" thickTop="1" thickBot="1" x14ac:dyDescent="0.3">
      <c r="AA575" s="41" t="s">
        <v>101</v>
      </c>
      <c r="AB575" s="42">
        <f>$AB$569*$AB$574</f>
        <v>0</v>
      </c>
      <c r="AC575" s="100"/>
      <c r="AD575" s="31"/>
      <c r="AE575" s="31"/>
      <c r="AF575" s="31"/>
      <c r="AG575" s="31"/>
      <c r="AH575" s="43"/>
      <c r="BA575" s="41" t="s">
        <v>101</v>
      </c>
      <c r="BB575" s="42">
        <f>$BB$569*$BB$574</f>
        <v>0</v>
      </c>
      <c r="BC575" s="100"/>
      <c r="BD575" s="31"/>
      <c r="BE575" s="31"/>
      <c r="BF575" s="31"/>
      <c r="BG575" s="31"/>
      <c r="BH575" s="43"/>
      <c r="BX575" s="196"/>
      <c r="BY575" s="196"/>
      <c r="BZ575" s="196"/>
      <c r="CA575" s="196"/>
      <c r="CB575" s="196"/>
      <c r="CC575" s="196"/>
      <c r="CD575" s="196"/>
      <c r="CE575" s="196"/>
      <c r="CF575" s="196"/>
      <c r="CG575" s="196"/>
      <c r="CH575" s="196"/>
      <c r="CI575" s="196"/>
      <c r="CJ575" s="196"/>
      <c r="CK575" s="196"/>
      <c r="CL575" s="196"/>
      <c r="CM575" s="196"/>
      <c r="CN575" s="196"/>
      <c r="CO575" s="196"/>
      <c r="CP575" s="196"/>
      <c r="CQ575" s="196"/>
      <c r="CR575" s="196"/>
      <c r="CS575" s="196"/>
      <c r="CT575" s="196"/>
      <c r="CU575" s="196"/>
      <c r="CV575" s="196"/>
      <c r="CW575" s="196"/>
      <c r="CX575" s="196"/>
      <c r="CY575" s="196"/>
      <c r="CZ575" s="196"/>
      <c r="DA575" s="196"/>
      <c r="DB575" s="196"/>
      <c r="DC575" s="196"/>
      <c r="DD575" s="196"/>
      <c r="DE575" s="196"/>
      <c r="DF575" s="196"/>
      <c r="DG575" s="196"/>
      <c r="DH575" s="196"/>
      <c r="DI575" s="196"/>
      <c r="DJ575" s="196"/>
      <c r="DK575" s="196"/>
      <c r="DL575" s="196"/>
      <c r="DM575" s="196"/>
      <c r="DN575" s="196"/>
      <c r="DO575" s="196"/>
      <c r="DP575" s="196"/>
      <c r="DQ575" s="196"/>
      <c r="DR575" s="196"/>
      <c r="DS575" s="196"/>
      <c r="DT575" s="196"/>
      <c r="EA575" s="164"/>
      <c r="EB575" s="164"/>
      <c r="EC575" s="164"/>
      <c r="ED575" s="164"/>
      <c r="EE575" s="164"/>
      <c r="EF575" s="164"/>
      <c r="EG575" s="164"/>
      <c r="EH575" s="164"/>
      <c r="EI575" s="164"/>
    </row>
    <row r="576" spans="27:139" ht="15.75" thickBot="1" x14ac:dyDescent="0.3">
      <c r="BX576" s="196"/>
      <c r="BY576" s="196"/>
      <c r="BZ576" s="196"/>
      <c r="CA576" s="196"/>
      <c r="CB576" s="196"/>
      <c r="CC576" s="196"/>
      <c r="CD576" s="196"/>
      <c r="CE576" s="196"/>
      <c r="CF576" s="196"/>
      <c r="CG576" s="196"/>
      <c r="CH576" s="196"/>
      <c r="CI576" s="196"/>
      <c r="CJ576" s="196"/>
      <c r="CK576" s="196"/>
      <c r="CL576" s="196"/>
      <c r="CM576" s="196"/>
      <c r="CN576" s="196"/>
      <c r="CO576" s="196"/>
      <c r="CP576" s="196"/>
      <c r="CQ576" s="196"/>
      <c r="CR576" s="196"/>
      <c r="CS576" s="196"/>
      <c r="CT576" s="196"/>
      <c r="CU576" s="196"/>
      <c r="CV576" s="196"/>
      <c r="CW576" s="196"/>
      <c r="CX576" s="196"/>
      <c r="CY576" s="196"/>
      <c r="CZ576" s="196"/>
      <c r="DA576" s="196"/>
      <c r="DB576" s="196"/>
      <c r="DC576" s="196"/>
      <c r="DD576" s="196"/>
      <c r="DE576" s="196"/>
      <c r="DF576" s="196"/>
      <c r="DG576" s="196"/>
      <c r="DH576" s="196"/>
      <c r="DI576" s="196"/>
      <c r="DJ576" s="196"/>
      <c r="DK576" s="196"/>
      <c r="DL576" s="196"/>
      <c r="DM576" s="196"/>
      <c r="DN576" s="196"/>
      <c r="DO576" s="196"/>
      <c r="DP576" s="196"/>
      <c r="DQ576" s="196"/>
      <c r="DR576" s="196"/>
      <c r="DS576" s="196"/>
      <c r="DT576" s="196"/>
      <c r="EA576" s="164"/>
      <c r="EB576" s="164"/>
      <c r="EC576" s="164"/>
      <c r="ED576" s="164"/>
      <c r="EE576" s="164"/>
      <c r="EF576" s="164"/>
      <c r="EG576" s="164"/>
      <c r="EH576" s="164"/>
      <c r="EI576" s="164"/>
    </row>
    <row r="577" spans="27:139" ht="15.75" thickBot="1" x14ac:dyDescent="0.3">
      <c r="AA577" s="497" t="s">
        <v>15</v>
      </c>
      <c r="AB577" s="498"/>
      <c r="AC577" s="498"/>
      <c r="AD577" s="498"/>
      <c r="AE577" s="498"/>
      <c r="AF577" s="498"/>
      <c r="AG577" s="499"/>
      <c r="AH577" s="69"/>
      <c r="BA577" s="497" t="s">
        <v>15</v>
      </c>
      <c r="BB577" s="498"/>
      <c r="BC577" s="498"/>
      <c r="BD577" s="498"/>
      <c r="BE577" s="498"/>
      <c r="BF577" s="498"/>
      <c r="BG577" s="499"/>
      <c r="BH577" s="69"/>
      <c r="BX577" s="196"/>
      <c r="BY577" s="196"/>
      <c r="BZ577" s="196"/>
      <c r="CA577" s="196"/>
      <c r="CB577" s="196"/>
      <c r="CC577" s="196"/>
      <c r="CD577" s="196"/>
      <c r="CE577" s="196"/>
      <c r="CF577" s="196"/>
      <c r="CG577" s="196"/>
      <c r="CH577" s="196"/>
      <c r="CI577" s="196"/>
      <c r="CJ577" s="196"/>
      <c r="CK577" s="196"/>
      <c r="CL577" s="196"/>
      <c r="CM577" s="196"/>
      <c r="CN577" s="196"/>
      <c r="CO577" s="196"/>
      <c r="CP577" s="196"/>
      <c r="CQ577" s="196"/>
      <c r="CR577" s="196"/>
      <c r="CS577" s="196"/>
      <c r="CT577" s="196"/>
      <c r="CU577" s="196"/>
      <c r="CV577" s="196"/>
      <c r="CW577" s="196"/>
      <c r="CX577" s="196"/>
      <c r="CY577" s="196"/>
      <c r="CZ577" s="196"/>
      <c r="DA577" s="196"/>
      <c r="DB577" s="196"/>
      <c r="DC577" s="196"/>
      <c r="DD577" s="196"/>
      <c r="DE577" s="196"/>
      <c r="DF577" s="196"/>
      <c r="DG577" s="196"/>
      <c r="DH577" s="196"/>
      <c r="DI577" s="196"/>
      <c r="DJ577" s="196"/>
      <c r="DK577" s="196"/>
      <c r="DL577" s="196"/>
      <c r="DM577" s="196"/>
      <c r="DN577" s="196"/>
      <c r="DO577" s="196"/>
      <c r="DP577" s="196"/>
      <c r="DQ577" s="196"/>
      <c r="DR577" s="196"/>
      <c r="DS577" s="196"/>
      <c r="DT577" s="196"/>
      <c r="EA577" s="164"/>
      <c r="EB577" s="164"/>
      <c r="EC577" s="164"/>
      <c r="ED577" s="164"/>
      <c r="EE577" s="164"/>
      <c r="EF577" s="164"/>
      <c r="EG577" s="164"/>
      <c r="EH577" s="164"/>
      <c r="EI577" s="164"/>
    </row>
    <row r="578" spans="27:139" ht="16.5" thickTop="1" thickBot="1" x14ac:dyDescent="0.3">
      <c r="AA578" s="37" t="s">
        <v>17</v>
      </c>
      <c r="AB578" s="26"/>
      <c r="AC578" s="26"/>
      <c r="AD578" s="26"/>
      <c r="AE578" s="26"/>
      <c r="AF578" s="26"/>
      <c r="AG578" s="26"/>
      <c r="AH578" s="36"/>
      <c r="BA578" s="37" t="s">
        <v>17</v>
      </c>
      <c r="BB578" s="26"/>
      <c r="BC578" s="26"/>
      <c r="BD578" s="26"/>
      <c r="BE578" s="26"/>
      <c r="BF578" s="26"/>
      <c r="BG578" s="26"/>
      <c r="BH578" s="36"/>
      <c r="BX578" s="196"/>
      <c r="BY578" s="196"/>
      <c r="BZ578" s="196"/>
      <c r="CA578" s="196"/>
      <c r="CB578" s="196"/>
      <c r="CC578" s="196"/>
      <c r="CD578" s="196"/>
      <c r="CE578" s="196"/>
      <c r="CF578" s="196"/>
      <c r="CG578" s="196"/>
      <c r="CH578" s="196"/>
      <c r="CI578" s="196"/>
      <c r="CJ578" s="196"/>
      <c r="CK578" s="196"/>
      <c r="CL578" s="196"/>
      <c r="CM578" s="196"/>
      <c r="CN578" s="196"/>
      <c r="CO578" s="196"/>
      <c r="CP578" s="196"/>
      <c r="CQ578" s="196"/>
      <c r="CR578" s="196"/>
      <c r="CS578" s="196"/>
      <c r="CT578" s="196"/>
      <c r="CU578" s="196"/>
      <c r="CV578" s="196"/>
      <c r="CW578" s="196"/>
      <c r="CX578" s="196"/>
      <c r="CY578" s="196"/>
      <c r="CZ578" s="196"/>
      <c r="DA578" s="196"/>
      <c r="DB578" s="196"/>
      <c r="DC578" s="196"/>
      <c r="DD578" s="196"/>
      <c r="DE578" s="196"/>
      <c r="DF578" s="196"/>
      <c r="DG578" s="196"/>
      <c r="DH578" s="196"/>
      <c r="DI578" s="196"/>
      <c r="DJ578" s="196"/>
      <c r="DK578" s="196"/>
      <c r="DL578" s="196"/>
      <c r="DM578" s="196"/>
      <c r="DN578" s="196"/>
      <c r="DO578" s="196"/>
      <c r="DP578" s="196"/>
      <c r="DQ578" s="196"/>
      <c r="DR578" s="196"/>
      <c r="DS578" s="196"/>
      <c r="DT578" s="196"/>
      <c r="EA578" s="164"/>
      <c r="EB578" s="164"/>
      <c r="EC578" s="164"/>
      <c r="ED578" s="164"/>
      <c r="EE578" s="164"/>
      <c r="EF578" s="164"/>
      <c r="EG578" s="164"/>
      <c r="EH578" s="164"/>
      <c r="EI578" s="164"/>
    </row>
    <row r="579" spans="27:139" ht="16.5" thickTop="1" thickBot="1" x14ac:dyDescent="0.3">
      <c r="AA579" s="37" t="s">
        <v>20</v>
      </c>
      <c r="AB579" s="26"/>
      <c r="AC579" s="26"/>
      <c r="AD579" s="26"/>
      <c r="AE579" s="26"/>
      <c r="AF579" s="26"/>
      <c r="AG579" s="26"/>
      <c r="AH579" s="36"/>
      <c r="BA579" s="37" t="s">
        <v>20</v>
      </c>
      <c r="BB579" s="26"/>
      <c r="BC579" s="26"/>
      <c r="BD579" s="26"/>
      <c r="BE579" s="26"/>
      <c r="BF579" s="26"/>
      <c r="BG579" s="26"/>
      <c r="BH579" s="36"/>
      <c r="BX579" s="196"/>
      <c r="BY579" s="196"/>
      <c r="BZ579" s="196"/>
      <c r="CA579" s="196"/>
      <c r="CB579" s="196"/>
      <c r="CC579" s="196"/>
      <c r="CD579" s="196"/>
      <c r="CE579" s="196"/>
      <c r="CF579" s="196"/>
      <c r="CG579" s="196"/>
      <c r="CH579" s="196"/>
      <c r="CI579" s="196"/>
      <c r="CJ579" s="196"/>
      <c r="CK579" s="196"/>
      <c r="CL579" s="196"/>
      <c r="CM579" s="196"/>
      <c r="CN579" s="196"/>
      <c r="CO579" s="196"/>
      <c r="CP579" s="196"/>
      <c r="CQ579" s="196"/>
      <c r="CR579" s="196"/>
      <c r="CS579" s="196"/>
      <c r="CT579" s="196"/>
      <c r="CU579" s="196"/>
      <c r="CV579" s="196"/>
      <c r="CW579" s="196"/>
      <c r="CX579" s="196"/>
      <c r="CY579" s="196"/>
      <c r="CZ579" s="196"/>
      <c r="DA579" s="196"/>
      <c r="DB579" s="196"/>
      <c r="DC579" s="196"/>
      <c r="DD579" s="196"/>
      <c r="DE579" s="196"/>
      <c r="DF579" s="196"/>
      <c r="DG579" s="196"/>
      <c r="DH579" s="196"/>
      <c r="DI579" s="196"/>
      <c r="DJ579" s="196"/>
      <c r="DK579" s="196"/>
      <c r="DL579" s="196"/>
      <c r="DM579" s="196"/>
      <c r="DN579" s="196"/>
      <c r="DO579" s="196"/>
      <c r="DP579" s="196"/>
      <c r="DQ579" s="196"/>
      <c r="DR579" s="196"/>
      <c r="DS579" s="196"/>
      <c r="DT579" s="196"/>
      <c r="EA579" s="164"/>
      <c r="EB579" s="164"/>
      <c r="EC579" s="164"/>
      <c r="ED579" s="164"/>
      <c r="EE579" s="164"/>
      <c r="EF579" s="164"/>
      <c r="EG579" s="164"/>
      <c r="EH579" s="164"/>
      <c r="EI579" s="164"/>
    </row>
    <row r="580" spans="27:139" ht="16.5" thickTop="1" thickBot="1" x14ac:dyDescent="0.3">
      <c r="AA580" s="37" t="s">
        <v>22</v>
      </c>
      <c r="AB580" s="26"/>
      <c r="AC580" s="26"/>
      <c r="AD580" s="26"/>
      <c r="AE580" s="26"/>
      <c r="AF580" s="26"/>
      <c r="AG580" s="26"/>
      <c r="AH580" s="36"/>
      <c r="BA580" s="37" t="s">
        <v>22</v>
      </c>
      <c r="BB580" s="26"/>
      <c r="BC580" s="26"/>
      <c r="BD580" s="26"/>
      <c r="BE580" s="26"/>
      <c r="BF580" s="26"/>
      <c r="BG580" s="26"/>
      <c r="BH580" s="36"/>
      <c r="BX580" s="196"/>
      <c r="BY580" s="196"/>
      <c r="BZ580" s="196"/>
      <c r="CA580" s="196"/>
      <c r="CB580" s="196"/>
      <c r="CC580" s="196"/>
      <c r="CD580" s="196"/>
      <c r="CE580" s="196"/>
      <c r="CF580" s="196"/>
      <c r="CG580" s="196"/>
      <c r="CH580" s="196"/>
      <c r="CI580" s="196"/>
      <c r="CJ580" s="196"/>
      <c r="CK580" s="196"/>
      <c r="CL580" s="196"/>
      <c r="CM580" s="196"/>
      <c r="CN580" s="196"/>
      <c r="CO580" s="196"/>
      <c r="CP580" s="196"/>
      <c r="CQ580" s="196"/>
      <c r="CR580" s="196"/>
      <c r="CS580" s="196"/>
      <c r="CT580" s="196"/>
      <c r="CU580" s="196"/>
      <c r="CV580" s="196"/>
      <c r="CW580" s="196"/>
      <c r="CX580" s="196"/>
      <c r="CY580" s="196"/>
      <c r="CZ580" s="196"/>
      <c r="DA580" s="196"/>
      <c r="DB580" s="196"/>
      <c r="DC580" s="196"/>
      <c r="DD580" s="196"/>
      <c r="DE580" s="196"/>
      <c r="DF580" s="196"/>
      <c r="DG580" s="196"/>
      <c r="DH580" s="196"/>
      <c r="DI580" s="196"/>
      <c r="DJ580" s="196"/>
      <c r="DK580" s="196"/>
      <c r="DL580" s="196"/>
      <c r="DM580" s="196"/>
      <c r="DN580" s="196"/>
      <c r="DO580" s="196"/>
      <c r="DP580" s="196"/>
      <c r="DQ580" s="196"/>
      <c r="DR580" s="196"/>
      <c r="DS580" s="196"/>
      <c r="DT580" s="196"/>
      <c r="EA580" s="164"/>
      <c r="EB580" s="164"/>
      <c r="EC580" s="164"/>
      <c r="ED580" s="164"/>
      <c r="EE580" s="164"/>
      <c r="EF580" s="164"/>
      <c r="EG580" s="164"/>
      <c r="EH580" s="164"/>
      <c r="EI580" s="164"/>
    </row>
    <row r="581" spans="27:139" ht="16.5" thickTop="1" thickBot="1" x14ac:dyDescent="0.3">
      <c r="AA581" s="37" t="s">
        <v>24</v>
      </c>
      <c r="AB581" s="26"/>
      <c r="AC581" s="26"/>
      <c r="AD581" s="26"/>
      <c r="AE581" s="26"/>
      <c r="AF581" s="26"/>
      <c r="AG581" s="26"/>
      <c r="AH581" s="36"/>
      <c r="BA581" s="37" t="s">
        <v>24</v>
      </c>
      <c r="BB581" s="26"/>
      <c r="BC581" s="26"/>
      <c r="BD581" s="26"/>
      <c r="BE581" s="26"/>
      <c r="BF581" s="26"/>
      <c r="BG581" s="26"/>
      <c r="BH581" s="36"/>
      <c r="BX581" s="196"/>
      <c r="BY581" s="196"/>
      <c r="BZ581" s="196"/>
      <c r="CA581" s="196"/>
      <c r="CB581" s="196"/>
      <c r="CC581" s="196"/>
      <c r="CD581" s="196"/>
      <c r="CE581" s="196"/>
      <c r="CF581" s="196"/>
      <c r="CG581" s="196"/>
      <c r="CH581" s="196"/>
      <c r="CI581" s="196"/>
      <c r="CJ581" s="196"/>
      <c r="CK581" s="196"/>
      <c r="CL581" s="196"/>
      <c r="CM581" s="196"/>
      <c r="CN581" s="196"/>
      <c r="CO581" s="196"/>
      <c r="CP581" s="196"/>
      <c r="CQ581" s="196"/>
      <c r="CR581" s="196"/>
      <c r="CS581" s="196"/>
      <c r="CT581" s="196"/>
      <c r="CU581" s="196"/>
      <c r="CV581" s="196"/>
      <c r="CW581" s="196"/>
      <c r="CX581" s="196"/>
      <c r="CY581" s="196"/>
      <c r="CZ581" s="196"/>
      <c r="DA581" s="196"/>
      <c r="DB581" s="196"/>
      <c r="DC581" s="196"/>
      <c r="DD581" s="196"/>
      <c r="DE581" s="196"/>
      <c r="DF581" s="196"/>
      <c r="DG581" s="196"/>
      <c r="DH581" s="196"/>
      <c r="DI581" s="196"/>
      <c r="DJ581" s="196"/>
      <c r="DK581" s="196"/>
      <c r="DL581" s="196"/>
      <c r="DM581" s="196"/>
      <c r="DN581" s="196"/>
      <c r="DO581" s="196"/>
      <c r="DP581" s="196"/>
      <c r="DQ581" s="196"/>
      <c r="DR581" s="196"/>
      <c r="DS581" s="196"/>
      <c r="DT581" s="196"/>
      <c r="EA581" s="164"/>
      <c r="EB581" s="164"/>
      <c r="EC581" s="164"/>
      <c r="ED581" s="164"/>
      <c r="EE581" s="164"/>
      <c r="EF581" s="164"/>
      <c r="EG581" s="164"/>
      <c r="EH581" s="164"/>
      <c r="EI581" s="164"/>
    </row>
    <row r="582" spans="27:139" ht="16.5" thickTop="1" thickBot="1" x14ac:dyDescent="0.3">
      <c r="AA582" s="37" t="s">
        <v>26</v>
      </c>
      <c r="AB582" s="26"/>
      <c r="AC582" s="26"/>
      <c r="AD582" s="26"/>
      <c r="AE582" s="26"/>
      <c r="AF582" s="26"/>
      <c r="AG582" s="26"/>
      <c r="AH582" s="36"/>
      <c r="BA582" s="37" t="s">
        <v>26</v>
      </c>
      <c r="BB582" s="26"/>
      <c r="BC582" s="26"/>
      <c r="BD582" s="26"/>
      <c r="BE582" s="26"/>
      <c r="BF582" s="26"/>
      <c r="BG582" s="26"/>
      <c r="BH582" s="36"/>
      <c r="BX582" s="196"/>
      <c r="BY582" s="196"/>
      <c r="BZ582" s="196"/>
      <c r="CA582" s="196"/>
      <c r="CB582" s="196"/>
      <c r="CC582" s="196"/>
      <c r="CD582" s="196"/>
      <c r="CE582" s="196"/>
      <c r="CF582" s="196"/>
      <c r="CG582" s="196"/>
      <c r="CH582" s="196"/>
      <c r="CI582" s="196"/>
      <c r="CJ582" s="196"/>
      <c r="CK582" s="196"/>
      <c r="CL582" s="196"/>
      <c r="CM582" s="196"/>
      <c r="CN582" s="196"/>
      <c r="CO582" s="196"/>
      <c r="CP582" s="196"/>
      <c r="CQ582" s="196"/>
      <c r="CR582" s="196"/>
      <c r="CS582" s="196"/>
      <c r="CT582" s="196"/>
      <c r="CU582" s="196"/>
      <c r="CV582" s="196"/>
      <c r="CW582" s="196"/>
      <c r="CX582" s="196"/>
      <c r="CY582" s="196"/>
      <c r="CZ582" s="196"/>
      <c r="DA582" s="196"/>
      <c r="DB582" s="196"/>
      <c r="DC582" s="196"/>
      <c r="DD582" s="196"/>
      <c r="DE582" s="196"/>
      <c r="DF582" s="196"/>
      <c r="DG582" s="196"/>
      <c r="DH582" s="196"/>
      <c r="DI582" s="196"/>
      <c r="DJ582" s="196"/>
      <c r="DK582" s="196"/>
      <c r="DL582" s="196"/>
      <c r="DM582" s="196"/>
      <c r="DN582" s="196"/>
      <c r="DO582" s="196"/>
      <c r="DP582" s="196"/>
      <c r="DQ582" s="196"/>
      <c r="DR582" s="196"/>
      <c r="DS582" s="196"/>
      <c r="DT582" s="196"/>
      <c r="EA582" s="164"/>
      <c r="EB582" s="164"/>
      <c r="EC582" s="164"/>
      <c r="ED582" s="164"/>
      <c r="EE582" s="164"/>
      <c r="EF582" s="164"/>
      <c r="EG582" s="164"/>
      <c r="EH582" s="164"/>
      <c r="EI582" s="164"/>
    </row>
    <row r="583" spans="27:139" ht="16.5" thickTop="1" thickBot="1" x14ac:dyDescent="0.3">
      <c r="AA583" s="23" t="s">
        <v>27</v>
      </c>
      <c r="AB583" s="56">
        <v>0</v>
      </c>
      <c r="AC583" s="26"/>
      <c r="AD583" s="14">
        <f>$AB$583/12</f>
        <v>0</v>
      </c>
      <c r="AE583" s="15">
        <f>VLOOKUP($AA$583,$A$14:$D$25,4,0)</f>
        <v>0</v>
      </c>
      <c r="AF583" s="16">
        <f>$AE$583*100</f>
        <v>0</v>
      </c>
      <c r="AG583" s="26"/>
      <c r="AH583" s="17">
        <f>$AD$583*$AE$583</f>
        <v>0</v>
      </c>
      <c r="BA583" s="23" t="s">
        <v>27</v>
      </c>
      <c r="BB583" s="56">
        <v>0</v>
      </c>
      <c r="BC583" s="26"/>
      <c r="BD583" s="14">
        <f>$BB$583/12</f>
        <v>0</v>
      </c>
      <c r="BE583" s="15">
        <f>VLOOKUP($BA$583,$A$14:$D$25,4,0)</f>
        <v>0</v>
      </c>
      <c r="BF583" s="16">
        <f>$BE$583*100</f>
        <v>0</v>
      </c>
      <c r="BG583" s="26"/>
      <c r="BH583" s="17">
        <f>$BD$583*$BE$583</f>
        <v>0</v>
      </c>
      <c r="BX583" s="196"/>
      <c r="BY583" s="196"/>
      <c r="BZ583" s="196"/>
      <c r="CA583" s="196"/>
      <c r="CB583" s="196"/>
      <c r="CC583" s="196"/>
      <c r="CD583" s="196"/>
      <c r="CE583" s="196"/>
      <c r="CF583" s="196"/>
      <c r="CG583" s="196"/>
      <c r="CH583" s="196"/>
      <c r="CI583" s="196"/>
      <c r="CJ583" s="196"/>
      <c r="CK583" s="196"/>
      <c r="CL583" s="196"/>
      <c r="CM583" s="196"/>
      <c r="CN583" s="196"/>
      <c r="CO583" s="196"/>
      <c r="CP583" s="196"/>
      <c r="CQ583" s="196"/>
      <c r="CR583" s="196"/>
      <c r="CS583" s="196"/>
      <c r="CT583" s="196"/>
      <c r="CU583" s="196"/>
      <c r="CV583" s="196"/>
      <c r="CW583" s="196"/>
      <c r="CX583" s="196"/>
      <c r="CY583" s="196"/>
      <c r="CZ583" s="196"/>
      <c r="DA583" s="196"/>
      <c r="DB583" s="196"/>
      <c r="DC583" s="196"/>
      <c r="DD583" s="196"/>
      <c r="DE583" s="196"/>
      <c r="DF583" s="196"/>
      <c r="DG583" s="196"/>
      <c r="DH583" s="196"/>
      <c r="DI583" s="196"/>
      <c r="DJ583" s="196"/>
      <c r="DK583" s="196"/>
      <c r="DL583" s="196"/>
      <c r="DM583" s="196"/>
      <c r="DN583" s="196"/>
      <c r="DO583" s="196"/>
      <c r="DP583" s="196"/>
      <c r="DQ583" s="196"/>
      <c r="DR583" s="196"/>
      <c r="DS583" s="196"/>
      <c r="DT583" s="196"/>
      <c r="EA583" s="164"/>
      <c r="EB583" s="164"/>
      <c r="EC583" s="164"/>
      <c r="ED583" s="164"/>
      <c r="EE583" s="164"/>
      <c r="EF583" s="164"/>
      <c r="EG583" s="164"/>
      <c r="EH583" s="164"/>
      <c r="EI583" s="164"/>
    </row>
    <row r="584" spans="27:139" ht="16.5" thickTop="1" thickBot="1" x14ac:dyDescent="0.3">
      <c r="AA584" s="37" t="s">
        <v>27</v>
      </c>
      <c r="AB584" s="26"/>
      <c r="AC584" s="26"/>
      <c r="AD584" s="26"/>
      <c r="AE584" s="26"/>
      <c r="AF584" s="26"/>
      <c r="AG584" s="26"/>
      <c r="AH584" s="36"/>
      <c r="BA584" s="37" t="s">
        <v>27</v>
      </c>
      <c r="BB584" s="26"/>
      <c r="BC584" s="26"/>
      <c r="BD584" s="26"/>
      <c r="BE584" s="26"/>
      <c r="BF584" s="26"/>
      <c r="BG584" s="26"/>
      <c r="BH584" s="36"/>
      <c r="BX584" s="196"/>
      <c r="BY584" s="196"/>
      <c r="BZ584" s="196"/>
      <c r="CA584" s="196"/>
      <c r="CB584" s="196"/>
      <c r="CC584" s="196"/>
      <c r="CD584" s="196"/>
      <c r="CE584" s="196"/>
      <c r="CF584" s="196"/>
      <c r="CG584" s="196"/>
      <c r="CH584" s="196"/>
      <c r="CI584" s="196"/>
      <c r="CJ584" s="196"/>
      <c r="CK584" s="196"/>
      <c r="CL584" s="196"/>
      <c r="CM584" s="196"/>
      <c r="CN584" s="196"/>
      <c r="CO584" s="196"/>
      <c r="CP584" s="196"/>
      <c r="CQ584" s="196"/>
      <c r="CR584" s="196"/>
      <c r="CS584" s="196"/>
      <c r="CT584" s="196"/>
      <c r="CU584" s="196"/>
      <c r="CV584" s="196"/>
      <c r="CW584" s="196"/>
      <c r="CX584" s="196"/>
      <c r="CY584" s="196"/>
      <c r="CZ584" s="196"/>
      <c r="DA584" s="196"/>
      <c r="DB584" s="196"/>
      <c r="DC584" s="196"/>
      <c r="DD584" s="196"/>
      <c r="DE584" s="196"/>
      <c r="DF584" s="196"/>
      <c r="DG584" s="196"/>
      <c r="DH584" s="196"/>
      <c r="DI584" s="196"/>
      <c r="DJ584" s="196"/>
      <c r="DK584" s="196"/>
      <c r="DL584" s="196"/>
      <c r="DM584" s="196"/>
      <c r="DN584" s="196"/>
      <c r="DO584" s="196"/>
      <c r="DP584" s="196"/>
      <c r="DQ584" s="196"/>
      <c r="DR584" s="196"/>
      <c r="DS584" s="196"/>
      <c r="DT584" s="196"/>
      <c r="EA584" s="164"/>
      <c r="EB584" s="164"/>
      <c r="EC584" s="164"/>
      <c r="ED584" s="164"/>
      <c r="EE584" s="164"/>
      <c r="EF584" s="164"/>
      <c r="EG584" s="164"/>
      <c r="EH584" s="164"/>
      <c r="EI584" s="164"/>
    </row>
    <row r="585" spans="27:139" ht="16.5" thickTop="1" thickBot="1" x14ac:dyDescent="0.3">
      <c r="AA585" s="37" t="s">
        <v>31</v>
      </c>
      <c r="AB585" s="26"/>
      <c r="AC585" s="26"/>
      <c r="AD585" s="26"/>
      <c r="AE585" s="26"/>
      <c r="AF585" s="26"/>
      <c r="AG585" s="26"/>
      <c r="AH585" s="36"/>
      <c r="BA585" s="37" t="s">
        <v>31</v>
      </c>
      <c r="BB585" s="26"/>
      <c r="BC585" s="26"/>
      <c r="BD585" s="26"/>
      <c r="BE585" s="26"/>
      <c r="BF585" s="26"/>
      <c r="BG585" s="26"/>
      <c r="BH585" s="36"/>
      <c r="BX585" s="196"/>
      <c r="BY585" s="196"/>
      <c r="BZ585" s="196"/>
      <c r="CA585" s="196"/>
      <c r="CB585" s="196"/>
      <c r="CC585" s="196"/>
      <c r="CD585" s="196"/>
      <c r="CE585" s="196"/>
      <c r="CF585" s="196"/>
      <c r="CG585" s="196"/>
      <c r="CH585" s="196"/>
      <c r="CI585" s="196"/>
      <c r="CJ585" s="196"/>
      <c r="CK585" s="196"/>
      <c r="CL585" s="196"/>
      <c r="CM585" s="196"/>
      <c r="CN585" s="196"/>
      <c r="CO585" s="196"/>
      <c r="CP585" s="196"/>
      <c r="CQ585" s="196"/>
      <c r="CR585" s="196"/>
      <c r="CS585" s="196"/>
      <c r="CT585" s="196"/>
      <c r="CU585" s="196"/>
      <c r="CV585" s="196"/>
      <c r="CW585" s="196"/>
      <c r="CX585" s="196"/>
      <c r="CY585" s="196"/>
      <c r="CZ585" s="196"/>
      <c r="DA585" s="196"/>
      <c r="DB585" s="196"/>
      <c r="DC585" s="196"/>
      <c r="DD585" s="196"/>
      <c r="DE585" s="196"/>
      <c r="DF585" s="196"/>
      <c r="DG585" s="196"/>
      <c r="DH585" s="196"/>
      <c r="DI585" s="196"/>
      <c r="DJ585" s="196"/>
      <c r="DK585" s="196"/>
      <c r="DL585" s="196"/>
      <c r="DM585" s="196"/>
      <c r="DN585" s="196"/>
      <c r="DO585" s="196"/>
      <c r="DP585" s="196"/>
      <c r="DQ585" s="196"/>
      <c r="DR585" s="196"/>
      <c r="DS585" s="196"/>
      <c r="DT585" s="196"/>
      <c r="EA585" s="164"/>
      <c r="EB585" s="164"/>
      <c r="EC585" s="164"/>
      <c r="ED585" s="164"/>
      <c r="EE585" s="164"/>
      <c r="EF585" s="164"/>
      <c r="EG585" s="164"/>
      <c r="EH585" s="164"/>
      <c r="EI585" s="164"/>
    </row>
    <row r="586" spans="27:139" ht="16.5" thickTop="1" thickBot="1" x14ac:dyDescent="0.3">
      <c r="AA586" s="68">
        <f>$B$27</f>
        <v>0.3</v>
      </c>
      <c r="AB586" s="26"/>
      <c r="AC586" s="26"/>
      <c r="AD586" s="26"/>
      <c r="AE586" s="26"/>
      <c r="AF586" s="26"/>
      <c r="AG586" s="26"/>
      <c r="AH586" s="36"/>
      <c r="BA586" s="68">
        <f>$B$27</f>
        <v>0.3</v>
      </c>
      <c r="BB586" s="26"/>
      <c r="BC586" s="26"/>
      <c r="BD586" s="26"/>
      <c r="BE586" s="26"/>
      <c r="BF586" s="26"/>
      <c r="BG586" s="26"/>
      <c r="BH586" s="36"/>
      <c r="BX586" s="196"/>
      <c r="BY586" s="196"/>
      <c r="BZ586" s="196"/>
      <c r="CA586" s="196"/>
      <c r="CB586" s="196"/>
      <c r="CC586" s="196"/>
      <c r="CD586" s="196"/>
      <c r="CE586" s="196"/>
      <c r="CF586" s="196"/>
      <c r="CG586" s="196"/>
      <c r="CH586" s="196"/>
      <c r="CI586" s="196"/>
      <c r="CJ586" s="196"/>
      <c r="CK586" s="196"/>
      <c r="CL586" s="196"/>
      <c r="CM586" s="196"/>
      <c r="CN586" s="196"/>
      <c r="CO586" s="196"/>
      <c r="CP586" s="196"/>
      <c r="CQ586" s="196"/>
      <c r="CR586" s="196"/>
      <c r="CS586" s="196"/>
      <c r="CT586" s="196"/>
      <c r="CU586" s="196"/>
      <c r="CV586" s="196"/>
      <c r="CW586" s="196"/>
      <c r="CX586" s="196"/>
      <c r="CY586" s="196"/>
      <c r="CZ586" s="196"/>
      <c r="DA586" s="196"/>
      <c r="DB586" s="196"/>
      <c r="DC586" s="196"/>
      <c r="DD586" s="196"/>
      <c r="DE586" s="196"/>
      <c r="DF586" s="196"/>
      <c r="DG586" s="196"/>
      <c r="DH586" s="196"/>
      <c r="DI586" s="196"/>
      <c r="DJ586" s="196"/>
      <c r="DK586" s="196"/>
      <c r="DL586" s="196"/>
      <c r="DM586" s="196"/>
      <c r="DN586" s="196"/>
      <c r="DO586" s="196"/>
      <c r="DP586" s="196"/>
      <c r="DQ586" s="196"/>
      <c r="DR586" s="196"/>
      <c r="DS586" s="196"/>
      <c r="DT586" s="196"/>
      <c r="EA586" s="164"/>
      <c r="EB586" s="164"/>
      <c r="EC586" s="164"/>
      <c r="ED586" s="164"/>
      <c r="EE586" s="164"/>
      <c r="EF586" s="164"/>
      <c r="EG586" s="164"/>
      <c r="EH586" s="164"/>
      <c r="EI586" s="164"/>
    </row>
    <row r="587" spans="27:139" ht="16.5" thickTop="1" thickBot="1" x14ac:dyDescent="0.3">
      <c r="AA587" s="37" t="s">
        <v>32</v>
      </c>
      <c r="AB587" s="26"/>
      <c r="AC587" s="26"/>
      <c r="AD587" s="26"/>
      <c r="AE587" s="26"/>
      <c r="AF587" s="26"/>
      <c r="AG587" s="26"/>
      <c r="AH587" s="36"/>
      <c r="BA587" s="37" t="s">
        <v>32</v>
      </c>
      <c r="BB587" s="26"/>
      <c r="BC587" s="26"/>
      <c r="BD587" s="26"/>
      <c r="BE587" s="26"/>
      <c r="BF587" s="26"/>
      <c r="BG587" s="26"/>
      <c r="BH587" s="36"/>
      <c r="BX587" s="196"/>
      <c r="BY587" s="196"/>
      <c r="BZ587" s="196"/>
      <c r="CA587" s="196"/>
      <c r="CB587" s="196"/>
      <c r="CC587" s="196"/>
      <c r="CD587" s="196"/>
      <c r="CE587" s="196"/>
      <c r="CF587" s="196"/>
      <c r="CG587" s="196"/>
      <c r="CH587" s="196"/>
      <c r="CI587" s="196"/>
      <c r="CJ587" s="196"/>
      <c r="CK587" s="196"/>
      <c r="CL587" s="196"/>
      <c r="CM587" s="196"/>
      <c r="CN587" s="196"/>
      <c r="CO587" s="196"/>
      <c r="CP587" s="196"/>
      <c r="CQ587" s="196"/>
      <c r="CR587" s="196"/>
      <c r="CS587" s="196"/>
      <c r="CT587" s="196"/>
      <c r="CU587" s="196"/>
      <c r="CV587" s="196"/>
      <c r="CW587" s="196"/>
      <c r="CX587" s="196"/>
      <c r="CY587" s="196"/>
      <c r="CZ587" s="196"/>
      <c r="DA587" s="196"/>
      <c r="DB587" s="196"/>
      <c r="DC587" s="196"/>
      <c r="DD587" s="196"/>
      <c r="DE587" s="196"/>
      <c r="DF587" s="196"/>
      <c r="DG587" s="196"/>
      <c r="DH587" s="196"/>
      <c r="DI587" s="196"/>
      <c r="DJ587" s="196"/>
      <c r="DK587" s="196"/>
      <c r="DL587" s="196"/>
      <c r="DM587" s="196"/>
      <c r="DN587" s="196"/>
      <c r="DO587" s="196"/>
      <c r="DP587" s="196"/>
      <c r="DQ587" s="196"/>
      <c r="DR587" s="196"/>
      <c r="DS587" s="196"/>
      <c r="DT587" s="196"/>
      <c r="EA587" s="164"/>
      <c r="EB587" s="164"/>
      <c r="EC587" s="164"/>
      <c r="ED587" s="164"/>
      <c r="EE587" s="164"/>
      <c r="EF587" s="164"/>
      <c r="EG587" s="164"/>
      <c r="EH587" s="164"/>
      <c r="EI587" s="164"/>
    </row>
    <row r="588" spans="27:139" ht="16.5" thickTop="1" thickBot="1" x14ac:dyDescent="0.3">
      <c r="AA588" s="37" t="s">
        <v>34</v>
      </c>
      <c r="AB588" s="26"/>
      <c r="AC588" s="26"/>
      <c r="AD588" s="26"/>
      <c r="AE588" s="26"/>
      <c r="AF588" s="26"/>
      <c r="AG588" s="26"/>
      <c r="AH588" s="95"/>
      <c r="BA588" s="37" t="s">
        <v>34</v>
      </c>
      <c r="BB588" s="26"/>
      <c r="BC588" s="26"/>
      <c r="BD588" s="26"/>
      <c r="BE588" s="26"/>
      <c r="BF588" s="26"/>
      <c r="BG588" s="26"/>
      <c r="BH588" s="95"/>
      <c r="BX588" s="196"/>
      <c r="BY588" s="196"/>
      <c r="BZ588" s="196"/>
      <c r="CA588" s="196"/>
      <c r="CB588" s="196"/>
      <c r="CC588" s="196"/>
      <c r="CD588" s="196"/>
      <c r="CE588" s="196"/>
      <c r="CF588" s="196"/>
      <c r="CG588" s="196"/>
      <c r="CH588" s="196"/>
      <c r="CI588" s="196"/>
      <c r="CJ588" s="196"/>
      <c r="CK588" s="196"/>
      <c r="CL588" s="196"/>
      <c r="CM588" s="196"/>
      <c r="CN588" s="196"/>
      <c r="CO588" s="196"/>
      <c r="CP588" s="196"/>
      <c r="CQ588" s="196"/>
      <c r="CR588" s="196"/>
      <c r="CS588" s="196"/>
      <c r="CT588" s="196"/>
      <c r="CU588" s="196"/>
      <c r="CV588" s="196"/>
      <c r="CW588" s="196"/>
      <c r="CX588" s="196"/>
      <c r="CY588" s="196"/>
      <c r="CZ588" s="196"/>
      <c r="DA588" s="196"/>
      <c r="DB588" s="196"/>
      <c r="DC588" s="196"/>
      <c r="DD588" s="196"/>
      <c r="DE588" s="196"/>
      <c r="DF588" s="196"/>
      <c r="DG588" s="196"/>
      <c r="DH588" s="196"/>
      <c r="DI588" s="196"/>
      <c r="DJ588" s="196"/>
      <c r="DK588" s="196"/>
      <c r="DL588" s="196"/>
      <c r="DM588" s="196"/>
      <c r="DN588" s="196"/>
      <c r="DO588" s="196"/>
      <c r="DP588" s="196"/>
      <c r="DQ588" s="196"/>
      <c r="DR588" s="196"/>
      <c r="DS588" s="196"/>
      <c r="DT588" s="196"/>
      <c r="EA588" s="164"/>
      <c r="EB588" s="164"/>
      <c r="EC588" s="164"/>
      <c r="ED588" s="164"/>
      <c r="EE588" s="164"/>
      <c r="EF588" s="164"/>
      <c r="EG588" s="164"/>
      <c r="EH588" s="164"/>
      <c r="EI588" s="164"/>
    </row>
    <row r="589" spans="27:139" ht="16.5" thickTop="1" thickBot="1" x14ac:dyDescent="0.3">
      <c r="AA589" s="99" t="s">
        <v>35</v>
      </c>
      <c r="AB589" s="31"/>
      <c r="AC589" s="31"/>
      <c r="AD589" s="31"/>
      <c r="AE589" s="31"/>
      <c r="AF589" s="500" t="s">
        <v>15</v>
      </c>
      <c r="AG589" s="501"/>
      <c r="AH589" s="32">
        <f>SUM($AH$578:$AH$584)</f>
        <v>0</v>
      </c>
      <c r="BA589" s="99" t="s">
        <v>35</v>
      </c>
      <c r="BB589" s="31"/>
      <c r="BC589" s="31"/>
      <c r="BD589" s="31"/>
      <c r="BE589" s="31"/>
      <c r="BF589" s="500" t="s">
        <v>15</v>
      </c>
      <c r="BG589" s="501"/>
      <c r="BH589" s="32">
        <f>SUM($BH$578:$BH$584)</f>
        <v>0</v>
      </c>
      <c r="BX589" s="196"/>
      <c r="BY589" s="196"/>
      <c r="BZ589" s="196"/>
      <c r="CA589" s="196"/>
      <c r="CB589" s="196"/>
      <c r="CC589" s="196"/>
      <c r="CD589" s="196"/>
      <c r="CE589" s="196"/>
      <c r="CF589" s="196"/>
      <c r="CG589" s="196"/>
      <c r="CH589" s="196"/>
      <c r="CI589" s="196"/>
      <c r="CJ589" s="196"/>
      <c r="CK589" s="196"/>
      <c r="CL589" s="196"/>
      <c r="CM589" s="196"/>
      <c r="CN589" s="196"/>
      <c r="CO589" s="196"/>
      <c r="CP589" s="196"/>
      <c r="CQ589" s="196"/>
      <c r="CR589" s="196"/>
      <c r="CS589" s="196"/>
      <c r="CT589" s="196"/>
      <c r="CU589" s="196"/>
      <c r="CV589" s="196"/>
      <c r="CW589" s="196"/>
      <c r="CX589" s="196"/>
      <c r="CY589" s="196"/>
      <c r="CZ589" s="196"/>
      <c r="DA589" s="196"/>
      <c r="DB589" s="196"/>
      <c r="DC589" s="196"/>
      <c r="DD589" s="196"/>
      <c r="DE589" s="196"/>
      <c r="DF589" s="196"/>
      <c r="DG589" s="196"/>
      <c r="DH589" s="196"/>
      <c r="DI589" s="196"/>
      <c r="DJ589" s="196"/>
      <c r="DK589" s="196"/>
      <c r="DL589" s="196"/>
      <c r="DM589" s="196"/>
      <c r="DN589" s="196"/>
      <c r="DO589" s="196"/>
      <c r="DP589" s="196"/>
      <c r="DQ589" s="196"/>
      <c r="DR589" s="196"/>
      <c r="DS589" s="196"/>
      <c r="DT589" s="196"/>
      <c r="EA589" s="164"/>
      <c r="EB589" s="164"/>
      <c r="EC589" s="164"/>
      <c r="ED589" s="164"/>
      <c r="EE589" s="164"/>
      <c r="EF589" s="164"/>
      <c r="EG589" s="164"/>
      <c r="EH589" s="164"/>
      <c r="EI589" s="164"/>
    </row>
    <row r="590" spans="27:139" x14ac:dyDescent="0.25">
      <c r="BX590" s="196"/>
      <c r="BY590" s="196"/>
      <c r="BZ590" s="196"/>
      <c r="CA590" s="196"/>
      <c r="CB590" s="196"/>
      <c r="CC590" s="196"/>
      <c r="CD590" s="196"/>
      <c r="CE590" s="196"/>
      <c r="CF590" s="196"/>
      <c r="CG590" s="196"/>
      <c r="CH590" s="196"/>
      <c r="CI590" s="196"/>
      <c r="CJ590" s="196"/>
      <c r="CK590" s="196"/>
      <c r="CL590" s="196"/>
      <c r="CM590" s="196"/>
      <c r="CN590" s="196"/>
      <c r="CO590" s="196"/>
      <c r="CP590" s="196"/>
      <c r="CQ590" s="196"/>
      <c r="CR590" s="196"/>
      <c r="CS590" s="196"/>
      <c r="CT590" s="196"/>
      <c r="CU590" s="196"/>
      <c r="CV590" s="196"/>
      <c r="CW590" s="196"/>
      <c r="CX590" s="196"/>
      <c r="CY590" s="196"/>
      <c r="CZ590" s="196"/>
      <c r="DA590" s="196"/>
      <c r="DB590" s="196"/>
      <c r="DC590" s="196"/>
      <c r="DD590" s="196"/>
      <c r="DE590" s="196"/>
      <c r="DF590" s="196"/>
      <c r="DG590" s="196"/>
      <c r="DH590" s="196"/>
      <c r="DI590" s="196"/>
      <c r="DJ590" s="196"/>
      <c r="DK590" s="196"/>
      <c r="DL590" s="196"/>
      <c r="DM590" s="196"/>
      <c r="DN590" s="196"/>
      <c r="DO590" s="196"/>
      <c r="DP590" s="196"/>
      <c r="DQ590" s="196"/>
      <c r="DR590" s="196"/>
      <c r="DS590" s="196"/>
      <c r="DT590" s="196"/>
      <c r="EA590" s="164"/>
      <c r="EB590" s="164"/>
      <c r="EC590" s="164"/>
      <c r="ED590" s="164"/>
      <c r="EE590" s="164"/>
      <c r="EF590" s="164"/>
      <c r="EG590" s="164"/>
      <c r="EH590" s="164"/>
      <c r="EI590" s="164"/>
    </row>
    <row r="591" spans="27:139" x14ac:dyDescent="0.25">
      <c r="BX591" s="196"/>
      <c r="BY591" s="196"/>
      <c r="BZ591" s="196"/>
      <c r="CA591" s="196"/>
      <c r="CB591" s="196"/>
      <c r="CC591" s="196"/>
      <c r="CD591" s="196"/>
      <c r="CE591" s="196"/>
      <c r="CF591" s="196"/>
      <c r="CG591" s="196"/>
      <c r="CH591" s="196"/>
      <c r="CI591" s="196"/>
      <c r="CJ591" s="196"/>
      <c r="CK591" s="196"/>
      <c r="CL591" s="196"/>
      <c r="CM591" s="196"/>
      <c r="CN591" s="196"/>
      <c r="CO591" s="196"/>
      <c r="CP591" s="196"/>
      <c r="CQ591" s="196"/>
      <c r="CR591" s="196"/>
      <c r="CS591" s="196"/>
      <c r="CT591" s="196"/>
      <c r="CU591" s="196"/>
      <c r="CV591" s="196"/>
      <c r="CW591" s="196"/>
      <c r="CX591" s="196"/>
      <c r="CY591" s="196"/>
      <c r="CZ591" s="196"/>
      <c r="DA591" s="196"/>
      <c r="DB591" s="196"/>
      <c r="DC591" s="196"/>
      <c r="DD591" s="196"/>
      <c r="DE591" s="196"/>
      <c r="DF591" s="196"/>
      <c r="DG591" s="196"/>
      <c r="DH591" s="196"/>
      <c r="DI591" s="196"/>
      <c r="DJ591" s="196"/>
      <c r="DK591" s="196"/>
      <c r="DL591" s="196"/>
      <c r="DM591" s="196"/>
      <c r="DN591" s="196"/>
      <c r="DO591" s="196"/>
      <c r="DP591" s="196"/>
      <c r="DQ591" s="196"/>
      <c r="DR591" s="196"/>
      <c r="DS591" s="196"/>
      <c r="DT591" s="196"/>
      <c r="EA591" s="164"/>
      <c r="EB591" s="164"/>
      <c r="EC591" s="164"/>
      <c r="ED591" s="164"/>
      <c r="EE591" s="164"/>
      <c r="EF591" s="164"/>
      <c r="EG591" s="164"/>
      <c r="EH591" s="164"/>
      <c r="EI591" s="164"/>
    </row>
    <row r="592" spans="27:139" x14ac:dyDescent="0.25">
      <c r="BX592" s="196"/>
      <c r="BY592" s="196"/>
      <c r="BZ592" s="196"/>
      <c r="CA592" s="196"/>
      <c r="CB592" s="196"/>
      <c r="CC592" s="196"/>
      <c r="CD592" s="196"/>
      <c r="CE592" s="196"/>
      <c r="CF592" s="196"/>
      <c r="CG592" s="196"/>
      <c r="CH592" s="196"/>
      <c r="CI592" s="196"/>
      <c r="CJ592" s="196"/>
      <c r="CK592" s="196"/>
      <c r="CL592" s="196"/>
      <c r="CM592" s="196"/>
      <c r="CN592" s="196"/>
      <c r="CO592" s="196"/>
      <c r="CP592" s="196"/>
      <c r="CQ592" s="196"/>
      <c r="CR592" s="196"/>
      <c r="CS592" s="196"/>
      <c r="CT592" s="196"/>
      <c r="CU592" s="196"/>
      <c r="CV592" s="196"/>
      <c r="CW592" s="196"/>
      <c r="CX592" s="196"/>
      <c r="CY592" s="196"/>
      <c r="CZ592" s="196"/>
      <c r="DA592" s="196"/>
      <c r="DB592" s="196"/>
      <c r="DC592" s="196"/>
      <c r="DD592" s="196"/>
      <c r="DE592" s="196"/>
      <c r="DF592" s="196"/>
      <c r="DG592" s="196"/>
      <c r="DH592" s="196"/>
      <c r="DI592" s="196"/>
      <c r="DJ592" s="196"/>
      <c r="DK592" s="196"/>
      <c r="DL592" s="196"/>
      <c r="DM592" s="196"/>
      <c r="DN592" s="196"/>
      <c r="DO592" s="196"/>
      <c r="DP592" s="196"/>
      <c r="DQ592" s="196"/>
      <c r="DR592" s="196"/>
      <c r="DS592" s="196"/>
      <c r="DT592" s="196"/>
      <c r="EA592" s="164"/>
      <c r="EB592" s="164"/>
      <c r="EC592" s="164"/>
      <c r="ED592" s="164"/>
      <c r="EE592" s="164"/>
      <c r="EF592" s="164"/>
      <c r="EG592" s="164"/>
      <c r="EH592" s="164"/>
      <c r="EI592" s="164"/>
    </row>
    <row r="593" spans="27:139" x14ac:dyDescent="0.25">
      <c r="BX593" s="196"/>
      <c r="BY593" s="196"/>
      <c r="BZ593" s="196"/>
      <c r="CA593" s="196"/>
      <c r="CB593" s="196"/>
      <c r="CC593" s="196"/>
      <c r="CD593" s="196"/>
      <c r="CE593" s="196"/>
      <c r="CF593" s="196"/>
      <c r="CG593" s="196"/>
      <c r="CH593" s="196"/>
      <c r="CI593" s="196"/>
      <c r="CJ593" s="196"/>
      <c r="CK593" s="196"/>
      <c r="CL593" s="196"/>
      <c r="CM593" s="196"/>
      <c r="CN593" s="196"/>
      <c r="CO593" s="196"/>
      <c r="CP593" s="196"/>
      <c r="CQ593" s="196"/>
      <c r="CR593" s="196"/>
      <c r="CS593" s="196"/>
      <c r="CT593" s="196"/>
      <c r="CU593" s="196"/>
      <c r="CV593" s="196"/>
      <c r="CW593" s="196"/>
      <c r="CX593" s="196"/>
      <c r="CY593" s="196"/>
      <c r="CZ593" s="196"/>
      <c r="DA593" s="196"/>
      <c r="DB593" s="196"/>
      <c r="DC593" s="196"/>
      <c r="DD593" s="196"/>
      <c r="DE593" s="196"/>
      <c r="DF593" s="196"/>
      <c r="DG593" s="196"/>
      <c r="DH593" s="196"/>
      <c r="DI593" s="196"/>
      <c r="DJ593" s="196"/>
      <c r="DK593" s="196"/>
      <c r="DL593" s="196"/>
      <c r="DM593" s="196"/>
      <c r="DN593" s="196"/>
      <c r="DO593" s="196"/>
      <c r="DP593" s="196"/>
      <c r="DQ593" s="196"/>
      <c r="DR593" s="196"/>
      <c r="DS593" s="196"/>
      <c r="DT593" s="196"/>
      <c r="EA593" s="164"/>
      <c r="EB593" s="164"/>
      <c r="EC593" s="164"/>
      <c r="ED593" s="164"/>
      <c r="EE593" s="164"/>
      <c r="EF593" s="164"/>
      <c r="EG593" s="164"/>
      <c r="EH593" s="164"/>
      <c r="EI593" s="164"/>
    </row>
    <row r="594" spans="27:139" x14ac:dyDescent="0.25">
      <c r="BX594" s="196"/>
      <c r="BY594" s="196"/>
      <c r="BZ594" s="196"/>
      <c r="CA594" s="196"/>
      <c r="CB594" s="196"/>
      <c r="CC594" s="196"/>
      <c r="CD594" s="196"/>
      <c r="CE594" s="196"/>
      <c r="CF594" s="196"/>
      <c r="CG594" s="196"/>
      <c r="CH594" s="196"/>
      <c r="CI594" s="196"/>
      <c r="CJ594" s="196"/>
      <c r="CK594" s="196"/>
      <c r="CL594" s="196"/>
      <c r="CM594" s="196"/>
      <c r="CN594" s="196"/>
      <c r="CO594" s="196"/>
      <c r="CP594" s="196"/>
      <c r="CQ594" s="196"/>
      <c r="CR594" s="196"/>
      <c r="CS594" s="196"/>
      <c r="CT594" s="196"/>
      <c r="CU594" s="196"/>
      <c r="CV594" s="196"/>
      <c r="CW594" s="196"/>
      <c r="CX594" s="196"/>
      <c r="CY594" s="196"/>
      <c r="CZ594" s="196"/>
      <c r="DA594" s="196"/>
      <c r="DB594" s="196"/>
      <c r="DC594" s="196"/>
      <c r="DD594" s="196"/>
      <c r="DE594" s="196"/>
      <c r="DF594" s="196"/>
      <c r="DG594" s="196"/>
      <c r="DH594" s="196"/>
      <c r="DI594" s="196"/>
      <c r="DJ594" s="196"/>
      <c r="DK594" s="196"/>
      <c r="DL594" s="196"/>
      <c r="DM594" s="196"/>
      <c r="DN594" s="196"/>
      <c r="DO594" s="196"/>
      <c r="DP594" s="196"/>
      <c r="DQ594" s="196"/>
      <c r="DR594" s="196"/>
      <c r="DS594" s="196"/>
      <c r="DT594" s="196"/>
      <c r="EA594" s="164"/>
      <c r="EB594" s="164"/>
      <c r="EC594" s="164"/>
      <c r="ED594" s="164"/>
      <c r="EE594" s="164"/>
      <c r="EF594" s="164"/>
      <c r="EG594" s="164"/>
      <c r="EH594" s="164"/>
      <c r="EI594" s="164"/>
    </row>
    <row r="595" spans="27:139" x14ac:dyDescent="0.25">
      <c r="BX595" s="196"/>
      <c r="BY595" s="196"/>
      <c r="BZ595" s="196"/>
      <c r="CA595" s="196"/>
      <c r="CB595" s="196"/>
      <c r="CC595" s="196"/>
      <c r="CD595" s="196"/>
      <c r="CE595" s="196"/>
      <c r="CF595" s="196"/>
      <c r="CG595" s="196"/>
      <c r="CH595" s="196"/>
      <c r="CI595" s="196"/>
      <c r="CJ595" s="196"/>
      <c r="CK595" s="196"/>
      <c r="CL595" s="196"/>
      <c r="CM595" s="196"/>
      <c r="CN595" s="196"/>
      <c r="CO595" s="196"/>
      <c r="CP595" s="196"/>
      <c r="CQ595" s="196"/>
      <c r="CR595" s="196"/>
      <c r="CS595" s="196"/>
      <c r="CT595" s="196"/>
      <c r="CU595" s="196"/>
      <c r="CV595" s="196"/>
      <c r="CW595" s="196"/>
      <c r="CX595" s="196"/>
      <c r="CY595" s="196"/>
      <c r="CZ595" s="196"/>
      <c r="DA595" s="196"/>
      <c r="DB595" s="196"/>
      <c r="DC595" s="196"/>
      <c r="DD595" s="196"/>
      <c r="DE595" s="196"/>
      <c r="DF595" s="196"/>
      <c r="DG595" s="196"/>
      <c r="DH595" s="196"/>
      <c r="DI595" s="196"/>
      <c r="DJ595" s="196"/>
      <c r="DK595" s="196"/>
      <c r="DL595" s="196"/>
      <c r="DM595" s="196"/>
      <c r="DN595" s="196"/>
      <c r="DO595" s="196"/>
      <c r="DP595" s="196"/>
      <c r="DQ595" s="196"/>
      <c r="DR595" s="196"/>
      <c r="DS595" s="196"/>
      <c r="DT595" s="196"/>
      <c r="EA595" s="164"/>
      <c r="EB595" s="164"/>
      <c r="EC595" s="164"/>
      <c r="ED595" s="164"/>
      <c r="EE595" s="164"/>
      <c r="EF595" s="164"/>
      <c r="EG595" s="164"/>
      <c r="EH595" s="164"/>
      <c r="EI595" s="164"/>
    </row>
    <row r="596" spans="27:139" x14ac:dyDescent="0.25">
      <c r="BX596" s="196"/>
      <c r="BY596" s="196"/>
      <c r="BZ596" s="196"/>
      <c r="CA596" s="196"/>
      <c r="CB596" s="196"/>
      <c r="CC596" s="196"/>
      <c r="CD596" s="196"/>
      <c r="CE596" s="196"/>
      <c r="CF596" s="196"/>
      <c r="CG596" s="196"/>
      <c r="CH596" s="196"/>
      <c r="CI596" s="196"/>
      <c r="CJ596" s="196"/>
      <c r="CK596" s="196"/>
      <c r="CL596" s="196"/>
      <c r="CM596" s="196"/>
      <c r="CN596" s="196"/>
      <c r="CO596" s="196"/>
      <c r="CP596" s="196"/>
      <c r="CQ596" s="196"/>
      <c r="CR596" s="196"/>
      <c r="CS596" s="196"/>
      <c r="CT596" s="196"/>
      <c r="CU596" s="196"/>
      <c r="CV596" s="196"/>
      <c r="CW596" s="196"/>
      <c r="CX596" s="196"/>
      <c r="CY596" s="196"/>
      <c r="CZ596" s="196"/>
      <c r="DA596" s="196"/>
      <c r="DB596" s="196"/>
      <c r="DC596" s="196"/>
      <c r="DD596" s="196"/>
      <c r="DE596" s="196"/>
      <c r="DF596" s="196"/>
      <c r="DG596" s="196"/>
      <c r="DH596" s="196"/>
      <c r="DI596" s="196"/>
      <c r="DJ596" s="196"/>
      <c r="DK596" s="196"/>
      <c r="DL596" s="196"/>
      <c r="DM596" s="196"/>
      <c r="DN596" s="196"/>
      <c r="DO596" s="196"/>
      <c r="DP596" s="196"/>
      <c r="DQ596" s="196"/>
      <c r="DR596" s="196"/>
      <c r="DS596" s="196"/>
      <c r="DT596" s="196"/>
      <c r="EA596" s="164"/>
      <c r="EB596" s="164"/>
      <c r="EC596" s="164"/>
      <c r="ED596" s="164"/>
      <c r="EE596" s="164"/>
      <c r="EF596" s="164"/>
      <c r="EG596" s="164"/>
      <c r="EH596" s="164"/>
      <c r="EI596" s="164"/>
    </row>
    <row r="597" spans="27:139" x14ac:dyDescent="0.25">
      <c r="BX597" s="196"/>
      <c r="BY597" s="196"/>
      <c r="BZ597" s="196"/>
      <c r="CA597" s="196"/>
      <c r="CB597" s="196"/>
      <c r="CC597" s="196"/>
      <c r="CD597" s="196"/>
      <c r="CE597" s="196"/>
      <c r="CF597" s="196"/>
      <c r="CG597" s="196"/>
      <c r="CH597" s="196"/>
      <c r="CI597" s="196"/>
      <c r="CJ597" s="196"/>
      <c r="CK597" s="196"/>
      <c r="CL597" s="196"/>
      <c r="CM597" s="196"/>
      <c r="CN597" s="196"/>
      <c r="CO597" s="196"/>
      <c r="CP597" s="196"/>
      <c r="CQ597" s="196"/>
      <c r="CR597" s="196"/>
      <c r="CS597" s="196"/>
      <c r="CT597" s="196"/>
      <c r="CU597" s="196"/>
      <c r="CV597" s="196"/>
      <c r="CW597" s="196"/>
      <c r="CX597" s="196"/>
      <c r="CY597" s="196"/>
      <c r="CZ597" s="196"/>
      <c r="DA597" s="196"/>
      <c r="DB597" s="196"/>
      <c r="DC597" s="196"/>
      <c r="DD597" s="196"/>
      <c r="DE597" s="196"/>
      <c r="DF597" s="196"/>
      <c r="DG597" s="196"/>
      <c r="DH597" s="196"/>
      <c r="DI597" s="196"/>
      <c r="DJ597" s="196"/>
      <c r="DK597" s="196"/>
      <c r="DL597" s="196"/>
      <c r="DM597" s="196"/>
      <c r="DN597" s="196"/>
      <c r="DO597" s="196"/>
      <c r="DP597" s="196"/>
      <c r="DQ597" s="196"/>
      <c r="DR597" s="196"/>
      <c r="DS597" s="196"/>
      <c r="DT597" s="196"/>
      <c r="EA597" s="164"/>
      <c r="EB597" s="164"/>
      <c r="EC597" s="164"/>
      <c r="ED597" s="164"/>
      <c r="EE597" s="164"/>
      <c r="EF597" s="164"/>
      <c r="EG597" s="164"/>
      <c r="EH597" s="164"/>
      <c r="EI597" s="164"/>
    </row>
    <row r="598" spans="27:139" x14ac:dyDescent="0.25">
      <c r="BX598" s="196"/>
      <c r="BY598" s="196"/>
      <c r="BZ598" s="196"/>
      <c r="CA598" s="196"/>
      <c r="CB598" s="196"/>
      <c r="CC598" s="196"/>
      <c r="CD598" s="196"/>
      <c r="CE598" s="196"/>
      <c r="CF598" s="196"/>
      <c r="CG598" s="196"/>
      <c r="CH598" s="196"/>
      <c r="CI598" s="196"/>
      <c r="CJ598" s="196"/>
      <c r="CK598" s="196"/>
      <c r="CL598" s="196"/>
      <c r="CM598" s="196"/>
      <c r="CN598" s="196"/>
      <c r="CO598" s="196"/>
      <c r="CP598" s="196"/>
      <c r="CQ598" s="196"/>
      <c r="CR598" s="196"/>
      <c r="CS598" s="196"/>
      <c r="CT598" s="196"/>
      <c r="CU598" s="196"/>
      <c r="CV598" s="196"/>
      <c r="CW598" s="196"/>
      <c r="CX598" s="196"/>
      <c r="CY598" s="196"/>
      <c r="CZ598" s="196"/>
      <c r="DA598" s="196"/>
      <c r="DB598" s="196"/>
      <c r="DC598" s="196"/>
      <c r="DD598" s="196"/>
      <c r="DE598" s="196"/>
      <c r="DF598" s="196"/>
      <c r="DG598" s="196"/>
      <c r="DH598" s="196"/>
      <c r="DI598" s="196"/>
      <c r="DJ598" s="196"/>
      <c r="DK598" s="196"/>
      <c r="DL598" s="196"/>
      <c r="DM598" s="196"/>
      <c r="DN598" s="196"/>
      <c r="DO598" s="196"/>
      <c r="DP598" s="196"/>
      <c r="DQ598" s="196"/>
      <c r="DR598" s="196"/>
      <c r="DS598" s="196"/>
      <c r="DT598" s="196"/>
      <c r="EA598" s="164"/>
      <c r="EB598" s="164"/>
      <c r="EC598" s="164"/>
      <c r="ED598" s="164"/>
      <c r="EE598" s="164"/>
      <c r="EF598" s="164"/>
      <c r="EG598" s="164"/>
      <c r="EH598" s="164"/>
      <c r="EI598" s="164"/>
    </row>
    <row r="599" spans="27:139" ht="15.75" thickBot="1" x14ac:dyDescent="0.3">
      <c r="BX599" s="196"/>
      <c r="BY599" s="196"/>
      <c r="BZ599" s="196"/>
      <c r="CA599" s="196"/>
      <c r="CB599" s="196"/>
      <c r="CC599" s="196"/>
      <c r="CD599" s="196"/>
      <c r="CE599" s="196"/>
      <c r="CF599" s="196"/>
      <c r="CG599" s="196"/>
      <c r="CH599" s="196"/>
      <c r="CI599" s="196"/>
      <c r="CJ599" s="196"/>
      <c r="CK599" s="196"/>
      <c r="CL599" s="196"/>
      <c r="CM599" s="196"/>
      <c r="CN599" s="196"/>
      <c r="CO599" s="196"/>
      <c r="CP599" s="196"/>
      <c r="CQ599" s="196"/>
      <c r="CR599" s="196"/>
      <c r="CS599" s="196"/>
      <c r="CT599" s="196"/>
      <c r="CU599" s="196"/>
      <c r="CV599" s="196"/>
      <c r="CW599" s="196"/>
      <c r="CX599" s="196"/>
      <c r="CY599" s="196"/>
      <c r="CZ599" s="196"/>
      <c r="DA599" s="196"/>
      <c r="DB599" s="196"/>
      <c r="DC599" s="196"/>
      <c r="DD599" s="196"/>
      <c r="DE599" s="196"/>
      <c r="DF599" s="196"/>
      <c r="DG599" s="196"/>
      <c r="DH599" s="196"/>
      <c r="DI599" s="196"/>
      <c r="DJ599" s="196"/>
      <c r="DK599" s="196"/>
      <c r="DL599" s="196"/>
      <c r="DM599" s="196"/>
      <c r="DN599" s="196"/>
      <c r="DO599" s="196"/>
      <c r="DP599" s="196"/>
      <c r="DQ599" s="196"/>
      <c r="DR599" s="196"/>
      <c r="DS599" s="196"/>
      <c r="DT599" s="196"/>
      <c r="EA599" s="164"/>
      <c r="EB599" s="164"/>
      <c r="EC599" s="164"/>
      <c r="ED599" s="164"/>
      <c r="EE599" s="164"/>
      <c r="EF599" s="164"/>
      <c r="EG599" s="164"/>
      <c r="EH599" s="164"/>
      <c r="EI599" s="164"/>
    </row>
    <row r="600" spans="27:139" ht="15.75" thickBot="1" x14ac:dyDescent="0.3">
      <c r="AA600" s="497" t="s">
        <v>105</v>
      </c>
      <c r="AB600" s="498"/>
      <c r="AC600" s="498"/>
      <c r="AD600" s="498"/>
      <c r="AE600" s="498"/>
      <c r="AF600" s="498"/>
      <c r="AG600" s="499"/>
      <c r="AH600" s="222" t="str">
        <f>"BALANCE TRANSFER: "&amp;" Pago Mensual: "&amp;TEXT($AB$601,"$ #,##0.00")&amp;" NR "&amp;$AB$602&amp;" Saldo Actual: "&amp;TEXT($AD$601,"$ #,##0.00")</f>
        <v>BALANCE TRANSFER:  Pago Mensual: $ 0.00 NR 0 Saldo Actual: $ 0.00</v>
      </c>
      <c r="BX600" s="196"/>
      <c r="BY600" s="196"/>
      <c r="BZ600" s="196"/>
      <c r="CA600" s="497" t="s">
        <v>105</v>
      </c>
      <c r="CB600" s="498"/>
      <c r="CC600" s="498"/>
      <c r="CD600" s="498"/>
      <c r="CE600" s="498"/>
      <c r="CF600" s="498"/>
      <c r="CG600" s="499"/>
      <c r="CH600" s="151" t="str">
        <f>$CC$614&amp;"BALANCE TRANSFER: NR "&amp;$CB$604&amp;" Pago Mensual: "&amp;TEXT($CB$601,"$ #,##0.00")&amp;" Saldo Actual: "&amp;TEXT($CB$603,"$ #,##0.00")</f>
        <v>BALANCE TRANSFER: NR  Pago Mensual: $ 0.00 Saldo Actual: $ 0.00</v>
      </c>
      <c r="CI600" s="196"/>
      <c r="CJ600" s="196"/>
      <c r="CK600" s="196"/>
      <c r="CL600" s="196"/>
      <c r="CM600" s="196"/>
      <c r="CN600" s="196"/>
      <c r="CO600" s="196"/>
      <c r="CP600" s="196"/>
      <c r="CQ600" s="196"/>
      <c r="CR600" s="196"/>
      <c r="CS600" s="196"/>
      <c r="CT600" s="196"/>
      <c r="CU600" s="196"/>
      <c r="CV600" s="196"/>
      <c r="CW600" s="196"/>
      <c r="CX600" s="196"/>
      <c r="CY600" s="196"/>
      <c r="CZ600" s="196"/>
      <c r="DA600" s="196"/>
      <c r="DB600" s="196"/>
      <c r="DC600" s="196"/>
      <c r="DD600" s="196"/>
      <c r="DE600" s="196"/>
      <c r="DF600" s="196"/>
      <c r="DG600" s="196"/>
      <c r="DH600" s="196"/>
      <c r="DI600" s="196"/>
      <c r="DJ600" s="196"/>
      <c r="DK600" s="196"/>
      <c r="DL600" s="196"/>
      <c r="DM600" s="196"/>
      <c r="DN600" s="196"/>
      <c r="DO600" s="196"/>
      <c r="DP600" s="196"/>
      <c r="DQ600" s="196"/>
      <c r="DR600" s="196"/>
      <c r="DS600" s="196"/>
      <c r="DT600" s="196"/>
      <c r="EA600" s="164"/>
      <c r="EB600" s="164"/>
      <c r="EC600" s="164"/>
      <c r="ED600" s="164"/>
      <c r="EE600" s="164"/>
      <c r="EF600" s="164"/>
      <c r="EG600" s="164"/>
      <c r="EH600" s="164"/>
      <c r="EI600" s="164"/>
    </row>
    <row r="601" spans="27:139" ht="16.5" thickTop="1" thickBot="1" x14ac:dyDescent="0.3">
      <c r="AA601" s="48" t="s">
        <v>108</v>
      </c>
      <c r="AB601" s="13">
        <v>0</v>
      </c>
      <c r="AC601" s="48" t="s">
        <v>225</v>
      </c>
      <c r="AD601" s="13">
        <v>0</v>
      </c>
      <c r="AG601" s="113">
        <v>0.45</v>
      </c>
      <c r="AH601" s="114">
        <v>3</v>
      </c>
      <c r="BX601" s="196"/>
      <c r="BY601" s="196"/>
      <c r="BZ601" s="196"/>
      <c r="CA601" s="48" t="s">
        <v>323</v>
      </c>
      <c r="CB601" s="154"/>
      <c r="CC601" s="123"/>
      <c r="CD601" s="123"/>
      <c r="CE601" s="123"/>
      <c r="CF601" s="123"/>
      <c r="CG601" s="123"/>
      <c r="CH601" s="123"/>
      <c r="CI601" s="196"/>
      <c r="CJ601" s="196"/>
      <c r="CK601" s="196"/>
      <c r="CL601" s="196"/>
      <c r="CM601" s="196"/>
      <c r="CN601" s="196"/>
      <c r="CO601" s="196"/>
      <c r="CP601" s="196"/>
      <c r="CQ601" s="196"/>
      <c r="CR601" s="196"/>
      <c r="CS601" s="196"/>
      <c r="CT601" s="196"/>
      <c r="CU601" s="196"/>
      <c r="CV601" s="196"/>
      <c r="CW601" s="196"/>
      <c r="CX601" s="196"/>
      <c r="CY601" s="196"/>
      <c r="CZ601" s="196"/>
      <c r="DA601" s="196"/>
      <c r="DB601" s="196"/>
      <c r="DC601" s="196"/>
      <c r="DD601" s="196"/>
      <c r="DE601" s="196"/>
      <c r="DF601" s="196"/>
      <c r="DG601" s="196"/>
      <c r="DH601" s="196"/>
      <c r="DI601" s="196"/>
      <c r="DJ601" s="196"/>
      <c r="DK601" s="196"/>
      <c r="DL601" s="196"/>
      <c r="DM601" s="196"/>
      <c r="DN601" s="196"/>
      <c r="DO601" s="196"/>
      <c r="DP601" s="196"/>
      <c r="DQ601" s="196"/>
      <c r="DR601" s="196"/>
      <c r="DS601" s="196"/>
      <c r="DT601" s="196"/>
      <c r="EA601" s="164"/>
      <c r="EB601" s="164"/>
      <c r="EC601" s="164"/>
      <c r="ED601" s="164"/>
      <c r="EE601" s="164"/>
      <c r="EF601" s="164"/>
      <c r="EG601" s="164"/>
      <c r="EH601" s="164"/>
      <c r="EI601" s="164"/>
    </row>
    <row r="602" spans="27:139" ht="16.5" thickTop="1" thickBot="1" x14ac:dyDescent="0.3">
      <c r="AA602" s="27" t="s">
        <v>109</v>
      </c>
      <c r="AB602" s="18">
        <v>0</v>
      </c>
      <c r="AD602" s="196"/>
      <c r="AG602" s="113">
        <v>0.5</v>
      </c>
      <c r="AH602" s="111">
        <v>2</v>
      </c>
      <c r="BX602" s="196"/>
      <c r="BY602" s="196"/>
      <c r="BZ602" s="196"/>
      <c r="CA602" s="48" t="s">
        <v>160</v>
      </c>
      <c r="CB602" s="157"/>
      <c r="CC602" s="123"/>
      <c r="CD602" s="123"/>
      <c r="CE602" s="123"/>
      <c r="CF602" s="123"/>
      <c r="CG602" s="123"/>
      <c r="CH602" s="123"/>
      <c r="CI602" s="196"/>
      <c r="CJ602" s="196"/>
      <c r="CK602" s="196"/>
      <c r="CL602" s="196"/>
      <c r="CM602" s="196"/>
      <c r="CN602" s="196"/>
      <c r="CO602" s="196"/>
      <c r="CP602" s="196"/>
      <c r="CQ602" s="196"/>
      <c r="CR602" s="196"/>
      <c r="CS602" s="196"/>
      <c r="CT602" s="196"/>
      <c r="CU602" s="196"/>
      <c r="CV602" s="196"/>
      <c r="CW602" s="196"/>
      <c r="CX602" s="196"/>
      <c r="CY602" s="196"/>
      <c r="CZ602" s="196"/>
      <c r="DA602" s="196"/>
      <c r="DB602" s="196"/>
      <c r="DC602" s="196"/>
      <c r="DD602" s="196"/>
      <c r="DE602" s="196"/>
      <c r="DF602" s="196"/>
      <c r="DG602" s="196"/>
      <c r="DH602" s="196"/>
      <c r="DI602" s="196"/>
      <c r="DJ602" s="196"/>
      <c r="DK602" s="196"/>
      <c r="DL602" s="196"/>
      <c r="DM602" s="196"/>
      <c r="DN602" s="196"/>
      <c r="DO602" s="196"/>
      <c r="DP602" s="196"/>
      <c r="DQ602" s="196"/>
      <c r="DR602" s="196"/>
      <c r="DS602" s="196"/>
      <c r="DT602" s="196"/>
      <c r="EA602" s="164"/>
      <c r="EB602" s="164"/>
      <c r="EC602" s="164"/>
      <c r="ED602" s="164"/>
      <c r="EE602" s="164"/>
      <c r="EF602" s="164"/>
      <c r="EG602" s="164"/>
      <c r="EH602" s="164"/>
      <c r="EI602" s="164"/>
    </row>
    <row r="603" spans="27:139" ht="16.5" thickTop="1" thickBot="1" x14ac:dyDescent="0.3">
      <c r="AA603" s="77" t="s">
        <v>240</v>
      </c>
      <c r="AB603" s="54">
        <f>VLOOKUP($AB$602,$AA$616:$AF$623,5,0)</f>
        <v>0</v>
      </c>
      <c r="AC603" s="79">
        <f>($AB$610*$AB$603)-$AB$611</f>
        <v>0</v>
      </c>
      <c r="AE603" s="78">
        <f>$AB$603*100</f>
        <v>0</v>
      </c>
      <c r="AG603" s="113">
        <v>0.51</v>
      </c>
      <c r="AH603" s="111">
        <v>1.960785</v>
      </c>
      <c r="BX603" s="196"/>
      <c r="BY603" s="196"/>
      <c r="BZ603" s="196"/>
      <c r="CA603" s="48" t="s">
        <v>161</v>
      </c>
      <c r="CB603" s="154"/>
      <c r="CC603" s="167"/>
      <c r="CD603" s="123" t="str">
        <f>IF($CB$603="No aplica Balance Transfer","Balance mínimo requerido $50,000","")</f>
        <v/>
      </c>
      <c r="CE603" s="123"/>
      <c r="CF603" s="123"/>
      <c r="CG603" s="123"/>
      <c r="CH603" s="123"/>
      <c r="CI603" s="196"/>
      <c r="CJ603" s="196"/>
      <c r="CK603" s="196"/>
      <c r="CL603" s="196"/>
      <c r="CM603" s="196"/>
      <c r="CN603" s="196"/>
      <c r="CO603" s="196"/>
      <c r="CP603" s="196"/>
      <c r="CQ603" s="196"/>
      <c r="CR603" s="196"/>
      <c r="CS603" s="196"/>
      <c r="CT603" s="196"/>
      <c r="CU603" s="196"/>
      <c r="CV603" s="196"/>
      <c r="CW603" s="196"/>
      <c r="CX603" s="196"/>
      <c r="CY603" s="196"/>
      <c r="CZ603" s="196"/>
      <c r="DA603" s="196"/>
      <c r="DB603" s="196"/>
      <c r="DC603" s="196"/>
      <c r="DD603" s="196"/>
      <c r="DE603" s="196"/>
      <c r="DF603" s="196"/>
      <c r="DG603" s="196"/>
      <c r="DH603" s="196"/>
      <c r="DI603" s="196"/>
      <c r="DJ603" s="196"/>
      <c r="DK603" s="196"/>
      <c r="DL603" s="196"/>
      <c r="DM603" s="196"/>
      <c r="DN603" s="196"/>
      <c r="DO603" s="196"/>
      <c r="DP603" s="196"/>
      <c r="DQ603" s="196"/>
      <c r="DR603" s="196"/>
      <c r="DS603" s="196"/>
      <c r="DT603" s="196"/>
      <c r="EA603" s="164"/>
      <c r="EB603" s="164"/>
      <c r="EC603" s="164"/>
      <c r="ED603" s="164"/>
      <c r="EE603" s="164"/>
      <c r="EF603" s="164"/>
      <c r="EG603" s="164"/>
      <c r="EH603" s="164"/>
      <c r="EI603" s="164"/>
    </row>
    <row r="604" spans="27:139" ht="16.5" thickTop="1" thickBot="1" x14ac:dyDescent="0.3">
      <c r="AA604" s="77" t="s">
        <v>241</v>
      </c>
      <c r="AB604" s="54">
        <f>VLOOKUP($AB$602,$AA$616:$AF$623,6,0)</f>
        <v>0</v>
      </c>
      <c r="AC604" s="79">
        <f>($AB$610*$AB$604)-$AB$611</f>
        <v>0</v>
      </c>
      <c r="AD604" s="196"/>
      <c r="AE604" s="78">
        <f>$AB$604*100</f>
        <v>0</v>
      </c>
      <c r="AG604" s="113">
        <v>0.54</v>
      </c>
      <c r="AH604" s="111">
        <v>1.851853</v>
      </c>
      <c r="BX604" s="196"/>
      <c r="BY604" s="196"/>
      <c r="BZ604" s="196"/>
      <c r="CA604" s="48" t="s">
        <v>162</v>
      </c>
      <c r="CB604" s="157"/>
      <c r="CC604" s="123"/>
      <c r="CD604" s="123"/>
      <c r="CE604" s="123"/>
      <c r="CF604" s="123"/>
      <c r="CG604" s="123"/>
      <c r="CH604" s="123"/>
      <c r="CI604" s="196"/>
      <c r="CJ604" s="196"/>
      <c r="CK604" s="196"/>
      <c r="CL604" s="196"/>
      <c r="CM604" s="196"/>
      <c r="CN604" s="196"/>
      <c r="CO604" s="196"/>
      <c r="CP604" s="196"/>
      <c r="CQ604" s="196"/>
      <c r="CR604" s="196"/>
      <c r="CS604" s="196"/>
      <c r="CT604" s="196"/>
      <c r="CU604" s="196"/>
      <c r="CV604" s="196"/>
      <c r="CW604" s="196"/>
      <c r="CX604" s="196"/>
      <c r="CY604" s="196"/>
      <c r="CZ604" s="196"/>
      <c r="DA604" s="196"/>
      <c r="DB604" s="196"/>
      <c r="DC604" s="196"/>
      <c r="DD604" s="196"/>
      <c r="DE604" s="196"/>
      <c r="DF604" s="196"/>
      <c r="DG604" s="196"/>
      <c r="DH604" s="196"/>
      <c r="DI604" s="196"/>
      <c r="DJ604" s="196"/>
      <c r="DK604" s="196"/>
      <c r="DL604" s="196"/>
      <c r="DM604" s="196"/>
      <c r="DN604" s="196"/>
      <c r="DO604" s="196"/>
      <c r="DP604" s="196"/>
      <c r="DQ604" s="196"/>
      <c r="DR604" s="196"/>
      <c r="DS604" s="196"/>
      <c r="DT604" s="196"/>
      <c r="EA604" s="164"/>
      <c r="EB604" s="164"/>
      <c r="EC604" s="164"/>
      <c r="ED604" s="164"/>
      <c r="EE604" s="164"/>
      <c r="EF604" s="164"/>
      <c r="EG604" s="164"/>
      <c r="EH604" s="164"/>
      <c r="EI604" s="164"/>
    </row>
    <row r="605" spans="27:139" ht="16.5" thickTop="1" thickBot="1" x14ac:dyDescent="0.3">
      <c r="AA605" s="37" t="s">
        <v>110</v>
      </c>
      <c r="AB605" s="54" t="str">
        <f>IF($AB$601=0,"",IF($AB$602=0,"",VLOOKUP($AB$603,$AG$601:$AH$615,2,0)))</f>
        <v/>
      </c>
      <c r="AD605" s="196"/>
      <c r="AG605" s="113">
        <v>0.55000000000000004</v>
      </c>
      <c r="AH605" s="115">
        <v>1.8181799999999999</v>
      </c>
      <c r="BX605" s="196"/>
      <c r="BY605" s="196"/>
      <c r="BZ605" s="196"/>
      <c r="CA605" s="48" t="s">
        <v>163</v>
      </c>
      <c r="CB605" s="157"/>
      <c r="CC605" s="123"/>
      <c r="CD605" s="123"/>
      <c r="CE605" s="123"/>
      <c r="CF605" s="123"/>
      <c r="CG605" s="123"/>
      <c r="CH605" s="123"/>
      <c r="CI605" s="196"/>
      <c r="CJ605" s="196"/>
      <c r="CK605" s="196"/>
      <c r="CL605" s="196"/>
      <c r="CM605" s="196"/>
      <c r="CN605" s="196"/>
      <c r="CO605" s="196"/>
      <c r="CP605" s="196"/>
      <c r="CQ605" s="196"/>
      <c r="CR605" s="196"/>
      <c r="CS605" s="196"/>
      <c r="CT605" s="196"/>
      <c r="CU605" s="196"/>
      <c r="CV605" s="196"/>
      <c r="CW605" s="196"/>
      <c r="CX605" s="196"/>
      <c r="CY605" s="196"/>
      <c r="CZ605" s="196"/>
      <c r="DA605" s="196"/>
      <c r="DB605" s="196"/>
      <c r="DC605" s="196"/>
      <c r="DD605" s="196"/>
      <c r="DE605" s="196"/>
      <c r="DF605" s="196"/>
      <c r="DG605" s="196"/>
      <c r="DH605" s="196"/>
      <c r="DI605" s="196"/>
      <c r="DJ605" s="196"/>
      <c r="DK605" s="196"/>
      <c r="DL605" s="196"/>
      <c r="DM605" s="196"/>
      <c r="DN605" s="196"/>
      <c r="DO605" s="196"/>
      <c r="DP605" s="196"/>
      <c r="DQ605" s="196"/>
      <c r="DR605" s="196"/>
      <c r="DS605" s="196"/>
      <c r="DT605" s="196"/>
      <c r="EA605" s="164"/>
      <c r="EB605" s="164"/>
      <c r="EC605" s="164"/>
      <c r="ED605" s="164"/>
      <c r="EE605" s="164"/>
      <c r="EF605" s="164"/>
      <c r="EG605" s="164"/>
      <c r="EH605" s="164"/>
      <c r="EI605" s="164"/>
    </row>
    <row r="606" spans="27:139" ht="16.5" thickTop="1" thickBot="1" x14ac:dyDescent="0.3">
      <c r="AA606" s="37" t="s">
        <v>111</v>
      </c>
      <c r="AB606" s="54" t="str">
        <f>IF($AB$601=0,"",IF($AB$602=0,"",VLOOKUP($AB$604,$AG$601:$AH$615,2,0)))</f>
        <v/>
      </c>
      <c r="AD606" s="196"/>
      <c r="AG606" s="116">
        <v>0.56000000000000005</v>
      </c>
      <c r="AH606" s="117">
        <v>1.7857149999999999</v>
      </c>
      <c r="BX606" s="196"/>
      <c r="BY606" s="196"/>
      <c r="BZ606" s="196"/>
      <c r="CA606" s="48" t="s">
        <v>324</v>
      </c>
      <c r="CB606" s="154"/>
      <c r="CC606" s="35">
        <f>$CB$606-$CB$601</f>
        <v>0</v>
      </c>
      <c r="CD606" s="123"/>
      <c r="CE606" s="123"/>
      <c r="CF606" s="123"/>
      <c r="CG606" s="123"/>
      <c r="CH606" s="123"/>
      <c r="CI606" s="196"/>
      <c r="CJ606" s="196"/>
      <c r="CK606" s="196"/>
      <c r="CL606" s="196"/>
      <c r="CM606" s="196"/>
      <c r="CN606" s="196"/>
      <c r="CO606" s="196"/>
      <c r="CP606" s="196"/>
      <c r="CQ606" s="196"/>
      <c r="CR606" s="196"/>
      <c r="CS606" s="196"/>
      <c r="CT606" s="196"/>
      <c r="CU606" s="196"/>
      <c r="CV606" s="196"/>
      <c r="CW606" s="196"/>
      <c r="CX606" s="196"/>
      <c r="CY606" s="196"/>
      <c r="CZ606" s="196"/>
      <c r="DA606" s="196"/>
      <c r="DB606" s="196"/>
      <c r="DC606" s="196"/>
      <c r="DD606" s="196"/>
      <c r="DE606" s="196"/>
      <c r="DF606" s="196"/>
      <c r="DG606" s="196"/>
      <c r="DH606" s="196"/>
      <c r="DI606" s="196"/>
      <c r="DJ606" s="196"/>
      <c r="DK606" s="196"/>
      <c r="DL606" s="196"/>
      <c r="DM606" s="196"/>
      <c r="DN606" s="196"/>
      <c r="DO606" s="196"/>
      <c r="DP606" s="196"/>
      <c r="DQ606" s="196"/>
      <c r="DR606" s="196"/>
      <c r="DS606" s="196"/>
      <c r="DT606" s="196"/>
      <c r="EA606" s="164"/>
      <c r="EB606" s="164"/>
      <c r="EC606" s="164"/>
      <c r="ED606" s="164"/>
      <c r="EE606" s="164"/>
      <c r="EF606" s="164"/>
      <c r="EG606" s="164"/>
      <c r="EH606" s="164"/>
      <c r="EI606" s="164"/>
    </row>
    <row r="607" spans="27:139" ht="16.5" thickTop="1" thickBot="1" x14ac:dyDescent="0.3">
      <c r="AA607" s="25" t="s">
        <v>110</v>
      </c>
      <c r="AB607" s="80" t="str">
        <f>IF($AB$601=0,"",IF($AB$602=0,"",$AB$601*$AB$605))</f>
        <v/>
      </c>
      <c r="AG607" s="116">
        <v>0.56999999999999995</v>
      </c>
      <c r="AH607" s="117">
        <v>1.7543899999999999</v>
      </c>
      <c r="BX607" s="196"/>
      <c r="BY607" s="196"/>
      <c r="BZ607" s="196"/>
      <c r="CA607" s="41" t="s">
        <v>296</v>
      </c>
      <c r="CB607" s="26" t="str">
        <f>IF(OR($CB$618="",$CB$604="",$CB$605="",$CC$606="",$CC$608=""),"",((($CB$618*2+$CC$606))/$CE$652))</f>
        <v/>
      </c>
      <c r="CC607" s="123"/>
      <c r="CD607" s="123"/>
      <c r="CE607" s="123"/>
      <c r="CF607" s="123"/>
      <c r="CG607" s="123"/>
      <c r="CH607" s="123"/>
      <c r="CI607" s="196"/>
      <c r="CJ607" s="196"/>
      <c r="CK607" s="196"/>
      <c r="CL607" s="196"/>
      <c r="CM607" s="196"/>
      <c r="CN607" s="196"/>
      <c r="CO607" s="196"/>
      <c r="CP607" s="196"/>
      <c r="CQ607" s="196"/>
      <c r="CR607" s="196"/>
      <c r="CS607" s="196"/>
      <c r="CT607" s="196"/>
      <c r="CU607" s="196"/>
      <c r="CV607" s="196"/>
      <c r="CW607" s="196"/>
      <c r="CX607" s="196"/>
      <c r="CY607" s="196"/>
      <c r="CZ607" s="196"/>
      <c r="DA607" s="196"/>
      <c r="DB607" s="196"/>
      <c r="DC607" s="196"/>
      <c r="DD607" s="196"/>
      <c r="DE607" s="196"/>
      <c r="DF607" s="196"/>
      <c r="DG607" s="196"/>
      <c r="DH607" s="196"/>
      <c r="DI607" s="196"/>
      <c r="DJ607" s="196"/>
      <c r="DK607" s="196"/>
      <c r="DL607" s="196"/>
      <c r="DM607" s="196"/>
      <c r="DN607" s="196"/>
      <c r="DO607" s="196"/>
      <c r="DP607" s="196"/>
      <c r="DQ607" s="196"/>
      <c r="DR607" s="196"/>
      <c r="DS607" s="196"/>
      <c r="DT607" s="196"/>
      <c r="EA607" s="164"/>
      <c r="EB607" s="164"/>
      <c r="EC607" s="164"/>
      <c r="ED607" s="164"/>
      <c r="EE607" s="164"/>
      <c r="EF607" s="164"/>
      <c r="EG607" s="164"/>
      <c r="EH607" s="164"/>
      <c r="EI607" s="164"/>
    </row>
    <row r="608" spans="27:139" ht="16.5" thickTop="1" thickBot="1" x14ac:dyDescent="0.3">
      <c r="AA608" s="25" t="s">
        <v>111</v>
      </c>
      <c r="AB608" s="80" t="str">
        <f>IF($AB$601=0,"",IF($AB$602=0,"",$AB$601*$AB$606))</f>
        <v/>
      </c>
      <c r="AG608" s="116">
        <v>0.65</v>
      </c>
      <c r="AH608" s="117">
        <v>1.538462</v>
      </c>
      <c r="BX608" s="196"/>
      <c r="BY608" s="196"/>
      <c r="BZ608" s="196"/>
      <c r="CA608" s="48" t="s">
        <v>330</v>
      </c>
      <c r="CB608" s="35" t="str">
        <f>IF(OR($CC$606=22,$CC$608="",$CB$607="",$CB$610=""),"",$CB$627)</f>
        <v/>
      </c>
      <c r="CC608" s="159">
        <v>100000</v>
      </c>
      <c r="CD608" s="123"/>
      <c r="CE608" s="123"/>
      <c r="CF608" s="123"/>
      <c r="CG608" s="123"/>
      <c r="CH608" s="123"/>
      <c r="CI608" s="196"/>
      <c r="CJ608" s="196"/>
      <c r="CK608" s="196"/>
      <c r="CL608" s="196"/>
      <c r="CM608" s="196"/>
      <c r="CN608" s="196"/>
      <c r="CO608" s="196"/>
      <c r="CP608" s="196"/>
      <c r="CQ608" s="196"/>
      <c r="CR608" s="196"/>
      <c r="CS608" s="196"/>
      <c r="CT608" s="196"/>
      <c r="CU608" s="196"/>
      <c r="CV608" s="196"/>
      <c r="CW608" s="196"/>
      <c r="CX608" s="196"/>
      <c r="CY608" s="196"/>
      <c r="CZ608" s="196"/>
      <c r="DA608" s="196"/>
      <c r="DB608" s="196"/>
      <c r="DC608" s="196"/>
      <c r="DD608" s="196"/>
      <c r="DE608" s="196"/>
      <c r="DF608" s="196"/>
      <c r="DG608" s="196"/>
      <c r="DH608" s="196"/>
      <c r="DI608" s="196"/>
      <c r="DJ608" s="196"/>
      <c r="DK608" s="196"/>
      <c r="DL608" s="196"/>
      <c r="DM608" s="196"/>
      <c r="DN608" s="196"/>
      <c r="DO608" s="196"/>
      <c r="DP608" s="196"/>
      <c r="DQ608" s="196"/>
      <c r="DR608" s="196"/>
      <c r="DS608" s="196"/>
      <c r="DT608" s="196"/>
      <c r="EA608" s="164"/>
      <c r="EB608" s="164"/>
      <c r="EC608" s="164"/>
      <c r="ED608" s="164"/>
      <c r="EE608" s="164"/>
      <c r="EF608" s="164"/>
      <c r="EG608" s="164"/>
      <c r="EH608" s="164"/>
      <c r="EI608" s="164"/>
    </row>
    <row r="609" spans="27:139" ht="16.5" thickTop="1" thickBot="1" x14ac:dyDescent="0.3">
      <c r="AA609" s="41" t="s">
        <v>112</v>
      </c>
      <c r="AB609" s="42" t="str">
        <f>IF($AB$607&gt;=30000,$AB$607,$AB$608)</f>
        <v/>
      </c>
      <c r="AG609" s="116">
        <v>0.6</v>
      </c>
      <c r="AH609" s="117">
        <v>1.6666669999999999</v>
      </c>
      <c r="BX609" s="196"/>
      <c r="BY609" s="196"/>
      <c r="BZ609" s="196"/>
      <c r="CA609" s="41" t="s">
        <v>165</v>
      </c>
      <c r="CB609" s="161" t="str">
        <f>IFERROR($CC$609,"")</f>
        <v/>
      </c>
      <c r="CC609" s="161" t="e">
        <f>$CB$608*VLOOKUP($CB$608,$CB$623:$CG$626,6,0)-($CB$629)</f>
        <v>#VALUE!</v>
      </c>
      <c r="CD609" s="123"/>
      <c r="CE609" s="123"/>
      <c r="CF609" s="123"/>
      <c r="CG609" s="123"/>
      <c r="CH609" s="123"/>
      <c r="CI609" s="196"/>
      <c r="CJ609" s="196"/>
      <c r="CK609" s="196"/>
      <c r="CL609" s="196"/>
      <c r="CM609" s="196"/>
      <c r="CN609" s="196"/>
      <c r="CO609" s="196"/>
      <c r="CP609" s="196"/>
      <c r="CQ609" s="196"/>
      <c r="CR609" s="196"/>
      <c r="CS609" s="196"/>
      <c r="CT609" s="196"/>
      <c r="CU609" s="196"/>
      <c r="CV609" s="196"/>
      <c r="CW609" s="196"/>
      <c r="CX609" s="196"/>
      <c r="CY609" s="196"/>
      <c r="CZ609" s="196"/>
      <c r="DA609" s="196"/>
      <c r="DB609" s="196"/>
      <c r="DC609" s="196"/>
      <c r="DD609" s="196"/>
      <c r="DE609" s="196"/>
      <c r="DF609" s="196"/>
      <c r="DG609" s="196"/>
      <c r="DH609" s="196"/>
      <c r="DI609" s="196"/>
      <c r="DJ609" s="196"/>
      <c r="DK609" s="196"/>
      <c r="DL609" s="196"/>
      <c r="DM609" s="196"/>
      <c r="DN609" s="196"/>
      <c r="DO609" s="196"/>
      <c r="DP609" s="196"/>
      <c r="DQ609" s="196"/>
      <c r="DR609" s="196"/>
      <c r="DS609" s="196"/>
      <c r="DT609" s="196"/>
      <c r="EA609" s="164"/>
      <c r="EB609" s="164"/>
      <c r="EC609" s="164"/>
      <c r="ED609" s="164"/>
      <c r="EE609" s="164"/>
      <c r="EF609" s="164"/>
      <c r="EG609" s="164"/>
      <c r="EH609" s="164"/>
      <c r="EI609" s="164"/>
    </row>
    <row r="610" spans="27:139" ht="16.5" thickTop="1" thickBot="1" x14ac:dyDescent="0.3">
      <c r="AA610" s="48" t="s">
        <v>113</v>
      </c>
      <c r="AB610" s="13">
        <v>0</v>
      </c>
      <c r="AD610" s="18">
        <v>0</v>
      </c>
      <c r="AG610" s="116">
        <v>0.63</v>
      </c>
      <c r="AH610" s="117">
        <v>1.587302</v>
      </c>
      <c r="BM610" s="124"/>
      <c r="BX610" s="196"/>
      <c r="BY610" s="196"/>
      <c r="BZ610" s="196"/>
      <c r="CA610" s="48" t="s">
        <v>166</v>
      </c>
      <c r="CB610" s="157"/>
      <c r="CC610" s="167"/>
      <c r="CD610" s="123"/>
      <c r="CE610" s="123"/>
      <c r="CF610" s="123"/>
      <c r="CG610" s="123"/>
      <c r="CH610" s="123"/>
      <c r="CI610" s="196"/>
      <c r="CJ610" s="196"/>
      <c r="CK610" s="196"/>
      <c r="CL610" s="196"/>
      <c r="CM610" s="196"/>
      <c r="CN610" s="196"/>
      <c r="CO610" s="196"/>
      <c r="CP610" s="196"/>
      <c r="CQ610" s="196"/>
      <c r="CR610" s="196"/>
      <c r="CS610" s="196"/>
      <c r="CT610" s="196"/>
      <c r="CU610" s="196"/>
      <c r="CV610" s="196"/>
      <c r="CW610" s="196"/>
      <c r="CX610" s="196"/>
      <c r="CY610" s="196"/>
      <c r="CZ610" s="196"/>
      <c r="DA610" s="196"/>
      <c r="DB610" s="196"/>
      <c r="DC610" s="196"/>
      <c r="DD610" s="196"/>
      <c r="DE610" s="196"/>
      <c r="DF610" s="196"/>
      <c r="DG610" s="196"/>
      <c r="DH610" s="196"/>
      <c r="DI610" s="196"/>
      <c r="DJ610" s="196"/>
      <c r="DK610" s="196"/>
      <c r="DL610" s="196"/>
      <c r="DM610" s="196"/>
      <c r="DN610" s="196"/>
      <c r="DO610" s="196"/>
      <c r="DP610" s="196"/>
      <c r="DQ610" s="196"/>
      <c r="DR610" s="196"/>
      <c r="DS610" s="196"/>
      <c r="DT610" s="196"/>
      <c r="EA610" s="164"/>
      <c r="EB610" s="164"/>
      <c r="EC610" s="164"/>
      <c r="ED610" s="164"/>
      <c r="EE610" s="164"/>
      <c r="EF610" s="164"/>
      <c r="EG610" s="164"/>
      <c r="EH610" s="164"/>
      <c r="EI610" s="164"/>
    </row>
    <row r="611" spans="27:139" ht="16.5" thickTop="1" thickBot="1" x14ac:dyDescent="0.3">
      <c r="AA611" s="27" t="s">
        <v>114</v>
      </c>
      <c r="AB611" s="18">
        <v>0</v>
      </c>
      <c r="AD611" s="54">
        <f>$AD$610/100</f>
        <v>0</v>
      </c>
      <c r="AG611" s="116">
        <v>0.68</v>
      </c>
      <c r="AH611" s="117">
        <v>1.4705900000000001</v>
      </c>
      <c r="BX611" s="196"/>
      <c r="BY611" s="196"/>
      <c r="BZ611" s="196"/>
      <c r="CA611" s="41" t="s">
        <v>167</v>
      </c>
      <c r="CB611" s="160">
        <v>0.125</v>
      </c>
      <c r="CC611" s="162">
        <f>$CB$611/12*1.16</f>
        <v>1.2083333333333331E-2</v>
      </c>
      <c r="CD611" s="123"/>
      <c r="CE611" s="123"/>
      <c r="CF611" s="104">
        <f>$CB$611*100</f>
        <v>12.5</v>
      </c>
      <c r="CG611" s="123"/>
      <c r="CH611" s="123"/>
      <c r="CI611" s="196"/>
      <c r="CJ611" s="196"/>
      <c r="CK611" s="196"/>
      <c r="CL611" s="196"/>
      <c r="CM611" s="196"/>
      <c r="CN611" s="196"/>
      <c r="CO611" s="196"/>
      <c r="CP611" s="196"/>
      <c r="CQ611" s="196"/>
      <c r="CR611" s="196"/>
      <c r="CS611" s="196"/>
      <c r="CT611" s="196"/>
      <c r="CU611" s="196"/>
      <c r="CV611" s="196"/>
      <c r="CW611" s="196"/>
      <c r="CX611" s="196"/>
      <c r="CY611" s="196"/>
      <c r="CZ611" s="196"/>
      <c r="DA611" s="196"/>
      <c r="DB611" s="196"/>
      <c r="DC611" s="196"/>
      <c r="DD611" s="196"/>
      <c r="DE611" s="196"/>
      <c r="DF611" s="196"/>
      <c r="DG611" s="196"/>
      <c r="DH611" s="196"/>
      <c r="DI611" s="196"/>
      <c r="DJ611" s="196"/>
      <c r="DK611" s="196"/>
      <c r="DL611" s="196"/>
      <c r="DM611" s="196"/>
      <c r="DN611" s="196"/>
      <c r="DO611" s="196"/>
      <c r="DP611" s="196"/>
      <c r="DQ611" s="196"/>
      <c r="DR611" s="196"/>
      <c r="DS611" s="196"/>
      <c r="DT611" s="196"/>
      <c r="EA611" s="164"/>
      <c r="EB611" s="164"/>
      <c r="EC611" s="164"/>
      <c r="ED611" s="164"/>
      <c r="EE611" s="164"/>
      <c r="EF611" s="164"/>
      <c r="EG611" s="164"/>
      <c r="EH611" s="164"/>
      <c r="EI611" s="164"/>
    </row>
    <row r="612" spans="27:139" ht="16.5" thickTop="1" thickBot="1" x14ac:dyDescent="0.3">
      <c r="AA612" s="41" t="s">
        <v>115</v>
      </c>
      <c r="AB612" s="42">
        <f>IF($AB$610&gt;30000,$AC$603,$AC$604)</f>
        <v>0</v>
      </c>
      <c r="AC612" s="18">
        <v>0</v>
      </c>
      <c r="AD612" s="79">
        <f>($AB$610*$AD$611)-$AB$611</f>
        <v>0</v>
      </c>
      <c r="AG612" s="116"/>
      <c r="AH612" s="117"/>
      <c r="BX612" s="196"/>
      <c r="BY612" s="196"/>
      <c r="BZ612" s="196"/>
      <c r="CA612" s="41" t="s">
        <v>168</v>
      </c>
      <c r="CB612" s="26" t="str">
        <f>IF(OR($CB$610="",$CB$608=""),"",VLOOKUP($CB$608,$CB$623:$CC$626,2,0))</f>
        <v/>
      </c>
      <c r="CC612" s="123"/>
      <c r="CD612" s="123"/>
      <c r="CE612" s="123"/>
      <c r="CF612" s="123"/>
      <c r="CG612" s="123"/>
      <c r="CH612" s="123"/>
      <c r="CI612" s="196"/>
      <c r="CJ612" s="196"/>
      <c r="CK612" s="196"/>
      <c r="CL612" s="196"/>
      <c r="CM612" s="196"/>
      <c r="CN612" s="196"/>
      <c r="CO612" s="196"/>
      <c r="CP612" s="196"/>
      <c r="CQ612" s="196"/>
      <c r="CR612" s="196"/>
      <c r="CS612" s="196"/>
      <c r="CT612" s="196"/>
      <c r="CU612" s="196"/>
      <c r="CV612" s="196"/>
      <c r="CW612" s="196"/>
      <c r="CX612" s="196"/>
      <c r="CY612" s="196"/>
      <c r="CZ612" s="196"/>
      <c r="DA612" s="196"/>
      <c r="DB612" s="196"/>
      <c r="DC612" s="196"/>
      <c r="DD612" s="196"/>
      <c r="DE612" s="196"/>
      <c r="DF612" s="196"/>
      <c r="DG612" s="196"/>
      <c r="DH612" s="196"/>
      <c r="DI612" s="196"/>
      <c r="DJ612" s="196"/>
      <c r="DK612" s="196"/>
      <c r="DL612" s="196"/>
      <c r="DM612" s="196"/>
      <c r="DN612" s="196"/>
      <c r="DO612" s="196"/>
      <c r="DP612" s="196"/>
      <c r="DQ612" s="196"/>
      <c r="DR612" s="196"/>
      <c r="DS612" s="196"/>
      <c r="DT612" s="196"/>
      <c r="EA612" s="164"/>
      <c r="EB612" s="164"/>
      <c r="EC612" s="164"/>
      <c r="ED612" s="164"/>
      <c r="EE612" s="164"/>
      <c r="EF612" s="164"/>
      <c r="EG612" s="164"/>
      <c r="EH612" s="164"/>
      <c r="EI612" s="164"/>
    </row>
    <row r="613" spans="27:139" ht="16.5" thickTop="1" thickBot="1" x14ac:dyDescent="0.3">
      <c r="AA613" s="27" t="s">
        <v>116</v>
      </c>
      <c r="AB613" s="18">
        <v>0</v>
      </c>
      <c r="AD613" s="196"/>
      <c r="AG613" s="116"/>
      <c r="AH613" s="117"/>
      <c r="BX613" s="196"/>
      <c r="BY613" s="196"/>
      <c r="BZ613" s="196"/>
      <c r="CA613" s="41" t="s">
        <v>224</v>
      </c>
      <c r="CB613" s="26" t="str">
        <f>IF($CB$612="","",$CB$612/((1-(1+($CC$611))^(-$CB$610))/($CC$611)))</f>
        <v/>
      </c>
      <c r="CC613" s="123"/>
      <c r="CD613" s="123"/>
      <c r="CE613" s="123"/>
      <c r="CF613" s="123"/>
      <c r="CG613" s="123"/>
      <c r="CH613" s="123"/>
      <c r="CI613" s="196"/>
      <c r="CJ613" s="196"/>
      <c r="CK613" s="196"/>
      <c r="CL613" s="196"/>
      <c r="CM613" s="196"/>
      <c r="CN613" s="196"/>
      <c r="CO613" s="196"/>
      <c r="CP613" s="196"/>
      <c r="CQ613" s="196"/>
      <c r="CR613" s="196"/>
      <c r="CS613" s="196"/>
      <c r="CT613" s="196"/>
      <c r="CU613" s="196"/>
      <c r="CV613" s="196"/>
      <c r="CW613" s="196"/>
      <c r="CX613" s="196"/>
      <c r="CY613" s="196"/>
      <c r="CZ613" s="196"/>
      <c r="DA613" s="196"/>
      <c r="DB613" s="196"/>
      <c r="DC613" s="196"/>
      <c r="DD613" s="196"/>
      <c r="DE613" s="196"/>
      <c r="DF613" s="196"/>
      <c r="DG613" s="196"/>
      <c r="DH613" s="196"/>
      <c r="DI613" s="196"/>
      <c r="DJ613" s="196"/>
      <c r="DK613" s="196"/>
      <c r="DL613" s="196"/>
      <c r="DM613" s="196"/>
      <c r="DN613" s="196"/>
      <c r="DO613" s="196"/>
      <c r="DP613" s="196"/>
      <c r="DQ613" s="196"/>
      <c r="DR613" s="196"/>
      <c r="DS613" s="196"/>
      <c r="DT613" s="196"/>
      <c r="EA613" s="164"/>
      <c r="EB613" s="164"/>
      <c r="EC613" s="164"/>
      <c r="ED613" s="164"/>
      <c r="EE613" s="164"/>
      <c r="EF613" s="164"/>
      <c r="EG613" s="164"/>
      <c r="EH613" s="164"/>
      <c r="EI613" s="164"/>
    </row>
    <row r="614" spans="27:139" ht="16.5" thickTop="1" thickBot="1" x14ac:dyDescent="0.3">
      <c r="AA614" s="41" t="s">
        <v>117</v>
      </c>
      <c r="AB614" s="42" t="str">
        <f>IF($AB$612=0,"",IF($AB$613=0,"",($AB$612/$AB$613)*1000))</f>
        <v/>
      </c>
      <c r="AC614" s="79" t="str">
        <f>IF($AC$612=0,"",IF($AB$613=0,"",($AC$612/$AB$613)*1000))</f>
        <v/>
      </c>
      <c r="AD614" s="79" t="str">
        <f>IF($AD$612=0,"",IF($AB$613=0,"",($AD$612/$AB$613)*1000))</f>
        <v/>
      </c>
      <c r="AE614" s="70">
        <v>5000000</v>
      </c>
      <c r="AF614" t="s">
        <v>409</v>
      </c>
      <c r="AG614" s="116"/>
      <c r="AH614" s="117"/>
      <c r="BX614" s="196"/>
      <c r="BY614" s="196"/>
      <c r="BZ614" s="196"/>
      <c r="CA614" s="48" t="s">
        <v>325</v>
      </c>
      <c r="CB614" s="157"/>
      <c r="CC614" s="162" t="str">
        <f>IF($CB$614=$CH$648,"SF ","")</f>
        <v/>
      </c>
      <c r="CD614" s="123"/>
      <c r="CE614" s="123"/>
      <c r="CF614" s="123"/>
      <c r="CG614" s="123"/>
      <c r="CH614" s="123"/>
      <c r="CI614" s="196"/>
      <c r="CJ614" s="196"/>
      <c r="CK614" s="196"/>
      <c r="CL614" s="196"/>
      <c r="CM614" s="196"/>
      <c r="CN614" s="196"/>
      <c r="CO614" s="196"/>
      <c r="CP614" s="196"/>
      <c r="CQ614" s="196"/>
      <c r="CR614" s="196"/>
      <c r="CS614" s="196"/>
      <c r="CT614" s="196"/>
      <c r="CU614" s="196"/>
      <c r="CV614" s="196"/>
      <c r="CW614" s="196"/>
      <c r="CX614" s="196"/>
      <c r="CY614" s="196"/>
      <c r="CZ614" s="196"/>
      <c r="DA614" s="196"/>
      <c r="DB614" s="196"/>
      <c r="DC614" s="196"/>
      <c r="DD614" s="196"/>
      <c r="DE614" s="196"/>
      <c r="DF614" s="196"/>
      <c r="DG614" s="196"/>
      <c r="DH614" s="196"/>
      <c r="DI614" s="196"/>
      <c r="DJ614" s="196"/>
      <c r="DK614" s="196"/>
      <c r="DL614" s="196"/>
      <c r="DM614" s="196"/>
      <c r="DN614" s="196"/>
      <c r="DO614" s="196"/>
      <c r="DP614" s="196"/>
      <c r="DQ614" s="196"/>
      <c r="DR614" s="196"/>
      <c r="DS614" s="196"/>
      <c r="DT614" s="196"/>
      <c r="EA614" s="164"/>
      <c r="EB614" s="164"/>
      <c r="EC614" s="164"/>
      <c r="ED614" s="164"/>
      <c r="EE614" s="164"/>
      <c r="EF614" s="164"/>
      <c r="EG614" s="164"/>
      <c r="EH614" s="164"/>
      <c r="EI614" s="164"/>
    </row>
    <row r="615" spans="27:139" ht="16.5" thickTop="1" thickBot="1" x14ac:dyDescent="0.3">
      <c r="AG615" s="465"/>
      <c r="AH615" s="465"/>
      <c r="BX615" s="196"/>
      <c r="BY615" s="196"/>
      <c r="BZ615" s="196"/>
      <c r="CA615" s="48" t="s">
        <v>326</v>
      </c>
      <c r="CB615" s="154"/>
      <c r="CC615" s="123"/>
      <c r="CD615" s="123"/>
      <c r="CE615" s="123"/>
      <c r="CF615" s="123"/>
      <c r="CG615" s="123"/>
      <c r="CH615" s="123"/>
      <c r="CI615" s="196"/>
      <c r="CJ615" s="196"/>
      <c r="CK615" s="196"/>
      <c r="CL615" s="196"/>
      <c r="CM615" s="196"/>
      <c r="CN615" s="196"/>
      <c r="CO615" s="196"/>
      <c r="CP615" s="196"/>
      <c r="CQ615" s="196"/>
      <c r="CR615" s="196"/>
      <c r="CS615" s="196"/>
      <c r="CT615" s="196"/>
      <c r="CU615" s="196"/>
      <c r="CV615" s="196"/>
      <c r="CW615" s="196"/>
      <c r="CX615" s="196"/>
      <c r="CY615" s="196"/>
      <c r="CZ615" s="196"/>
      <c r="DA615" s="196"/>
      <c r="DB615" s="196"/>
      <c r="DC615" s="196"/>
      <c r="DD615" s="196"/>
      <c r="DE615" s="196"/>
      <c r="DF615" s="196"/>
      <c r="DG615" s="196"/>
      <c r="DH615" s="196"/>
      <c r="DI615" s="196"/>
      <c r="DJ615" s="196"/>
      <c r="DK615" s="196"/>
      <c r="DL615" s="196"/>
      <c r="DM615" s="196"/>
      <c r="DN615" s="196"/>
      <c r="DO615" s="196"/>
      <c r="DP615" s="196"/>
      <c r="DQ615" s="196"/>
      <c r="DR615" s="196"/>
      <c r="DS615" s="196"/>
      <c r="DT615" s="196"/>
    </row>
    <row r="616" spans="27:139" ht="16.5" customHeight="1" thickTop="1" thickBot="1" x14ac:dyDescent="0.3">
      <c r="AA616" s="41" t="s">
        <v>118</v>
      </c>
      <c r="AB616" s="118" t="s">
        <v>106</v>
      </c>
      <c r="AC616" s="118" t="s">
        <v>107</v>
      </c>
      <c r="AD616" s="118" t="s">
        <v>106</v>
      </c>
      <c r="AE616" s="118" t="s">
        <v>240</v>
      </c>
      <c r="AF616" s="118" t="s">
        <v>241</v>
      </c>
      <c r="AG616" s="465"/>
      <c r="AH616" s="465"/>
      <c r="BX616" s="196"/>
      <c r="BY616" s="196"/>
      <c r="BZ616" s="196"/>
      <c r="CA616" s="48" t="s">
        <v>327</v>
      </c>
      <c r="CB616" s="154"/>
      <c r="CC616" s="123"/>
      <c r="CD616" s="123"/>
      <c r="CE616" s="123"/>
      <c r="CF616" s="123"/>
      <c r="CG616" s="123"/>
      <c r="CH616" s="123"/>
      <c r="CI616" s="196"/>
      <c r="CJ616" s="196"/>
      <c r="CK616" s="196"/>
      <c r="CL616" s="196"/>
      <c r="CM616" s="196"/>
      <c r="CN616" s="196"/>
      <c r="CO616" s="196"/>
      <c r="CP616" s="196"/>
      <c r="CQ616" s="196"/>
      <c r="CR616" s="196"/>
      <c r="CS616" s="196"/>
      <c r="CT616" s="196"/>
      <c r="CU616" s="196"/>
      <c r="CV616" s="196"/>
      <c r="CW616" s="196"/>
      <c r="CX616" s="196"/>
      <c r="CY616" s="196"/>
      <c r="CZ616" s="196"/>
      <c r="DA616" s="196"/>
      <c r="DB616" s="196"/>
      <c r="DC616" s="196"/>
      <c r="DD616" s="196"/>
      <c r="DE616" s="196"/>
      <c r="DF616" s="196"/>
      <c r="DG616" s="196"/>
      <c r="DH616" s="196"/>
      <c r="DI616" s="196"/>
      <c r="DJ616" s="196"/>
      <c r="DK616" s="196"/>
      <c r="DL616" s="196"/>
      <c r="DM616" s="196"/>
      <c r="DN616" s="196"/>
      <c r="DO616" s="196"/>
      <c r="DP616" s="196"/>
      <c r="DQ616" s="196"/>
      <c r="DR616" s="196"/>
      <c r="DS616" s="196"/>
      <c r="DT616" s="196"/>
    </row>
    <row r="617" spans="27:139" ht="24" customHeight="1" thickTop="1" thickBot="1" x14ac:dyDescent="0.3">
      <c r="AA617" s="120">
        <v>0</v>
      </c>
      <c r="AB617" s="119"/>
      <c r="AC617" s="119"/>
      <c r="AD617" s="119"/>
      <c r="AE617" s="112"/>
      <c r="AF617" s="112"/>
      <c r="AG617" s="465"/>
      <c r="AH617" s="465"/>
      <c r="AM617" s="580" t="s">
        <v>119</v>
      </c>
      <c r="AN617" s="581"/>
      <c r="AO617" s="581"/>
      <c r="AP617" s="581"/>
      <c r="AQ617" s="582"/>
      <c r="BX617" s="196"/>
      <c r="BY617" s="196"/>
      <c r="BZ617" s="196"/>
      <c r="CA617" s="41" t="s">
        <v>328</v>
      </c>
      <c r="CB617" s="26" t="str">
        <f>IF($CB$614="","",IF($CB$614="SI",$CB$603+$CB$615,$CB$603))</f>
        <v/>
      </c>
      <c r="CC617" s="123"/>
      <c r="CD617" s="123"/>
      <c r="CE617" s="123"/>
      <c r="CF617" s="123"/>
      <c r="CG617" s="123"/>
      <c r="CH617" s="123"/>
      <c r="CI617" s="196"/>
      <c r="CJ617" s="196"/>
      <c r="CK617" s="196"/>
      <c r="CL617" s="196"/>
      <c r="CM617" s="196"/>
      <c r="CN617" s="196"/>
      <c r="CO617" s="196"/>
      <c r="CP617" s="196"/>
      <c r="CQ617" s="196"/>
      <c r="CR617" s="196"/>
      <c r="CS617" s="196"/>
      <c r="CT617" s="196"/>
      <c r="CU617" s="196"/>
      <c r="CV617" s="196"/>
      <c r="CW617" s="196"/>
      <c r="CX617" s="196"/>
      <c r="CY617" s="196"/>
      <c r="CZ617" s="196"/>
      <c r="DA617" s="196"/>
      <c r="DB617" s="196"/>
      <c r="DC617" s="196"/>
      <c r="DD617" s="196"/>
      <c r="DE617" s="196"/>
      <c r="DF617" s="196"/>
      <c r="DG617" s="196"/>
      <c r="DH617" s="196"/>
      <c r="DI617" s="196"/>
      <c r="DJ617" s="196"/>
      <c r="DK617" s="196"/>
      <c r="DL617" s="196"/>
      <c r="DM617" s="196"/>
      <c r="DN617" s="196"/>
      <c r="DO617" s="196"/>
      <c r="DP617" s="196"/>
      <c r="DQ617" s="196"/>
      <c r="DR617" s="196"/>
      <c r="DS617" s="196"/>
      <c r="DT617" s="196"/>
    </row>
    <row r="618" spans="27:139" ht="16.5" thickTop="1" thickBot="1" x14ac:dyDescent="0.3">
      <c r="AA618" s="120">
        <v>1</v>
      </c>
      <c r="AB618" s="119">
        <v>0.65</v>
      </c>
      <c r="AC618" s="119">
        <v>0.65</v>
      </c>
      <c r="AD618" s="119">
        <v>0.45</v>
      </c>
      <c r="AE618" s="112">
        <v>0.68</v>
      </c>
      <c r="AF618" s="112">
        <v>0.68</v>
      </c>
      <c r="AG618" s="465"/>
      <c r="AH618" s="465"/>
      <c r="AL618" s="411" t="s">
        <v>171</v>
      </c>
      <c r="AM618" s="394" t="s">
        <v>672</v>
      </c>
      <c r="AN618" s="563" t="s">
        <v>171</v>
      </c>
      <c r="AO618" s="563"/>
      <c r="AP618" s="564" t="s">
        <v>177</v>
      </c>
      <c r="AQ618" s="564"/>
      <c r="BX618" s="196"/>
      <c r="BY618" s="196"/>
      <c r="BZ618" s="196"/>
      <c r="CA618" s="41" t="s">
        <v>329</v>
      </c>
      <c r="CB618" s="26" t="str">
        <f>IF($CB$614="","",IF($CB$614="SI",$CB$601+$CB$616,$CB$601))</f>
        <v/>
      </c>
      <c r="CC618" s="123"/>
      <c r="CD618" s="123"/>
      <c r="CE618" s="123"/>
      <c r="CF618" s="123"/>
      <c r="CG618" s="123"/>
      <c r="CH618" s="123"/>
      <c r="CI618" s="196"/>
      <c r="CJ618" s="196"/>
      <c r="CK618" s="196"/>
      <c r="CL618" s="196"/>
      <c r="CM618" s="196"/>
      <c r="CN618" s="196"/>
      <c r="CO618" s="196"/>
      <c r="CP618" s="196"/>
      <c r="CQ618" s="196"/>
      <c r="CR618" s="196"/>
      <c r="CS618" s="196"/>
      <c r="CT618" s="196"/>
      <c r="CU618" s="196"/>
      <c r="CV618" s="196"/>
      <c r="CW618" s="196"/>
      <c r="CX618" s="196"/>
      <c r="CY618" s="196"/>
      <c r="CZ618" s="196"/>
      <c r="DA618" s="196"/>
      <c r="DB618" s="196"/>
      <c r="DC618" s="196"/>
      <c r="DD618" s="196"/>
      <c r="DE618" s="196"/>
      <c r="DF618" s="196"/>
      <c r="DG618" s="196"/>
      <c r="DH618" s="196"/>
      <c r="DI618" s="196"/>
      <c r="DJ618" s="196"/>
      <c r="DK618" s="196"/>
      <c r="DL618" s="196"/>
      <c r="DM618" s="196"/>
      <c r="DN618" s="196"/>
      <c r="DO618" s="196"/>
      <c r="DP618" s="196"/>
      <c r="DQ618" s="196"/>
      <c r="DR618" s="196"/>
      <c r="DS618" s="196"/>
      <c r="DT618" s="196"/>
    </row>
    <row r="619" spans="27:139" ht="16.5" thickTop="1" thickBot="1" x14ac:dyDescent="0.3">
      <c r="AA619" s="120">
        <v>2</v>
      </c>
      <c r="AB619" s="119">
        <v>0.55000000000000004</v>
      </c>
      <c r="AC619" s="119">
        <v>0.55000000000000004</v>
      </c>
      <c r="AD619" s="119">
        <v>0.45</v>
      </c>
      <c r="AE619" s="112">
        <v>0.65</v>
      </c>
      <c r="AF619" s="112">
        <v>0.65</v>
      </c>
      <c r="AG619" s="465"/>
      <c r="AH619" s="465"/>
      <c r="AL619" s="412" t="s">
        <v>177</v>
      </c>
      <c r="AM619" s="396" t="s">
        <v>672</v>
      </c>
      <c r="AN619" s="402" t="s">
        <v>121</v>
      </c>
      <c r="AO619" s="403" t="s">
        <v>122</v>
      </c>
      <c r="AP619" s="402" t="s">
        <v>121</v>
      </c>
      <c r="AQ619" s="403" t="s">
        <v>122</v>
      </c>
      <c r="BX619" s="196"/>
      <c r="BY619" s="196"/>
      <c r="BZ619" s="196"/>
      <c r="CA619" s="196"/>
      <c r="CB619" s="196"/>
      <c r="CC619" s="196"/>
      <c r="CD619" s="196"/>
      <c r="CE619" s="196"/>
      <c r="CF619" s="196"/>
      <c r="CG619" s="196"/>
      <c r="CH619" s="196"/>
      <c r="CI619" s="196"/>
      <c r="CJ619" s="196"/>
      <c r="CK619" s="196"/>
      <c r="CL619" s="196"/>
      <c r="CM619" s="196"/>
      <c r="CN619" s="196"/>
      <c r="CO619" s="196"/>
      <c r="CP619" s="196"/>
      <c r="CQ619" s="196"/>
      <c r="CR619" s="196"/>
      <c r="CS619" s="196"/>
      <c r="CT619" s="196"/>
      <c r="CU619" s="196"/>
      <c r="CV619" s="196"/>
      <c r="CW619" s="196"/>
      <c r="CX619" s="196"/>
      <c r="CY619" s="196"/>
      <c r="CZ619" s="196"/>
      <c r="DA619" s="196"/>
      <c r="DB619" s="196"/>
      <c r="DC619" s="196"/>
      <c r="DD619" s="196"/>
      <c r="DE619" s="196"/>
      <c r="DF619" s="196"/>
      <c r="DG619" s="196"/>
      <c r="DH619" s="196"/>
      <c r="DI619" s="196"/>
      <c r="DJ619" s="196"/>
      <c r="DK619" s="196"/>
      <c r="DL619" s="196"/>
      <c r="DM619" s="196"/>
      <c r="DN619" s="196"/>
      <c r="DO619" s="196"/>
      <c r="DP619" s="196"/>
      <c r="DQ619" s="196"/>
      <c r="DR619" s="196"/>
      <c r="DS619" s="196"/>
      <c r="DT619" s="196"/>
    </row>
    <row r="620" spans="27:139" ht="24" customHeight="1" thickTop="1" thickBot="1" x14ac:dyDescent="0.3">
      <c r="AA620" s="120">
        <v>3</v>
      </c>
      <c r="AB620" s="119">
        <v>0.5</v>
      </c>
      <c r="AC620" s="119">
        <v>0.55000000000000004</v>
      </c>
      <c r="AD620" s="119">
        <v>0.45</v>
      </c>
      <c r="AE620" s="112">
        <v>0.6</v>
      </c>
      <c r="AF620" s="112">
        <v>0.6</v>
      </c>
      <c r="AG620" s="465"/>
      <c r="AH620" s="465"/>
      <c r="AJ620" s="196"/>
      <c r="AL620" s="571" t="s">
        <v>671</v>
      </c>
      <c r="AM620" s="397">
        <v>1</v>
      </c>
      <c r="AN620" s="398">
        <v>0.7</v>
      </c>
      <c r="AO620" s="398">
        <v>0.85</v>
      </c>
      <c r="AP620" s="398">
        <v>0.7</v>
      </c>
      <c r="AQ620" s="492">
        <v>0.85</v>
      </c>
      <c r="BX620" s="196"/>
      <c r="BY620" s="196"/>
      <c r="BZ620" s="196"/>
      <c r="CA620" s="196"/>
      <c r="CB620" s="196"/>
      <c r="CC620" s="196"/>
      <c r="CD620" s="196"/>
      <c r="CE620" s="196"/>
      <c r="CF620" s="196"/>
      <c r="CG620" s="196"/>
      <c r="CH620" s="196"/>
      <c r="CI620" s="196"/>
      <c r="CJ620" s="196"/>
      <c r="CK620" s="196"/>
      <c r="CL620" s="196"/>
      <c r="CM620" s="196"/>
      <c r="CN620" s="196"/>
      <c r="CO620" s="196"/>
      <c r="CP620" s="196"/>
      <c r="CQ620" s="196"/>
      <c r="CR620" s="196"/>
      <c r="CS620" s="196"/>
      <c r="CT620" s="196"/>
      <c r="CU620" s="196"/>
      <c r="CV620" s="196"/>
      <c r="CW620" s="196"/>
      <c r="CX620" s="196"/>
      <c r="CY620" s="196"/>
      <c r="CZ620" s="196"/>
      <c r="DA620" s="196"/>
      <c r="DB620" s="196"/>
      <c r="DC620" s="196"/>
      <c r="DD620" s="196"/>
      <c r="DE620" s="196"/>
      <c r="DF620" s="196"/>
      <c r="DG620" s="196"/>
      <c r="DH620" s="196"/>
      <c r="DI620" s="196"/>
      <c r="DJ620" s="196"/>
      <c r="DK620" s="196"/>
      <c r="DL620" s="196"/>
      <c r="DM620" s="196"/>
      <c r="DN620" s="196"/>
      <c r="DO620" s="196"/>
      <c r="DP620" s="196"/>
      <c r="DQ620" s="196"/>
      <c r="DR620" s="196"/>
      <c r="DS620" s="196"/>
      <c r="DT620" s="196"/>
    </row>
    <row r="621" spans="27:139" ht="16.5" thickTop="1" thickBot="1" x14ac:dyDescent="0.3">
      <c r="AA621" s="120">
        <v>4</v>
      </c>
      <c r="AB621" s="119">
        <v>0.45</v>
      </c>
      <c r="AC621" s="119">
        <v>0.5</v>
      </c>
      <c r="AD621" s="119">
        <v>0.45</v>
      </c>
      <c r="AE621" s="197">
        <v>0.55000000000000004</v>
      </c>
      <c r="AF621" s="197">
        <v>0.55000000000000004</v>
      </c>
      <c r="AG621" s="465"/>
      <c r="AH621" s="465"/>
      <c r="AJ621" s="196"/>
      <c r="AL621" s="572"/>
      <c r="AM621" s="394">
        <v>2</v>
      </c>
      <c r="AN621" s="395">
        <v>0.7</v>
      </c>
      <c r="AO621" s="395">
        <v>0.85</v>
      </c>
      <c r="AP621" s="395">
        <v>0.7</v>
      </c>
      <c r="AQ621" s="400">
        <v>0.8</v>
      </c>
      <c r="BX621" s="196"/>
      <c r="BY621" s="196"/>
      <c r="BZ621" s="196"/>
      <c r="CA621" s="196"/>
      <c r="CB621" s="196"/>
      <c r="CC621" s="196"/>
      <c r="CD621" s="196"/>
      <c r="CE621" s="196"/>
      <c r="CF621" s="196"/>
      <c r="CG621" s="196"/>
      <c r="CH621" s="196"/>
      <c r="CI621" s="196"/>
      <c r="CJ621" s="196"/>
      <c r="CK621" s="196"/>
      <c r="CL621" s="196"/>
      <c r="CM621" s="196"/>
      <c r="CN621" s="196"/>
      <c r="CO621" s="196"/>
      <c r="CP621" s="196"/>
      <c r="CQ621" s="196"/>
      <c r="CR621" s="196"/>
      <c r="CS621" s="196"/>
      <c r="CT621" s="196"/>
      <c r="CU621" s="196"/>
      <c r="CV621" s="196"/>
      <c r="CW621" s="196"/>
      <c r="CX621" s="196"/>
      <c r="CY621" s="196"/>
      <c r="CZ621" s="196"/>
      <c r="DA621" s="196"/>
      <c r="DB621" s="196"/>
      <c r="DC621" s="196"/>
      <c r="DD621" s="196"/>
      <c r="DE621" s="196"/>
      <c r="DF621" s="196"/>
      <c r="DG621" s="196"/>
      <c r="DH621" s="196"/>
      <c r="DI621" s="196"/>
      <c r="DJ621" s="196"/>
      <c r="DK621" s="196"/>
      <c r="DL621" s="196"/>
      <c r="DM621" s="196"/>
      <c r="DN621" s="196"/>
      <c r="DO621" s="196"/>
      <c r="DP621" s="196"/>
      <c r="DQ621" s="196"/>
      <c r="DR621" s="196"/>
      <c r="DS621" s="196"/>
      <c r="DT621" s="196"/>
    </row>
    <row r="622" spans="27:139" ht="16.5" thickTop="1" thickBot="1" x14ac:dyDescent="0.3">
      <c r="AA622" s="120">
        <v>5</v>
      </c>
      <c r="AB622" s="119">
        <v>0.45</v>
      </c>
      <c r="AC622" s="119">
        <v>0.55000000000000004</v>
      </c>
      <c r="AD622" s="119">
        <v>0.45</v>
      </c>
      <c r="AE622" s="112">
        <v>0.55000000000000004</v>
      </c>
      <c r="AF622" s="112">
        <v>0.55000000000000004</v>
      </c>
      <c r="AG622" s="465"/>
      <c r="AH622" s="465"/>
      <c r="AL622" s="572"/>
      <c r="AM622" s="394">
        <v>3</v>
      </c>
      <c r="AN622" s="395">
        <v>0.6</v>
      </c>
      <c r="AO622" s="395">
        <v>0.75</v>
      </c>
      <c r="AP622" s="395">
        <v>0.6</v>
      </c>
      <c r="AQ622" s="400">
        <v>0.7</v>
      </c>
      <c r="BX622" s="196"/>
      <c r="BY622" s="196"/>
      <c r="BZ622" s="196"/>
      <c r="CA622" s="156"/>
      <c r="CB622" s="156" t="s">
        <v>172</v>
      </c>
      <c r="CC622" s="156" t="s">
        <v>331</v>
      </c>
      <c r="CD622" s="156" t="s">
        <v>332</v>
      </c>
      <c r="CE622" s="196"/>
      <c r="CF622" s="196"/>
      <c r="CG622" s="196"/>
      <c r="CH622" s="196"/>
      <c r="CI622" s="196"/>
      <c r="CJ622" s="196"/>
      <c r="CK622" s="196"/>
      <c r="CL622" s="196"/>
      <c r="CM622" s="196"/>
      <c r="CN622" s="196"/>
      <c r="CO622" s="196"/>
      <c r="CP622" s="196"/>
      <c r="CQ622" s="196"/>
      <c r="CR622" s="196"/>
      <c r="CS622" s="196"/>
      <c r="CT622" s="196"/>
      <c r="CU622" s="196"/>
      <c r="CV622" s="196"/>
      <c r="CW622" s="196"/>
      <c r="CX622" s="196"/>
      <c r="CY622" s="196"/>
      <c r="CZ622" s="196"/>
      <c r="DA622" s="196"/>
      <c r="DB622" s="196"/>
      <c r="DC622" s="196"/>
      <c r="DD622" s="196"/>
      <c r="DE622" s="196"/>
      <c r="DF622" s="196"/>
      <c r="DG622" s="196"/>
      <c r="DH622" s="196"/>
      <c r="DI622" s="196"/>
      <c r="DJ622" s="196"/>
      <c r="DK622" s="196"/>
      <c r="DL622" s="196"/>
      <c r="DM622" s="196"/>
      <c r="DN622" s="196"/>
      <c r="DO622" s="196"/>
      <c r="DP622" s="196"/>
      <c r="DQ622" s="196"/>
      <c r="DR622" s="196"/>
      <c r="DS622" s="196"/>
      <c r="DT622" s="196"/>
    </row>
    <row r="623" spans="27:139" ht="16.5" thickTop="1" thickBot="1" x14ac:dyDescent="0.3">
      <c r="AA623" s="120">
        <v>6</v>
      </c>
      <c r="AB623" s="119">
        <v>0.45</v>
      </c>
      <c r="AC623" s="119">
        <v>0.5</v>
      </c>
      <c r="AD623" s="119">
        <v>0.45</v>
      </c>
      <c r="AE623" s="112">
        <v>0.5</v>
      </c>
      <c r="AF623" s="112">
        <v>0.5</v>
      </c>
      <c r="AG623" s="465"/>
      <c r="AH623" s="465"/>
      <c r="AL623" s="572"/>
      <c r="AM623" s="394">
        <v>4</v>
      </c>
      <c r="AN623" s="395">
        <v>0.4</v>
      </c>
      <c r="AO623" s="395">
        <v>0.65</v>
      </c>
      <c r="AP623" s="300">
        <v>0</v>
      </c>
      <c r="AQ623" s="300">
        <v>0</v>
      </c>
      <c r="BX623" s="196"/>
      <c r="BY623" s="196"/>
      <c r="BZ623" s="196"/>
      <c r="CA623" s="120" t="s">
        <v>333</v>
      </c>
      <c r="CB623" s="163" t="str">
        <f>IF($CE$654=$CE$652,$CB$607,(($CB$618*2)+$CC$606)/$CE$654)</f>
        <v/>
      </c>
      <c r="CC623" s="163" t="e">
        <f>MIN($CH$623*((1-(1+($CC$611))^(-$CB$610))/($CC$611)),5000000,$CB$617)</f>
        <v>#VALUE!</v>
      </c>
      <c r="CD623" s="122" t="e">
        <f>+IF($CC$623&lt;$CB$617,1,0)</f>
        <v>#VALUE!</v>
      </c>
      <c r="CE623" s="119" t="str">
        <f>IF($CB$623&lt;=15000,$CD$632,IF($CB$623&lt;=30000,$CD$633,$CD$634))</f>
        <v>(30k)</v>
      </c>
      <c r="CF623" s="119" t="str">
        <f>$CB$604&amp;$CC$652&amp;$CE$623</f>
        <v>ALL(30k)</v>
      </c>
      <c r="CG623" s="122" t="e">
        <f>VLOOKUP($CF$623,$CA$631:$CE$649,5,0)</f>
        <v>#N/A</v>
      </c>
      <c r="CH623" s="163" t="e">
        <f>$CB$623*$CG$623-$CB$629</f>
        <v>#VALUE!</v>
      </c>
      <c r="CI623" s="196"/>
      <c r="CJ623" s="196"/>
      <c r="CK623" s="196"/>
      <c r="CL623" s="196"/>
      <c r="CM623" s="196"/>
      <c r="CN623" s="196"/>
      <c r="CO623" s="196"/>
      <c r="CP623" s="196"/>
      <c r="CQ623" s="196"/>
      <c r="CR623" s="196"/>
      <c r="CS623" s="196"/>
      <c r="CT623" s="196"/>
      <c r="CU623" s="196"/>
      <c r="CV623" s="196"/>
      <c r="CW623" s="196"/>
      <c r="CX623" s="196"/>
      <c r="CY623" s="196"/>
      <c r="CZ623" s="196"/>
      <c r="DA623" s="196"/>
      <c r="DB623" s="196"/>
      <c r="DC623" s="196"/>
      <c r="DD623" s="196"/>
      <c r="DE623" s="196"/>
      <c r="DF623" s="196"/>
      <c r="DG623" s="196"/>
      <c r="DH623" s="196"/>
      <c r="DI623" s="196"/>
      <c r="DJ623" s="196"/>
      <c r="DK623" s="196"/>
      <c r="DL623" s="196"/>
      <c r="DM623" s="196"/>
      <c r="DN623" s="196"/>
      <c r="DO623" s="196"/>
      <c r="DP623" s="196"/>
      <c r="DQ623" s="196"/>
      <c r="DR623" s="196"/>
      <c r="DS623" s="196"/>
      <c r="DT623" s="196"/>
    </row>
    <row r="624" spans="27:139" ht="16.5" thickTop="1" thickBot="1" x14ac:dyDescent="0.3">
      <c r="AA624" s="76"/>
      <c r="AB624" s="76"/>
      <c r="AC624" s="76"/>
      <c r="AD624" s="76"/>
      <c r="AE624" s="76"/>
      <c r="AF624" s="465"/>
      <c r="AG624" s="465"/>
      <c r="AH624" s="465"/>
      <c r="AL624" s="572"/>
      <c r="AM624" s="394">
        <v>5</v>
      </c>
      <c r="AN624" s="300">
        <v>0</v>
      </c>
      <c r="AO624" s="300">
        <v>0</v>
      </c>
      <c r="AP624" s="300">
        <v>0</v>
      </c>
      <c r="AQ624" s="300">
        <v>0</v>
      </c>
      <c r="BX624" s="196"/>
      <c r="BY624" s="196"/>
      <c r="BZ624" s="196"/>
      <c r="CA624" s="120" t="s">
        <v>334</v>
      </c>
      <c r="CB624" s="163" t="e">
        <f>(($CB$618*2*1.05)+$CC$606)/$CG$624</f>
        <v>#VALUE!</v>
      </c>
      <c r="CC624" s="163" t="e">
        <f>MIN($CH$624*((1-(1+($CC$611))^(-$CB$610))/($CC$611)),5000000,$CB$617)</f>
        <v>#VALUE!</v>
      </c>
      <c r="CD624" s="122" t="e">
        <f>+IF($CC$624&lt;$CB$617,1,0)</f>
        <v>#VALUE!</v>
      </c>
      <c r="CE624" s="119" t="e">
        <f>IF($CB$624&lt;=15000,$CD$632,IF($CB$624&lt;=30000,$CD$633,$CD$634))</f>
        <v>#VALUE!</v>
      </c>
      <c r="CF624" s="119" t="str">
        <f>$CB$604&amp;$CC$652&amp;$CE$623</f>
        <v>ALL(30k)</v>
      </c>
      <c r="CG624" s="122" t="e">
        <f>VLOOKUP($CF$623,$CA$631:$CE$649,5,0)</f>
        <v>#N/A</v>
      </c>
      <c r="CH624" s="163" t="e">
        <f>$CB$624*$CG$624-$CB$629</f>
        <v>#VALUE!</v>
      </c>
      <c r="CI624" s="196"/>
      <c r="CJ624" s="196"/>
      <c r="CK624" s="196"/>
      <c r="CL624" s="196"/>
      <c r="CM624" s="196"/>
      <c r="CN624" s="196"/>
      <c r="CO624" s="196"/>
      <c r="CP624" s="196"/>
      <c r="CQ624" s="196"/>
      <c r="CR624" s="196"/>
      <c r="CS624" s="196"/>
      <c r="CT624" s="196"/>
      <c r="CU624" s="196"/>
      <c r="CV624" s="196"/>
      <c r="CW624" s="196"/>
      <c r="CX624" s="196"/>
      <c r="CY624" s="196"/>
      <c r="CZ624" s="196"/>
      <c r="DA624" s="196"/>
      <c r="DB624" s="196"/>
      <c r="DC624" s="196"/>
      <c r="DD624" s="196"/>
      <c r="DE624" s="196"/>
      <c r="DF624" s="196"/>
      <c r="DG624" s="196"/>
      <c r="DH624" s="196"/>
      <c r="DI624" s="196"/>
      <c r="DJ624" s="196"/>
      <c r="DK624" s="196"/>
      <c r="DL624" s="196"/>
      <c r="DM624" s="196"/>
      <c r="DN624" s="196"/>
      <c r="DO624" s="196"/>
      <c r="DP624" s="196"/>
      <c r="DQ624" s="196"/>
      <c r="DR624" s="196"/>
      <c r="DS624" s="196"/>
      <c r="DT624" s="196"/>
    </row>
    <row r="625" spans="5:124" ht="16.5" thickTop="1" thickBot="1" x14ac:dyDescent="0.3">
      <c r="AB625" s="224" t="str">
        <f>IF(_xlfn.NUMBERVALUE($AB$614)&gt;=$AE$614,$AF$614,"")</f>
        <v/>
      </c>
      <c r="AC625" s="224" t="str">
        <f>IF(_xlfn.NUMBERVALUE($AC$614)&gt;=$AE$614,$AF$614,"")</f>
        <v/>
      </c>
      <c r="AD625" s="224" t="str">
        <f>IF(_xlfn.NUMBERVALUE($AD$614)&gt;=$AE$614,$AF$614,"")</f>
        <v/>
      </c>
      <c r="AE625" s="76"/>
      <c r="AF625" s="76"/>
      <c r="AL625" s="572"/>
      <c r="AM625" s="394">
        <v>6</v>
      </c>
      <c r="AN625" s="300">
        <v>0</v>
      </c>
      <c r="AO625" s="300">
        <v>0</v>
      </c>
      <c r="AP625" s="300">
        <v>0</v>
      </c>
      <c r="AQ625" s="300">
        <v>0</v>
      </c>
      <c r="BX625" s="196"/>
      <c r="BY625" s="196"/>
      <c r="BZ625" s="196"/>
      <c r="CA625" s="120" t="s">
        <v>335</v>
      </c>
      <c r="CB625" s="163" t="e">
        <f>+(($CB$618*2*1.1)+$CC$606)/$CG$625</f>
        <v>#VALUE!</v>
      </c>
      <c r="CC625" s="163" t="e">
        <f>MIN($CH$625*((1-(1+($CC$611))^(-$CB$610))/($CC$611)),5000000,$CB$617)</f>
        <v>#VALUE!</v>
      </c>
      <c r="CD625" s="122" t="e">
        <f>+IF($CC$625&lt;$CB$617,1,0)</f>
        <v>#VALUE!</v>
      </c>
      <c r="CE625" s="119" t="e">
        <f>IF($CB$625&lt;=15000,$CD$632,IF($CB$625&lt;=30000,$CD$633,$CD$634))</f>
        <v>#VALUE!</v>
      </c>
      <c r="CF625" s="119" t="str">
        <f>$CB$604&amp;$CC$652&amp;$CE$623</f>
        <v>ALL(30k)</v>
      </c>
      <c r="CG625" s="122" t="e">
        <f>VLOOKUP($CF$623,$CA$631:$CE$649,5,0)</f>
        <v>#N/A</v>
      </c>
      <c r="CH625" s="163" t="e">
        <f>$CB$625*$CG$625-$CB$629</f>
        <v>#VALUE!</v>
      </c>
      <c r="CI625" s="196"/>
      <c r="CJ625" s="196"/>
      <c r="CK625" s="196"/>
      <c r="CL625" s="196"/>
      <c r="CM625" s="196"/>
      <c r="CN625" s="196"/>
      <c r="CO625" s="196"/>
      <c r="CP625" s="196"/>
      <c r="CQ625" s="196"/>
      <c r="CR625" s="196"/>
      <c r="CS625" s="196"/>
      <c r="CT625" s="196"/>
      <c r="CU625" s="196"/>
      <c r="CV625" s="196"/>
      <c r="CW625" s="196"/>
      <c r="CX625" s="196"/>
      <c r="CY625" s="196"/>
      <c r="CZ625" s="196"/>
      <c r="DA625" s="196"/>
      <c r="DB625" s="196"/>
      <c r="DC625" s="196"/>
      <c r="DD625" s="196"/>
      <c r="DE625" s="196"/>
      <c r="DF625" s="196"/>
      <c r="DG625" s="196"/>
      <c r="DH625" s="196"/>
      <c r="DI625" s="196"/>
      <c r="DJ625" s="196"/>
      <c r="DK625" s="196"/>
      <c r="DL625" s="196"/>
      <c r="DM625" s="196"/>
      <c r="DN625" s="196"/>
      <c r="DO625" s="196"/>
      <c r="DP625" s="196"/>
      <c r="DQ625" s="196"/>
      <c r="DR625" s="196"/>
      <c r="DS625" s="196"/>
      <c r="DT625" s="196"/>
    </row>
    <row r="626" spans="5:124" ht="16.5" thickTop="1" thickBot="1" x14ac:dyDescent="0.3">
      <c r="AC626" s="76"/>
      <c r="AD626" s="76"/>
      <c r="AE626" s="76"/>
      <c r="AF626" s="76"/>
      <c r="AL626" s="572"/>
      <c r="AM626" s="574" t="s">
        <v>459</v>
      </c>
      <c r="AN626" s="575"/>
      <c r="AO626" s="575"/>
      <c r="AP626" s="575"/>
      <c r="AQ626" s="576"/>
      <c r="BX626" s="196"/>
      <c r="BY626" s="196"/>
      <c r="BZ626" s="196"/>
      <c r="CA626" s="120" t="s">
        <v>336</v>
      </c>
      <c r="CB626" s="163" t="e">
        <f>+(($CB$618*2*1.15)+$CC$606)/$CG$626</f>
        <v>#VALUE!</v>
      </c>
      <c r="CC626" s="163" t="e">
        <f>MIN($CH$626*((1-(1+($CC$611))^(-$CB$610))/($CC$611)),5000000,$CB$617)</f>
        <v>#VALUE!</v>
      </c>
      <c r="CD626" s="122" t="e">
        <f>+IF($CC$626&lt;$CB$617,1,0)</f>
        <v>#VALUE!</v>
      </c>
      <c r="CE626" s="119" t="e">
        <f>IF($CB$626&lt;=15000,$CD$632,IF($CB$626&lt;=30000,$CD$633,$CD$634))</f>
        <v>#VALUE!</v>
      </c>
      <c r="CF626" s="119" t="str">
        <f>$CB$604&amp;$CC$652&amp;$CE$623</f>
        <v>ALL(30k)</v>
      </c>
      <c r="CG626" s="122" t="e">
        <f>VLOOKUP($CF$623,$CA$631:$CE$649,5,0)</f>
        <v>#N/A</v>
      </c>
      <c r="CH626" s="163" t="e">
        <f>$CB$626*$CG$626-$CB$629</f>
        <v>#VALUE!</v>
      </c>
      <c r="CI626" s="196"/>
      <c r="CJ626" s="196"/>
      <c r="CK626" s="196"/>
      <c r="CL626" s="196"/>
      <c r="CM626" s="196"/>
      <c r="CN626" s="196"/>
      <c r="CO626" s="196"/>
      <c r="CP626" s="196"/>
      <c r="CQ626" s="196"/>
      <c r="CR626" s="196"/>
      <c r="CS626" s="196"/>
      <c r="CT626" s="196"/>
      <c r="CU626" s="196"/>
      <c r="CV626" s="196"/>
      <c r="CW626" s="196"/>
      <c r="CX626" s="196"/>
      <c r="CY626" s="196"/>
      <c r="CZ626" s="196"/>
      <c r="DA626" s="196"/>
      <c r="DB626" s="196"/>
      <c r="DC626" s="196"/>
      <c r="DD626" s="196"/>
      <c r="DE626" s="196"/>
      <c r="DF626" s="196"/>
      <c r="DG626" s="196"/>
      <c r="DH626" s="196"/>
      <c r="DI626" s="196"/>
      <c r="DJ626" s="196"/>
      <c r="DK626" s="196"/>
      <c r="DL626" s="196"/>
      <c r="DM626" s="196"/>
      <c r="DN626" s="196"/>
      <c r="DO626" s="196"/>
      <c r="DP626" s="196"/>
      <c r="DQ626" s="196"/>
      <c r="DR626" s="196"/>
      <c r="DS626" s="196"/>
      <c r="DT626" s="196"/>
    </row>
    <row r="627" spans="5:124" ht="16.5" thickTop="1" thickBot="1" x14ac:dyDescent="0.3">
      <c r="AC627" s="76"/>
      <c r="AD627" s="76"/>
      <c r="AE627" s="76"/>
      <c r="AF627" s="76"/>
      <c r="AL627" s="572"/>
      <c r="AM627" s="394">
        <v>1</v>
      </c>
      <c r="AN627" s="398">
        <v>0.7</v>
      </c>
      <c r="AO627" s="398">
        <v>0.8</v>
      </c>
      <c r="AP627" s="492">
        <v>0.7</v>
      </c>
      <c r="AQ627" s="492">
        <v>0.75</v>
      </c>
      <c r="BX627" s="196"/>
      <c r="BY627" s="196"/>
      <c r="BZ627" s="196"/>
      <c r="CA627" s="120" t="s">
        <v>297</v>
      </c>
      <c r="CB627" s="163" t="e">
        <f>+IF($CC$623&gt;=$CB$617,$CB$623,IF($CC$624&gt;=$CB$617,$CB$624,IF($CC$625&gt;=$CB$617,$CB$625,IF($CC$626&gt;=$CB$617,$CB$626,$CB$623))))</f>
        <v>#VALUE!</v>
      </c>
      <c r="CC627" s="165"/>
      <c r="CD627" s="196"/>
      <c r="CE627" s="196"/>
      <c r="CF627" s="196"/>
      <c r="CG627" s="196"/>
      <c r="CH627" s="196"/>
      <c r="CI627" s="196"/>
      <c r="CJ627" s="196"/>
      <c r="CK627" s="196"/>
      <c r="CL627" s="196"/>
      <c r="CM627" s="196"/>
      <c r="CN627" s="196"/>
      <c r="CO627" s="196"/>
      <c r="CP627" s="196"/>
      <c r="CQ627" s="196"/>
      <c r="CR627" s="196"/>
      <c r="CS627" s="196"/>
      <c r="CT627" s="196"/>
      <c r="CU627" s="196"/>
      <c r="CV627" s="196"/>
      <c r="CW627" s="196"/>
      <c r="CX627" s="196"/>
      <c r="CY627" s="196"/>
      <c r="CZ627" s="196"/>
      <c r="DA627" s="196"/>
      <c r="DB627" s="196"/>
      <c r="DC627" s="196"/>
      <c r="DD627" s="196"/>
      <c r="DE627" s="196"/>
      <c r="DF627" s="196"/>
      <c r="DG627" s="196"/>
      <c r="DH627" s="196"/>
      <c r="DI627" s="196"/>
      <c r="DJ627" s="196"/>
      <c r="DK627" s="196"/>
      <c r="DL627" s="196"/>
      <c r="DM627" s="196"/>
      <c r="DN627" s="196"/>
      <c r="DO627" s="196"/>
      <c r="DP627" s="196"/>
      <c r="DQ627" s="196"/>
      <c r="DR627" s="196"/>
      <c r="DS627" s="196"/>
      <c r="DT627" s="196"/>
    </row>
    <row r="628" spans="5:124" ht="16.5" thickTop="1" thickBot="1" x14ac:dyDescent="0.3">
      <c r="AC628" s="76"/>
      <c r="AD628" s="76"/>
      <c r="AE628" s="76"/>
      <c r="AF628" s="76"/>
      <c r="AL628" s="572"/>
      <c r="AM628" s="394">
        <v>2</v>
      </c>
      <c r="AN628" s="395">
        <v>0.7</v>
      </c>
      <c r="AO628" s="395">
        <v>0.8</v>
      </c>
      <c r="AP628" s="492">
        <v>0.7</v>
      </c>
      <c r="AQ628" s="492">
        <v>0.7</v>
      </c>
      <c r="BX628" s="196"/>
      <c r="BY628" s="196"/>
      <c r="BZ628" s="196"/>
      <c r="CA628" s="120"/>
      <c r="CB628" s="165"/>
      <c r="CC628" s="196"/>
      <c r="CD628" s="196"/>
      <c r="CE628" s="196"/>
      <c r="CF628" s="196"/>
      <c r="CG628" s="196"/>
      <c r="CH628" s="196"/>
      <c r="CI628" s="196"/>
      <c r="CJ628" s="196"/>
      <c r="CK628" s="196"/>
      <c r="CL628" s="196"/>
      <c r="CM628" s="196"/>
      <c r="CN628" s="196"/>
      <c r="CO628" s="196"/>
      <c r="CP628" s="196"/>
      <c r="CQ628" s="196"/>
      <c r="CR628" s="196"/>
      <c r="CS628" s="196"/>
      <c r="CT628" s="196"/>
      <c r="CU628" s="196"/>
      <c r="CV628" s="196"/>
      <c r="CW628" s="196"/>
      <c r="CX628" s="196"/>
      <c r="CY628" s="196"/>
      <c r="CZ628" s="196"/>
      <c r="DA628" s="196"/>
      <c r="DB628" s="196"/>
      <c r="DC628" s="196"/>
      <c r="DD628" s="196"/>
      <c r="DE628" s="196"/>
      <c r="DF628" s="196"/>
      <c r="DG628" s="196"/>
      <c r="DH628" s="196"/>
      <c r="DI628" s="196"/>
      <c r="DJ628" s="196"/>
      <c r="DK628" s="196"/>
      <c r="DL628" s="196"/>
      <c r="DM628" s="196"/>
      <c r="DN628" s="196"/>
      <c r="DO628" s="196"/>
      <c r="DP628" s="196"/>
      <c r="DQ628" s="196"/>
      <c r="DR628" s="196"/>
      <c r="DS628" s="196"/>
      <c r="DT628" s="196"/>
    </row>
    <row r="629" spans="5:124" ht="16.5" thickTop="1" thickBot="1" x14ac:dyDescent="0.3">
      <c r="AC629" s="76"/>
      <c r="AD629" s="76"/>
      <c r="AE629" s="76"/>
      <c r="AF629" s="76"/>
      <c r="AL629" s="572"/>
      <c r="AM629" s="394">
        <v>3</v>
      </c>
      <c r="AN629" s="395">
        <v>0.6</v>
      </c>
      <c r="AO629" s="395">
        <v>0.7</v>
      </c>
      <c r="AP629" s="395">
        <v>0.5</v>
      </c>
      <c r="AQ629" s="400">
        <v>0.5</v>
      </c>
      <c r="BX629" s="196"/>
      <c r="BY629" s="196"/>
      <c r="BZ629" s="196"/>
      <c r="CA629" s="120" t="s">
        <v>319</v>
      </c>
      <c r="CB629" s="163" t="e">
        <f>$CB$618+$CC$606</f>
        <v>#VALUE!</v>
      </c>
      <c r="CC629" s="196"/>
      <c r="CD629" s="196"/>
      <c r="CE629" s="196"/>
      <c r="CF629" s="196"/>
      <c r="CG629" s="196"/>
      <c r="CH629" s="196"/>
      <c r="CI629" s="196"/>
      <c r="CJ629" s="196"/>
      <c r="CK629" s="196"/>
      <c r="CL629" s="196"/>
      <c r="CM629" s="196"/>
      <c r="CN629" s="196"/>
      <c r="CO629" s="196"/>
      <c r="CP629" s="196"/>
      <c r="CQ629" s="196"/>
      <c r="CR629" s="196"/>
      <c r="CS629" s="196"/>
      <c r="CT629" s="196"/>
      <c r="CU629" s="196"/>
      <c r="CV629" s="196"/>
      <c r="CW629" s="196"/>
      <c r="CX629" s="196"/>
      <c r="CY629" s="196"/>
      <c r="CZ629" s="196"/>
      <c r="DA629" s="196"/>
      <c r="DB629" s="196"/>
      <c r="DC629" s="196"/>
      <c r="DD629" s="196"/>
      <c r="DE629" s="196"/>
      <c r="DF629" s="196"/>
      <c r="DG629" s="196"/>
      <c r="DH629" s="196"/>
      <c r="DI629" s="196"/>
      <c r="DJ629" s="196"/>
      <c r="DK629" s="196"/>
      <c r="DL629" s="196"/>
      <c r="DM629" s="196"/>
      <c r="DN629" s="196"/>
      <c r="DO629" s="196"/>
      <c r="DP629" s="196"/>
      <c r="DQ629" s="196"/>
      <c r="DR629" s="196"/>
      <c r="DS629" s="196"/>
      <c r="DT629" s="196"/>
    </row>
    <row r="630" spans="5:124" ht="16.5" thickTop="1" thickBot="1" x14ac:dyDescent="0.3">
      <c r="AA630" s="497" t="s">
        <v>119</v>
      </c>
      <c r="AB630" s="498"/>
      <c r="AC630" s="498"/>
      <c r="AD630" s="498"/>
      <c r="AE630" s="498"/>
      <c r="AF630" s="498"/>
      <c r="AG630" s="499"/>
      <c r="AH630" s="11"/>
      <c r="AL630" s="572"/>
      <c r="AM630" s="394">
        <v>4</v>
      </c>
      <c r="AN630" s="395">
        <v>0.4</v>
      </c>
      <c r="AO630" s="395">
        <v>0.6</v>
      </c>
      <c r="AP630" s="300">
        <v>0</v>
      </c>
      <c r="AQ630" s="300">
        <v>0</v>
      </c>
      <c r="BX630" s="196"/>
      <c r="BY630" s="196"/>
      <c r="BZ630" s="196"/>
      <c r="CA630" s="196"/>
      <c r="CB630" s="196"/>
      <c r="CC630" s="196"/>
      <c r="CD630" s="196"/>
      <c r="CE630" s="196"/>
      <c r="CF630" s="196"/>
      <c r="CG630" s="196"/>
      <c r="CH630" s="196"/>
      <c r="CI630" s="196"/>
      <c r="CJ630" s="196"/>
      <c r="CK630" s="196"/>
      <c r="CL630" s="196"/>
      <c r="CM630" s="196"/>
      <c r="CN630" s="196"/>
      <c r="CO630" s="196"/>
      <c r="CP630" s="196"/>
      <c r="CQ630" s="196"/>
      <c r="CR630" s="196"/>
      <c r="CS630" s="196"/>
      <c r="CT630" s="196"/>
      <c r="CU630" s="196"/>
      <c r="CV630" s="196"/>
      <c r="CW630" s="196"/>
      <c r="CX630" s="196"/>
      <c r="CY630" s="196"/>
      <c r="CZ630" s="196"/>
      <c r="DA630" s="196"/>
      <c r="DB630" s="196"/>
      <c r="DC630" s="196"/>
      <c r="DD630" s="196"/>
      <c r="DE630" s="196"/>
      <c r="DF630" s="196"/>
      <c r="DG630" s="196"/>
      <c r="DH630" s="196"/>
      <c r="DI630" s="196"/>
      <c r="DJ630" s="196"/>
      <c r="DK630" s="196"/>
      <c r="DL630" s="196"/>
      <c r="DM630" s="196"/>
      <c r="DN630" s="196"/>
      <c r="DO630" s="196"/>
      <c r="DP630" s="196"/>
      <c r="DQ630" s="196"/>
      <c r="DR630" s="196"/>
      <c r="DS630" s="196"/>
      <c r="DT630" s="196"/>
    </row>
    <row r="631" spans="5:124" ht="16.5" thickTop="1" thickBot="1" x14ac:dyDescent="0.3">
      <c r="AA631" s="48" t="s">
        <v>123</v>
      </c>
      <c r="AB631" s="13">
        <v>0</v>
      </c>
      <c r="AL631" s="572"/>
      <c r="AM631" s="394">
        <v>5</v>
      </c>
      <c r="AN631" s="300">
        <v>0</v>
      </c>
      <c r="AO631" s="300">
        <v>0</v>
      </c>
      <c r="AP631" s="300">
        <v>0</v>
      </c>
      <c r="AQ631" s="300">
        <v>0</v>
      </c>
      <c r="BX631" s="196"/>
      <c r="BY631" s="196"/>
      <c r="BZ631" s="196"/>
      <c r="CA631" s="156" t="s">
        <v>169</v>
      </c>
      <c r="CB631" s="156" t="s">
        <v>170</v>
      </c>
      <c r="CC631" s="156" t="s">
        <v>171</v>
      </c>
      <c r="CD631" s="156" t="s">
        <v>172</v>
      </c>
      <c r="CE631" s="156" t="s">
        <v>107</v>
      </c>
      <c r="CF631" s="156" t="s">
        <v>198</v>
      </c>
      <c r="CG631" s="156" t="s">
        <v>196</v>
      </c>
      <c r="CH631" s="156" t="s">
        <v>197</v>
      </c>
      <c r="CI631" s="196"/>
      <c r="CJ631" s="196"/>
      <c r="CK631" s="196"/>
      <c r="CL631" s="196"/>
      <c r="CM631" s="196"/>
      <c r="CN631" s="196"/>
      <c r="CO631" s="196"/>
      <c r="CP631" s="196"/>
      <c r="CQ631" s="196"/>
      <c r="CR631" s="196"/>
      <c r="CS631" s="196"/>
      <c r="CT631" s="196"/>
      <c r="CU631" s="196"/>
      <c r="CV631" s="196"/>
      <c r="CW631" s="196"/>
      <c r="CX631" s="196"/>
      <c r="CY631" s="196"/>
      <c r="CZ631" s="196"/>
      <c r="DA631" s="196"/>
      <c r="DB631" s="196"/>
      <c r="DC631" s="196"/>
      <c r="DD631" s="196"/>
      <c r="DE631" s="196"/>
      <c r="DF631" s="196"/>
      <c r="DG631" s="196"/>
      <c r="DH631" s="196"/>
      <c r="DI631" s="196"/>
      <c r="DJ631" s="196"/>
      <c r="DK631" s="196"/>
      <c r="DL631" s="196"/>
      <c r="DM631" s="196"/>
      <c r="DN631" s="196"/>
      <c r="DO631" s="196"/>
      <c r="DP631" s="196"/>
      <c r="DQ631" s="196"/>
      <c r="DR631" s="196"/>
      <c r="DS631" s="196"/>
      <c r="DT631" s="196"/>
    </row>
    <row r="632" spans="5:124" ht="16.5" thickTop="1" thickBot="1" x14ac:dyDescent="0.3">
      <c r="AA632" s="48" t="s">
        <v>124</v>
      </c>
      <c r="AB632" s="13">
        <v>0</v>
      </c>
      <c r="AL632" s="573"/>
      <c r="AM632" s="401">
        <v>6</v>
      </c>
      <c r="AN632" s="300">
        <v>0</v>
      </c>
      <c r="AO632" s="300">
        <v>0</v>
      </c>
      <c r="AP632" s="300">
        <v>0</v>
      </c>
      <c r="AQ632" s="300">
        <v>0</v>
      </c>
      <c r="BX632" s="196"/>
      <c r="BY632" s="196"/>
      <c r="BZ632" s="196"/>
      <c r="CA632" s="120" t="s">
        <v>178</v>
      </c>
      <c r="CB632" s="122">
        <v>1</v>
      </c>
      <c r="CC632" s="119" t="s">
        <v>173</v>
      </c>
      <c r="CD632" s="119" t="s">
        <v>174</v>
      </c>
      <c r="CE632" s="119">
        <v>0.6</v>
      </c>
      <c r="CF632" s="122">
        <v>6</v>
      </c>
      <c r="CG632" s="122">
        <v>1</v>
      </c>
      <c r="CH632" s="119" t="s">
        <v>171</v>
      </c>
      <c r="CI632" s="196"/>
      <c r="CJ632" s="196"/>
      <c r="CK632" s="196"/>
      <c r="CL632" s="196"/>
      <c r="CM632" s="196"/>
      <c r="CN632" s="196"/>
      <c r="CO632" s="196"/>
      <c r="CP632" s="196"/>
      <c r="CQ632" s="196"/>
      <c r="CR632" s="196"/>
      <c r="CS632" s="196"/>
      <c r="CT632" s="196"/>
      <c r="CU632" s="196"/>
      <c r="CV632" s="196"/>
      <c r="CW632" s="196"/>
      <c r="CX632" s="196"/>
      <c r="CY632" s="196"/>
      <c r="CZ632" s="196"/>
      <c r="DA632" s="196"/>
      <c r="DB632" s="196"/>
      <c r="DC632" s="196"/>
      <c r="DD632" s="196"/>
      <c r="DE632" s="196"/>
      <c r="DF632" s="196"/>
      <c r="DG632" s="196"/>
      <c r="DH632" s="196"/>
      <c r="DI632" s="196"/>
      <c r="DJ632" s="196"/>
      <c r="DK632" s="196"/>
      <c r="DL632" s="196"/>
      <c r="DM632" s="196"/>
      <c r="DN632" s="196"/>
      <c r="DO632" s="196"/>
      <c r="DP632" s="196"/>
      <c r="DQ632" s="196"/>
      <c r="DR632" s="196"/>
      <c r="DS632" s="196"/>
      <c r="DT632" s="196"/>
    </row>
    <row r="633" spans="5:124" ht="16.5" thickTop="1" thickBot="1" x14ac:dyDescent="0.3">
      <c r="AA633" s="48" t="s">
        <v>125</v>
      </c>
      <c r="AB633" s="13">
        <v>0</v>
      </c>
      <c r="AL633" s="568" t="s">
        <v>669</v>
      </c>
      <c r="AM633" s="404">
        <v>1</v>
      </c>
      <c r="AN633" s="405">
        <v>0.7</v>
      </c>
      <c r="AO633" s="405">
        <v>0.8</v>
      </c>
      <c r="AP633" s="405">
        <v>0.7</v>
      </c>
      <c r="AQ633" s="406">
        <v>0.8</v>
      </c>
      <c r="BX633" s="196"/>
      <c r="BY633" s="196"/>
      <c r="BZ633" s="196"/>
      <c r="CA633" s="120" t="s">
        <v>179</v>
      </c>
      <c r="CB633" s="122">
        <v>1</v>
      </c>
      <c r="CC633" s="119" t="s">
        <v>173</v>
      </c>
      <c r="CD633" s="119" t="s">
        <v>175</v>
      </c>
      <c r="CE633" s="119">
        <v>0.6</v>
      </c>
      <c r="CF633" s="122">
        <v>12</v>
      </c>
      <c r="CG633" s="122">
        <v>2</v>
      </c>
      <c r="CH633" s="119" t="s">
        <v>177</v>
      </c>
      <c r="CI633" s="196"/>
      <c r="CJ633" s="196"/>
      <c r="CK633" s="196"/>
      <c r="CL633" s="196"/>
      <c r="CM633" s="196"/>
      <c r="CN633" s="196"/>
      <c r="CO633" s="196"/>
      <c r="CP633" s="196"/>
      <c r="CQ633" s="196"/>
      <c r="CR633" s="196"/>
      <c r="CS633" s="196"/>
      <c r="CT633" s="196"/>
      <c r="CU633" s="196"/>
      <c r="CV633" s="196"/>
      <c r="CW633" s="196"/>
      <c r="CX633" s="196"/>
      <c r="CY633" s="196"/>
      <c r="CZ633" s="196"/>
      <c r="DA633" s="196"/>
      <c r="DB633" s="196"/>
      <c r="DC633" s="196"/>
      <c r="DD633" s="196"/>
      <c r="DE633" s="196"/>
      <c r="DF633" s="196"/>
      <c r="DG633" s="196"/>
      <c r="DH633" s="196"/>
      <c r="DI633" s="196"/>
      <c r="DJ633" s="196"/>
      <c r="DK633" s="196"/>
      <c r="DL633" s="196"/>
      <c r="DM633" s="196"/>
      <c r="DN633" s="196"/>
      <c r="DO633" s="196"/>
      <c r="DP633" s="196"/>
      <c r="DQ633" s="196"/>
      <c r="DR633" s="196"/>
      <c r="DS633" s="196"/>
      <c r="DT633" s="196"/>
    </row>
    <row r="634" spans="5:124" ht="16.5" customHeight="1" thickTop="1" thickBot="1" x14ac:dyDescent="0.3">
      <c r="AA634" s="48" t="s">
        <v>109</v>
      </c>
      <c r="AB634" s="18">
        <v>0</v>
      </c>
      <c r="AL634" s="569"/>
      <c r="AM634" s="407">
        <v>2</v>
      </c>
      <c r="AN634" s="408">
        <v>0.7</v>
      </c>
      <c r="AO634" s="408">
        <v>0.8</v>
      </c>
      <c r="AP634" s="408">
        <v>0.7</v>
      </c>
      <c r="AQ634" s="409">
        <v>0.8</v>
      </c>
      <c r="BX634" s="196"/>
      <c r="BY634" s="196"/>
      <c r="BZ634" s="196"/>
      <c r="CA634" s="120" t="s">
        <v>180</v>
      </c>
      <c r="CB634" s="122">
        <v>1</v>
      </c>
      <c r="CC634" s="119" t="s">
        <v>173</v>
      </c>
      <c r="CD634" s="119" t="s">
        <v>176</v>
      </c>
      <c r="CE634" s="119">
        <v>0.6</v>
      </c>
      <c r="CF634" s="122">
        <v>24</v>
      </c>
      <c r="CG634" s="122">
        <v>3</v>
      </c>
      <c r="CH634" s="196"/>
      <c r="CI634" s="196"/>
      <c r="CJ634" s="196"/>
      <c r="CK634" s="196"/>
      <c r="CL634" s="196"/>
      <c r="CM634" s="196"/>
      <c r="CN634" s="196"/>
      <c r="CO634" s="196"/>
      <c r="CP634" s="196"/>
      <c r="CQ634" s="196"/>
      <c r="CR634" s="196"/>
      <c r="CS634" s="196"/>
      <c r="CT634" s="196"/>
      <c r="CU634" s="196"/>
      <c r="CV634" s="196"/>
      <c r="CW634" s="196"/>
      <c r="CX634" s="196"/>
      <c r="CY634" s="196"/>
      <c r="CZ634" s="196"/>
      <c r="DA634" s="196"/>
      <c r="DB634" s="196"/>
      <c r="DC634" s="196"/>
      <c r="DD634" s="196"/>
      <c r="DE634" s="196"/>
      <c r="DF634" s="196"/>
      <c r="DG634" s="196"/>
      <c r="DH634" s="196"/>
      <c r="DI634" s="196"/>
      <c r="DJ634" s="196"/>
      <c r="DK634" s="196"/>
      <c r="DL634" s="196"/>
      <c r="DM634" s="196"/>
      <c r="DN634" s="196"/>
      <c r="DO634" s="196"/>
      <c r="DP634" s="196"/>
      <c r="DQ634" s="196"/>
      <c r="DR634" s="196"/>
      <c r="DS634" s="196"/>
      <c r="DT634" s="196"/>
    </row>
    <row r="635" spans="5:124" ht="16.5" thickTop="1" thickBot="1" x14ac:dyDescent="0.3">
      <c r="AA635" s="37" t="s">
        <v>121</v>
      </c>
      <c r="AB635" s="54">
        <f>IFERROR(IF($AB$631=0,0,$AB$631*$AC$635),"")</f>
        <v>0</v>
      </c>
      <c r="AC635" s="79">
        <f>IFERROR(IF($AB$634=0,0,VLOOKUP($AB$645,$AA$648:$AE$649,5,0)),"")</f>
        <v>0</v>
      </c>
      <c r="AE635" s="78">
        <f>IF($AC$635="","",$AC$635*100)</f>
        <v>0</v>
      </c>
      <c r="AL635" s="569"/>
      <c r="AM635" s="407">
        <v>3</v>
      </c>
      <c r="AN635" s="408">
        <v>0.6</v>
      </c>
      <c r="AO635" s="408">
        <v>0.75</v>
      </c>
      <c r="AP635" s="300">
        <v>0</v>
      </c>
      <c r="AQ635" s="300">
        <v>0</v>
      </c>
      <c r="BX635" s="196"/>
      <c r="BY635" s="196"/>
      <c r="BZ635" s="196"/>
      <c r="CA635" s="120" t="s">
        <v>181</v>
      </c>
      <c r="CB635" s="122">
        <v>2</v>
      </c>
      <c r="CC635" s="119" t="s">
        <v>173</v>
      </c>
      <c r="CD635" s="119" t="s">
        <v>174</v>
      </c>
      <c r="CE635" s="119">
        <v>0.5</v>
      </c>
      <c r="CF635" s="122">
        <v>36</v>
      </c>
      <c r="CG635" s="122">
        <v>6</v>
      </c>
      <c r="CH635" s="196"/>
      <c r="CI635" s="196"/>
      <c r="CJ635" s="196"/>
      <c r="CK635" s="196"/>
      <c r="CL635" s="196"/>
      <c r="CM635" s="196"/>
      <c r="CN635" s="196"/>
      <c r="CO635" s="196"/>
      <c r="CP635" s="196"/>
      <c r="CQ635" s="196"/>
      <c r="CR635" s="196"/>
      <c r="CS635" s="196"/>
      <c r="CT635" s="196"/>
      <c r="CU635" s="196"/>
      <c r="CV635" s="196"/>
      <c r="CW635" s="196"/>
      <c r="CX635" s="196"/>
      <c r="CY635" s="196"/>
      <c r="CZ635" s="196"/>
      <c r="DA635" s="196"/>
      <c r="DB635" s="196"/>
      <c r="DC635" s="196"/>
      <c r="DD635" s="196"/>
      <c r="DE635" s="196"/>
      <c r="DF635" s="196"/>
      <c r="DG635" s="196"/>
      <c r="DH635" s="196"/>
      <c r="DI635" s="196"/>
      <c r="DJ635" s="196"/>
      <c r="DK635" s="196"/>
      <c r="DL635" s="196"/>
      <c r="DM635" s="196"/>
      <c r="DN635" s="196"/>
      <c r="DO635" s="196"/>
      <c r="DP635" s="196"/>
      <c r="DQ635" s="196"/>
      <c r="DR635" s="196"/>
      <c r="DS635" s="196"/>
      <c r="DT635" s="196"/>
    </row>
    <row r="636" spans="5:124" ht="16.5" thickTop="1" thickBot="1" x14ac:dyDescent="0.3">
      <c r="AA636" s="37" t="s">
        <v>122</v>
      </c>
      <c r="AB636" s="54">
        <f>IFERROR(IF($AB$631=0,0,$AB$631*$AC$636),"")</f>
        <v>0</v>
      </c>
      <c r="AC636" s="79">
        <f>IFERROR(IF($AB$634=0,0,VLOOKUP($AB$645,$AA$651:$AE$652,5,0)),"")</f>
        <v>0</v>
      </c>
      <c r="AE636" s="78">
        <f>IF($AC$636="","",$AC$636*100)</f>
        <v>0</v>
      </c>
      <c r="AL636" s="569"/>
      <c r="AM636" s="407">
        <v>4</v>
      </c>
      <c r="AN636" s="408">
        <v>0.4</v>
      </c>
      <c r="AO636" s="408">
        <v>0.65</v>
      </c>
      <c r="AP636" s="300">
        <v>0</v>
      </c>
      <c r="AQ636" s="300">
        <v>0</v>
      </c>
      <c r="BX636" s="196"/>
      <c r="BY636" s="196"/>
      <c r="BZ636" s="196"/>
      <c r="CA636" s="120" t="s">
        <v>182</v>
      </c>
      <c r="CB636" s="122">
        <v>2</v>
      </c>
      <c r="CC636" s="119" t="s">
        <v>173</v>
      </c>
      <c r="CD636" s="119" t="s">
        <v>175</v>
      </c>
      <c r="CE636" s="119">
        <v>0.55000000000000004</v>
      </c>
      <c r="CF636" s="122">
        <v>48</v>
      </c>
      <c r="CG636" s="196"/>
      <c r="CH636" s="196"/>
      <c r="CI636" s="196"/>
      <c r="CJ636" s="196"/>
      <c r="CK636" s="196"/>
      <c r="CL636" s="196"/>
      <c r="CM636" s="196"/>
      <c r="CN636" s="196"/>
      <c r="CO636" s="196"/>
      <c r="CP636" s="196"/>
      <c r="CQ636" s="196"/>
      <c r="CR636" s="196"/>
      <c r="CS636" s="196"/>
      <c r="CT636" s="196"/>
      <c r="CU636" s="196"/>
      <c r="CV636" s="196"/>
      <c r="CW636" s="196"/>
      <c r="CX636" s="196"/>
      <c r="CY636" s="196"/>
      <c r="CZ636" s="196"/>
      <c r="DA636" s="196"/>
      <c r="DB636" s="196"/>
      <c r="DC636" s="196"/>
      <c r="DD636" s="196"/>
      <c r="DE636" s="196"/>
      <c r="DF636" s="196"/>
      <c r="DG636" s="196"/>
      <c r="DH636" s="196"/>
      <c r="DI636" s="196"/>
      <c r="DJ636" s="196"/>
      <c r="DK636" s="196"/>
      <c r="DL636" s="196"/>
      <c r="DM636" s="196"/>
      <c r="DN636" s="196"/>
      <c r="DO636" s="196"/>
      <c r="DP636" s="196"/>
      <c r="DQ636" s="196"/>
      <c r="DR636" s="196"/>
      <c r="DS636" s="196"/>
      <c r="DT636" s="196"/>
    </row>
    <row r="637" spans="5:124" ht="24" customHeight="1" thickTop="1" thickBot="1" x14ac:dyDescent="0.3">
      <c r="AA637" s="37" t="s">
        <v>126</v>
      </c>
      <c r="AB637" s="54">
        <f>IFERROR(IF($AB$632=0,0,$AB$632+$AB$635),"")</f>
        <v>0</v>
      </c>
      <c r="AL637" s="569"/>
      <c r="AM637" s="407">
        <v>5</v>
      </c>
      <c r="AN637" s="300">
        <v>0</v>
      </c>
      <c r="AO637" s="300">
        <v>0</v>
      </c>
      <c r="AP637" s="300">
        <v>0</v>
      </c>
      <c r="AQ637" s="300">
        <v>0</v>
      </c>
      <c r="BX637" s="196"/>
      <c r="BY637" s="196"/>
      <c r="BZ637" s="196"/>
      <c r="CA637" s="120" t="s">
        <v>183</v>
      </c>
      <c r="CB637" s="122">
        <v>2</v>
      </c>
      <c r="CC637" s="119" t="s">
        <v>173</v>
      </c>
      <c r="CD637" s="119" t="s">
        <v>176</v>
      </c>
      <c r="CE637" s="119">
        <v>0.55000000000000004</v>
      </c>
      <c r="CF637" s="122">
        <f>+IF(CF646&gt;=3,"",60)</f>
        <v>60</v>
      </c>
      <c r="CG637" s="196"/>
      <c r="CH637" s="155"/>
      <c r="CI637" s="196"/>
      <c r="CJ637" s="196"/>
      <c r="CK637" s="196"/>
      <c r="CL637" s="196"/>
      <c r="CM637" s="196"/>
      <c r="CN637" s="196"/>
      <c r="CO637" s="196"/>
      <c r="CP637" s="196"/>
      <c r="CQ637" s="196"/>
      <c r="CR637" s="196"/>
      <c r="CS637" s="196"/>
      <c r="CT637" s="196"/>
      <c r="CU637" s="196"/>
      <c r="CV637" s="196"/>
      <c r="CW637" s="196"/>
      <c r="CX637" s="196"/>
      <c r="CY637" s="196"/>
      <c r="CZ637" s="196"/>
      <c r="DA637" s="196"/>
      <c r="DB637" s="196"/>
      <c r="DC637" s="196"/>
      <c r="DD637" s="196"/>
      <c r="DE637" s="196"/>
      <c r="DF637" s="196"/>
      <c r="DG637" s="196"/>
      <c r="DH637" s="196"/>
      <c r="DI637" s="196"/>
      <c r="DJ637" s="196"/>
      <c r="DK637" s="196"/>
      <c r="DL637" s="196"/>
      <c r="DM637" s="196"/>
      <c r="DN637" s="196"/>
      <c r="DO637" s="196"/>
      <c r="DP637" s="196"/>
      <c r="DQ637" s="196"/>
      <c r="DR637" s="196"/>
      <c r="DS637" s="196"/>
      <c r="DT637" s="196"/>
    </row>
    <row r="638" spans="5:124" ht="16.5" thickTop="1" thickBot="1" x14ac:dyDescent="0.3">
      <c r="E638" s="465"/>
      <c r="AA638" s="37" t="s">
        <v>127</v>
      </c>
      <c r="AB638" s="81">
        <f>IFERROR(IF($AB$632=0,0,$AB$636-$AB$632),"")</f>
        <v>0</v>
      </c>
      <c r="AC638" s="79" t="str">
        <f>IFERROR($AB$639/$AB$631,"")</f>
        <v/>
      </c>
      <c r="AE638" s="85" t="str">
        <f>IF($AC$638="","",$AC$638*100)</f>
        <v/>
      </c>
      <c r="AF638" s="83" t="str">
        <f>IF($AE$638="","",ROUND($AE$638,0))</f>
        <v/>
      </c>
      <c r="AL638" s="569"/>
      <c r="AM638" s="407">
        <v>6</v>
      </c>
      <c r="AN638" s="300">
        <v>0</v>
      </c>
      <c r="AO638" s="300">
        <v>0</v>
      </c>
      <c r="AP638" s="300">
        <v>0</v>
      </c>
      <c r="AQ638" s="300">
        <v>0</v>
      </c>
      <c r="BX638" s="196"/>
      <c r="BY638" s="196"/>
      <c r="BZ638" s="196"/>
      <c r="CA638" s="120" t="s">
        <v>184</v>
      </c>
      <c r="CB638" s="122">
        <v>3</v>
      </c>
      <c r="CC638" s="119" t="s">
        <v>171</v>
      </c>
      <c r="CD638" s="119" t="s">
        <v>174</v>
      </c>
      <c r="CE638" s="119">
        <v>0.4</v>
      </c>
      <c r="CF638" s="196"/>
      <c r="CG638" s="196"/>
      <c r="CH638" s="196"/>
      <c r="CI638" s="196"/>
      <c r="CJ638" s="196"/>
      <c r="CK638" s="196"/>
      <c r="CL638" s="196"/>
      <c r="CM638" s="196"/>
      <c r="CN638" s="196"/>
      <c r="CO638" s="196"/>
      <c r="CP638" s="196"/>
      <c r="CQ638" s="196"/>
      <c r="CR638" s="196"/>
      <c r="CS638" s="196"/>
      <c r="CT638" s="196"/>
      <c r="CU638" s="196"/>
      <c r="CV638" s="196"/>
      <c r="CW638" s="196"/>
      <c r="CX638" s="196"/>
      <c r="CY638" s="196"/>
      <c r="CZ638" s="196"/>
      <c r="DA638" s="196"/>
      <c r="DB638" s="196"/>
      <c r="DC638" s="196"/>
      <c r="DD638" s="196"/>
      <c r="DE638" s="196"/>
      <c r="DF638" s="196"/>
      <c r="DG638" s="196"/>
      <c r="DH638" s="196"/>
      <c r="DI638" s="196"/>
      <c r="DJ638" s="196"/>
      <c r="DK638" s="196"/>
      <c r="DL638" s="196"/>
      <c r="DM638" s="196"/>
      <c r="DN638" s="196"/>
      <c r="DO638" s="196"/>
      <c r="DP638" s="196"/>
      <c r="DQ638" s="196"/>
      <c r="DR638" s="196"/>
      <c r="DS638" s="196"/>
      <c r="DT638" s="196"/>
    </row>
    <row r="639" spans="5:124" ht="16.5" thickTop="1" thickBot="1" x14ac:dyDescent="0.3">
      <c r="E639" s="465"/>
      <c r="AA639" s="37" t="s">
        <v>128</v>
      </c>
      <c r="AB639" s="81">
        <f>IFERROR(IF($AB$638&lt;0,0,MIN($AB$633,$AB$638)),"")</f>
        <v>0</v>
      </c>
      <c r="AC639" s="82" t="e">
        <f>$AB$632/$AB$631</f>
        <v>#DIV/0!</v>
      </c>
      <c r="AL639" s="569"/>
      <c r="AM639" s="577" t="s">
        <v>459</v>
      </c>
      <c r="AN639" s="578"/>
      <c r="AO639" s="578"/>
      <c r="AP639" s="578"/>
      <c r="AQ639" s="579"/>
      <c r="BX639" s="196"/>
      <c r="BY639" s="196"/>
      <c r="BZ639" s="196"/>
      <c r="CA639" s="120" t="s">
        <v>185</v>
      </c>
      <c r="CB639" s="122">
        <v>3</v>
      </c>
      <c r="CC639" s="119" t="s">
        <v>171</v>
      </c>
      <c r="CD639" s="119" t="s">
        <v>175</v>
      </c>
      <c r="CE639" s="119">
        <v>0.45</v>
      </c>
      <c r="CF639" s="196"/>
      <c r="CG639" s="196"/>
      <c r="CH639" s="196"/>
      <c r="CI639" s="196"/>
      <c r="CJ639" s="196"/>
      <c r="CK639" s="196"/>
      <c r="CL639" s="196"/>
      <c r="CM639" s="196"/>
      <c r="CN639" s="196"/>
      <c r="CO639" s="196"/>
      <c r="CP639" s="196"/>
      <c r="CQ639" s="196"/>
      <c r="CR639" s="196"/>
      <c r="CS639" s="196"/>
      <c r="CT639" s="196"/>
      <c r="CU639" s="196"/>
      <c r="CV639" s="196"/>
      <c r="CW639" s="196"/>
      <c r="CX639" s="196"/>
      <c r="CY639" s="196"/>
      <c r="CZ639" s="196"/>
      <c r="DA639" s="196"/>
      <c r="DB639" s="196"/>
      <c r="DC639" s="196"/>
      <c r="DD639" s="196"/>
      <c r="DE639" s="196"/>
      <c r="DF639" s="196"/>
      <c r="DG639" s="196"/>
      <c r="DH639" s="196"/>
      <c r="DI639" s="196"/>
      <c r="DJ639" s="196"/>
      <c r="DK639" s="196"/>
      <c r="DL639" s="196"/>
      <c r="DM639" s="196"/>
      <c r="DN639" s="196"/>
      <c r="DO639" s="196"/>
      <c r="DP639" s="196"/>
      <c r="DQ639" s="196"/>
      <c r="DR639" s="196"/>
      <c r="DS639" s="196"/>
      <c r="DT639" s="196"/>
    </row>
    <row r="640" spans="5:124" ht="16.5" thickTop="1" thickBot="1" x14ac:dyDescent="0.3">
      <c r="E640" s="465"/>
      <c r="AA640" s="41" t="s">
        <v>128</v>
      </c>
      <c r="AB640" s="84" t="str">
        <f>IF($AC$640="OK",MIN($AB$633,$AB$639),"")</f>
        <v/>
      </c>
      <c r="AC640" s="328" t="str">
        <f>IF(AB631="","",IF(AB632="","",IF(AB633="","",IF(AB634="","",IF(AB643="","",IF(AB644="","",IF(AB645="","","OK")))))))</f>
        <v/>
      </c>
      <c r="AL640" s="569"/>
      <c r="AM640" s="407">
        <v>1</v>
      </c>
      <c r="AN640" s="398">
        <v>0.7</v>
      </c>
      <c r="AO640" s="408">
        <v>0.8</v>
      </c>
      <c r="AP640" s="492">
        <v>0.7</v>
      </c>
      <c r="AQ640" s="492">
        <v>0.75</v>
      </c>
      <c r="BX640" s="196"/>
      <c r="BY640" s="196"/>
      <c r="BZ640" s="196"/>
      <c r="CA640" s="120" t="s">
        <v>186</v>
      </c>
      <c r="CB640" s="122">
        <v>3</v>
      </c>
      <c r="CC640" s="119" t="s">
        <v>171</v>
      </c>
      <c r="CD640" s="119" t="s">
        <v>176</v>
      </c>
      <c r="CE640" s="119">
        <v>0.5</v>
      </c>
      <c r="CF640" s="196"/>
      <c r="CG640" s="196"/>
      <c r="CH640" s="196"/>
      <c r="CI640" s="196"/>
      <c r="CJ640" s="196"/>
      <c r="CK640" s="196"/>
      <c r="CL640" s="196"/>
      <c r="CM640" s="196"/>
      <c r="CN640" s="196"/>
      <c r="CO640" s="196"/>
      <c r="CP640" s="196"/>
      <c r="CQ640" s="196"/>
      <c r="CR640" s="196"/>
      <c r="CS640" s="196"/>
      <c r="CT640" s="196"/>
      <c r="CU640" s="196"/>
      <c r="CV640" s="196"/>
      <c r="CW640" s="196"/>
      <c r="CX640" s="196"/>
      <c r="CY640" s="196"/>
      <c r="CZ640" s="196"/>
      <c r="DA640" s="196"/>
      <c r="DB640" s="196"/>
      <c r="DC640" s="196"/>
      <c r="DD640" s="196"/>
      <c r="DE640" s="196"/>
      <c r="DF640" s="196"/>
      <c r="DG640" s="196"/>
      <c r="DH640" s="196"/>
      <c r="DI640" s="196"/>
      <c r="DJ640" s="196"/>
      <c r="DK640" s="196"/>
      <c r="DL640" s="196"/>
      <c r="DM640" s="196"/>
      <c r="DN640" s="196"/>
      <c r="DO640" s="196"/>
      <c r="DP640" s="196"/>
      <c r="DQ640" s="196"/>
      <c r="DR640" s="196"/>
      <c r="DS640" s="196"/>
      <c r="DT640" s="196"/>
    </row>
    <row r="641" spans="5:124" ht="16.5" thickTop="1" thickBot="1" x14ac:dyDescent="0.3">
      <c r="E641" s="465"/>
      <c r="AL641" s="569"/>
      <c r="AM641" s="407">
        <v>2</v>
      </c>
      <c r="AN641" s="395">
        <v>0.7</v>
      </c>
      <c r="AO641" s="408">
        <v>0.8</v>
      </c>
      <c r="AP641" s="492">
        <v>0.7</v>
      </c>
      <c r="AQ641" s="492">
        <v>0.7</v>
      </c>
      <c r="BX641" s="196"/>
      <c r="BY641" s="196"/>
      <c r="BZ641" s="196"/>
      <c r="CA641" s="120" t="s">
        <v>187</v>
      </c>
      <c r="CB641" s="122">
        <v>3</v>
      </c>
      <c r="CC641" s="119" t="s">
        <v>177</v>
      </c>
      <c r="CD641" s="119" t="s">
        <v>174</v>
      </c>
      <c r="CE641" s="119">
        <v>0.35</v>
      </c>
      <c r="CF641" s="196"/>
      <c r="CG641" s="196"/>
      <c r="CH641" s="196"/>
      <c r="CI641" s="196"/>
      <c r="CJ641" s="196"/>
      <c r="CK641" s="196"/>
      <c r="CL641" s="196"/>
      <c r="CM641" s="196"/>
      <c r="CN641" s="196"/>
      <c r="CO641" s="196"/>
      <c r="CP641" s="196"/>
      <c r="CQ641" s="196"/>
      <c r="CR641" s="196"/>
      <c r="CS641" s="196"/>
      <c r="CT641" s="196"/>
      <c r="CU641" s="196"/>
      <c r="CV641" s="196"/>
      <c r="CW641" s="196"/>
      <c r="CX641" s="196"/>
      <c r="CY641" s="196"/>
      <c r="CZ641" s="196"/>
      <c r="DA641" s="196"/>
      <c r="DB641" s="196"/>
      <c r="DC641" s="196"/>
      <c r="DD641" s="196"/>
      <c r="DE641" s="196"/>
      <c r="DF641" s="196"/>
      <c r="DG641" s="196"/>
      <c r="DH641" s="196"/>
      <c r="DI641" s="196"/>
      <c r="DJ641" s="196"/>
      <c r="DK641" s="196"/>
      <c r="DL641" s="196"/>
      <c r="DM641" s="196"/>
      <c r="DN641" s="196"/>
      <c r="DO641" s="196"/>
      <c r="DP641" s="196"/>
      <c r="DQ641" s="196"/>
      <c r="DR641" s="196"/>
      <c r="DS641" s="196"/>
      <c r="DT641" s="196"/>
    </row>
    <row r="642" spans="5:124" ht="16.5" thickTop="1" thickBot="1" x14ac:dyDescent="0.3">
      <c r="E642" s="465"/>
      <c r="AA642" s="41" t="s">
        <v>503</v>
      </c>
      <c r="AB642" s="310" t="str">
        <f>IFERROR(IF(AND($AB$643&gt;=0,$AB$643&lt;=5000000),$AB$647,IF(AND($AB$643&gt;=5000000.01,$AB$643&lt;=8000000),$AC$647,IF($AB$643&gt;=8000000.01,$AD$647))),"2")</f>
        <v>Hasta 5 MDP</v>
      </c>
      <c r="AL642" s="569"/>
      <c r="AM642" s="407">
        <v>3</v>
      </c>
      <c r="AN642" s="398">
        <v>0.6</v>
      </c>
      <c r="AO642" s="408">
        <v>0.7</v>
      </c>
      <c r="AP642" s="300">
        <v>0</v>
      </c>
      <c r="AQ642" s="300">
        <v>0</v>
      </c>
      <c r="BX642" s="196"/>
      <c r="BY642" s="196"/>
      <c r="BZ642" s="196"/>
      <c r="CA642" s="120" t="s">
        <v>188</v>
      </c>
      <c r="CB642" s="122">
        <v>3</v>
      </c>
      <c r="CC642" s="119" t="s">
        <v>177</v>
      </c>
      <c r="CD642" s="119" t="s">
        <v>175</v>
      </c>
      <c r="CE642" s="119">
        <v>0.4</v>
      </c>
      <c r="CF642" s="196"/>
      <c r="CG642" s="196"/>
      <c r="CH642" s="196"/>
      <c r="CI642" s="196"/>
      <c r="CJ642" s="196"/>
      <c r="CK642" s="196"/>
      <c r="CL642" s="196"/>
      <c r="CM642" s="196"/>
      <c r="CN642" s="196"/>
      <c r="CO642" s="196"/>
      <c r="CP642" s="196"/>
      <c r="CQ642" s="196"/>
      <c r="CR642" s="196"/>
      <c r="CS642" s="196"/>
      <c r="CT642" s="196"/>
      <c r="CU642" s="196"/>
      <c r="CV642" s="196"/>
      <c r="CW642" s="196"/>
      <c r="CX642" s="196"/>
      <c r="CY642" s="196"/>
      <c r="CZ642" s="196"/>
      <c r="DA642" s="196"/>
      <c r="DB642" s="196"/>
      <c r="DC642" s="196"/>
      <c r="DD642" s="196"/>
      <c r="DE642" s="196"/>
      <c r="DF642" s="196"/>
      <c r="DG642" s="196"/>
      <c r="DH642" s="196"/>
      <c r="DI642" s="196"/>
      <c r="DJ642" s="196"/>
      <c r="DK642" s="196"/>
      <c r="DL642" s="196"/>
      <c r="DM642" s="196"/>
      <c r="DN642" s="196"/>
      <c r="DO642" s="196"/>
      <c r="DP642" s="196"/>
      <c r="DQ642" s="196"/>
      <c r="DR642" s="196"/>
      <c r="DS642" s="196"/>
      <c r="DT642" s="196"/>
    </row>
    <row r="643" spans="5:124" ht="16.5" thickTop="1" thickBot="1" x14ac:dyDescent="0.3">
      <c r="E643" s="465"/>
      <c r="AA643" s="41" t="s">
        <v>503</v>
      </c>
      <c r="AB643" s="13">
        <v>0</v>
      </c>
      <c r="AL643" s="569"/>
      <c r="AM643" s="407">
        <v>4</v>
      </c>
      <c r="AN643" s="395">
        <v>0.4</v>
      </c>
      <c r="AO643" s="408">
        <v>0.6</v>
      </c>
      <c r="AP643" s="300">
        <v>0</v>
      </c>
      <c r="AQ643" s="300">
        <v>0</v>
      </c>
      <c r="AX643" s="196"/>
      <c r="BX643" s="196"/>
      <c r="BY643" s="196"/>
      <c r="BZ643" s="196"/>
      <c r="CA643" s="120" t="s">
        <v>189</v>
      </c>
      <c r="CB643" s="122">
        <v>3</v>
      </c>
      <c r="CC643" s="119" t="s">
        <v>177</v>
      </c>
      <c r="CD643" s="119" t="s">
        <v>176</v>
      </c>
      <c r="CE643" s="119">
        <v>0.45</v>
      </c>
      <c r="CF643" s="196"/>
      <c r="CG643" s="196"/>
      <c r="CH643" s="196"/>
      <c r="CI643" s="196"/>
      <c r="CJ643" s="196"/>
      <c r="CK643" s="196"/>
      <c r="CL643" s="196"/>
      <c r="CM643" s="196"/>
      <c r="CN643" s="196"/>
      <c r="CO643" s="196"/>
      <c r="CP643" s="196"/>
      <c r="CQ643" s="196"/>
      <c r="CR643" s="196"/>
      <c r="CS643" s="196"/>
      <c r="CT643" s="196"/>
      <c r="CU643" s="196"/>
      <c r="CV643" s="196"/>
      <c r="CW643" s="196"/>
      <c r="CX643" s="196"/>
      <c r="CY643" s="196"/>
      <c r="CZ643" s="196"/>
      <c r="DA643" s="196"/>
      <c r="DB643" s="196"/>
      <c r="DC643" s="196"/>
      <c r="DD643" s="196"/>
      <c r="DE643" s="196"/>
      <c r="DF643" s="196"/>
      <c r="DG643" s="196"/>
      <c r="DH643" s="196"/>
      <c r="DI643" s="196"/>
      <c r="DJ643" s="196"/>
      <c r="DK643" s="196"/>
      <c r="DL643" s="196"/>
      <c r="DM643" s="196"/>
      <c r="DN643" s="196"/>
      <c r="DO643" s="196"/>
      <c r="DP643" s="196"/>
      <c r="DQ643" s="196"/>
      <c r="DR643" s="196"/>
      <c r="DS643" s="196"/>
      <c r="DT643" s="196"/>
    </row>
    <row r="644" spans="5:124" ht="16.5" thickTop="1" thickBot="1" x14ac:dyDescent="0.3">
      <c r="E644" s="465"/>
      <c r="AA644" s="41" t="s">
        <v>457</v>
      </c>
      <c r="AB644" s="306"/>
      <c r="AL644" s="569"/>
      <c r="AM644" s="407">
        <v>5</v>
      </c>
      <c r="AN644" s="300">
        <v>0</v>
      </c>
      <c r="AO644" s="300">
        <v>0</v>
      </c>
      <c r="AP644" s="300">
        <v>0</v>
      </c>
      <c r="AQ644" s="300">
        <v>0</v>
      </c>
      <c r="AX644" s="196"/>
      <c r="BX644" s="196"/>
      <c r="BY644" s="196"/>
      <c r="BZ644" s="196"/>
      <c r="CA644" s="120" t="s">
        <v>190</v>
      </c>
      <c r="CB644" s="122">
        <v>6</v>
      </c>
      <c r="CC644" s="119" t="s">
        <v>171</v>
      </c>
      <c r="CD644" s="119" t="s">
        <v>174</v>
      </c>
      <c r="CE644" s="119">
        <v>0.4</v>
      </c>
      <c r="CF644" s="196"/>
      <c r="CG644" s="196"/>
      <c r="CH644" s="196"/>
      <c r="CI644" s="196"/>
      <c r="CJ644" s="196"/>
      <c r="CK644" s="196"/>
      <c r="CL644" s="196"/>
      <c r="CM644" s="196"/>
      <c r="CN644" s="196"/>
      <c r="CO644" s="196"/>
      <c r="CP644" s="196"/>
      <c r="CQ644" s="196"/>
      <c r="CR644" s="196"/>
      <c r="CS644" s="196"/>
      <c r="CT644" s="196"/>
      <c r="CU644" s="196"/>
      <c r="CV644" s="196"/>
      <c r="CW644" s="196"/>
      <c r="CX644" s="196"/>
      <c r="CY644" s="196"/>
      <c r="CZ644" s="196"/>
      <c r="DA644" s="196"/>
      <c r="DB644" s="196"/>
      <c r="DC644" s="196"/>
      <c r="DD644" s="196"/>
      <c r="DE644" s="196"/>
      <c r="DF644" s="196"/>
      <c r="DG644" s="196"/>
      <c r="DH644" s="196"/>
      <c r="DI644" s="196"/>
      <c r="DJ644" s="196"/>
      <c r="DK644" s="196"/>
      <c r="DL644" s="196"/>
      <c r="DM644" s="196"/>
      <c r="DN644" s="196"/>
      <c r="DO644" s="196"/>
      <c r="DP644" s="196"/>
      <c r="DQ644" s="196"/>
      <c r="DR644" s="196"/>
      <c r="DS644" s="196"/>
      <c r="DT644" s="196"/>
    </row>
    <row r="645" spans="5:124" ht="16.5" thickTop="1" thickBot="1" x14ac:dyDescent="0.3">
      <c r="E645" s="465"/>
      <c r="AA645" s="41" t="s">
        <v>673</v>
      </c>
      <c r="AB645" s="306"/>
      <c r="AE645" s="196"/>
      <c r="AL645" s="570"/>
      <c r="AM645" s="410">
        <v>6</v>
      </c>
      <c r="AN645" s="300">
        <v>0</v>
      </c>
      <c r="AO645" s="300">
        <v>0</v>
      </c>
      <c r="AP645" s="300">
        <v>0</v>
      </c>
      <c r="AQ645" s="300">
        <v>0</v>
      </c>
      <c r="AX645" s="196"/>
      <c r="BX645" s="196"/>
      <c r="BY645" s="196"/>
      <c r="BZ645" s="196"/>
      <c r="CA645" s="120" t="s">
        <v>191</v>
      </c>
      <c r="CB645" s="122">
        <v>6</v>
      </c>
      <c r="CC645" s="119" t="s">
        <v>171</v>
      </c>
      <c r="CD645" s="119" t="s">
        <v>175</v>
      </c>
      <c r="CE645" s="119">
        <v>0.45</v>
      </c>
      <c r="CF645" s="196"/>
      <c r="CG645" s="196"/>
      <c r="CH645" s="196"/>
      <c r="CI645" s="196"/>
      <c r="CJ645" s="196"/>
      <c r="CK645" s="196"/>
      <c r="CL645" s="196"/>
      <c r="CM645" s="196"/>
      <c r="CN645" s="196"/>
      <c r="CO645" s="196"/>
      <c r="CP645" s="196"/>
      <c r="CQ645" s="196"/>
      <c r="CR645" s="196"/>
      <c r="CS645" s="196"/>
      <c r="CT645" s="196"/>
      <c r="CU645" s="196"/>
      <c r="CV645" s="196"/>
      <c r="CW645" s="196"/>
      <c r="CX645" s="196"/>
      <c r="CY645" s="196"/>
      <c r="CZ645" s="196"/>
      <c r="DA645" s="196"/>
      <c r="DB645" s="196"/>
      <c r="DC645" s="196"/>
      <c r="DD645" s="196"/>
      <c r="DE645" s="196"/>
      <c r="DF645" s="196"/>
      <c r="DG645" s="196"/>
      <c r="DH645" s="196"/>
      <c r="DI645" s="196"/>
      <c r="DJ645" s="196"/>
      <c r="DK645" s="196"/>
      <c r="DL645" s="196"/>
      <c r="DM645" s="196"/>
      <c r="DN645" s="196"/>
      <c r="DO645" s="196"/>
      <c r="DP645" s="196"/>
      <c r="DQ645" s="196"/>
      <c r="DR645" s="196"/>
      <c r="DS645" s="196"/>
      <c r="DT645" s="196"/>
    </row>
    <row r="646" spans="5:124" ht="16.5" thickTop="1" thickBot="1" x14ac:dyDescent="0.3">
      <c r="E646" s="465"/>
      <c r="AE646" s="196"/>
      <c r="AF646" s="196"/>
      <c r="AL646" s="565" t="s">
        <v>670</v>
      </c>
      <c r="AM646" s="397">
        <v>1</v>
      </c>
      <c r="AN646" s="398">
        <v>0.5</v>
      </c>
      <c r="AO646" s="398">
        <v>0.5</v>
      </c>
      <c r="AP646" s="398">
        <v>0.5</v>
      </c>
      <c r="AQ646" s="399">
        <v>0.5</v>
      </c>
      <c r="BX646" s="196"/>
      <c r="BY646" s="196"/>
      <c r="BZ646" s="196"/>
      <c r="CA646" s="120" t="s">
        <v>192</v>
      </c>
      <c r="CB646" s="122">
        <v>6</v>
      </c>
      <c r="CC646" s="119" t="s">
        <v>171</v>
      </c>
      <c r="CD646" s="119" t="s">
        <v>176</v>
      </c>
      <c r="CE646" s="119">
        <v>0.5</v>
      </c>
      <c r="CF646" s="196"/>
      <c r="CG646" s="196"/>
      <c r="CH646" s="196"/>
      <c r="CI646" s="196"/>
      <c r="CJ646" s="196"/>
      <c r="CK646" s="196"/>
      <c r="CL646" s="196"/>
      <c r="CM646" s="196"/>
      <c r="CN646" s="196"/>
      <c r="CO646" s="196"/>
      <c r="CP646" s="196"/>
      <c r="CQ646" s="196"/>
      <c r="CR646" s="196"/>
      <c r="CS646" s="196"/>
      <c r="CT646" s="196"/>
      <c r="CU646" s="196"/>
      <c r="CV646" s="196"/>
      <c r="CW646" s="196"/>
      <c r="CX646" s="196"/>
      <c r="CY646" s="196"/>
      <c r="CZ646" s="196"/>
      <c r="DA646" s="196"/>
      <c r="DB646" s="196"/>
      <c r="DC646" s="196"/>
      <c r="DD646" s="196"/>
      <c r="DE646" s="196"/>
      <c r="DF646" s="196"/>
      <c r="DG646" s="196"/>
      <c r="DH646" s="196"/>
      <c r="DI646" s="196"/>
      <c r="DJ646" s="196"/>
      <c r="DK646" s="196"/>
      <c r="DL646" s="196"/>
      <c r="DM646" s="196"/>
      <c r="DN646" s="196"/>
      <c r="DO646" s="196"/>
      <c r="DP646" s="196"/>
      <c r="DQ646" s="196"/>
      <c r="DR646" s="196"/>
      <c r="DS646" s="196"/>
      <c r="DT646" s="196"/>
    </row>
    <row r="647" spans="5:124" ht="16.5" thickTop="1" thickBot="1" x14ac:dyDescent="0.3">
      <c r="E647" s="465"/>
      <c r="AA647" s="402" t="s">
        <v>121</v>
      </c>
      <c r="AB647" s="311" t="s">
        <v>500</v>
      </c>
      <c r="AC647" s="311" t="s">
        <v>501</v>
      </c>
      <c r="AD647" s="311" t="s">
        <v>508</v>
      </c>
      <c r="AE647" s="196"/>
      <c r="AL647" s="566"/>
      <c r="AM647" s="394">
        <v>2</v>
      </c>
      <c r="AN647" s="398">
        <v>0.5</v>
      </c>
      <c r="AO647" s="395">
        <v>0.5</v>
      </c>
      <c r="AP647" s="395">
        <v>0.5</v>
      </c>
      <c r="AQ647" s="400">
        <v>0.5</v>
      </c>
      <c r="BX647" s="196"/>
      <c r="BY647" s="196"/>
      <c r="BZ647" s="196"/>
      <c r="CA647" s="120" t="s">
        <v>193</v>
      </c>
      <c r="CB647" s="122">
        <v>6</v>
      </c>
      <c r="CC647" s="119" t="s">
        <v>177</v>
      </c>
      <c r="CD647" s="119" t="s">
        <v>174</v>
      </c>
      <c r="CE647" s="119">
        <v>0.35</v>
      </c>
      <c r="CF647" s="196"/>
      <c r="CG647" s="196"/>
      <c r="CH647" s="156" t="s">
        <v>321</v>
      </c>
      <c r="CI647" s="196"/>
      <c r="CJ647" s="196"/>
      <c r="CK647" s="196"/>
      <c r="CL647" s="196"/>
      <c r="CM647" s="196"/>
      <c r="CN647" s="196"/>
      <c r="CO647" s="196"/>
      <c r="CP647" s="196"/>
      <c r="CQ647" s="196"/>
      <c r="CR647" s="196"/>
      <c r="CS647" s="196"/>
      <c r="CT647" s="196"/>
      <c r="CU647" s="196"/>
      <c r="CV647" s="196"/>
      <c r="CW647" s="196"/>
      <c r="CX647" s="196"/>
      <c r="CY647" s="196"/>
      <c r="CZ647" s="196"/>
      <c r="DA647" s="196"/>
      <c r="DB647" s="196"/>
      <c r="DC647" s="196"/>
      <c r="DD647" s="196"/>
      <c r="DE647" s="196"/>
      <c r="DF647" s="196"/>
      <c r="DG647" s="196"/>
      <c r="DH647" s="196"/>
      <c r="DI647" s="196"/>
      <c r="DJ647" s="196"/>
      <c r="DK647" s="196"/>
      <c r="DL647" s="196"/>
      <c r="DM647" s="196"/>
      <c r="DN647" s="196"/>
      <c r="DO647" s="196"/>
      <c r="DP647" s="196"/>
      <c r="DQ647" s="196"/>
      <c r="DR647" s="196"/>
      <c r="DS647" s="196"/>
      <c r="DT647" s="196"/>
    </row>
    <row r="648" spans="5:124" ht="16.5" thickTop="1" thickBot="1" x14ac:dyDescent="0.3">
      <c r="E648" s="465"/>
      <c r="AA648" s="270" t="s">
        <v>504</v>
      </c>
      <c r="AB648" s="79" t="str">
        <f>IFERROR(IF($AB$644="","",IF($AB$644=$AN$618,VLOOKUP($AB$634,$AM$620:$AQ$625,2,0),IF($AB$644=$AP$618,VLOOKUP($AB$634,$AM$620:$AQ$625,4,0)))),"")</f>
        <v/>
      </c>
      <c r="AC648" s="79" t="str">
        <f>IFERROR(IF($AB$644="","",IF($AB$644=$AN$618,VLOOKUP($AB$634,$AM$633:$AQ$638,2,0),IF($AB$644=$AP$618,VLOOKUP($AB$634,$AM$633:$AQ$638,4,0)))),"")</f>
        <v/>
      </c>
      <c r="AD648" s="79" t="str">
        <f>IFERROR(IF($AB$644="","",IF($AB$644=$AN$618,VLOOKUP($AB$634,$AM$646:$AQ$651,2,0),IF($AB$644=$AP$618,VLOOKUP($AB$634,$AM$646:$AQ$651,4,0)))),"")</f>
        <v/>
      </c>
      <c r="AE648" s="79" t="str">
        <f>IF($AB$642=$AB$647,$AB$648,IF($AB$642=$AC$647,$AC$648,IF($AB$642=$AD$647,$AD$648,"")))</f>
        <v/>
      </c>
      <c r="AL648" s="566"/>
      <c r="AM648" s="394">
        <v>3</v>
      </c>
      <c r="AN648" s="395">
        <v>0.5</v>
      </c>
      <c r="AO648" s="395">
        <v>0.5</v>
      </c>
      <c r="AP648" s="300">
        <v>0</v>
      </c>
      <c r="AQ648" s="300">
        <v>0</v>
      </c>
      <c r="BX648" s="196"/>
      <c r="BY648" s="196"/>
      <c r="BZ648" s="196"/>
      <c r="CA648" s="120" t="s">
        <v>194</v>
      </c>
      <c r="CB648" s="122">
        <v>6</v>
      </c>
      <c r="CC648" s="119" t="s">
        <v>177</v>
      </c>
      <c r="CD648" s="119" t="s">
        <v>175</v>
      </c>
      <c r="CE648" s="119">
        <v>0.4</v>
      </c>
      <c r="CF648" s="196"/>
      <c r="CG648" s="196"/>
      <c r="CH648" s="158" t="s">
        <v>239</v>
      </c>
      <c r="CI648" s="196"/>
      <c r="CJ648" s="196"/>
      <c r="CK648" s="196"/>
      <c r="CL648" s="196"/>
      <c r="CM648" s="196"/>
      <c r="CN648" s="196"/>
      <c r="CO648" s="196"/>
      <c r="CP648" s="196"/>
      <c r="CQ648" s="196"/>
      <c r="CR648" s="196"/>
      <c r="CS648" s="196"/>
      <c r="CT648" s="196"/>
      <c r="CU648" s="196"/>
      <c r="CV648" s="196"/>
      <c r="CW648" s="196"/>
      <c r="CX648" s="196"/>
      <c r="CY648" s="196"/>
      <c r="CZ648" s="196"/>
      <c r="DA648" s="196"/>
      <c r="DB648" s="196"/>
      <c r="DC648" s="196"/>
      <c r="DD648" s="196"/>
      <c r="DE648" s="196"/>
      <c r="DF648" s="196"/>
      <c r="DG648" s="196"/>
      <c r="DH648" s="196"/>
      <c r="DI648" s="196"/>
      <c r="DJ648" s="196"/>
      <c r="DK648" s="196"/>
      <c r="DL648" s="196"/>
      <c r="DM648" s="196"/>
      <c r="DN648" s="196"/>
      <c r="DO648" s="196"/>
      <c r="DP648" s="196"/>
      <c r="DQ648" s="196"/>
      <c r="DR648" s="196"/>
      <c r="DS648" s="196"/>
      <c r="DT648" s="196"/>
    </row>
    <row r="649" spans="5:124" ht="16.5" thickTop="1" thickBot="1" x14ac:dyDescent="0.3">
      <c r="E649" s="465"/>
      <c r="AA649" s="270" t="s">
        <v>239</v>
      </c>
      <c r="AB649" s="79" t="str">
        <f>IFERROR(IF($AB$644="","",IF($AB$644=$AN$618,VLOOKUP($AB$634,$AM$627:$AQ$632,2,0),IF($AB$644=$AP$618,VLOOKUP($AB$634,$AM$627:$AQ$632,4,0)))),"")</f>
        <v/>
      </c>
      <c r="AC649" s="79" t="str">
        <f>IFERROR(IF($AB$644="","",IF($AB$644=$AN$618,VLOOKUP($AB$634,$AM$640:$AQ$645,2,0),IF($AB$644=$AP$618,VLOOKUP($AB$634,$AM$640:$AQ$645,4,0)))),"")</f>
        <v/>
      </c>
      <c r="AD649" s="79" t="str">
        <f>IFERROR(IF($AB$644="","",IF($AB$644=$AN$618,VLOOKUP($AB$634,$AM$653:$AQ$658,2,0),IF($AB$644=$AP$618,VLOOKUP($AB$634,$AM$653:$AQ$658,4,0)))),"")</f>
        <v/>
      </c>
      <c r="AE649" s="79" t="str">
        <f>IF($AB$642=$AB$647,$AB$649,IF($AB$642=$AC$647,$AC$649,IF($AB$642=$AD$647,$AD$649,"")))</f>
        <v/>
      </c>
      <c r="AL649" s="566"/>
      <c r="AM649" s="394">
        <v>4</v>
      </c>
      <c r="AN649" s="395">
        <v>0.4</v>
      </c>
      <c r="AO649" s="395">
        <v>0.5</v>
      </c>
      <c r="AP649" s="300">
        <v>0</v>
      </c>
      <c r="AQ649" s="300">
        <v>0</v>
      </c>
      <c r="BX649" s="196"/>
      <c r="BY649" s="196"/>
      <c r="BZ649" s="196"/>
      <c r="CA649" s="120" t="s">
        <v>195</v>
      </c>
      <c r="CB649" s="122">
        <v>6</v>
      </c>
      <c r="CC649" s="119" t="s">
        <v>177</v>
      </c>
      <c r="CD649" s="119" t="s">
        <v>176</v>
      </c>
      <c r="CE649" s="119">
        <v>0.45</v>
      </c>
      <c r="CF649" s="196"/>
      <c r="CG649" s="196"/>
      <c r="CH649" s="158" t="s">
        <v>242</v>
      </c>
      <c r="CI649" s="196"/>
      <c r="CJ649" s="196"/>
      <c r="CK649" s="196"/>
      <c r="CL649" s="196"/>
      <c r="CM649" s="196"/>
      <c r="CN649" s="196"/>
      <c r="CO649" s="196"/>
      <c r="CP649" s="196"/>
      <c r="CQ649" s="196"/>
      <c r="CR649" s="196"/>
      <c r="CS649" s="196"/>
      <c r="CT649" s="196"/>
      <c r="CU649" s="196"/>
      <c r="CV649" s="196"/>
      <c r="CW649" s="196"/>
      <c r="CX649" s="196"/>
      <c r="CY649" s="196"/>
      <c r="CZ649" s="196"/>
      <c r="DA649" s="196"/>
      <c r="DB649" s="196"/>
      <c r="DC649" s="196"/>
      <c r="DD649" s="196"/>
      <c r="DE649" s="196"/>
      <c r="DF649" s="196"/>
      <c r="DG649" s="196"/>
      <c r="DH649" s="196"/>
      <c r="DI649" s="196"/>
      <c r="DJ649" s="196"/>
      <c r="DK649" s="196"/>
      <c r="DL649" s="196"/>
      <c r="DM649" s="196"/>
      <c r="DN649" s="196"/>
      <c r="DO649" s="196"/>
      <c r="DP649" s="196"/>
      <c r="DQ649" s="196"/>
      <c r="DR649" s="196"/>
      <c r="DS649" s="196"/>
      <c r="DT649" s="196"/>
    </row>
    <row r="650" spans="5:124" ht="16.5" thickTop="1" thickBot="1" x14ac:dyDescent="0.3">
      <c r="E650" s="465"/>
      <c r="AA650" s="403" t="s">
        <v>122</v>
      </c>
      <c r="AB650" s="311" t="s">
        <v>500</v>
      </c>
      <c r="AC650" s="311" t="s">
        <v>501</v>
      </c>
      <c r="AD650" s="311" t="s">
        <v>508</v>
      </c>
      <c r="AL650" s="566"/>
      <c r="AM650" s="394">
        <v>5</v>
      </c>
      <c r="AN650" s="300">
        <v>0</v>
      </c>
      <c r="AO650" s="300">
        <v>0</v>
      </c>
      <c r="AP650" s="300">
        <v>0</v>
      </c>
      <c r="AQ650" s="300">
        <v>0</v>
      </c>
      <c r="BX650" s="196"/>
      <c r="BY650" s="196"/>
      <c r="BZ650" s="196"/>
      <c r="CA650" s="196"/>
      <c r="CB650" s="196"/>
      <c r="CC650" s="196"/>
      <c r="CD650" s="196"/>
      <c r="CE650" s="196"/>
      <c r="CF650" s="196"/>
      <c r="CG650" s="196"/>
      <c r="CH650" s="196"/>
      <c r="CI650" s="196"/>
      <c r="CJ650" s="196"/>
      <c r="CK650" s="196"/>
      <c r="CL650" s="196"/>
      <c r="CM650" s="196"/>
      <c r="CN650" s="196"/>
      <c r="CO650" s="196"/>
      <c r="CP650" s="196"/>
      <c r="CQ650" s="196"/>
      <c r="CR650" s="196"/>
      <c r="CS650" s="196"/>
      <c r="CT650" s="196"/>
      <c r="CU650" s="196"/>
      <c r="CV650" s="196"/>
      <c r="CW650" s="196"/>
      <c r="CX650" s="196"/>
      <c r="CY650" s="196"/>
      <c r="CZ650" s="196"/>
      <c r="DA650" s="196"/>
      <c r="DB650" s="196"/>
      <c r="DC650" s="196"/>
      <c r="DD650" s="196"/>
      <c r="DE650" s="196"/>
      <c r="DF650" s="196"/>
      <c r="DG650" s="196"/>
      <c r="DH650" s="196"/>
      <c r="DI650" s="196"/>
      <c r="DJ650" s="196"/>
      <c r="DK650" s="196"/>
      <c r="DL650" s="196"/>
      <c r="DM650" s="196"/>
      <c r="DN650" s="196"/>
      <c r="DO650" s="196"/>
      <c r="DP650" s="196"/>
      <c r="DQ650" s="196"/>
      <c r="DR650" s="196"/>
      <c r="DS650" s="196"/>
      <c r="DT650" s="196"/>
    </row>
    <row r="651" spans="5:124" ht="16.5" customHeight="1" thickTop="1" thickBot="1" x14ac:dyDescent="0.3">
      <c r="E651" s="465"/>
      <c r="AA651" s="270" t="s">
        <v>504</v>
      </c>
      <c r="AB651" s="79" t="str">
        <f>IFERROR(IF($AB$644="","",IF($AB$644=$AN$618,VLOOKUP($AB$634,$AM$620:$AQ$625,3,0),IF($AB$644=$AP$618,VLOOKUP($AB$634,$AM$620:$AQ$625,5,0)))),"")</f>
        <v/>
      </c>
      <c r="AC651" s="79" t="str">
        <f>IFERROR(IF($AB$644="","",IF($AB$644=$AN$618,VLOOKUP($AB$634,$AM$633:$AQ$638,3,0),IF($AB$644=$AP$618,VLOOKUP($AB$634,$AM$633:$AQ$638,5,0)))),"")</f>
        <v/>
      </c>
      <c r="AD651" s="79" t="str">
        <f>IFERROR(IF($AB$644="","",IF($AB$644=$AN$618,VLOOKUP($AB$634,$AM$646:$AQ$651,3,0),IF($AB$644=$AP$618,VLOOKUP($AB$634,$AM$646:$AQ$651,5,0)))),"")</f>
        <v/>
      </c>
      <c r="AE651" s="79" t="str">
        <f>IF($AB$642=$AB$647,$AB$651,IF($AB$642=$AC$647,$AC$651,IF($AB$642=$AD$647,$AD$651,"")))</f>
        <v/>
      </c>
      <c r="AL651" s="566"/>
      <c r="AM651" s="394">
        <v>6</v>
      </c>
      <c r="AN651" s="300">
        <v>0</v>
      </c>
      <c r="AO651" s="300">
        <v>0</v>
      </c>
      <c r="AP651" s="300">
        <v>0</v>
      </c>
      <c r="AQ651" s="300">
        <v>0</v>
      </c>
      <c r="BX651" s="196"/>
      <c r="BY651" s="196"/>
      <c r="BZ651" s="196"/>
      <c r="CA651" s="196"/>
      <c r="CB651" s="156" t="s">
        <v>199</v>
      </c>
      <c r="CC651" s="156" t="s">
        <v>200</v>
      </c>
      <c r="CD651" s="156" t="s">
        <v>169</v>
      </c>
      <c r="CE651" s="156" t="s">
        <v>320</v>
      </c>
      <c r="CF651" s="196"/>
      <c r="CG651" s="196"/>
      <c r="CH651" s="196"/>
      <c r="CI651" s="196"/>
      <c r="CJ651" s="196"/>
      <c r="CK651" s="196"/>
      <c r="CL651" s="196"/>
      <c r="CM651" s="196"/>
      <c r="CN651" s="196"/>
      <c r="CO651" s="196"/>
      <c r="CP651" s="196"/>
      <c r="CQ651" s="196"/>
      <c r="CR651" s="196"/>
      <c r="CS651" s="196"/>
      <c r="CT651" s="196"/>
      <c r="CU651" s="196"/>
      <c r="CV651" s="196"/>
      <c r="CW651" s="196"/>
      <c r="CX651" s="196"/>
      <c r="CY651" s="196"/>
      <c r="CZ651" s="196"/>
      <c r="DA651" s="196"/>
      <c r="DB651" s="196"/>
      <c r="DC651" s="196"/>
      <c r="DD651" s="196"/>
      <c r="DE651" s="196"/>
      <c r="DF651" s="196"/>
      <c r="DG651" s="196"/>
      <c r="DH651" s="196"/>
      <c r="DI651" s="196"/>
      <c r="DJ651" s="196"/>
      <c r="DK651" s="196"/>
      <c r="DL651" s="196"/>
      <c r="DM651" s="196"/>
      <c r="DN651" s="196"/>
      <c r="DO651" s="196"/>
      <c r="DP651" s="196"/>
      <c r="DQ651" s="196"/>
      <c r="DR651" s="196"/>
      <c r="DS651" s="196"/>
      <c r="DT651" s="196"/>
    </row>
    <row r="652" spans="5:124" ht="16.5" thickTop="1" thickBot="1" x14ac:dyDescent="0.3">
      <c r="E652" s="465"/>
      <c r="AA652" s="270" t="s">
        <v>239</v>
      </c>
      <c r="AB652" s="79" t="str">
        <f>IFERROR(IF($AB$644="","",IF($AB$644=$AN$618,VLOOKUP($AB$634,$AM$627:$AQ$632,3,0),IF($AB$644=$AP$618,VLOOKUP($AB$634,$AM$627:$AQ$632,5,0)))),"")</f>
        <v/>
      </c>
      <c r="AC652" s="79" t="str">
        <f>IFERROR(IF($AB$644="","",IF($AB$644=$AN$618,VLOOKUP($AB$634,$AM$640:$AQ$645,3,0),IF($AB$644=$AP$618,VLOOKUP($AB$634,$AM$640:$AQ$645,5,0)))),"")</f>
        <v/>
      </c>
      <c r="AD652" s="79" t="str">
        <f>IFERROR(IF($AB$644="","",IF($AB$644=$AN$618,VLOOKUP($AB$634,$AM$653:$AQ$658,3,0),IF($AB$644=$AP$618,VLOOKUP($AB$634,$AM$653:$AQ$658,5,0)))),"")</f>
        <v/>
      </c>
      <c r="AE652" s="79" t="str">
        <f>IF($AB$642=$AB$647,$AB$652,IF($AB$642=$AC$647,$AC$652,IF($AB$642=$AD$647,$AD$652,"")))</f>
        <v/>
      </c>
      <c r="AL652" s="566"/>
      <c r="AM652" s="574" t="s">
        <v>459</v>
      </c>
      <c r="AN652" s="575"/>
      <c r="AO652" s="575"/>
      <c r="AP652" s="575"/>
      <c r="AQ652" s="576"/>
      <c r="BX652" s="196"/>
      <c r="BY652" s="196"/>
      <c r="BZ652" s="196"/>
      <c r="CA652" s="196"/>
      <c r="CB652" s="153" t="str">
        <f>IF($CC$608&lt;=15000,$CD$632,IF($CC$608&lt;=30000,$CD$633,$CD$634))</f>
        <v>(30k)</v>
      </c>
      <c r="CC652" s="153" t="str">
        <f>IF($CB$604&lt;=2,"ALL",$CB$605)</f>
        <v>ALL</v>
      </c>
      <c r="CD652" s="153" t="str">
        <f>$CB$604&amp;$CC$652&amp;$CB$652</f>
        <v>ALL(30k)</v>
      </c>
      <c r="CE652" s="153" t="str">
        <f>IFERROR(VLOOKUP($CD$652,$CA$631:$CE$649,5,0),"0")</f>
        <v>0</v>
      </c>
      <c r="CF652" s="196"/>
      <c r="CG652" s="196"/>
      <c r="CH652" s="196"/>
      <c r="CI652" s="196"/>
      <c r="CJ652" s="196"/>
      <c r="CK652" s="196"/>
      <c r="CL652" s="196"/>
      <c r="CM652" s="196"/>
      <c r="CN652" s="196"/>
      <c r="CO652" s="196"/>
      <c r="CP652" s="196"/>
      <c r="CQ652" s="196"/>
      <c r="CR652" s="196"/>
      <c r="CS652" s="196"/>
      <c r="CT652" s="196"/>
      <c r="CU652" s="196"/>
      <c r="CV652" s="196"/>
      <c r="CW652" s="196"/>
      <c r="CX652" s="196"/>
      <c r="CY652" s="196"/>
      <c r="CZ652" s="196"/>
      <c r="DA652" s="196"/>
      <c r="DB652" s="196"/>
      <c r="DC652" s="196"/>
      <c r="DD652" s="196"/>
      <c r="DE652" s="196"/>
      <c r="DF652" s="196"/>
      <c r="DG652" s="196"/>
      <c r="DH652" s="196"/>
      <c r="DI652" s="196"/>
      <c r="DJ652" s="196"/>
      <c r="DK652" s="196"/>
      <c r="DL652" s="196"/>
      <c r="DM652" s="196"/>
      <c r="DN652" s="196"/>
      <c r="DO652" s="196"/>
      <c r="DP652" s="196"/>
      <c r="DQ652" s="196"/>
      <c r="DR652" s="196"/>
      <c r="DS652" s="196"/>
      <c r="DT652" s="196"/>
    </row>
    <row r="653" spans="5:124" ht="16.5" thickTop="1" thickBot="1" x14ac:dyDescent="0.3">
      <c r="E653" s="465"/>
      <c r="AL653" s="566"/>
      <c r="AM653" s="394">
        <v>1</v>
      </c>
      <c r="AN653" s="398">
        <v>0.5</v>
      </c>
      <c r="AO653" s="398">
        <v>0.5</v>
      </c>
      <c r="AP653" s="398">
        <v>0.5</v>
      </c>
      <c r="AQ653" s="399">
        <v>0.5</v>
      </c>
      <c r="BX653" s="196"/>
      <c r="BY653" s="196"/>
      <c r="BZ653" s="196"/>
      <c r="CA653" s="196"/>
      <c r="CB653" s="196"/>
      <c r="CC653" s="196"/>
      <c r="CD653" s="196"/>
      <c r="CE653" s="156" t="s">
        <v>322</v>
      </c>
      <c r="CF653" s="196"/>
      <c r="CG653" s="196"/>
      <c r="CH653" s="196"/>
      <c r="CI653" s="196"/>
      <c r="CJ653" s="196"/>
      <c r="CK653" s="196"/>
      <c r="CL653" s="196"/>
      <c r="CM653" s="196"/>
      <c r="CN653" s="196"/>
      <c r="CO653" s="196"/>
      <c r="CP653" s="196"/>
      <c r="CQ653" s="196"/>
      <c r="CR653" s="196"/>
      <c r="CS653" s="196"/>
      <c r="CT653" s="196"/>
      <c r="CU653" s="196"/>
      <c r="CV653" s="196"/>
      <c r="CW653" s="196"/>
      <c r="CX653" s="196"/>
      <c r="CY653" s="196"/>
      <c r="CZ653" s="196"/>
      <c r="DA653" s="196"/>
      <c r="DB653" s="196"/>
      <c r="DC653" s="196"/>
      <c r="DD653" s="196"/>
      <c r="DE653" s="196"/>
      <c r="DF653" s="196"/>
      <c r="DG653" s="196"/>
      <c r="DH653" s="196"/>
      <c r="DI653" s="196"/>
      <c r="DJ653" s="196"/>
      <c r="DK653" s="196"/>
      <c r="DL653" s="196"/>
      <c r="DM653" s="196"/>
      <c r="DN653" s="196"/>
      <c r="DO653" s="196"/>
      <c r="DP653" s="196"/>
      <c r="DQ653" s="196"/>
      <c r="DR653" s="196"/>
      <c r="DS653" s="196"/>
      <c r="DT653" s="196"/>
    </row>
    <row r="654" spans="5:124" ht="16.5" customHeight="1" thickTop="1" thickBot="1" x14ac:dyDescent="0.3">
      <c r="E654" s="465"/>
      <c r="AL654" s="566"/>
      <c r="AM654" s="394">
        <v>2</v>
      </c>
      <c r="AN654" s="398">
        <v>0.5</v>
      </c>
      <c r="AO654" s="395">
        <v>0.5</v>
      </c>
      <c r="AP654" s="395">
        <v>0.5</v>
      </c>
      <c r="AQ654" s="400">
        <v>0.5</v>
      </c>
      <c r="BX654" s="196"/>
      <c r="BY654" s="196"/>
      <c r="BZ654" s="196"/>
      <c r="CA654" s="196"/>
      <c r="CB654" s="119" t="str">
        <f>IF($CB$614&lt;=15000,$CD$632,IF($CB$614&lt;=30000,$CD$633,$CD$634))</f>
        <v>(15k]</v>
      </c>
      <c r="CC654" s="119" t="str">
        <f>IF($CB$604&lt;=2,"ALL",$CB$605)</f>
        <v>ALL</v>
      </c>
      <c r="CD654" s="119" t="str">
        <f>$CB$604&amp;$CC$654&amp;$CB$654</f>
        <v>ALL(15k]</v>
      </c>
      <c r="CE654" s="119" t="str">
        <f>IFERROR(VLOOKUP($CD$654,$CA$631:$CE$649,5,0),"0")</f>
        <v>0</v>
      </c>
      <c r="CF654" s="196"/>
      <c r="CG654" s="196"/>
      <c r="CH654" s="196"/>
      <c r="CI654" s="196"/>
      <c r="CJ654" s="196"/>
      <c r="CK654" s="196"/>
      <c r="CL654" s="196"/>
      <c r="CM654" s="196"/>
      <c r="CN654" s="196"/>
      <c r="CO654" s="196"/>
      <c r="CP654" s="196"/>
      <c r="CQ654" s="196"/>
      <c r="CR654" s="196"/>
      <c r="CS654" s="196"/>
      <c r="CT654" s="196"/>
      <c r="CU654" s="196"/>
      <c r="CV654" s="196"/>
      <c r="CW654" s="196"/>
      <c r="CX654" s="196"/>
      <c r="CY654" s="196"/>
      <c r="CZ654" s="196"/>
      <c r="DA654" s="196"/>
      <c r="DB654" s="196"/>
      <c r="DC654" s="196"/>
      <c r="DD654" s="196"/>
      <c r="DE654" s="196"/>
      <c r="DF654" s="196"/>
      <c r="DG654" s="196"/>
      <c r="DH654" s="196"/>
      <c r="DI654" s="196"/>
      <c r="DJ654" s="196"/>
      <c r="DK654" s="196"/>
      <c r="DL654" s="196"/>
      <c r="DM654" s="196"/>
      <c r="DN654" s="196"/>
      <c r="DO654" s="196"/>
      <c r="DP654" s="196"/>
      <c r="DQ654" s="196"/>
      <c r="DR654" s="196"/>
      <c r="DS654" s="196"/>
      <c r="DT654" s="196"/>
    </row>
    <row r="655" spans="5:124" ht="16.5" thickTop="1" thickBot="1" x14ac:dyDescent="0.3">
      <c r="E655" s="465"/>
      <c r="AL655" s="566"/>
      <c r="AM655" s="394">
        <v>3</v>
      </c>
      <c r="AN655" s="395">
        <v>0.5</v>
      </c>
      <c r="AO655" s="395">
        <v>0.5</v>
      </c>
      <c r="AP655" s="300">
        <v>0</v>
      </c>
      <c r="AQ655" s="300">
        <v>0</v>
      </c>
      <c r="BX655" s="196"/>
      <c r="BY655" s="196"/>
      <c r="BZ655" s="196"/>
      <c r="CA655" s="196"/>
      <c r="CB655" s="196"/>
      <c r="CC655" s="196"/>
      <c r="CD655" s="196"/>
      <c r="CE655" s="196"/>
      <c r="CF655" s="196"/>
      <c r="CG655" s="196"/>
      <c r="CH655" s="196"/>
      <c r="CI655" s="196"/>
      <c r="CJ655" s="196"/>
      <c r="CK655" s="196"/>
      <c r="CL655" s="196"/>
      <c r="CM655" s="196"/>
      <c r="CN655" s="196"/>
      <c r="CO655" s="196"/>
      <c r="CP655" s="196"/>
      <c r="CQ655" s="196"/>
      <c r="CR655" s="196"/>
      <c r="CS655" s="196"/>
      <c r="CT655" s="196"/>
      <c r="CU655" s="196"/>
      <c r="CV655" s="196"/>
      <c r="CW655" s="196"/>
      <c r="CX655" s="196"/>
      <c r="CY655" s="196"/>
      <c r="CZ655" s="196"/>
      <c r="DA655" s="196"/>
      <c r="DB655" s="196"/>
      <c r="DC655" s="196"/>
      <c r="DD655" s="196"/>
      <c r="DE655" s="196"/>
      <c r="DF655" s="196"/>
      <c r="DG655" s="196"/>
      <c r="DH655" s="196"/>
      <c r="DI655" s="196"/>
      <c r="DJ655" s="196"/>
      <c r="DK655" s="196"/>
      <c r="DL655" s="196"/>
      <c r="DM655" s="196"/>
      <c r="DN655" s="196"/>
      <c r="DO655" s="196"/>
      <c r="DP655" s="196"/>
      <c r="DQ655" s="196"/>
      <c r="DR655" s="196"/>
      <c r="DS655" s="196"/>
      <c r="DT655" s="196"/>
    </row>
    <row r="656" spans="5:124" ht="16.5" thickTop="1" thickBot="1" x14ac:dyDescent="0.3">
      <c r="E656" s="465"/>
      <c r="AL656" s="566"/>
      <c r="AM656" s="394">
        <v>4</v>
      </c>
      <c r="AN656" s="395">
        <v>0.4</v>
      </c>
      <c r="AO656" s="395">
        <v>0.5</v>
      </c>
      <c r="AP656" s="300">
        <v>0</v>
      </c>
      <c r="AQ656" s="300">
        <v>0</v>
      </c>
      <c r="BX656" s="196"/>
      <c r="BY656" s="196"/>
      <c r="BZ656" s="196"/>
      <c r="CA656" s="196"/>
      <c r="CB656" s="196"/>
      <c r="CC656" s="196"/>
      <c r="CD656" s="196"/>
      <c r="CE656" s="196"/>
      <c r="CF656" s="196"/>
      <c r="CG656" s="196"/>
      <c r="CH656" s="196"/>
      <c r="CI656" s="196"/>
      <c r="CJ656" s="196"/>
      <c r="CK656" s="196"/>
      <c r="CL656" s="196"/>
      <c r="CM656" s="196"/>
      <c r="CN656" s="196"/>
      <c r="CO656" s="196"/>
      <c r="CP656" s="196"/>
      <c r="CQ656" s="196"/>
      <c r="CR656" s="196"/>
      <c r="CS656" s="196"/>
      <c r="CT656" s="196"/>
      <c r="CU656" s="196"/>
      <c r="CV656" s="196"/>
      <c r="CW656" s="196"/>
      <c r="CX656" s="196"/>
      <c r="CY656" s="196"/>
      <c r="CZ656" s="196"/>
      <c r="DA656" s="196"/>
      <c r="DB656" s="196"/>
      <c r="DC656" s="196"/>
      <c r="DD656" s="196"/>
      <c r="DE656" s="196"/>
      <c r="DF656" s="196"/>
      <c r="DG656" s="196"/>
      <c r="DH656" s="196"/>
      <c r="DI656" s="196"/>
      <c r="DJ656" s="196"/>
      <c r="DK656" s="196"/>
      <c r="DL656" s="196"/>
      <c r="DM656" s="196"/>
      <c r="DN656" s="196"/>
      <c r="DO656" s="196"/>
      <c r="DP656" s="196"/>
      <c r="DQ656" s="196"/>
      <c r="DR656" s="196"/>
      <c r="DS656" s="196"/>
      <c r="DT656" s="196"/>
    </row>
    <row r="657" spans="5:124" ht="16.5" thickTop="1" thickBot="1" x14ac:dyDescent="0.3">
      <c r="E657" s="465"/>
      <c r="AL657" s="566"/>
      <c r="AM657" s="394">
        <v>5</v>
      </c>
      <c r="AN657" s="300">
        <v>0</v>
      </c>
      <c r="AO657" s="300">
        <v>0</v>
      </c>
      <c r="AP657" s="300">
        <v>0</v>
      </c>
      <c r="AQ657" s="300">
        <v>0</v>
      </c>
      <c r="BX657" s="196"/>
      <c r="BY657" s="196"/>
      <c r="BZ657" s="196"/>
      <c r="CA657" s="196"/>
      <c r="CB657" s="196"/>
      <c r="CC657" s="196"/>
      <c r="CD657" s="196"/>
      <c r="CE657" s="196"/>
      <c r="CF657" s="196"/>
      <c r="CG657" s="196"/>
      <c r="CH657" s="196"/>
      <c r="CI657" s="196"/>
      <c r="CJ657" s="196"/>
      <c r="CK657" s="196"/>
      <c r="CL657" s="196"/>
      <c r="CM657" s="196"/>
      <c r="CN657" s="196"/>
      <c r="CO657" s="196"/>
      <c r="CP657" s="196"/>
      <c r="CQ657" s="196"/>
      <c r="CR657" s="196"/>
      <c r="CS657" s="196"/>
      <c r="CT657" s="196"/>
      <c r="CU657" s="196"/>
      <c r="CV657" s="196"/>
      <c r="CW657" s="196"/>
      <c r="CX657" s="196"/>
      <c r="CY657" s="196"/>
      <c r="CZ657" s="196"/>
      <c r="DA657" s="196"/>
      <c r="DB657" s="196"/>
      <c r="DC657" s="196"/>
      <c r="DD657" s="196"/>
      <c r="DE657" s="196"/>
      <c r="DF657" s="196"/>
      <c r="DG657" s="196"/>
      <c r="DH657" s="196"/>
      <c r="DI657" s="196"/>
      <c r="DJ657" s="196"/>
      <c r="DK657" s="196"/>
      <c r="DL657" s="196"/>
      <c r="DM657" s="196"/>
      <c r="DN657" s="196"/>
      <c r="DO657" s="196"/>
      <c r="DP657" s="196"/>
      <c r="DQ657" s="196"/>
      <c r="DR657" s="196"/>
      <c r="DS657" s="196"/>
      <c r="DT657" s="196"/>
    </row>
    <row r="658" spans="5:124" ht="16.5" thickTop="1" thickBot="1" x14ac:dyDescent="0.3">
      <c r="E658" s="465"/>
      <c r="AL658" s="567"/>
      <c r="AM658" s="401">
        <v>6</v>
      </c>
      <c r="AN658" s="300">
        <v>0</v>
      </c>
      <c r="AO658" s="300">
        <v>0</v>
      </c>
      <c r="AP658" s="300">
        <v>0</v>
      </c>
      <c r="AQ658" s="300">
        <v>0</v>
      </c>
      <c r="BX658" s="196"/>
      <c r="BY658" s="196"/>
      <c r="BZ658" s="196"/>
      <c r="CA658" s="196"/>
      <c r="CB658" s="196"/>
      <c r="CC658" s="196"/>
      <c r="CD658" s="196"/>
      <c r="CE658" s="196"/>
      <c r="CF658" s="196"/>
      <c r="CG658" s="196"/>
      <c r="CH658" s="196"/>
      <c r="CI658" s="196"/>
      <c r="CJ658" s="196"/>
      <c r="CK658" s="196"/>
      <c r="CL658" s="196"/>
      <c r="CM658" s="196"/>
      <c r="CN658" s="196"/>
      <c r="CO658" s="196"/>
      <c r="CP658" s="196"/>
      <c r="CQ658" s="196"/>
      <c r="CR658" s="196"/>
      <c r="CS658" s="196"/>
      <c r="CT658" s="196"/>
      <c r="CU658" s="196"/>
      <c r="CV658" s="196"/>
      <c r="CW658" s="196"/>
      <c r="CX658" s="196"/>
      <c r="CY658" s="196"/>
      <c r="CZ658" s="196"/>
      <c r="DA658" s="196"/>
      <c r="DB658" s="196"/>
      <c r="DC658" s="196"/>
      <c r="DD658" s="196"/>
      <c r="DE658" s="196"/>
      <c r="DF658" s="196"/>
      <c r="DG658" s="196"/>
      <c r="DH658" s="196"/>
      <c r="DI658" s="196"/>
      <c r="DJ658" s="196"/>
      <c r="DK658" s="196"/>
      <c r="DL658" s="196"/>
      <c r="DM658" s="196"/>
      <c r="DN658" s="196"/>
      <c r="DO658" s="196"/>
      <c r="DP658" s="196"/>
      <c r="DQ658" s="196"/>
      <c r="DR658" s="196"/>
      <c r="DS658" s="196"/>
      <c r="DT658" s="196"/>
    </row>
    <row r="659" spans="5:124" ht="15.75" thickBot="1" x14ac:dyDescent="0.3">
      <c r="E659" s="465"/>
      <c r="AL659" s="196"/>
      <c r="AM659" s="196"/>
      <c r="AN659" s="196"/>
      <c r="AO659" s="196"/>
      <c r="BX659" s="196"/>
      <c r="BY659" s="196"/>
      <c r="BZ659" s="196"/>
      <c r="CA659" s="196"/>
      <c r="CB659" s="196"/>
      <c r="CC659" s="196"/>
      <c r="CD659" s="196"/>
      <c r="CE659" s="196"/>
      <c r="CF659" s="196"/>
      <c r="CG659" s="196"/>
      <c r="CH659" s="196"/>
      <c r="CI659" s="196"/>
      <c r="CJ659" s="196"/>
      <c r="CK659" s="196"/>
      <c r="CL659" s="196"/>
      <c r="CM659" s="196"/>
      <c r="CN659" s="196"/>
      <c r="CO659" s="196"/>
      <c r="CP659" s="196"/>
      <c r="CQ659" s="196"/>
      <c r="CR659" s="196"/>
      <c r="CS659" s="196"/>
      <c r="CT659" s="196"/>
      <c r="CU659" s="196"/>
      <c r="CV659" s="196"/>
      <c r="CW659" s="196"/>
      <c r="CX659" s="196"/>
      <c r="CY659" s="196"/>
      <c r="CZ659" s="196"/>
      <c r="DA659" s="196"/>
      <c r="DB659" s="196"/>
      <c r="DC659" s="196"/>
      <c r="DD659" s="196"/>
      <c r="DE659" s="196"/>
      <c r="DF659" s="196"/>
      <c r="DG659" s="196"/>
      <c r="DH659" s="196"/>
      <c r="DI659" s="196"/>
      <c r="DJ659" s="196"/>
      <c r="DK659" s="196"/>
      <c r="DL659" s="196"/>
      <c r="DM659" s="196"/>
      <c r="DN659" s="196"/>
      <c r="DO659" s="196"/>
      <c r="DP659" s="196"/>
      <c r="DQ659" s="196"/>
      <c r="DR659" s="196"/>
      <c r="DS659" s="196"/>
      <c r="DT659" s="196"/>
    </row>
    <row r="660" spans="5:124" ht="15.75" thickBot="1" x14ac:dyDescent="0.3">
      <c r="E660" s="465"/>
      <c r="AA660" s="497" t="s">
        <v>120</v>
      </c>
      <c r="AB660" s="498"/>
      <c r="AC660" s="498"/>
      <c r="AD660" s="498"/>
      <c r="AE660" s="498"/>
      <c r="AF660" s="498"/>
      <c r="AG660" s="499"/>
      <c r="AH660" s="11"/>
      <c r="AL660" s="196"/>
      <c r="AM660" s="196"/>
      <c r="AN660" s="196"/>
      <c r="AO660" s="196"/>
      <c r="BX660" s="196"/>
      <c r="BY660" s="196"/>
      <c r="BZ660" s="196"/>
      <c r="CA660" s="196"/>
      <c r="CB660" s="196"/>
      <c r="CC660" s="196"/>
      <c r="CD660" s="196"/>
      <c r="CE660" s="196"/>
      <c r="CF660" s="196"/>
      <c r="CG660" s="196"/>
      <c r="CH660" s="196"/>
      <c r="CI660" s="196"/>
      <c r="CJ660" s="196"/>
      <c r="CK660" s="196"/>
      <c r="CL660" s="196"/>
      <c r="CM660" s="196"/>
      <c r="CN660" s="196"/>
      <c r="CO660" s="196"/>
      <c r="CP660" s="196"/>
      <c r="CQ660" s="196"/>
      <c r="CR660" s="196"/>
      <c r="CS660" s="196"/>
      <c r="CT660" s="196"/>
      <c r="CU660" s="196"/>
      <c r="CV660" s="196"/>
      <c r="CW660" s="196"/>
      <c r="CX660" s="196"/>
      <c r="CY660" s="196"/>
      <c r="CZ660" s="196"/>
      <c r="DA660" s="196"/>
      <c r="DB660" s="196"/>
      <c r="DC660" s="196"/>
      <c r="DD660" s="196"/>
      <c r="DE660" s="196"/>
      <c r="DF660" s="196"/>
      <c r="DG660" s="196"/>
      <c r="DH660" s="196"/>
      <c r="DI660" s="196"/>
      <c r="DJ660" s="196"/>
      <c r="DK660" s="196"/>
      <c r="DL660" s="196"/>
      <c r="DM660" s="196"/>
      <c r="DN660" s="196"/>
      <c r="DO660" s="196"/>
      <c r="DP660" s="196"/>
      <c r="DQ660" s="196"/>
      <c r="DR660" s="196"/>
      <c r="DS660" s="196"/>
      <c r="DT660" s="196"/>
    </row>
    <row r="661" spans="5:124" ht="16.5" thickTop="1" thickBot="1" x14ac:dyDescent="0.3">
      <c r="E661" s="465"/>
      <c r="AA661" s="48" t="s">
        <v>129</v>
      </c>
      <c r="AB661" s="42">
        <f>AC661-AF661</f>
        <v>0</v>
      </c>
      <c r="AC661" s="50">
        <f>SUM($AC$662:$AC$681)</f>
        <v>0</v>
      </c>
      <c r="AD661" s="50">
        <f>SUM($AD$662:$AD$681)</f>
        <v>0</v>
      </c>
      <c r="AE661" s="26">
        <v>0</v>
      </c>
      <c r="AF661" s="50">
        <f>SUM($AF$662:$AF$681)</f>
        <v>0</v>
      </c>
      <c r="AG661" s="50">
        <f>SUM($AG$662:$AG$681)</f>
        <v>0</v>
      </c>
      <c r="AH661" s="132" t="s">
        <v>237</v>
      </c>
      <c r="AL661" s="196"/>
      <c r="AM661" s="196"/>
      <c r="AN661" s="196"/>
      <c r="AO661" s="196"/>
      <c r="BX661" s="196"/>
      <c r="BY661" s="196"/>
      <c r="BZ661" s="196"/>
      <c r="CA661" s="196"/>
      <c r="CB661" s="196"/>
      <c r="CC661" s="196"/>
      <c r="CD661" s="196"/>
      <c r="CE661" s="196"/>
      <c r="CF661" s="196"/>
      <c r="CG661" s="196"/>
      <c r="CH661" s="196"/>
      <c r="CI661" s="196"/>
      <c r="CJ661" s="196"/>
      <c r="CK661" s="196"/>
      <c r="CL661" s="196"/>
      <c r="CM661" s="196"/>
      <c r="CN661" s="196"/>
      <c r="CO661" s="196"/>
      <c r="CP661" s="196"/>
      <c r="CQ661" s="196"/>
      <c r="CR661" s="196"/>
      <c r="CS661" s="196"/>
      <c r="CT661" s="196"/>
      <c r="CU661" s="196"/>
      <c r="CV661" s="196"/>
      <c r="CW661" s="196"/>
      <c r="CX661" s="196"/>
      <c r="CY661" s="196"/>
      <c r="CZ661" s="196"/>
      <c r="DA661" s="196"/>
      <c r="DB661" s="196"/>
      <c r="DC661" s="196"/>
      <c r="DD661" s="196"/>
      <c r="DE661" s="196"/>
      <c r="DF661" s="196"/>
      <c r="DG661" s="196"/>
      <c r="DH661" s="196"/>
      <c r="DI661" s="196"/>
      <c r="DJ661" s="196"/>
      <c r="DK661" s="196"/>
      <c r="DL661" s="196"/>
      <c r="DM661" s="196"/>
      <c r="DN661" s="196"/>
      <c r="DO661" s="196"/>
      <c r="DP661" s="196"/>
      <c r="DQ661" s="196"/>
      <c r="DR661" s="196"/>
      <c r="DS661" s="196"/>
      <c r="DT661" s="196"/>
    </row>
    <row r="662" spans="5:124" ht="16.5" thickTop="1" thickBot="1" x14ac:dyDescent="0.3">
      <c r="E662" s="465"/>
      <c r="AA662" s="48"/>
      <c r="AB662" s="26"/>
      <c r="AC662" s="18">
        <v>0</v>
      </c>
      <c r="AD662" s="18">
        <v>0</v>
      </c>
      <c r="AE662" s="26"/>
      <c r="AF662" s="26">
        <v>0</v>
      </c>
      <c r="AG662" s="26">
        <v>0</v>
      </c>
      <c r="AJ662" s="10" t="str">
        <f>IF($AG662=$AE$661,"QUIT",$AA662)</f>
        <v>QUIT</v>
      </c>
      <c r="AK662" s="10" t="str">
        <f>IF($AG662=$AE$661,"QUIT",$AF662)</f>
        <v>QUIT</v>
      </c>
      <c r="AL662" s="10" t="str">
        <f>IF($AG662=$AE$661,"QUIT",$AG662)</f>
        <v>QUIT</v>
      </c>
      <c r="AM662" s="10" t="e">
        <f t="array" ref="AM662">IF(ROWS(AM$662:AM662)&gt;COUNTA($AJ:$AJ),$AH$661,INDEX($AJ:$AJ,SMALL(IF(AJ$662:AJ$681&lt;&gt;$AH$661,ROW(AJ$662:AJ$681)),ROWS(AM$662:AM662))))</f>
        <v>#NUM!</v>
      </c>
      <c r="AN662" s="10" t="e">
        <f t="array" ref="AN662">IF(ROWS(AN$662:AN662)&gt;COUNTA($AK:$AK),$AH$661,INDEX($AK:$AK,SMALL(IF(AK$662:AK$681&lt;&gt;$AH$661,ROW(AK$662:AK$681)),ROWS(AN$662:AN662))))</f>
        <v>#NUM!</v>
      </c>
      <c r="AO662" s="10" t="e">
        <f t="array" ref="AO662">IF(ROWS(AO$662:AO662)&gt;COUNTA($AL:$AL),$AH$661,INDEX($AL:$AL,SMALL(IF(AL$662:AL$681&lt;&gt;$AH$661,ROW(AL$662:AL$681)),ROWS(AO$662:AO662))))</f>
        <v>#NUM!</v>
      </c>
      <c r="BX662" s="196"/>
      <c r="BY662" s="196"/>
      <c r="BZ662" s="196"/>
      <c r="CA662" s="196"/>
      <c r="CB662" s="196"/>
      <c r="CC662" s="196"/>
      <c r="CD662" s="196"/>
      <c r="CE662" s="196"/>
      <c r="CF662" s="196"/>
      <c r="CG662" s="196"/>
      <c r="CH662" s="196"/>
      <c r="CI662" s="196"/>
      <c r="CJ662" s="196"/>
      <c r="CK662" s="196"/>
      <c r="CL662" s="196"/>
      <c r="CM662" s="196"/>
      <c r="CN662" s="196"/>
      <c r="CO662" s="196"/>
      <c r="CP662" s="196"/>
      <c r="CQ662" s="196"/>
      <c r="CR662" s="196"/>
      <c r="CS662" s="196"/>
      <c r="CT662" s="196"/>
      <c r="CU662" s="196"/>
      <c r="CV662" s="196"/>
      <c r="CW662" s="196"/>
      <c r="CX662" s="196"/>
      <c r="CY662" s="196"/>
      <c r="CZ662" s="196"/>
      <c r="DA662" s="196"/>
      <c r="DB662" s="196"/>
      <c r="DC662" s="196"/>
      <c r="DD662" s="196"/>
      <c r="DE662" s="196"/>
      <c r="DF662" s="196"/>
      <c r="DG662" s="196"/>
      <c r="DH662" s="196"/>
      <c r="DI662" s="196"/>
      <c r="DJ662" s="196"/>
      <c r="DK662" s="196"/>
      <c r="DL662" s="196"/>
      <c r="DM662" s="196"/>
      <c r="DN662" s="196"/>
      <c r="DO662" s="196"/>
      <c r="DP662" s="196"/>
      <c r="DQ662" s="196"/>
      <c r="DR662" s="196"/>
      <c r="DS662" s="196"/>
      <c r="DT662" s="196"/>
    </row>
    <row r="663" spans="5:124" ht="16.5" thickTop="1" thickBot="1" x14ac:dyDescent="0.3">
      <c r="E663" s="465"/>
      <c r="AA663" s="48"/>
      <c r="AB663" s="26"/>
      <c r="AC663" s="18">
        <v>0</v>
      </c>
      <c r="AD663" s="18">
        <v>0</v>
      </c>
      <c r="AE663" s="26"/>
      <c r="AF663" s="26">
        <v>0</v>
      </c>
      <c r="AG663" s="26">
        <v>0</v>
      </c>
      <c r="AJ663" s="10" t="str">
        <f t="shared" ref="AJ663:AJ681" si="2">IF($AG663=$AE$661,"QUIT",$AA663)</f>
        <v>QUIT</v>
      </c>
      <c r="AK663" s="10" t="str">
        <f t="shared" ref="AK663:AK681" si="3">IF($AG663=$AE$661,"QUIT",$AF663)</f>
        <v>QUIT</v>
      </c>
      <c r="AL663" s="10" t="str">
        <f t="shared" ref="AL663:AL681" si="4">IF($AG663=$AE$661,"QUIT",$AG663)</f>
        <v>QUIT</v>
      </c>
      <c r="AM663" s="10" t="e">
        <f t="array" ref="AM663">IF(ROWS(AM$662:AM663)&gt;COUNTA($AJ:$AJ),$AH$661,INDEX($AJ:$AJ,SMALL(IF(AJ$662:AJ$681&lt;&gt;$AH$661,ROW(AJ$662:AJ$681)),ROWS(AM$662:AM663))))</f>
        <v>#NUM!</v>
      </c>
      <c r="AN663" s="10" t="e">
        <f t="array" ref="AN663">IF(ROWS(AN$662:AN663)&gt;COUNTA($AK:$AK),$AH$661,INDEX($AK:$AK,SMALL(IF(AK$662:AK$681&lt;&gt;$AH$661,ROW(AK$662:AK$681)),ROWS(AN$662:AN663))))</f>
        <v>#NUM!</v>
      </c>
      <c r="AO663" s="10" t="e">
        <f t="array" ref="AO663">IF(ROWS(AO$662:AO663)&gt;COUNTA($AL:$AL),$AH$661,INDEX($AL:$AL,SMALL(IF(AL$662:AL$681&lt;&gt;$AH$661,ROW(AL$662:AL$681)),ROWS(AO$662:AO663))))</f>
        <v>#NUM!</v>
      </c>
      <c r="BX663" s="196"/>
      <c r="BY663" s="196"/>
      <c r="BZ663" s="196"/>
      <c r="CA663" s="196"/>
      <c r="CB663" s="196"/>
      <c r="CC663" s="196"/>
      <c r="CD663" s="196"/>
      <c r="CE663" s="196"/>
      <c r="CF663" s="196"/>
      <c r="CG663" s="196"/>
      <c r="CH663" s="196"/>
      <c r="CI663" s="196"/>
      <c r="CJ663" s="196"/>
      <c r="CK663" s="196"/>
      <c r="CL663" s="196"/>
      <c r="CM663" s="196"/>
      <c r="CN663" s="196"/>
      <c r="CO663" s="196"/>
      <c r="CP663" s="196"/>
      <c r="CQ663" s="196"/>
      <c r="CR663" s="196"/>
      <c r="CS663" s="196"/>
      <c r="CT663" s="196"/>
      <c r="CU663" s="196"/>
      <c r="CV663" s="196"/>
      <c r="CW663" s="196"/>
      <c r="CX663" s="196"/>
      <c r="CY663" s="196"/>
      <c r="CZ663" s="196"/>
      <c r="DA663" s="196"/>
      <c r="DB663" s="196"/>
      <c r="DC663" s="196"/>
      <c r="DD663" s="196"/>
      <c r="DE663" s="196"/>
      <c r="DF663" s="196"/>
      <c r="DG663" s="196"/>
      <c r="DH663" s="196"/>
      <c r="DI663" s="196"/>
      <c r="DJ663" s="196"/>
      <c r="DK663" s="196"/>
      <c r="DL663" s="196"/>
      <c r="DM663" s="196"/>
      <c r="DN663" s="196"/>
      <c r="DO663" s="196"/>
      <c r="DP663" s="196"/>
      <c r="DQ663" s="196"/>
      <c r="DR663" s="196"/>
      <c r="DS663" s="196"/>
      <c r="DT663" s="196"/>
    </row>
    <row r="664" spans="5:124" ht="16.5" thickTop="1" thickBot="1" x14ac:dyDescent="0.3">
      <c r="AA664" s="48"/>
      <c r="AB664" s="26"/>
      <c r="AC664" s="18">
        <v>0</v>
      </c>
      <c r="AD664" s="18">
        <v>0</v>
      </c>
      <c r="AE664" s="26"/>
      <c r="AF664" s="26">
        <v>0</v>
      </c>
      <c r="AG664" s="26">
        <v>0</v>
      </c>
      <c r="AJ664" s="10" t="str">
        <f t="shared" si="2"/>
        <v>QUIT</v>
      </c>
      <c r="AK664" s="10" t="str">
        <f t="shared" si="3"/>
        <v>QUIT</v>
      </c>
      <c r="AL664" s="10" t="str">
        <f t="shared" si="4"/>
        <v>QUIT</v>
      </c>
      <c r="AM664" s="10" t="e">
        <f t="array" ref="AM664">IF(ROWS(AM$662:AM664)&gt;COUNTA($AJ:$AJ),$AH$661,INDEX($AJ:$AJ,SMALL(IF(AJ$662:AJ$681&lt;&gt;$AH$661,ROW(AJ$662:AJ$681)),ROWS(AM$662:AM664))))</f>
        <v>#NUM!</v>
      </c>
      <c r="AN664" s="10" t="e">
        <f t="array" ref="AN664">IF(ROWS(AN$662:AN664)&gt;COUNTA($AK:$AK),$AH$661,INDEX($AK:$AK,SMALL(IF(AK$662:AK$681&lt;&gt;$AH$661,ROW(AK$662:AK$681)),ROWS(AN$662:AN664))))</f>
        <v>#NUM!</v>
      </c>
      <c r="AO664" s="10" t="e">
        <f t="array" ref="AO664">IF(ROWS(AO$662:AO664)&gt;COUNTA($AL:$AL),$AH$661,INDEX($AL:$AL,SMALL(IF(AL$662:AL$681&lt;&gt;$AH$661,ROW(AL$662:AL$681)),ROWS(AO$662:AO664))))</f>
        <v>#NUM!</v>
      </c>
      <c r="BX664" s="196"/>
      <c r="BY664" s="196"/>
      <c r="BZ664" s="196"/>
      <c r="CA664" s="196"/>
      <c r="CB664" s="196"/>
      <c r="CC664" s="196"/>
      <c r="CD664" s="196"/>
      <c r="CE664" s="196"/>
      <c r="CF664" s="196"/>
      <c r="CG664" s="196"/>
      <c r="CH664" s="196"/>
      <c r="CI664" s="196"/>
      <c r="CJ664" s="196"/>
      <c r="CK664" s="196"/>
      <c r="CL664" s="196"/>
      <c r="CM664" s="196"/>
      <c r="CN664" s="196"/>
      <c r="CO664" s="196"/>
      <c r="CP664" s="196"/>
      <c r="CQ664" s="196"/>
      <c r="CR664" s="196"/>
      <c r="CS664" s="196"/>
      <c r="CT664" s="196"/>
      <c r="CU664" s="196"/>
      <c r="CV664" s="196"/>
      <c r="CW664" s="196"/>
      <c r="CX664" s="196"/>
      <c r="CY664" s="196"/>
      <c r="CZ664" s="196"/>
      <c r="DA664" s="196"/>
      <c r="DB664" s="196"/>
      <c r="DC664" s="196"/>
      <c r="DD664" s="196"/>
      <c r="DE664" s="196"/>
      <c r="DF664" s="196"/>
      <c r="DG664" s="196"/>
      <c r="DH664" s="196"/>
      <c r="DI664" s="196"/>
      <c r="DJ664" s="196"/>
      <c r="DK664" s="196"/>
      <c r="DL664" s="196"/>
      <c r="DM664" s="196"/>
      <c r="DN664" s="196"/>
      <c r="DO664" s="196"/>
      <c r="DP664" s="196"/>
      <c r="DQ664" s="196"/>
      <c r="DR664" s="196"/>
      <c r="DS664" s="196"/>
      <c r="DT664" s="196"/>
    </row>
    <row r="665" spans="5:124" ht="16.5" thickTop="1" thickBot="1" x14ac:dyDescent="0.3">
      <c r="AA665" s="48"/>
      <c r="AB665" s="26"/>
      <c r="AC665" s="18">
        <v>0</v>
      </c>
      <c r="AD665" s="18">
        <v>0</v>
      </c>
      <c r="AE665" s="26"/>
      <c r="AF665" s="26">
        <v>0</v>
      </c>
      <c r="AG665" s="26">
        <v>0</v>
      </c>
      <c r="AJ665" s="10" t="str">
        <f t="shared" si="2"/>
        <v>QUIT</v>
      </c>
      <c r="AK665" s="10" t="str">
        <f t="shared" si="3"/>
        <v>QUIT</v>
      </c>
      <c r="AL665" s="10" t="str">
        <f t="shared" si="4"/>
        <v>QUIT</v>
      </c>
      <c r="AM665" s="10" t="e">
        <f t="array" ref="AM665">IF(ROWS(AM$662:AM665)&gt;COUNTA($AJ:$AJ),$AH$661,INDEX($AJ:$AJ,SMALL(IF(AJ$662:AJ$681&lt;&gt;$AH$661,ROW(AJ$662:AJ$681)),ROWS(AM$662:AM665))))</f>
        <v>#NUM!</v>
      </c>
      <c r="AN665" s="10" t="e">
        <f t="array" ref="AN665">IF(ROWS(AN$662:AN665)&gt;COUNTA($AK:$AK),$AH$661,INDEX($AK:$AK,SMALL(IF(AK$662:AK$681&lt;&gt;$AH$661,ROW(AK$662:AK$681)),ROWS(AN$662:AN665))))</f>
        <v>#NUM!</v>
      </c>
      <c r="AO665" s="10" t="e">
        <f t="array" ref="AO665">IF(ROWS(AO$662:AO665)&gt;COUNTA($AL:$AL),$AH$661,INDEX($AL:$AL,SMALL(IF(AL$662:AL$681&lt;&gt;$AH$661,ROW(AL$662:AL$681)),ROWS(AO$662:AO665))))</f>
        <v>#NUM!</v>
      </c>
      <c r="BX665" s="196"/>
      <c r="BY665" s="196"/>
      <c r="BZ665" s="196"/>
      <c r="CA665" s="196"/>
      <c r="CB665" s="196"/>
      <c r="CC665" s="196"/>
      <c r="CD665" s="196"/>
      <c r="CE665" s="196"/>
      <c r="CF665" s="196"/>
      <c r="CG665" s="196"/>
      <c r="CH665" s="196"/>
      <c r="CI665" s="196"/>
      <c r="CJ665" s="196"/>
      <c r="CK665" s="196"/>
      <c r="CL665" s="196"/>
      <c r="CM665" s="196"/>
      <c r="CN665" s="196"/>
      <c r="CO665" s="196"/>
      <c r="CP665" s="196"/>
      <c r="CQ665" s="196"/>
      <c r="CR665" s="196"/>
      <c r="CS665" s="196"/>
      <c r="CT665" s="196"/>
      <c r="CU665" s="196"/>
      <c r="CV665" s="196"/>
      <c r="CW665" s="196"/>
      <c r="CX665" s="196"/>
      <c r="CY665" s="196"/>
      <c r="CZ665" s="196"/>
      <c r="DA665" s="196"/>
      <c r="DB665" s="196"/>
      <c r="DC665" s="196"/>
      <c r="DD665" s="196"/>
      <c r="DE665" s="196"/>
      <c r="DF665" s="196"/>
      <c r="DG665" s="196"/>
      <c r="DH665" s="196"/>
      <c r="DI665" s="196"/>
      <c r="DJ665" s="196"/>
      <c r="DK665" s="196"/>
      <c r="DL665" s="196"/>
      <c r="DM665" s="196"/>
      <c r="DN665" s="196"/>
      <c r="DO665" s="196"/>
      <c r="DP665" s="196"/>
      <c r="DQ665" s="196"/>
      <c r="DR665" s="196"/>
      <c r="DS665" s="196"/>
      <c r="DT665" s="196"/>
    </row>
    <row r="666" spans="5:124" ht="16.5" thickTop="1" thickBot="1" x14ac:dyDescent="0.3">
      <c r="AA666" s="48"/>
      <c r="AB666" s="26"/>
      <c r="AC666" s="18">
        <v>0</v>
      </c>
      <c r="AD666" s="18">
        <v>0</v>
      </c>
      <c r="AE666" s="26"/>
      <c r="AF666" s="26">
        <v>0</v>
      </c>
      <c r="AG666" s="26">
        <v>0</v>
      </c>
      <c r="AJ666" s="10" t="str">
        <f t="shared" si="2"/>
        <v>QUIT</v>
      </c>
      <c r="AK666" s="10" t="str">
        <f t="shared" si="3"/>
        <v>QUIT</v>
      </c>
      <c r="AL666" s="10" t="str">
        <f t="shared" si="4"/>
        <v>QUIT</v>
      </c>
      <c r="AM666" s="10" t="e">
        <f t="array" ref="AM666">IF(ROWS(AM$662:AM666)&gt;COUNTA($AJ:$AJ),$AH$661,INDEX($AJ:$AJ,SMALL(IF(AJ$662:AJ$681&lt;&gt;$AH$661,ROW(AJ$662:AJ$681)),ROWS(AM$662:AM666))))</f>
        <v>#NUM!</v>
      </c>
      <c r="AN666" s="10" t="e">
        <f t="array" ref="AN666">IF(ROWS(AN$662:AN666)&gt;COUNTA($AK:$AK),$AH$661,INDEX($AK:$AK,SMALL(IF(AK$662:AK$681&lt;&gt;$AH$661,ROW(AK$662:AK$681)),ROWS(AN$662:AN666))))</f>
        <v>#NUM!</v>
      </c>
      <c r="AO666" s="10" t="e">
        <f t="array" ref="AO666">IF(ROWS(AO$662:AO666)&gt;COUNTA($AL:$AL),$AH$661,INDEX($AL:$AL,SMALL(IF(AL$662:AL$681&lt;&gt;$AH$661,ROW(AL$662:AL$681)),ROWS(AO$662:AO666))))</f>
        <v>#NUM!</v>
      </c>
      <c r="BX666" s="196"/>
      <c r="BY666" s="196"/>
      <c r="BZ666" s="196"/>
      <c r="CA666" s="196"/>
      <c r="CB666" s="196"/>
      <c r="CC666" s="196"/>
      <c r="CD666" s="196"/>
      <c r="CE666" s="196"/>
      <c r="CF666" s="196"/>
      <c r="CG666" s="196"/>
      <c r="CH666" s="196"/>
      <c r="CI666" s="196"/>
      <c r="CJ666" s="196"/>
      <c r="CK666" s="196"/>
      <c r="CL666" s="196"/>
      <c r="CM666" s="196"/>
      <c r="CN666" s="196"/>
      <c r="CO666" s="196"/>
      <c r="CP666" s="196"/>
      <c r="CQ666" s="196"/>
      <c r="CR666" s="196"/>
      <c r="CS666" s="196"/>
      <c r="CT666" s="196"/>
      <c r="CU666" s="196"/>
      <c r="CV666" s="196"/>
      <c r="CW666" s="196"/>
      <c r="CX666" s="196"/>
      <c r="CY666" s="196"/>
      <c r="CZ666" s="196"/>
      <c r="DA666" s="196"/>
      <c r="DB666" s="196"/>
      <c r="DC666" s="196"/>
      <c r="DD666" s="196"/>
      <c r="DE666" s="196"/>
      <c r="DF666" s="196"/>
      <c r="DG666" s="196"/>
      <c r="DH666" s="196"/>
      <c r="DI666" s="196"/>
      <c r="DJ666" s="196"/>
      <c r="DK666" s="196"/>
      <c r="DL666" s="196"/>
      <c r="DM666" s="196"/>
      <c r="DN666" s="196"/>
      <c r="DO666" s="196"/>
      <c r="DP666" s="196"/>
      <c r="DQ666" s="196"/>
      <c r="DR666" s="196"/>
      <c r="DS666" s="196"/>
      <c r="DT666" s="196"/>
    </row>
    <row r="667" spans="5:124" ht="16.5" thickTop="1" thickBot="1" x14ac:dyDescent="0.3">
      <c r="AA667" s="48"/>
      <c r="AB667" s="26"/>
      <c r="AC667" s="18">
        <v>0</v>
      </c>
      <c r="AD667" s="18">
        <v>0</v>
      </c>
      <c r="AE667" s="26"/>
      <c r="AF667" s="26">
        <v>0</v>
      </c>
      <c r="AG667" s="26">
        <v>0</v>
      </c>
      <c r="AJ667" s="10" t="str">
        <f t="shared" si="2"/>
        <v>QUIT</v>
      </c>
      <c r="AK667" s="10" t="str">
        <f t="shared" si="3"/>
        <v>QUIT</v>
      </c>
      <c r="AL667" s="10" t="str">
        <f t="shared" si="4"/>
        <v>QUIT</v>
      </c>
      <c r="AM667" s="10" t="e">
        <f t="array" ref="AM667">IF(ROWS(AM$662:AM667)&gt;COUNTA($AJ:$AJ),$AH$661,INDEX($AJ:$AJ,SMALL(IF(AJ$662:AJ$681&lt;&gt;$AH$661,ROW(AJ$662:AJ$681)),ROWS(AM$662:AM667))))</f>
        <v>#NUM!</v>
      </c>
      <c r="AN667" s="10" t="e">
        <f t="array" ref="AN667">IF(ROWS(AN$662:AN667)&gt;COUNTA($AK:$AK),$AH$661,INDEX($AK:$AK,SMALL(IF(AK$662:AK$681&lt;&gt;$AH$661,ROW(AK$662:AK$681)),ROWS(AN$662:AN667))))</f>
        <v>#NUM!</v>
      </c>
      <c r="AO667" s="10" t="e">
        <f t="array" ref="AO667">IF(ROWS(AO$662:AO667)&gt;COUNTA($AL:$AL),$AH$661,INDEX($AL:$AL,SMALL(IF(AL$662:AL$681&lt;&gt;$AH$661,ROW(AL$662:AL$681)),ROWS(AO$662:AO667))))</f>
        <v>#NUM!</v>
      </c>
      <c r="BX667" s="196"/>
      <c r="BY667" s="196"/>
      <c r="BZ667" s="196"/>
      <c r="CA667" s="196"/>
      <c r="CB667" s="196"/>
      <c r="CC667" s="196"/>
      <c r="CD667" s="196"/>
      <c r="CE667" s="196"/>
      <c r="CF667" s="196"/>
      <c r="CG667" s="196"/>
      <c r="CH667" s="196"/>
      <c r="CI667" s="196"/>
      <c r="CJ667" s="196"/>
      <c r="CK667" s="196"/>
      <c r="CL667" s="196"/>
      <c r="CM667" s="196"/>
      <c r="CN667" s="196"/>
      <c r="CO667" s="196"/>
      <c r="CP667" s="196"/>
      <c r="CQ667" s="196"/>
      <c r="CR667" s="196"/>
      <c r="CS667" s="196"/>
      <c r="CT667" s="196"/>
      <c r="CU667" s="196"/>
      <c r="CV667" s="196"/>
      <c r="CW667" s="196"/>
      <c r="CX667" s="196"/>
      <c r="CY667" s="196"/>
      <c r="CZ667" s="196"/>
      <c r="DA667" s="196"/>
      <c r="DB667" s="196"/>
      <c r="DC667" s="196"/>
      <c r="DD667" s="196"/>
      <c r="DE667" s="196"/>
      <c r="DF667" s="196"/>
      <c r="DG667" s="196"/>
      <c r="DH667" s="196"/>
      <c r="DI667" s="196"/>
      <c r="DJ667" s="196"/>
      <c r="DK667" s="196"/>
      <c r="DL667" s="196"/>
      <c r="DM667" s="196"/>
      <c r="DN667" s="196"/>
      <c r="DO667" s="196"/>
      <c r="DP667" s="196"/>
      <c r="DQ667" s="196"/>
      <c r="DR667" s="196"/>
      <c r="DS667" s="196"/>
      <c r="DT667" s="196"/>
    </row>
    <row r="668" spans="5:124" ht="16.5" thickTop="1" thickBot="1" x14ac:dyDescent="0.3">
      <c r="AA668" s="48"/>
      <c r="AB668" s="26"/>
      <c r="AC668" s="18">
        <v>0</v>
      </c>
      <c r="AD668" s="18">
        <v>0</v>
      </c>
      <c r="AE668" s="26"/>
      <c r="AF668" s="26">
        <v>0</v>
      </c>
      <c r="AG668" s="26">
        <v>0</v>
      </c>
      <c r="AJ668" s="10" t="str">
        <f t="shared" si="2"/>
        <v>QUIT</v>
      </c>
      <c r="AK668" s="10" t="str">
        <f t="shared" si="3"/>
        <v>QUIT</v>
      </c>
      <c r="AL668" s="10" t="str">
        <f t="shared" si="4"/>
        <v>QUIT</v>
      </c>
      <c r="AM668" s="10" t="e">
        <f t="array" ref="AM668">IF(ROWS(AM$662:AM668)&gt;COUNTA($AJ:$AJ),$AH$661,INDEX($AJ:$AJ,SMALL(IF(AJ$662:AJ$681&lt;&gt;$AH$661,ROW(AJ$662:AJ$681)),ROWS(AM$662:AM668))))</f>
        <v>#NUM!</v>
      </c>
      <c r="AN668" s="10" t="e">
        <f t="array" ref="AN668">IF(ROWS(AN$662:AN668)&gt;COUNTA($AK:$AK),$AH$661,INDEX($AK:$AK,SMALL(IF(AK$662:AK$681&lt;&gt;$AH$661,ROW(AK$662:AK$681)),ROWS(AN$662:AN668))))</f>
        <v>#NUM!</v>
      </c>
      <c r="AO668" s="10" t="e">
        <f t="array" ref="AO668">IF(ROWS(AO$662:AO668)&gt;COUNTA($AL:$AL),$AH$661,INDEX($AL:$AL,SMALL(IF(AL$662:AL$681&lt;&gt;$AH$661,ROW(AL$662:AL$681)),ROWS(AO$662:AO668))))</f>
        <v>#NUM!</v>
      </c>
      <c r="BX668" s="196"/>
      <c r="BY668" s="196"/>
      <c r="BZ668" s="196"/>
      <c r="CA668" s="196"/>
      <c r="CB668" s="196"/>
      <c r="CC668" s="196"/>
      <c r="CD668" s="196"/>
      <c r="CE668" s="196"/>
      <c r="CF668" s="196"/>
      <c r="CG668" s="196"/>
      <c r="CH668" s="196"/>
      <c r="CI668" s="196"/>
      <c r="CJ668" s="196"/>
      <c r="CK668" s="196"/>
      <c r="CL668" s="196"/>
      <c r="CM668" s="196"/>
      <c r="CN668" s="196"/>
      <c r="CO668" s="196"/>
      <c r="CP668" s="196"/>
      <c r="CQ668" s="196"/>
      <c r="CR668" s="196"/>
      <c r="CS668" s="196"/>
      <c r="CT668" s="196"/>
      <c r="CU668" s="196"/>
      <c r="CV668" s="196"/>
      <c r="CW668" s="196"/>
      <c r="CX668" s="196"/>
      <c r="CY668" s="196"/>
      <c r="CZ668" s="196"/>
      <c r="DA668" s="196"/>
      <c r="DB668" s="196"/>
      <c r="DC668" s="196"/>
      <c r="DD668" s="196"/>
      <c r="DE668" s="196"/>
      <c r="DF668" s="196"/>
      <c r="DG668" s="196"/>
      <c r="DH668" s="196"/>
      <c r="DI668" s="196"/>
      <c r="DJ668" s="196"/>
      <c r="DK668" s="196"/>
      <c r="DL668" s="196"/>
      <c r="DM668" s="196"/>
      <c r="DN668" s="196"/>
      <c r="DO668" s="196"/>
      <c r="DP668" s="196"/>
      <c r="DQ668" s="196"/>
      <c r="DR668" s="196"/>
      <c r="DS668" s="196"/>
      <c r="DT668" s="196"/>
    </row>
    <row r="669" spans="5:124" ht="16.5" thickTop="1" thickBot="1" x14ac:dyDescent="0.3">
      <c r="AA669" s="48"/>
      <c r="AB669" s="26"/>
      <c r="AC669" s="18">
        <v>0</v>
      </c>
      <c r="AD669" s="18">
        <v>0</v>
      </c>
      <c r="AE669" s="26"/>
      <c r="AF669" s="26">
        <v>0</v>
      </c>
      <c r="AG669" s="26">
        <v>0</v>
      </c>
      <c r="AJ669" s="10" t="str">
        <f t="shared" si="2"/>
        <v>QUIT</v>
      </c>
      <c r="AK669" s="10" t="str">
        <f t="shared" si="3"/>
        <v>QUIT</v>
      </c>
      <c r="AL669" s="10" t="str">
        <f t="shared" si="4"/>
        <v>QUIT</v>
      </c>
      <c r="AM669" s="10" t="e">
        <f t="array" ref="AM669">IF(ROWS(AM$662:AM669)&gt;COUNTA($AJ:$AJ),$AH$661,INDEX($AJ:$AJ,SMALL(IF(AJ$662:AJ$681&lt;&gt;$AH$661,ROW(AJ$662:AJ$681)),ROWS(AM$662:AM669))))</f>
        <v>#NUM!</v>
      </c>
      <c r="AN669" s="10" t="e">
        <f t="array" ref="AN669">IF(ROWS(AN$662:AN669)&gt;COUNTA($AK:$AK),$AH$661,INDEX($AK:$AK,SMALL(IF(AK$662:AK$681&lt;&gt;$AH$661,ROW(AK$662:AK$681)),ROWS(AN$662:AN669))))</f>
        <v>#NUM!</v>
      </c>
      <c r="AO669" s="10" t="e">
        <f t="array" ref="AO669">IF(ROWS(AO$662:AO669)&gt;COUNTA($AL:$AL),$AH$661,INDEX($AL:$AL,SMALL(IF(AL$662:AL$681&lt;&gt;$AH$661,ROW(AL$662:AL$681)),ROWS(AO$662:AO669))))</f>
        <v>#NUM!</v>
      </c>
      <c r="BX669" s="196"/>
      <c r="BY669" s="196"/>
      <c r="BZ669" s="196"/>
      <c r="CA669" s="196"/>
      <c r="CB669" s="196"/>
      <c r="CC669" s="196"/>
      <c r="CD669" s="196"/>
      <c r="CE669" s="196"/>
      <c r="CF669" s="196"/>
      <c r="CG669" s="196"/>
      <c r="CH669" s="196"/>
      <c r="CI669" s="196"/>
      <c r="CJ669" s="196"/>
      <c r="CK669" s="196"/>
      <c r="CL669" s="196"/>
      <c r="CM669" s="196"/>
      <c r="CN669" s="196"/>
      <c r="CO669" s="196"/>
      <c r="CP669" s="196"/>
      <c r="CQ669" s="196"/>
      <c r="CR669" s="196"/>
      <c r="CS669" s="196"/>
      <c r="CT669" s="196"/>
      <c r="CU669" s="196"/>
      <c r="CV669" s="196"/>
      <c r="CW669" s="196"/>
      <c r="CX669" s="196"/>
      <c r="CY669" s="196"/>
      <c r="CZ669" s="196"/>
      <c r="DA669" s="196"/>
      <c r="DB669" s="196"/>
      <c r="DC669" s="196"/>
      <c r="DD669" s="196"/>
      <c r="DE669" s="196"/>
      <c r="DF669" s="196"/>
      <c r="DG669" s="196"/>
      <c r="DH669" s="196"/>
      <c r="DI669" s="196"/>
      <c r="DJ669" s="196"/>
      <c r="DK669" s="196"/>
      <c r="DL669" s="196"/>
      <c r="DM669" s="196"/>
      <c r="DN669" s="196"/>
      <c r="DO669" s="196"/>
      <c r="DP669" s="196"/>
      <c r="DQ669" s="196"/>
      <c r="DR669" s="196"/>
      <c r="DS669" s="196"/>
      <c r="DT669" s="196"/>
    </row>
    <row r="670" spans="5:124" ht="16.5" thickTop="1" thickBot="1" x14ac:dyDescent="0.3">
      <c r="AA670" s="48"/>
      <c r="AB670" s="26"/>
      <c r="AC670" s="18">
        <v>0</v>
      </c>
      <c r="AD670" s="18">
        <v>0</v>
      </c>
      <c r="AE670" s="26"/>
      <c r="AF670" s="26">
        <v>0</v>
      </c>
      <c r="AG670" s="26">
        <v>0</v>
      </c>
      <c r="AJ670" s="10" t="str">
        <f t="shared" si="2"/>
        <v>QUIT</v>
      </c>
      <c r="AK670" s="10" t="str">
        <f t="shared" si="3"/>
        <v>QUIT</v>
      </c>
      <c r="AL670" s="10" t="str">
        <f t="shared" si="4"/>
        <v>QUIT</v>
      </c>
      <c r="AM670" s="10" t="e">
        <f t="array" ref="AM670">IF(ROWS(AM$662:AM670)&gt;COUNTA($AJ:$AJ),$AH$661,INDEX($AJ:$AJ,SMALL(IF(AJ$662:AJ$681&lt;&gt;$AH$661,ROW(AJ$662:AJ$681)),ROWS(AM$662:AM670))))</f>
        <v>#NUM!</v>
      </c>
      <c r="AN670" s="10" t="e">
        <f t="array" ref="AN670">IF(ROWS(AN$662:AN670)&gt;COUNTA($AK:$AK),$AH$661,INDEX($AK:$AK,SMALL(IF(AK$662:AK$681&lt;&gt;$AH$661,ROW(AK$662:AK$681)),ROWS(AN$662:AN670))))</f>
        <v>#NUM!</v>
      </c>
      <c r="AO670" s="10" t="e">
        <f t="array" ref="AO670">IF(ROWS(AO$662:AO670)&gt;COUNTA($AL:$AL),$AH$661,INDEX($AL:$AL,SMALL(IF(AL$662:AL$681&lt;&gt;$AH$661,ROW(AL$662:AL$681)),ROWS(AO$662:AO670))))</f>
        <v>#NUM!</v>
      </c>
      <c r="BX670" s="196"/>
      <c r="BY670" s="196"/>
      <c r="BZ670" s="196"/>
      <c r="CA670" s="196"/>
      <c r="CB670" s="196"/>
      <c r="CC670" s="196"/>
      <c r="CD670" s="196"/>
      <c r="CE670" s="196"/>
      <c r="CF670" s="196"/>
      <c r="CG670" s="196"/>
      <c r="CH670" s="196"/>
      <c r="CI670" s="196"/>
      <c r="CJ670" s="196"/>
      <c r="CK670" s="196"/>
      <c r="CL670" s="196"/>
      <c r="CM670" s="196"/>
      <c r="CN670" s="196"/>
      <c r="CO670" s="196"/>
      <c r="CP670" s="196"/>
      <c r="CQ670" s="196"/>
      <c r="CR670" s="196"/>
      <c r="CS670" s="196"/>
      <c r="CT670" s="196"/>
      <c r="CU670" s="196"/>
      <c r="CV670" s="196"/>
      <c r="CW670" s="196"/>
      <c r="CX670" s="196"/>
      <c r="CY670" s="196"/>
      <c r="CZ670" s="196"/>
      <c r="DA670" s="196"/>
      <c r="DB670" s="196"/>
      <c r="DC670" s="196"/>
      <c r="DD670" s="196"/>
      <c r="DE670" s="196"/>
      <c r="DF670" s="196"/>
      <c r="DG670" s="196"/>
      <c r="DH670" s="196"/>
      <c r="DI670" s="196"/>
      <c r="DJ670" s="196"/>
      <c r="DK670" s="196"/>
      <c r="DL670" s="196"/>
      <c r="DM670" s="196"/>
      <c r="DN670" s="196"/>
      <c r="DO670" s="196"/>
      <c r="DP670" s="196"/>
      <c r="DQ670" s="196"/>
      <c r="DR670" s="196"/>
      <c r="DS670" s="196"/>
      <c r="DT670" s="196"/>
    </row>
    <row r="671" spans="5:124" ht="16.5" thickTop="1" thickBot="1" x14ac:dyDescent="0.3">
      <c r="AA671" s="48"/>
      <c r="AB671" s="26"/>
      <c r="AC671" s="18">
        <v>0</v>
      </c>
      <c r="AD671" s="18">
        <v>0</v>
      </c>
      <c r="AE671" s="26"/>
      <c r="AF671" s="26">
        <v>0</v>
      </c>
      <c r="AG671" s="26">
        <v>0</v>
      </c>
      <c r="AJ671" s="10" t="str">
        <f t="shared" si="2"/>
        <v>QUIT</v>
      </c>
      <c r="AK671" s="10" t="str">
        <f t="shared" si="3"/>
        <v>QUIT</v>
      </c>
      <c r="AL671" s="10" t="str">
        <f t="shared" si="4"/>
        <v>QUIT</v>
      </c>
      <c r="AM671" s="10" t="e">
        <f t="array" ref="AM671">IF(ROWS(AM$662:AM671)&gt;COUNTA($AJ:$AJ),$AH$661,INDEX($AJ:$AJ,SMALL(IF(AJ$662:AJ$681&lt;&gt;$AH$661,ROW(AJ$662:AJ$681)),ROWS(AM$662:AM671))))</f>
        <v>#NUM!</v>
      </c>
      <c r="AN671" s="10" t="e">
        <f t="array" ref="AN671">IF(ROWS(AN$662:AN671)&gt;COUNTA($AK:$AK),$AH$661,INDEX($AK:$AK,SMALL(IF(AK$662:AK$681&lt;&gt;$AH$661,ROW(AK$662:AK$681)),ROWS(AN$662:AN671))))</f>
        <v>#NUM!</v>
      </c>
      <c r="AO671" s="10" t="e">
        <f t="array" ref="AO671">IF(ROWS(AO$662:AO671)&gt;COUNTA($AL:$AL),$AH$661,INDEX($AL:$AL,SMALL(IF(AL$662:AL$681&lt;&gt;$AH$661,ROW(AL$662:AL$681)),ROWS(AO$662:AO671))))</f>
        <v>#NUM!</v>
      </c>
      <c r="BX671" s="196"/>
      <c r="BY671" s="196"/>
      <c r="BZ671" s="196"/>
      <c r="CA671" s="196"/>
      <c r="CB671" s="196"/>
      <c r="CC671" s="196"/>
      <c r="CD671" s="196"/>
      <c r="CE671" s="196"/>
      <c r="CF671" s="196"/>
      <c r="CG671" s="196"/>
      <c r="CH671" s="196"/>
      <c r="CI671" s="196"/>
      <c r="CJ671" s="196"/>
      <c r="CK671" s="196"/>
      <c r="CL671" s="196"/>
      <c r="CM671" s="196"/>
      <c r="CN671" s="196"/>
      <c r="CO671" s="196"/>
      <c r="CP671" s="196"/>
      <c r="CQ671" s="196"/>
      <c r="CR671" s="196"/>
      <c r="CS671" s="196"/>
      <c r="CT671" s="196"/>
      <c r="CU671" s="196"/>
      <c r="CV671" s="196"/>
      <c r="CW671" s="196"/>
      <c r="CX671" s="196"/>
      <c r="CY671" s="196"/>
      <c r="CZ671" s="196"/>
      <c r="DA671" s="196"/>
      <c r="DB671" s="196"/>
      <c r="DC671" s="196"/>
      <c r="DD671" s="196"/>
      <c r="DE671" s="196"/>
      <c r="DF671" s="196"/>
      <c r="DG671" s="196"/>
      <c r="DH671" s="196"/>
      <c r="DI671" s="196"/>
      <c r="DJ671" s="196"/>
      <c r="DK671" s="196"/>
      <c r="DL671" s="196"/>
      <c r="DM671" s="196"/>
      <c r="DN671" s="196"/>
      <c r="DO671" s="196"/>
      <c r="DP671" s="196"/>
      <c r="DQ671" s="196"/>
      <c r="DR671" s="196"/>
      <c r="DS671" s="196"/>
      <c r="DT671" s="196"/>
    </row>
    <row r="672" spans="5:124" ht="16.5" thickTop="1" thickBot="1" x14ac:dyDescent="0.3">
      <c r="AA672" s="48"/>
      <c r="AB672" s="26"/>
      <c r="AC672" s="18">
        <v>0</v>
      </c>
      <c r="AD672" s="18">
        <v>0</v>
      </c>
      <c r="AE672" s="26"/>
      <c r="AF672" s="26">
        <v>0</v>
      </c>
      <c r="AG672" s="26">
        <v>0</v>
      </c>
      <c r="AJ672" s="10" t="str">
        <f t="shared" si="2"/>
        <v>QUIT</v>
      </c>
      <c r="AK672" s="10" t="str">
        <f t="shared" si="3"/>
        <v>QUIT</v>
      </c>
      <c r="AL672" s="10" t="str">
        <f t="shared" si="4"/>
        <v>QUIT</v>
      </c>
      <c r="AM672" s="10" t="e">
        <f t="array" ref="AM672">IF(ROWS(AM$662:AM672)&gt;COUNTA($AJ:$AJ),$AH$661,INDEX($AJ:$AJ,SMALL(IF(AJ$662:AJ$681&lt;&gt;$AH$661,ROW(AJ$662:AJ$681)),ROWS(AM$662:AM672))))</f>
        <v>#NUM!</v>
      </c>
      <c r="AN672" s="10" t="e">
        <f t="array" ref="AN672">IF(ROWS(AN$662:AN672)&gt;COUNTA($AK:$AK),$AH$661,INDEX($AK:$AK,SMALL(IF(AK$662:AK$681&lt;&gt;$AH$661,ROW(AK$662:AK$681)),ROWS(AN$662:AN672))))</f>
        <v>#NUM!</v>
      </c>
      <c r="AO672" s="10" t="e">
        <f t="array" ref="AO672">IF(ROWS(AO$662:AO672)&gt;COUNTA($AL:$AL),$AH$661,INDEX($AL:$AL,SMALL(IF(AL$662:AL$681&lt;&gt;$AH$661,ROW(AL$662:AL$681)),ROWS(AO$662:AO672))))</f>
        <v>#NUM!</v>
      </c>
      <c r="BX672" s="196"/>
      <c r="BY672" s="196"/>
      <c r="BZ672" s="196"/>
      <c r="CA672" s="196"/>
      <c r="CB672" s="196"/>
      <c r="CC672" s="196"/>
      <c r="CD672" s="196"/>
      <c r="CE672" s="196"/>
      <c r="CF672" s="196"/>
      <c r="CG672" s="196"/>
      <c r="CH672" s="196"/>
      <c r="CI672" s="196"/>
      <c r="CJ672" s="196"/>
      <c r="CK672" s="196"/>
      <c r="CL672" s="196"/>
      <c r="CM672" s="196"/>
      <c r="CN672" s="196"/>
      <c r="CO672" s="196"/>
      <c r="CP672" s="196"/>
      <c r="CQ672" s="196"/>
      <c r="CR672" s="196"/>
      <c r="CS672" s="196"/>
      <c r="CT672" s="196"/>
      <c r="CU672" s="196"/>
      <c r="CV672" s="196"/>
      <c r="CW672" s="196"/>
      <c r="CX672" s="196"/>
      <c r="CY672" s="196"/>
      <c r="CZ672" s="196"/>
      <c r="DA672" s="196"/>
      <c r="DB672" s="196"/>
      <c r="DC672" s="196"/>
      <c r="DD672" s="196"/>
      <c r="DE672" s="196"/>
      <c r="DF672" s="196"/>
      <c r="DG672" s="196"/>
      <c r="DH672" s="196"/>
      <c r="DI672" s="196"/>
      <c r="DJ672" s="196"/>
      <c r="DK672" s="196"/>
      <c r="DL672" s="196"/>
      <c r="DM672" s="196"/>
      <c r="DN672" s="196"/>
      <c r="DO672" s="196"/>
      <c r="DP672" s="196"/>
      <c r="DQ672" s="196"/>
      <c r="DR672" s="196"/>
      <c r="DS672" s="196"/>
      <c r="DT672" s="196"/>
    </row>
    <row r="673" spans="27:124" ht="16.5" thickTop="1" thickBot="1" x14ac:dyDescent="0.3">
      <c r="AA673" s="48"/>
      <c r="AB673" s="26"/>
      <c r="AC673" s="18">
        <v>0</v>
      </c>
      <c r="AD673" s="18">
        <v>0</v>
      </c>
      <c r="AE673" s="26"/>
      <c r="AF673" s="26">
        <v>0</v>
      </c>
      <c r="AG673" s="26">
        <v>0</v>
      </c>
      <c r="AJ673" s="10" t="str">
        <f t="shared" si="2"/>
        <v>QUIT</v>
      </c>
      <c r="AK673" s="10" t="str">
        <f t="shared" si="3"/>
        <v>QUIT</v>
      </c>
      <c r="AL673" s="10" t="str">
        <f t="shared" si="4"/>
        <v>QUIT</v>
      </c>
      <c r="AM673" s="10" t="e">
        <f t="array" ref="AM673">IF(ROWS(AM$662:AM673)&gt;COUNTA($AJ:$AJ),$AH$661,INDEX($AJ:$AJ,SMALL(IF(AJ$662:AJ$681&lt;&gt;$AH$661,ROW(AJ$662:AJ$681)),ROWS(AM$662:AM673))))</f>
        <v>#NUM!</v>
      </c>
      <c r="AN673" s="10" t="e">
        <f t="array" ref="AN673">IF(ROWS(AN$662:AN673)&gt;COUNTA($AK:$AK),$AH$661,INDEX($AK:$AK,SMALL(IF(AK$662:AK$681&lt;&gt;$AH$661,ROW(AK$662:AK$681)),ROWS(AN$662:AN673))))</f>
        <v>#NUM!</v>
      </c>
      <c r="AO673" s="10" t="e">
        <f t="array" ref="AO673">IF(ROWS(AO$662:AO673)&gt;COUNTA($AL:$AL),$AH$661,INDEX($AL:$AL,SMALL(IF(AL$662:AL$681&lt;&gt;$AH$661,ROW(AL$662:AL$681)),ROWS(AO$662:AO673))))</f>
        <v>#NUM!</v>
      </c>
      <c r="BX673" s="196"/>
      <c r="BY673" s="196"/>
      <c r="BZ673" s="196"/>
      <c r="CA673" s="196"/>
      <c r="CB673" s="196"/>
      <c r="CC673" s="196"/>
      <c r="CD673" s="196"/>
      <c r="CE673" s="196"/>
      <c r="CF673" s="196"/>
      <c r="CG673" s="196"/>
      <c r="CH673" s="196"/>
      <c r="CI673" s="196"/>
      <c r="CJ673" s="196"/>
      <c r="CK673" s="196"/>
      <c r="CL673" s="196"/>
      <c r="CM673" s="196"/>
      <c r="CN673" s="196"/>
      <c r="CO673" s="196"/>
      <c r="CP673" s="196"/>
      <c r="CQ673" s="196"/>
      <c r="CR673" s="196"/>
      <c r="CS673" s="196"/>
      <c r="CT673" s="196"/>
      <c r="CU673" s="196"/>
      <c r="CV673" s="196"/>
      <c r="CW673" s="196"/>
      <c r="CX673" s="196"/>
      <c r="CY673" s="196"/>
      <c r="CZ673" s="196"/>
      <c r="DA673" s="196"/>
      <c r="DB673" s="196"/>
      <c r="DC673" s="196"/>
      <c r="DD673" s="196"/>
      <c r="DE673" s="196"/>
      <c r="DF673" s="196"/>
      <c r="DG673" s="196"/>
      <c r="DH673" s="196"/>
      <c r="DI673" s="196"/>
      <c r="DJ673" s="196"/>
      <c r="DK673" s="196"/>
      <c r="DL673" s="196"/>
      <c r="DM673" s="196"/>
      <c r="DN673" s="196"/>
      <c r="DO673" s="196"/>
      <c r="DP673" s="196"/>
      <c r="DQ673" s="196"/>
      <c r="DR673" s="196"/>
      <c r="DS673" s="196"/>
      <c r="DT673" s="196"/>
    </row>
    <row r="674" spans="27:124" ht="16.5" thickTop="1" thickBot="1" x14ac:dyDescent="0.3">
      <c r="AA674" s="48"/>
      <c r="AB674" s="26"/>
      <c r="AC674" s="18">
        <v>0</v>
      </c>
      <c r="AD674" s="18">
        <v>0</v>
      </c>
      <c r="AE674" s="26"/>
      <c r="AF674" s="26">
        <v>0</v>
      </c>
      <c r="AG674" s="26">
        <v>0</v>
      </c>
      <c r="AJ674" s="10" t="str">
        <f t="shared" si="2"/>
        <v>QUIT</v>
      </c>
      <c r="AK674" s="10" t="str">
        <f t="shared" si="3"/>
        <v>QUIT</v>
      </c>
      <c r="AL674" s="10" t="str">
        <f t="shared" si="4"/>
        <v>QUIT</v>
      </c>
      <c r="AM674" s="10" t="e">
        <f t="array" ref="AM674">IF(ROWS(AM$662:AM674)&gt;COUNTA($AJ:$AJ),$AH$661,INDEX($AJ:$AJ,SMALL(IF(AJ$662:AJ$681&lt;&gt;$AH$661,ROW(AJ$662:AJ$681)),ROWS(AM$662:AM674))))</f>
        <v>#NUM!</v>
      </c>
      <c r="AN674" s="10" t="e">
        <f t="array" ref="AN674">IF(ROWS(AN$662:AN674)&gt;COUNTA($AK:$AK),$AH$661,INDEX($AK:$AK,SMALL(IF(AK$662:AK$681&lt;&gt;$AH$661,ROW(AK$662:AK$681)),ROWS(AN$662:AN674))))</f>
        <v>#NUM!</v>
      </c>
      <c r="AO674" s="10" t="e">
        <f t="array" ref="AO674">IF(ROWS(AO$662:AO674)&gt;COUNTA($AL:$AL),$AH$661,INDEX($AL:$AL,SMALL(IF(AL$662:AL$681&lt;&gt;$AH$661,ROW(AL$662:AL$681)),ROWS(AO$662:AO674))))</f>
        <v>#NUM!</v>
      </c>
      <c r="BX674" s="196"/>
      <c r="BY674" s="196"/>
      <c r="BZ674" s="196"/>
      <c r="CA674" s="196"/>
      <c r="CB674" s="196"/>
      <c r="CC674" s="196"/>
      <c r="CD674" s="196"/>
      <c r="CE674" s="196"/>
      <c r="CF674" s="196"/>
      <c r="CG674" s="196"/>
      <c r="CH674" s="196"/>
      <c r="CI674" s="196"/>
      <c r="CJ674" s="196"/>
      <c r="CK674" s="196"/>
      <c r="CL674" s="196"/>
      <c r="CM674" s="196"/>
      <c r="CN674" s="196"/>
      <c r="CO674" s="196"/>
      <c r="CP674" s="196"/>
      <c r="CQ674" s="196"/>
      <c r="CR674" s="196"/>
      <c r="CS674" s="196"/>
      <c r="CT674" s="196"/>
      <c r="CU674" s="196"/>
      <c r="CV674" s="196"/>
      <c r="CW674" s="196"/>
      <c r="CX674" s="196"/>
      <c r="CY674" s="196"/>
      <c r="CZ674" s="196"/>
      <c r="DA674" s="196"/>
      <c r="DB674" s="196"/>
      <c r="DC674" s="196"/>
      <c r="DD674" s="196"/>
      <c r="DE674" s="196"/>
      <c r="DF674" s="196"/>
      <c r="DG674" s="196"/>
      <c r="DH674" s="196"/>
      <c r="DI674" s="196"/>
      <c r="DJ674" s="196"/>
      <c r="DK674" s="196"/>
      <c r="DL674" s="196"/>
      <c r="DM674" s="196"/>
      <c r="DN674" s="196"/>
      <c r="DO674" s="196"/>
      <c r="DP674" s="196"/>
      <c r="DQ674" s="196"/>
      <c r="DR674" s="196"/>
      <c r="DS674" s="196"/>
      <c r="DT674" s="196"/>
    </row>
    <row r="675" spans="27:124" ht="16.5" thickTop="1" thickBot="1" x14ac:dyDescent="0.3">
      <c r="AA675" s="48"/>
      <c r="AB675" s="26"/>
      <c r="AC675" s="18">
        <v>0</v>
      </c>
      <c r="AD675" s="18">
        <v>0</v>
      </c>
      <c r="AE675" s="26"/>
      <c r="AF675" s="26">
        <v>0</v>
      </c>
      <c r="AG675" s="26">
        <v>0</v>
      </c>
      <c r="AJ675" s="10" t="str">
        <f t="shared" si="2"/>
        <v>QUIT</v>
      </c>
      <c r="AK675" s="10" t="str">
        <f t="shared" si="3"/>
        <v>QUIT</v>
      </c>
      <c r="AL675" s="10" t="str">
        <f t="shared" si="4"/>
        <v>QUIT</v>
      </c>
      <c r="AM675" s="10" t="e">
        <f t="array" ref="AM675">IF(ROWS(AM$662:AM675)&gt;COUNTA($AJ:$AJ),$AH$661,INDEX($AJ:$AJ,SMALL(IF(AJ$662:AJ$681&lt;&gt;$AH$661,ROW(AJ$662:AJ$681)),ROWS(AM$662:AM675))))</f>
        <v>#NUM!</v>
      </c>
      <c r="AN675" s="10" t="e">
        <f t="array" ref="AN675">IF(ROWS(AN$662:AN675)&gt;COUNTA($AK:$AK),$AH$661,INDEX($AK:$AK,SMALL(IF(AK$662:AK$681&lt;&gt;$AH$661,ROW(AK$662:AK$681)),ROWS(AN$662:AN675))))</f>
        <v>#NUM!</v>
      </c>
      <c r="AO675" s="10" t="e">
        <f t="array" ref="AO675">IF(ROWS(AO$662:AO675)&gt;COUNTA($AL:$AL),$AH$661,INDEX($AL:$AL,SMALL(IF(AL$662:AL$681&lt;&gt;$AH$661,ROW(AL$662:AL$681)),ROWS(AO$662:AO675))))</f>
        <v>#NUM!</v>
      </c>
      <c r="BX675" s="196"/>
      <c r="BY675" s="196"/>
      <c r="BZ675" s="196"/>
      <c r="CA675" s="196"/>
      <c r="CB675" s="196"/>
      <c r="CC675" s="196"/>
      <c r="CD675" s="196"/>
      <c r="CE675" s="196"/>
      <c r="CF675" s="196"/>
      <c r="CG675" s="196"/>
      <c r="CH675" s="196"/>
      <c r="CI675" s="196"/>
      <c r="CJ675" s="196"/>
      <c r="CK675" s="196"/>
      <c r="CL675" s="196"/>
      <c r="CM675" s="196"/>
      <c r="CN675" s="196"/>
      <c r="CO675" s="196"/>
      <c r="CP675" s="196"/>
      <c r="CQ675" s="196"/>
      <c r="CR675" s="196"/>
      <c r="CS675" s="196"/>
      <c r="CT675" s="196"/>
      <c r="CU675" s="196"/>
      <c r="CV675" s="196"/>
      <c r="CW675" s="196"/>
      <c r="CX675" s="196"/>
      <c r="CY675" s="196"/>
      <c r="CZ675" s="196"/>
      <c r="DA675" s="196"/>
      <c r="DB675" s="196"/>
      <c r="DC675" s="196"/>
      <c r="DD675" s="196"/>
      <c r="DE675" s="196"/>
      <c r="DF675" s="196"/>
      <c r="DG675" s="196"/>
      <c r="DH675" s="196"/>
      <c r="DI675" s="196"/>
      <c r="DJ675" s="196"/>
      <c r="DK675" s="196"/>
      <c r="DL675" s="196"/>
      <c r="DM675" s="196"/>
      <c r="DN675" s="196"/>
      <c r="DO675" s="196"/>
      <c r="DP675" s="196"/>
      <c r="DQ675" s="196"/>
      <c r="DR675" s="196"/>
      <c r="DS675" s="196"/>
      <c r="DT675" s="196"/>
    </row>
    <row r="676" spans="27:124" ht="16.5" thickTop="1" thickBot="1" x14ac:dyDescent="0.3">
      <c r="AA676" s="48"/>
      <c r="AB676" s="26"/>
      <c r="AC676" s="18">
        <v>0</v>
      </c>
      <c r="AD676" s="18">
        <v>0</v>
      </c>
      <c r="AE676" s="26"/>
      <c r="AF676" s="26">
        <v>0</v>
      </c>
      <c r="AG676" s="26">
        <v>0</v>
      </c>
      <c r="AJ676" s="10" t="str">
        <f t="shared" si="2"/>
        <v>QUIT</v>
      </c>
      <c r="AK676" s="10" t="str">
        <f t="shared" si="3"/>
        <v>QUIT</v>
      </c>
      <c r="AL676" s="10" t="str">
        <f t="shared" si="4"/>
        <v>QUIT</v>
      </c>
      <c r="AM676" s="10" t="e">
        <f t="array" ref="AM676">IF(ROWS(AM$662:AM676)&gt;COUNTA($AJ:$AJ),$AH$661,INDEX($AJ:$AJ,SMALL(IF(AJ$662:AJ$681&lt;&gt;$AH$661,ROW(AJ$662:AJ$681)),ROWS(AM$662:AM676))))</f>
        <v>#NUM!</v>
      </c>
      <c r="AN676" s="10" t="e">
        <f t="array" ref="AN676">IF(ROWS(AN$662:AN676)&gt;COUNTA($AK:$AK),$AH$661,INDEX($AK:$AK,SMALL(IF(AK$662:AK$681&lt;&gt;$AH$661,ROW(AK$662:AK$681)),ROWS(AN$662:AN676))))</f>
        <v>#NUM!</v>
      </c>
      <c r="AO676" s="10" t="e">
        <f t="array" ref="AO676">IF(ROWS(AO$662:AO676)&gt;COUNTA($AL:$AL),$AH$661,INDEX($AL:$AL,SMALL(IF(AL$662:AL$681&lt;&gt;$AH$661,ROW(AL$662:AL$681)),ROWS(AO$662:AO676))))</f>
        <v>#NUM!</v>
      </c>
      <c r="BX676" s="196"/>
      <c r="BY676" s="196"/>
      <c r="BZ676" s="196"/>
      <c r="CA676" s="196"/>
      <c r="CB676" s="196"/>
      <c r="CC676" s="196"/>
      <c r="CD676" s="196"/>
      <c r="CE676" s="196"/>
      <c r="CF676" s="196"/>
      <c r="CG676" s="196"/>
      <c r="CH676" s="196"/>
      <c r="CI676" s="196"/>
      <c r="CJ676" s="196"/>
      <c r="CK676" s="196"/>
      <c r="CL676" s="196"/>
      <c r="CM676" s="196"/>
      <c r="CN676" s="196"/>
      <c r="CO676" s="196"/>
      <c r="CP676" s="196"/>
      <c r="CQ676" s="196"/>
      <c r="CR676" s="196"/>
      <c r="CS676" s="196"/>
      <c r="CT676" s="196"/>
      <c r="CU676" s="196"/>
      <c r="CV676" s="196"/>
      <c r="CW676" s="196"/>
      <c r="CX676" s="196"/>
      <c r="CY676" s="196"/>
      <c r="CZ676" s="196"/>
      <c r="DA676" s="196"/>
      <c r="DB676" s="196"/>
      <c r="DC676" s="196"/>
      <c r="DD676" s="196"/>
      <c r="DE676" s="196"/>
      <c r="DF676" s="196"/>
      <c r="DG676" s="196"/>
      <c r="DH676" s="196"/>
      <c r="DI676" s="196"/>
      <c r="DJ676" s="196"/>
      <c r="DK676" s="196"/>
      <c r="DL676" s="196"/>
      <c r="DM676" s="196"/>
      <c r="DN676" s="196"/>
      <c r="DO676" s="196"/>
      <c r="DP676" s="196"/>
      <c r="DQ676" s="196"/>
      <c r="DR676" s="196"/>
      <c r="DS676" s="196"/>
      <c r="DT676" s="196"/>
    </row>
    <row r="677" spans="27:124" ht="16.5" thickTop="1" thickBot="1" x14ac:dyDescent="0.3">
      <c r="AA677" s="48"/>
      <c r="AB677" s="26"/>
      <c r="AC677" s="18">
        <v>0</v>
      </c>
      <c r="AD677" s="18">
        <v>0</v>
      </c>
      <c r="AE677" s="26"/>
      <c r="AF677" s="26">
        <v>0</v>
      </c>
      <c r="AG677" s="26">
        <v>0</v>
      </c>
      <c r="AJ677" s="10" t="str">
        <f t="shared" si="2"/>
        <v>QUIT</v>
      </c>
      <c r="AK677" s="10" t="str">
        <f t="shared" si="3"/>
        <v>QUIT</v>
      </c>
      <c r="AL677" s="10" t="str">
        <f t="shared" si="4"/>
        <v>QUIT</v>
      </c>
      <c r="AM677" s="10" t="e">
        <f t="array" ref="AM677">IF(ROWS(AM$662:AM677)&gt;COUNTA($AJ:$AJ),$AH$661,INDEX($AJ:$AJ,SMALL(IF(AJ$662:AJ$681&lt;&gt;$AH$661,ROW(AJ$662:AJ$681)),ROWS(AM$662:AM677))))</f>
        <v>#NUM!</v>
      </c>
      <c r="AN677" s="10" t="e">
        <f t="array" ref="AN677">IF(ROWS(AN$662:AN677)&gt;COUNTA($AK:$AK),$AH$661,INDEX($AK:$AK,SMALL(IF(AK$662:AK$681&lt;&gt;$AH$661,ROW(AK$662:AK$681)),ROWS(AN$662:AN677))))</f>
        <v>#NUM!</v>
      </c>
      <c r="AO677" s="10" t="e">
        <f t="array" ref="AO677">IF(ROWS(AO$662:AO677)&gt;COUNTA($AL:$AL),$AH$661,INDEX($AL:$AL,SMALL(IF(AL$662:AL$681&lt;&gt;$AH$661,ROW(AL$662:AL$681)),ROWS(AO$662:AO677))))</f>
        <v>#NUM!</v>
      </c>
      <c r="BX677" s="196"/>
      <c r="BY677" s="196"/>
      <c r="BZ677" s="196"/>
      <c r="CA677" s="196"/>
      <c r="CB677" s="196"/>
      <c r="CC677" s="196"/>
      <c r="CD677" s="196"/>
      <c r="CE677" s="196"/>
      <c r="CF677" s="196"/>
      <c r="CG677" s="196"/>
      <c r="CH677" s="196"/>
      <c r="CI677" s="196"/>
      <c r="CJ677" s="196"/>
      <c r="CK677" s="196"/>
      <c r="CL677" s="196"/>
      <c r="CM677" s="196"/>
      <c r="CN677" s="196"/>
      <c r="CO677" s="196"/>
      <c r="CP677" s="196"/>
      <c r="CQ677" s="196"/>
      <c r="CR677" s="196"/>
      <c r="CS677" s="196"/>
      <c r="CT677" s="196"/>
      <c r="CU677" s="196"/>
      <c r="CV677" s="196"/>
      <c r="CW677" s="196"/>
      <c r="CX677" s="196"/>
      <c r="CY677" s="196"/>
      <c r="CZ677" s="196"/>
      <c r="DA677" s="196"/>
      <c r="DB677" s="196"/>
      <c r="DC677" s="196"/>
      <c r="DD677" s="196"/>
      <c r="DE677" s="196"/>
      <c r="DF677" s="196"/>
      <c r="DG677" s="196"/>
      <c r="DH677" s="196"/>
      <c r="DI677" s="196"/>
      <c r="DJ677" s="196"/>
      <c r="DK677" s="196"/>
      <c r="DL677" s="196"/>
      <c r="DM677" s="196"/>
      <c r="DN677" s="196"/>
      <c r="DO677" s="196"/>
      <c r="DP677" s="196"/>
      <c r="DQ677" s="196"/>
      <c r="DR677" s="196"/>
      <c r="DS677" s="196"/>
      <c r="DT677" s="196"/>
    </row>
    <row r="678" spans="27:124" ht="16.5" thickTop="1" thickBot="1" x14ac:dyDescent="0.3">
      <c r="AA678" s="48"/>
      <c r="AB678" s="26"/>
      <c r="AC678" s="18">
        <v>0</v>
      </c>
      <c r="AD678" s="18">
        <v>0</v>
      </c>
      <c r="AE678" s="26"/>
      <c r="AF678" s="26">
        <v>0</v>
      </c>
      <c r="AG678" s="26">
        <v>0</v>
      </c>
      <c r="AJ678" s="10" t="str">
        <f t="shared" si="2"/>
        <v>QUIT</v>
      </c>
      <c r="AK678" s="10" t="str">
        <f t="shared" si="3"/>
        <v>QUIT</v>
      </c>
      <c r="AL678" s="10" t="str">
        <f t="shared" si="4"/>
        <v>QUIT</v>
      </c>
      <c r="AM678" s="10" t="e">
        <f t="array" ref="AM678">IF(ROWS(AM$662:AM678)&gt;COUNTA($AJ:$AJ),$AH$661,INDEX($AJ:$AJ,SMALL(IF(AJ$662:AJ$681&lt;&gt;$AH$661,ROW(AJ$662:AJ$681)),ROWS(AM$662:AM678))))</f>
        <v>#NUM!</v>
      </c>
      <c r="AN678" s="10" t="e">
        <f t="array" ref="AN678">IF(ROWS(AN$662:AN678)&gt;COUNTA($AK:$AK),$AH$661,INDEX($AK:$AK,SMALL(IF(AK$662:AK$681&lt;&gt;$AH$661,ROW(AK$662:AK$681)),ROWS(AN$662:AN678))))</f>
        <v>#NUM!</v>
      </c>
      <c r="AO678" s="10" t="e">
        <f t="array" ref="AO678">IF(ROWS(AO$662:AO678)&gt;COUNTA($AL:$AL),$AH$661,INDEX($AL:$AL,SMALL(IF(AL$662:AL$681&lt;&gt;$AH$661,ROW(AL$662:AL$681)),ROWS(AO$662:AO678))))</f>
        <v>#NUM!</v>
      </c>
      <c r="BX678" s="196"/>
      <c r="BY678" s="196"/>
      <c r="BZ678" s="196"/>
      <c r="CA678" s="196"/>
      <c r="CB678" s="196"/>
      <c r="CC678" s="196"/>
      <c r="CD678" s="196"/>
      <c r="CE678" s="196"/>
      <c r="CF678" s="196"/>
      <c r="CG678" s="196"/>
      <c r="CH678" s="196"/>
      <c r="CI678" s="196"/>
      <c r="CJ678" s="196"/>
      <c r="CK678" s="196"/>
      <c r="CL678" s="196"/>
      <c r="CM678" s="196"/>
      <c r="CN678" s="196"/>
      <c r="CO678" s="196"/>
      <c r="CP678" s="196"/>
      <c r="CQ678" s="196"/>
      <c r="CR678" s="196"/>
      <c r="CS678" s="196"/>
      <c r="CT678" s="196"/>
      <c r="CU678" s="196"/>
      <c r="CV678" s="196"/>
      <c r="CW678" s="196"/>
      <c r="CX678" s="196"/>
      <c r="CY678" s="196"/>
      <c r="CZ678" s="196"/>
      <c r="DA678" s="196"/>
      <c r="DB678" s="196"/>
      <c r="DC678" s="196"/>
      <c r="DD678" s="196"/>
      <c r="DE678" s="196"/>
      <c r="DF678" s="196"/>
      <c r="DG678" s="196"/>
      <c r="DH678" s="196"/>
      <c r="DI678" s="196"/>
      <c r="DJ678" s="196"/>
      <c r="DK678" s="196"/>
      <c r="DL678" s="196"/>
      <c r="DM678" s="196"/>
      <c r="DN678" s="196"/>
      <c r="DO678" s="196"/>
      <c r="DP678" s="196"/>
      <c r="DQ678" s="196"/>
      <c r="DR678" s="196"/>
      <c r="DS678" s="196"/>
      <c r="DT678" s="196"/>
    </row>
    <row r="679" spans="27:124" ht="16.5" thickTop="1" thickBot="1" x14ac:dyDescent="0.3">
      <c r="AA679" s="48"/>
      <c r="AB679" s="26"/>
      <c r="AC679" s="18">
        <v>0</v>
      </c>
      <c r="AD679" s="18">
        <v>0</v>
      </c>
      <c r="AE679" s="26"/>
      <c r="AF679" s="26">
        <v>0</v>
      </c>
      <c r="AG679" s="26">
        <v>0</v>
      </c>
      <c r="AJ679" s="10" t="str">
        <f t="shared" si="2"/>
        <v>QUIT</v>
      </c>
      <c r="AK679" s="10" t="str">
        <f t="shared" si="3"/>
        <v>QUIT</v>
      </c>
      <c r="AL679" s="10" t="str">
        <f t="shared" si="4"/>
        <v>QUIT</v>
      </c>
      <c r="AM679" s="10" t="e">
        <f t="array" ref="AM679">IF(ROWS(AM$662:AM679)&gt;COUNTA($AJ:$AJ),$AH$661,INDEX($AJ:$AJ,SMALL(IF(AJ$662:AJ$681&lt;&gt;$AH$661,ROW(AJ$662:AJ$681)),ROWS(AM$662:AM679))))</f>
        <v>#NUM!</v>
      </c>
      <c r="AN679" s="10" t="e">
        <f t="array" ref="AN679">IF(ROWS(AN$662:AN679)&gt;COUNTA($AK:$AK),$AH$661,INDEX($AK:$AK,SMALL(IF(AK$662:AK$681&lt;&gt;$AH$661,ROW(AK$662:AK$681)),ROWS(AN$662:AN679))))</f>
        <v>#NUM!</v>
      </c>
      <c r="AO679" s="10" t="e">
        <f t="array" ref="AO679">IF(ROWS(AO$662:AO679)&gt;COUNTA($AL:$AL),$AH$661,INDEX($AL:$AL,SMALL(IF(AL$662:AL$681&lt;&gt;$AH$661,ROW(AL$662:AL$681)),ROWS(AO$662:AO679))))</f>
        <v>#NUM!</v>
      </c>
      <c r="BX679" s="196"/>
      <c r="BY679" s="196"/>
      <c r="BZ679" s="196"/>
      <c r="CA679" s="196"/>
      <c r="CB679" s="196"/>
      <c r="CC679" s="196"/>
      <c r="CD679" s="196"/>
      <c r="CE679" s="196"/>
      <c r="CF679" s="196"/>
      <c r="CG679" s="196"/>
      <c r="CH679" s="196"/>
      <c r="CI679" s="196"/>
      <c r="CJ679" s="196"/>
      <c r="CK679" s="196"/>
      <c r="CL679" s="196"/>
      <c r="CM679" s="196"/>
      <c r="CN679" s="196"/>
      <c r="CO679" s="196"/>
      <c r="CP679" s="196"/>
      <c r="CQ679" s="196"/>
      <c r="CR679" s="196"/>
      <c r="CS679" s="196"/>
      <c r="CT679" s="196"/>
      <c r="CU679" s="196"/>
      <c r="CV679" s="196"/>
      <c r="CW679" s="196"/>
      <c r="CX679" s="196"/>
      <c r="CY679" s="196"/>
      <c r="CZ679" s="196"/>
      <c r="DA679" s="196"/>
      <c r="DB679" s="196"/>
      <c r="DC679" s="196"/>
      <c r="DD679" s="196"/>
      <c r="DE679" s="196"/>
      <c r="DF679" s="196"/>
      <c r="DG679" s="196"/>
      <c r="DH679" s="196"/>
      <c r="DI679" s="196"/>
      <c r="DJ679" s="196"/>
      <c r="DK679" s="196"/>
      <c r="DL679" s="196"/>
      <c r="DM679" s="196"/>
      <c r="DN679" s="196"/>
      <c r="DO679" s="196"/>
      <c r="DP679" s="196"/>
      <c r="DQ679" s="196"/>
      <c r="DR679" s="196"/>
      <c r="DS679" s="196"/>
      <c r="DT679" s="196"/>
    </row>
    <row r="680" spans="27:124" ht="16.5" thickTop="1" thickBot="1" x14ac:dyDescent="0.3">
      <c r="AA680" s="48"/>
      <c r="AB680" s="26"/>
      <c r="AC680" s="18">
        <v>0</v>
      </c>
      <c r="AD680" s="18">
        <v>0</v>
      </c>
      <c r="AE680" s="26"/>
      <c r="AF680" s="26">
        <v>0</v>
      </c>
      <c r="AG680" s="26">
        <v>0</v>
      </c>
      <c r="AJ680" s="10" t="str">
        <f t="shared" si="2"/>
        <v>QUIT</v>
      </c>
      <c r="AK680" s="10" t="str">
        <f t="shared" si="3"/>
        <v>QUIT</v>
      </c>
      <c r="AL680" s="10" t="str">
        <f t="shared" si="4"/>
        <v>QUIT</v>
      </c>
      <c r="AM680" s="10" t="e">
        <f t="array" ref="AM680">IF(ROWS(AM$662:AM680)&gt;COUNTA($AJ:$AJ),$AH$661,INDEX($AJ:$AJ,SMALL(IF(AJ$662:AJ$681&lt;&gt;$AH$661,ROW(AJ$662:AJ$681)),ROWS(AM$662:AM680))))</f>
        <v>#NUM!</v>
      </c>
      <c r="AN680" s="10" t="e">
        <f t="array" ref="AN680">IF(ROWS(AN$662:AN680)&gt;COUNTA($AK:$AK),$AH$661,INDEX($AK:$AK,SMALL(IF(AK$662:AK$681&lt;&gt;$AH$661,ROW(AK$662:AK$681)),ROWS(AN$662:AN680))))</f>
        <v>#NUM!</v>
      </c>
      <c r="AO680" s="10" t="e">
        <f t="array" ref="AO680">IF(ROWS(AO$662:AO680)&gt;COUNTA($AL:$AL),$AH$661,INDEX($AL:$AL,SMALL(IF(AL$662:AL$681&lt;&gt;$AH$661,ROW(AL$662:AL$681)),ROWS(AO$662:AO680))))</f>
        <v>#NUM!</v>
      </c>
      <c r="BX680" s="196"/>
      <c r="BY680" s="196"/>
      <c r="BZ680" s="196"/>
      <c r="CA680" s="196"/>
      <c r="CB680" s="196"/>
      <c r="CC680" s="196"/>
      <c r="CD680" s="196"/>
      <c r="CE680" s="196"/>
      <c r="CF680" s="196"/>
      <c r="CG680" s="196"/>
      <c r="CH680" s="196"/>
      <c r="CI680" s="196"/>
      <c r="CJ680" s="196"/>
      <c r="CK680" s="196"/>
      <c r="CL680" s="196"/>
      <c r="CM680" s="196"/>
      <c r="CN680" s="196"/>
      <c r="CO680" s="196"/>
      <c r="CP680" s="196"/>
      <c r="CQ680" s="196"/>
      <c r="CR680" s="196"/>
      <c r="CS680" s="196"/>
      <c r="CT680" s="196"/>
      <c r="CU680" s="196"/>
      <c r="CV680" s="196"/>
      <c r="CW680" s="196"/>
      <c r="CX680" s="196"/>
      <c r="CY680" s="196"/>
      <c r="CZ680" s="196"/>
      <c r="DA680" s="196"/>
      <c r="DB680" s="196"/>
      <c r="DC680" s="196"/>
      <c r="DD680" s="196"/>
      <c r="DE680" s="196"/>
      <c r="DF680" s="196"/>
      <c r="DG680" s="196"/>
      <c r="DH680" s="196"/>
      <c r="DI680" s="196"/>
      <c r="DJ680" s="196"/>
      <c r="DK680" s="196"/>
      <c r="DL680" s="196"/>
      <c r="DM680" s="196"/>
      <c r="DN680" s="196"/>
      <c r="DO680" s="196"/>
      <c r="DP680" s="196"/>
      <c r="DQ680" s="196"/>
      <c r="DR680" s="196"/>
      <c r="DS680" s="196"/>
      <c r="DT680" s="196"/>
    </row>
    <row r="681" spans="27:124" ht="16.5" thickTop="1" thickBot="1" x14ac:dyDescent="0.3">
      <c r="AA681" s="48"/>
      <c r="AB681" s="26"/>
      <c r="AC681" s="18">
        <v>0</v>
      </c>
      <c r="AD681" s="18">
        <v>0</v>
      </c>
      <c r="AE681" s="26"/>
      <c r="AF681" s="26">
        <v>0</v>
      </c>
      <c r="AG681" s="26">
        <v>0</v>
      </c>
      <c r="AJ681" s="10" t="str">
        <f t="shared" si="2"/>
        <v>QUIT</v>
      </c>
      <c r="AK681" s="10" t="str">
        <f t="shared" si="3"/>
        <v>QUIT</v>
      </c>
      <c r="AL681" s="10" t="str">
        <f t="shared" si="4"/>
        <v>QUIT</v>
      </c>
      <c r="AM681" s="10" t="e">
        <f t="array" ref="AM681">IF(ROWS(AM$662:AM681)&gt;COUNTA($AJ:$AJ),$AH$661,INDEX($AJ:$AJ,SMALL(IF(AJ$662:AJ$681&lt;&gt;$AH$661,ROW(AJ$662:AJ$681)),ROWS(AM$662:AM681))))</f>
        <v>#NUM!</v>
      </c>
      <c r="AN681" s="10" t="e">
        <f t="array" ref="AN681">IF(ROWS(AN$662:AN681)&gt;COUNTA($AK:$AK),$AH$661,INDEX($AK:$AK,SMALL(IF(AK$662:AK$681&lt;&gt;$AH$661,ROW(AK$662:AK$681)),ROWS(AN$662:AN681))))</f>
        <v>#NUM!</v>
      </c>
      <c r="AO681" s="10" t="e">
        <f t="array" ref="AO681">IF(ROWS(AO$662:AO681)&gt;COUNTA($AL:$AL),$AH$661,INDEX($AL:$AL,SMALL(IF(AL$662:AL$681&lt;&gt;$AH$661,ROW(AL$662:AL$681)),ROWS(AO$662:AO681))))</f>
        <v>#NUM!</v>
      </c>
      <c r="BX681" s="196"/>
      <c r="BY681" s="196"/>
      <c r="BZ681" s="196"/>
      <c r="CA681" s="196"/>
      <c r="CB681" s="196"/>
      <c r="CC681" s="196"/>
      <c r="CD681" s="196"/>
      <c r="CE681" s="196"/>
      <c r="CF681" s="196"/>
      <c r="CG681" s="196"/>
      <c r="CH681" s="196"/>
      <c r="CI681" s="196"/>
      <c r="CJ681" s="196"/>
      <c r="CK681" s="196"/>
      <c r="CL681" s="196"/>
      <c r="CM681" s="196"/>
      <c r="CN681" s="196"/>
      <c r="CO681" s="196"/>
      <c r="CP681" s="196"/>
      <c r="CQ681" s="196"/>
      <c r="CR681" s="196"/>
      <c r="CS681" s="196"/>
      <c r="CT681" s="196"/>
      <c r="CU681" s="196"/>
      <c r="CV681" s="196"/>
      <c r="CW681" s="196"/>
      <c r="CX681" s="196"/>
      <c r="CY681" s="196"/>
      <c r="CZ681" s="196"/>
      <c r="DA681" s="196"/>
      <c r="DB681" s="196"/>
      <c r="DC681" s="196"/>
      <c r="DD681" s="196"/>
      <c r="DE681" s="196"/>
      <c r="DF681" s="196"/>
      <c r="DG681" s="196"/>
      <c r="DH681" s="196"/>
      <c r="DI681" s="196"/>
      <c r="DJ681" s="196"/>
      <c r="DK681" s="196"/>
      <c r="DL681" s="196"/>
      <c r="DM681" s="196"/>
      <c r="DN681" s="196"/>
      <c r="DO681" s="196"/>
      <c r="DP681" s="196"/>
      <c r="DQ681" s="196"/>
      <c r="DR681" s="196"/>
      <c r="DS681" s="196"/>
      <c r="DT681" s="196"/>
    </row>
    <row r="682" spans="27:124" ht="15.75" thickTop="1" x14ac:dyDescent="0.25">
      <c r="BX682" s="196"/>
      <c r="BY682" s="196"/>
      <c r="BZ682" s="196"/>
      <c r="CA682" s="196"/>
      <c r="CB682" s="196"/>
      <c r="CC682" s="196"/>
      <c r="CD682" s="196"/>
      <c r="CE682" s="196"/>
      <c r="CF682" s="196"/>
      <c r="CG682" s="196"/>
      <c r="CH682" s="196"/>
      <c r="CI682" s="196"/>
      <c r="CJ682" s="196"/>
      <c r="CK682" s="196"/>
      <c r="CL682" s="196"/>
      <c r="CM682" s="196"/>
      <c r="CN682" s="196"/>
      <c r="CO682" s="196"/>
      <c r="CP682" s="196"/>
      <c r="CQ682" s="196"/>
      <c r="CR682" s="196"/>
      <c r="CS682" s="196"/>
      <c r="CT682" s="196"/>
      <c r="CU682" s="196"/>
      <c r="CV682" s="196"/>
      <c r="CW682" s="196"/>
      <c r="CX682" s="196"/>
      <c r="CY682" s="196"/>
      <c r="CZ682" s="196"/>
      <c r="DA682" s="196"/>
      <c r="DB682" s="196"/>
      <c r="DC682" s="196"/>
      <c r="DD682" s="196"/>
      <c r="DE682" s="196"/>
      <c r="DF682" s="196"/>
      <c r="DG682" s="196"/>
      <c r="DH682" s="196"/>
      <c r="DI682" s="196"/>
      <c r="DJ682" s="196"/>
      <c r="DK682" s="196"/>
      <c r="DL682" s="196"/>
      <c r="DM682" s="196"/>
      <c r="DN682" s="196"/>
      <c r="DO682" s="196"/>
      <c r="DP682" s="196"/>
      <c r="DQ682" s="196"/>
      <c r="DR682" s="196"/>
      <c r="DS682" s="196"/>
      <c r="DT682" s="196"/>
    </row>
    <row r="683" spans="27:124" x14ac:dyDescent="0.25">
      <c r="BX683" s="196"/>
      <c r="BY683" s="196"/>
      <c r="BZ683" s="196"/>
      <c r="CA683" s="196"/>
      <c r="CB683" s="196"/>
      <c r="CC683" s="196"/>
      <c r="CD683" s="196"/>
      <c r="CE683" s="196"/>
      <c r="CF683" s="196"/>
      <c r="CG683" s="196"/>
      <c r="CH683" s="196"/>
      <c r="CI683" s="196"/>
      <c r="CJ683" s="196"/>
      <c r="CK683" s="196"/>
      <c r="CL683" s="196"/>
      <c r="CM683" s="196"/>
      <c r="CN683" s="196"/>
      <c r="CO683" s="196"/>
      <c r="CP683" s="196"/>
      <c r="CQ683" s="196"/>
      <c r="CR683" s="196"/>
      <c r="CS683" s="196"/>
      <c r="CT683" s="196"/>
      <c r="CU683" s="196"/>
      <c r="CV683" s="196"/>
      <c r="CW683" s="196"/>
      <c r="CX683" s="196"/>
      <c r="CY683" s="196"/>
      <c r="CZ683" s="196"/>
      <c r="DA683" s="196"/>
      <c r="DB683" s="196"/>
      <c r="DC683" s="196"/>
      <c r="DD683" s="196"/>
      <c r="DE683" s="196"/>
      <c r="DF683" s="196"/>
      <c r="DG683" s="196"/>
      <c r="DH683" s="196"/>
      <c r="DI683" s="196"/>
      <c r="DJ683" s="196"/>
      <c r="DK683" s="196"/>
      <c r="DL683" s="196"/>
      <c r="DM683" s="196"/>
      <c r="DN683" s="196"/>
      <c r="DO683" s="196"/>
      <c r="DP683" s="196"/>
      <c r="DQ683" s="196"/>
      <c r="DR683" s="196"/>
      <c r="DS683" s="196"/>
      <c r="DT683" s="196"/>
    </row>
    <row r="684" spans="27:124" x14ac:dyDescent="0.25">
      <c r="BX684" s="196"/>
      <c r="BY684" s="196"/>
      <c r="BZ684" s="196"/>
      <c r="CA684" s="196"/>
      <c r="CB684" s="196"/>
      <c r="CC684" s="196"/>
      <c r="CD684" s="196"/>
      <c r="CE684" s="196"/>
      <c r="CF684" s="196"/>
      <c r="CG684" s="196"/>
      <c r="CH684" s="196"/>
      <c r="CI684" s="196"/>
      <c r="CJ684" s="196"/>
      <c r="CK684" s="196"/>
      <c r="CL684" s="196"/>
      <c r="CM684" s="196"/>
      <c r="CN684" s="196"/>
      <c r="CO684" s="196"/>
      <c r="CP684" s="196"/>
      <c r="CQ684" s="196"/>
      <c r="CR684" s="196"/>
      <c r="CS684" s="196"/>
      <c r="CT684" s="196"/>
      <c r="CU684" s="196"/>
      <c r="CV684" s="196"/>
      <c r="CW684" s="196"/>
      <c r="CX684" s="196"/>
      <c r="CY684" s="196"/>
      <c r="CZ684" s="196"/>
      <c r="DA684" s="196"/>
      <c r="DB684" s="196"/>
      <c r="DC684" s="196"/>
      <c r="DD684" s="196"/>
      <c r="DE684" s="196"/>
      <c r="DF684" s="196"/>
      <c r="DG684" s="196"/>
      <c r="DH684" s="196"/>
      <c r="DI684" s="196"/>
      <c r="DJ684" s="196"/>
      <c r="DK684" s="196"/>
      <c r="DL684" s="196"/>
      <c r="DM684" s="196"/>
      <c r="DN684" s="196"/>
      <c r="DO684" s="196"/>
      <c r="DP684" s="196"/>
      <c r="DQ684" s="196"/>
      <c r="DR684" s="196"/>
      <c r="DS684" s="196"/>
      <c r="DT684" s="196"/>
    </row>
    <row r="685" spans="27:124" x14ac:dyDescent="0.25">
      <c r="BX685" s="196"/>
      <c r="BY685" s="196"/>
      <c r="BZ685" s="196"/>
      <c r="CA685" s="196"/>
      <c r="CB685" s="196"/>
      <c r="CC685" s="196"/>
      <c r="CD685" s="196"/>
      <c r="CE685" s="196"/>
      <c r="CF685" s="196"/>
      <c r="CG685" s="196"/>
      <c r="CH685" s="196"/>
      <c r="CI685" s="196"/>
      <c r="CJ685" s="196"/>
      <c r="CK685" s="196"/>
      <c r="CL685" s="196"/>
      <c r="CM685" s="196"/>
      <c r="CN685" s="196"/>
      <c r="CO685" s="196"/>
      <c r="CP685" s="196"/>
      <c r="CQ685" s="196"/>
      <c r="CR685" s="196"/>
      <c r="CS685" s="196"/>
      <c r="CT685" s="196"/>
      <c r="CU685" s="196"/>
      <c r="CV685" s="196"/>
      <c r="CW685" s="196"/>
      <c r="CX685" s="196"/>
      <c r="CY685" s="196"/>
      <c r="CZ685" s="196"/>
      <c r="DA685" s="196"/>
      <c r="DB685" s="196"/>
      <c r="DC685" s="196"/>
      <c r="DD685" s="196"/>
      <c r="DE685" s="196"/>
      <c r="DF685" s="196"/>
      <c r="DG685" s="196"/>
      <c r="DH685" s="196"/>
      <c r="DI685" s="196"/>
      <c r="DJ685" s="196"/>
      <c r="DK685" s="196"/>
      <c r="DL685" s="196"/>
      <c r="DM685" s="196"/>
      <c r="DN685" s="196"/>
      <c r="DO685" s="196"/>
      <c r="DP685" s="196"/>
      <c r="DQ685" s="196"/>
      <c r="DR685" s="196"/>
      <c r="DS685" s="196"/>
      <c r="DT685" s="196"/>
    </row>
    <row r="686" spans="27:124" x14ac:dyDescent="0.25">
      <c r="BX686" s="196"/>
      <c r="BY686" s="196"/>
      <c r="BZ686" s="196"/>
      <c r="CA686" s="196"/>
      <c r="CB686" s="196"/>
      <c r="CC686" s="196"/>
      <c r="CD686" s="196"/>
      <c r="CE686" s="196"/>
      <c r="CF686" s="196"/>
      <c r="CG686" s="196"/>
      <c r="CH686" s="196"/>
      <c r="CI686" s="196"/>
      <c r="CJ686" s="196"/>
      <c r="CK686" s="196"/>
      <c r="CL686" s="196"/>
      <c r="CM686" s="196"/>
      <c r="CN686" s="196"/>
      <c r="CO686" s="196"/>
      <c r="CP686" s="196"/>
      <c r="CQ686" s="196"/>
      <c r="CR686" s="196"/>
      <c r="CS686" s="196"/>
      <c r="CT686" s="196"/>
      <c r="CU686" s="196"/>
      <c r="CV686" s="196"/>
      <c r="CW686" s="196"/>
      <c r="CX686" s="196"/>
      <c r="CY686" s="196"/>
      <c r="CZ686" s="196"/>
      <c r="DA686" s="196"/>
      <c r="DB686" s="196"/>
      <c r="DC686" s="196"/>
      <c r="DD686" s="196"/>
      <c r="DE686" s="196"/>
      <c r="DF686" s="196"/>
      <c r="DG686" s="196"/>
      <c r="DH686" s="196"/>
      <c r="DI686" s="196"/>
      <c r="DJ686" s="196"/>
      <c r="DK686" s="196"/>
      <c r="DL686" s="196"/>
      <c r="DM686" s="196"/>
      <c r="DN686" s="196"/>
      <c r="DO686" s="196"/>
      <c r="DP686" s="196"/>
      <c r="DQ686" s="196"/>
      <c r="DR686" s="196"/>
      <c r="DS686" s="196"/>
      <c r="DT686" s="196"/>
    </row>
    <row r="687" spans="27:124" x14ac:dyDescent="0.25">
      <c r="BX687" s="196"/>
      <c r="BY687" s="196"/>
      <c r="BZ687" s="196"/>
      <c r="CA687" s="196"/>
      <c r="CB687" s="196"/>
      <c r="CC687" s="196"/>
      <c r="CD687" s="196"/>
      <c r="CE687" s="196"/>
      <c r="CF687" s="196"/>
      <c r="CG687" s="196"/>
      <c r="CH687" s="196"/>
      <c r="CI687" s="196"/>
      <c r="CJ687" s="196"/>
      <c r="CK687" s="196"/>
      <c r="CL687" s="196"/>
      <c r="CM687" s="196"/>
      <c r="CN687" s="196"/>
      <c r="CO687" s="196"/>
      <c r="CP687" s="196"/>
      <c r="CQ687" s="196"/>
      <c r="CR687" s="196"/>
      <c r="CS687" s="196"/>
      <c r="CT687" s="196"/>
      <c r="CU687" s="196"/>
      <c r="CV687" s="196"/>
      <c r="CW687" s="196"/>
      <c r="CX687" s="196"/>
      <c r="CY687" s="196"/>
      <c r="CZ687" s="196"/>
      <c r="DA687" s="196"/>
      <c r="DB687" s="196"/>
      <c r="DC687" s="196"/>
      <c r="DD687" s="196"/>
      <c r="DE687" s="196"/>
      <c r="DF687" s="196"/>
      <c r="DG687" s="196"/>
      <c r="DH687" s="196"/>
      <c r="DI687" s="196"/>
      <c r="DJ687" s="196"/>
      <c r="DK687" s="196"/>
      <c r="DL687" s="196"/>
      <c r="DM687" s="196"/>
      <c r="DN687" s="196"/>
      <c r="DO687" s="196"/>
      <c r="DP687" s="196"/>
      <c r="DQ687" s="196"/>
      <c r="DR687" s="196"/>
      <c r="DS687" s="196"/>
      <c r="DT687" s="196"/>
    </row>
    <row r="688" spans="27:124" x14ac:dyDescent="0.25">
      <c r="BX688" s="196"/>
      <c r="BY688" s="196"/>
      <c r="BZ688" s="196"/>
      <c r="CA688" s="196"/>
      <c r="CB688" s="196"/>
      <c r="CC688" s="196"/>
      <c r="CD688" s="196"/>
      <c r="CE688" s="196"/>
      <c r="CF688" s="196"/>
      <c r="CG688" s="196"/>
      <c r="CH688" s="196"/>
      <c r="CI688" s="196"/>
      <c r="CJ688" s="196"/>
      <c r="CK688" s="196"/>
      <c r="CL688" s="196"/>
      <c r="CM688" s="196"/>
      <c r="CN688" s="196"/>
      <c r="CO688" s="196"/>
      <c r="CP688" s="196"/>
      <c r="CQ688" s="196"/>
      <c r="CR688" s="196"/>
      <c r="CS688" s="196"/>
      <c r="CT688" s="196"/>
      <c r="CU688" s="196"/>
      <c r="CV688" s="196"/>
      <c r="CW688" s="196"/>
      <c r="CX688" s="196"/>
      <c r="CY688" s="196"/>
      <c r="CZ688" s="196"/>
      <c r="DA688" s="196"/>
      <c r="DB688" s="196"/>
      <c r="DC688" s="196"/>
      <c r="DD688" s="196"/>
      <c r="DE688" s="196"/>
      <c r="DF688" s="196"/>
      <c r="DG688" s="196"/>
      <c r="DH688" s="196"/>
      <c r="DI688" s="196"/>
      <c r="DJ688" s="196"/>
      <c r="DK688" s="196"/>
      <c r="DL688" s="196"/>
      <c r="DM688" s="196"/>
      <c r="DN688" s="196"/>
      <c r="DO688" s="196"/>
      <c r="DP688" s="196"/>
      <c r="DQ688" s="196"/>
      <c r="DR688" s="196"/>
      <c r="DS688" s="196"/>
      <c r="DT688" s="196"/>
    </row>
    <row r="689" spans="76:124" x14ac:dyDescent="0.25">
      <c r="BX689" s="196"/>
      <c r="BY689" s="196"/>
      <c r="BZ689" s="196"/>
      <c r="CA689" s="196"/>
      <c r="CB689" s="196"/>
      <c r="CC689" s="196"/>
      <c r="CD689" s="196"/>
      <c r="CE689" s="196"/>
      <c r="CF689" s="196"/>
      <c r="CG689" s="196"/>
      <c r="CH689" s="196"/>
      <c r="CI689" s="196"/>
      <c r="CJ689" s="196"/>
      <c r="CK689" s="196"/>
      <c r="CL689" s="196"/>
      <c r="CM689" s="196"/>
      <c r="CN689" s="196"/>
      <c r="CO689" s="196"/>
      <c r="CP689" s="196"/>
      <c r="CQ689" s="196"/>
      <c r="CR689" s="196"/>
      <c r="CS689" s="196"/>
      <c r="CT689" s="196"/>
      <c r="CU689" s="196"/>
      <c r="CV689" s="196"/>
      <c r="CW689" s="196"/>
      <c r="CX689" s="196"/>
      <c r="CY689" s="196"/>
      <c r="CZ689" s="196"/>
      <c r="DA689" s="196"/>
      <c r="DB689" s="196"/>
      <c r="DC689" s="196"/>
      <c r="DD689" s="196"/>
      <c r="DE689" s="196"/>
      <c r="DF689" s="196"/>
      <c r="DG689" s="196"/>
      <c r="DH689" s="196"/>
      <c r="DI689" s="196"/>
      <c r="DJ689" s="196"/>
      <c r="DK689" s="196"/>
      <c r="DL689" s="196"/>
      <c r="DM689" s="196"/>
      <c r="DN689" s="196"/>
      <c r="DO689" s="196"/>
      <c r="DP689" s="196"/>
      <c r="DQ689" s="196"/>
      <c r="DR689" s="196"/>
      <c r="DS689" s="196"/>
      <c r="DT689" s="196"/>
    </row>
    <row r="690" spans="76:124" x14ac:dyDescent="0.25">
      <c r="BX690" s="196"/>
      <c r="BY690" s="196"/>
      <c r="BZ690" s="196"/>
      <c r="CA690" s="196"/>
      <c r="CB690" s="196"/>
      <c r="CC690" s="196"/>
      <c r="CD690" s="196"/>
      <c r="CE690" s="196"/>
      <c r="CF690" s="196"/>
      <c r="CG690" s="196"/>
      <c r="CH690" s="196"/>
      <c r="CI690" s="196"/>
      <c r="CJ690" s="196"/>
      <c r="CK690" s="196"/>
      <c r="CL690" s="196"/>
      <c r="CM690" s="196"/>
      <c r="CN690" s="196"/>
      <c r="CO690" s="196"/>
      <c r="CP690" s="196"/>
      <c r="CQ690" s="196"/>
      <c r="CR690" s="196"/>
      <c r="CS690" s="196"/>
      <c r="CT690" s="196"/>
      <c r="CU690" s="196"/>
      <c r="CV690" s="196"/>
      <c r="CW690" s="196"/>
      <c r="CX690" s="196"/>
      <c r="CY690" s="196"/>
      <c r="CZ690" s="196"/>
      <c r="DA690" s="196"/>
      <c r="DB690" s="196"/>
      <c r="DC690" s="196"/>
      <c r="DD690" s="196"/>
      <c r="DE690" s="196"/>
      <c r="DF690" s="196"/>
      <c r="DG690" s="196"/>
      <c r="DH690" s="196"/>
      <c r="DI690" s="196"/>
      <c r="DJ690" s="196"/>
      <c r="DK690" s="196"/>
      <c r="DL690" s="196"/>
      <c r="DM690" s="196"/>
      <c r="DN690" s="196"/>
      <c r="DO690" s="196"/>
      <c r="DP690" s="196"/>
      <c r="DQ690" s="196"/>
      <c r="DR690" s="196"/>
      <c r="DS690" s="196"/>
      <c r="DT690" s="196"/>
    </row>
    <row r="691" spans="76:124" x14ac:dyDescent="0.25">
      <c r="BX691" s="196"/>
      <c r="BY691" s="196"/>
      <c r="BZ691" s="196"/>
      <c r="CA691" s="196"/>
      <c r="CB691" s="196"/>
      <c r="CC691" s="196"/>
      <c r="CD691" s="196"/>
      <c r="CE691" s="196"/>
      <c r="CF691" s="196"/>
      <c r="CG691" s="196"/>
      <c r="CH691" s="196"/>
      <c r="CI691" s="196"/>
      <c r="CJ691" s="196"/>
      <c r="CK691" s="196"/>
      <c r="CL691" s="196"/>
      <c r="CM691" s="196"/>
      <c r="CN691" s="196"/>
      <c r="CO691" s="196"/>
      <c r="CP691" s="196"/>
      <c r="CQ691" s="196"/>
      <c r="CR691" s="196"/>
      <c r="CS691" s="196"/>
      <c r="CT691" s="196"/>
      <c r="CU691" s="196"/>
      <c r="CV691" s="196"/>
      <c r="CW691" s="196"/>
      <c r="CX691" s="196"/>
      <c r="CY691" s="196"/>
      <c r="CZ691" s="196"/>
      <c r="DA691" s="196"/>
      <c r="DB691" s="196"/>
      <c r="DC691" s="196"/>
      <c r="DD691" s="196"/>
      <c r="DE691" s="196"/>
      <c r="DF691" s="196"/>
      <c r="DG691" s="196"/>
      <c r="DH691" s="196"/>
      <c r="DI691" s="196"/>
      <c r="DJ691" s="196"/>
      <c r="DK691" s="196"/>
      <c r="DL691" s="196"/>
      <c r="DM691" s="196"/>
      <c r="DN691" s="196"/>
      <c r="DO691" s="196"/>
      <c r="DP691" s="196"/>
      <c r="DQ691" s="196"/>
      <c r="DR691" s="196"/>
      <c r="DS691" s="196"/>
      <c r="DT691" s="196"/>
    </row>
    <row r="692" spans="76:124" x14ac:dyDescent="0.25">
      <c r="BX692" s="196"/>
      <c r="BY692" s="196"/>
      <c r="BZ692" s="196"/>
      <c r="CA692" s="196"/>
      <c r="CB692" s="196"/>
      <c r="CC692" s="196"/>
      <c r="CD692" s="196"/>
      <c r="CE692" s="196"/>
      <c r="CF692" s="196"/>
      <c r="CG692" s="196"/>
      <c r="CH692" s="196"/>
      <c r="CI692" s="196"/>
      <c r="CJ692" s="196"/>
      <c r="CK692" s="196"/>
      <c r="CL692" s="196"/>
      <c r="CM692" s="196"/>
      <c r="CN692" s="196"/>
      <c r="CO692" s="196"/>
      <c r="CP692" s="196"/>
      <c r="CQ692" s="196"/>
      <c r="CR692" s="196"/>
      <c r="CS692" s="196"/>
      <c r="CT692" s="196"/>
      <c r="CU692" s="196"/>
      <c r="CV692" s="196"/>
      <c r="CW692" s="196"/>
      <c r="CX692" s="196"/>
      <c r="CY692" s="196"/>
      <c r="CZ692" s="196"/>
      <c r="DA692" s="196"/>
      <c r="DB692" s="196"/>
      <c r="DC692" s="196"/>
      <c r="DD692" s="196"/>
      <c r="DE692" s="196"/>
      <c r="DF692" s="196"/>
      <c r="DG692" s="196"/>
      <c r="DH692" s="196"/>
      <c r="DI692" s="196"/>
      <c r="DJ692" s="196"/>
      <c r="DK692" s="196"/>
      <c r="DL692" s="196"/>
      <c r="DM692" s="196"/>
      <c r="DN692" s="196"/>
      <c r="DO692" s="196"/>
      <c r="DP692" s="196"/>
      <c r="DQ692" s="196"/>
      <c r="DR692" s="196"/>
      <c r="DS692" s="196"/>
      <c r="DT692" s="196"/>
    </row>
    <row r="693" spans="76:124" x14ac:dyDescent="0.25">
      <c r="BX693" s="196"/>
      <c r="BY693" s="196"/>
      <c r="BZ693" s="196"/>
      <c r="CA693" s="196"/>
      <c r="CB693" s="196"/>
      <c r="CC693" s="196"/>
      <c r="CD693" s="196"/>
      <c r="CE693" s="196"/>
      <c r="CF693" s="196"/>
      <c r="CG693" s="196"/>
      <c r="CH693" s="196"/>
      <c r="CI693" s="196"/>
      <c r="CJ693" s="196"/>
      <c r="CK693" s="196"/>
      <c r="CL693" s="196"/>
      <c r="CM693" s="196"/>
      <c r="CN693" s="196"/>
      <c r="CO693" s="196"/>
      <c r="CP693" s="196"/>
      <c r="CQ693" s="196"/>
      <c r="CR693" s="196"/>
      <c r="CS693" s="196"/>
      <c r="CT693" s="196"/>
      <c r="CU693" s="196"/>
      <c r="CV693" s="196"/>
      <c r="CW693" s="196"/>
      <c r="CX693" s="196"/>
      <c r="CY693" s="196"/>
      <c r="CZ693" s="196"/>
      <c r="DA693" s="196"/>
      <c r="DB693" s="196"/>
      <c r="DC693" s="196"/>
      <c r="DD693" s="196"/>
      <c r="DE693" s="196"/>
      <c r="DF693" s="196"/>
      <c r="DG693" s="196"/>
      <c r="DH693" s="196"/>
      <c r="DI693" s="196"/>
      <c r="DJ693" s="196"/>
      <c r="DK693" s="196"/>
      <c r="DL693" s="196"/>
      <c r="DM693" s="196"/>
      <c r="DN693" s="196"/>
      <c r="DO693" s="196"/>
      <c r="DP693" s="196"/>
      <c r="DQ693" s="196"/>
      <c r="DR693" s="196"/>
      <c r="DS693" s="196"/>
      <c r="DT693" s="196"/>
    </row>
    <row r="694" spans="76:124" x14ac:dyDescent="0.25">
      <c r="BX694" s="196"/>
      <c r="BY694" s="196"/>
      <c r="BZ694" s="196"/>
      <c r="CA694" s="196"/>
      <c r="CB694" s="196"/>
      <c r="CC694" s="196"/>
      <c r="CD694" s="196"/>
      <c r="CE694" s="196"/>
      <c r="CF694" s="196"/>
      <c r="CG694" s="196"/>
      <c r="CH694" s="196"/>
      <c r="CI694" s="196"/>
      <c r="CJ694" s="196"/>
      <c r="CK694" s="196"/>
      <c r="CL694" s="196"/>
      <c r="CM694" s="196"/>
      <c r="CN694" s="196"/>
      <c r="CO694" s="196"/>
      <c r="CP694" s="196"/>
      <c r="CQ694" s="196"/>
      <c r="CR694" s="196"/>
      <c r="CS694" s="196"/>
      <c r="CT694" s="196"/>
      <c r="CU694" s="196"/>
      <c r="CV694" s="196"/>
      <c r="CW694" s="196"/>
      <c r="CX694" s="196"/>
      <c r="CY694" s="196"/>
      <c r="CZ694" s="196"/>
      <c r="DA694" s="196"/>
      <c r="DB694" s="196"/>
      <c r="DC694" s="196"/>
      <c r="DD694" s="196"/>
      <c r="DE694" s="196"/>
      <c r="DF694" s="196"/>
      <c r="DG694" s="196"/>
      <c r="DH694" s="196"/>
      <c r="DI694" s="196"/>
      <c r="DJ694" s="196"/>
      <c r="DK694" s="196"/>
      <c r="DL694" s="196"/>
      <c r="DM694" s="196"/>
      <c r="DN694" s="196"/>
      <c r="DO694" s="196"/>
      <c r="DP694" s="196"/>
      <c r="DQ694" s="196"/>
      <c r="DR694" s="196"/>
      <c r="DS694" s="196"/>
      <c r="DT694" s="196"/>
    </row>
    <row r="695" spans="76:124" x14ac:dyDescent="0.25">
      <c r="BX695" s="196"/>
      <c r="BY695" s="196"/>
      <c r="BZ695" s="196"/>
      <c r="CA695" s="196"/>
      <c r="CB695" s="196"/>
      <c r="CC695" s="196"/>
      <c r="CD695" s="196"/>
      <c r="CE695" s="196"/>
      <c r="CF695" s="196"/>
      <c r="CG695" s="196"/>
      <c r="CH695" s="196"/>
      <c r="CI695" s="196"/>
      <c r="CJ695" s="196"/>
      <c r="CK695" s="196"/>
      <c r="CL695" s="196"/>
      <c r="CM695" s="196"/>
      <c r="CN695" s="196"/>
      <c r="CO695" s="196"/>
      <c r="CP695" s="196"/>
      <c r="CQ695" s="196"/>
      <c r="CR695" s="196"/>
      <c r="CS695" s="196"/>
      <c r="CT695" s="196"/>
      <c r="CU695" s="196"/>
      <c r="CV695" s="196"/>
      <c r="CW695" s="196"/>
      <c r="CX695" s="196"/>
      <c r="CY695" s="196"/>
      <c r="CZ695" s="196"/>
      <c r="DA695" s="196"/>
      <c r="DB695" s="196"/>
      <c r="DC695" s="196"/>
      <c r="DD695" s="196"/>
      <c r="DE695" s="196"/>
      <c r="DF695" s="196"/>
      <c r="DG695" s="196"/>
      <c r="DH695" s="196"/>
      <c r="DI695" s="196"/>
      <c r="DJ695" s="196"/>
      <c r="DK695" s="196"/>
      <c r="DL695" s="196"/>
      <c r="DM695" s="196"/>
      <c r="DN695" s="196"/>
      <c r="DO695" s="196"/>
      <c r="DP695" s="196"/>
      <c r="DQ695" s="196"/>
      <c r="DR695" s="196"/>
      <c r="DS695" s="196"/>
      <c r="DT695" s="196"/>
    </row>
    <row r="696" spans="76:124" x14ac:dyDescent="0.25">
      <c r="BX696" s="196"/>
      <c r="BY696" s="196"/>
      <c r="BZ696" s="196"/>
      <c r="CA696" s="196"/>
      <c r="CB696" s="196"/>
      <c r="CC696" s="196"/>
      <c r="CD696" s="196"/>
      <c r="CE696" s="196"/>
      <c r="CF696" s="196"/>
      <c r="CG696" s="196"/>
      <c r="CH696" s="196"/>
      <c r="CI696" s="196"/>
      <c r="CJ696" s="196"/>
      <c r="CK696" s="196"/>
      <c r="CL696" s="196"/>
      <c r="CM696" s="196"/>
      <c r="CN696" s="196"/>
      <c r="CO696" s="196"/>
      <c r="CP696" s="196"/>
      <c r="CQ696" s="196"/>
      <c r="CR696" s="196"/>
      <c r="CS696" s="196"/>
      <c r="CT696" s="196"/>
      <c r="CU696" s="196"/>
      <c r="CV696" s="196"/>
      <c r="CW696" s="196"/>
      <c r="CX696" s="196"/>
      <c r="CY696" s="196"/>
      <c r="CZ696" s="196"/>
      <c r="DA696" s="196"/>
      <c r="DB696" s="196"/>
      <c r="DC696" s="196"/>
      <c r="DD696" s="196"/>
      <c r="DE696" s="196"/>
      <c r="DF696" s="196"/>
      <c r="DG696" s="196"/>
      <c r="DH696" s="196"/>
      <c r="DI696" s="196"/>
      <c r="DJ696" s="196"/>
      <c r="DK696" s="196"/>
      <c r="DL696" s="196"/>
      <c r="DM696" s="196"/>
      <c r="DN696" s="196"/>
      <c r="DO696" s="196"/>
      <c r="DP696" s="196"/>
      <c r="DQ696" s="196"/>
      <c r="DR696" s="196"/>
      <c r="DS696" s="196"/>
      <c r="DT696" s="196"/>
    </row>
    <row r="697" spans="76:124" x14ac:dyDescent="0.25">
      <c r="BX697" s="196"/>
      <c r="BY697" s="196"/>
      <c r="BZ697" s="196"/>
      <c r="CA697" s="196"/>
      <c r="CB697" s="196"/>
      <c r="CC697" s="196"/>
      <c r="CD697" s="196"/>
      <c r="CE697" s="196"/>
      <c r="CF697" s="196"/>
      <c r="CG697" s="196"/>
      <c r="CH697" s="196"/>
      <c r="CI697" s="196"/>
      <c r="CJ697" s="196"/>
      <c r="CK697" s="196"/>
      <c r="CL697" s="196"/>
      <c r="CM697" s="196"/>
      <c r="CN697" s="196"/>
      <c r="CO697" s="196"/>
      <c r="CP697" s="196"/>
      <c r="CQ697" s="196"/>
      <c r="CR697" s="196"/>
      <c r="CS697" s="196"/>
      <c r="CT697" s="196"/>
      <c r="CU697" s="196"/>
      <c r="CV697" s="196"/>
      <c r="CW697" s="196"/>
      <c r="CX697" s="196"/>
      <c r="CY697" s="196"/>
      <c r="CZ697" s="196"/>
      <c r="DA697" s="196"/>
      <c r="DB697" s="196"/>
      <c r="DC697" s="196"/>
      <c r="DD697" s="196"/>
      <c r="DE697" s="196"/>
      <c r="DF697" s="196"/>
      <c r="DG697" s="196"/>
      <c r="DH697" s="196"/>
      <c r="DI697" s="196"/>
      <c r="DJ697" s="196"/>
      <c r="DK697" s="196"/>
      <c r="DL697" s="196"/>
      <c r="DM697" s="196"/>
      <c r="DN697" s="196"/>
      <c r="DO697" s="196"/>
      <c r="DP697" s="196"/>
      <c r="DQ697" s="196"/>
      <c r="DR697" s="196"/>
      <c r="DS697" s="196"/>
      <c r="DT697" s="196"/>
    </row>
    <row r="698" spans="76:124" x14ac:dyDescent="0.25">
      <c r="BX698" s="196"/>
      <c r="BY698" s="196"/>
      <c r="BZ698" s="196"/>
      <c r="CA698" s="196"/>
      <c r="CB698" s="196"/>
      <c r="CC698" s="196"/>
      <c r="CD698" s="196"/>
      <c r="CE698" s="196"/>
      <c r="CF698" s="196"/>
      <c r="CG698" s="196"/>
      <c r="CH698" s="196"/>
      <c r="CI698" s="196"/>
      <c r="CJ698" s="196"/>
      <c r="CK698" s="196"/>
      <c r="CL698" s="196"/>
      <c r="CM698" s="196"/>
      <c r="CN698" s="196"/>
      <c r="CO698" s="196"/>
      <c r="CP698" s="196"/>
      <c r="CQ698" s="196"/>
      <c r="CR698" s="196"/>
      <c r="CS698" s="196"/>
      <c r="CT698" s="196"/>
      <c r="CU698" s="196"/>
      <c r="CV698" s="196"/>
      <c r="CW698" s="196"/>
      <c r="CX698" s="196"/>
      <c r="CY698" s="196"/>
      <c r="CZ698" s="196"/>
      <c r="DA698" s="196"/>
      <c r="DB698" s="196"/>
      <c r="DC698" s="196"/>
      <c r="DD698" s="196"/>
      <c r="DE698" s="196"/>
      <c r="DF698" s="196"/>
      <c r="DG698" s="196"/>
      <c r="DH698" s="196"/>
      <c r="DI698" s="196"/>
      <c r="DJ698" s="196"/>
      <c r="DK698" s="196"/>
      <c r="DL698" s="196"/>
      <c r="DM698" s="196"/>
      <c r="DN698" s="196"/>
      <c r="DO698" s="196"/>
      <c r="DP698" s="196"/>
      <c r="DQ698" s="196"/>
      <c r="DR698" s="196"/>
      <c r="DS698" s="196"/>
      <c r="DT698" s="196"/>
    </row>
    <row r="699" spans="76:124" x14ac:dyDescent="0.25">
      <c r="BX699" s="196"/>
      <c r="BY699" s="196"/>
      <c r="BZ699" s="196"/>
      <c r="CA699" s="196"/>
      <c r="CB699" s="196"/>
      <c r="CC699" s="196"/>
      <c r="CD699" s="196"/>
      <c r="CE699" s="196"/>
      <c r="CF699" s="196"/>
      <c r="CG699" s="196"/>
      <c r="CH699" s="196"/>
      <c r="CI699" s="196"/>
      <c r="CJ699" s="196"/>
      <c r="CK699" s="196"/>
      <c r="CL699" s="196"/>
      <c r="CM699" s="196"/>
      <c r="CN699" s="196"/>
      <c r="CO699" s="196"/>
      <c r="CP699" s="196"/>
      <c r="CQ699" s="196"/>
      <c r="CR699" s="196"/>
      <c r="CS699" s="196"/>
      <c r="CT699" s="196"/>
      <c r="CU699" s="196"/>
      <c r="CV699" s="196"/>
      <c r="CW699" s="196"/>
      <c r="CX699" s="196"/>
      <c r="CY699" s="196"/>
      <c r="CZ699" s="196"/>
      <c r="DA699" s="196"/>
      <c r="DB699" s="196"/>
      <c r="DC699" s="196"/>
      <c r="DD699" s="196"/>
      <c r="DE699" s="196"/>
      <c r="DF699" s="196"/>
      <c r="DG699" s="196"/>
      <c r="DH699" s="196"/>
      <c r="DI699" s="196"/>
      <c r="DJ699" s="196"/>
      <c r="DK699" s="196"/>
      <c r="DL699" s="196"/>
      <c r="DM699" s="196"/>
      <c r="DN699" s="196"/>
      <c r="DO699" s="196"/>
      <c r="DP699" s="196"/>
      <c r="DQ699" s="196"/>
      <c r="DR699" s="196"/>
      <c r="DS699" s="196"/>
      <c r="DT699" s="196"/>
    </row>
    <row r="700" spans="76:124" x14ac:dyDescent="0.25">
      <c r="BX700" s="196"/>
      <c r="BY700" s="196"/>
      <c r="BZ700" s="196"/>
      <c r="CA700" s="196"/>
      <c r="CB700" s="196"/>
      <c r="CC700" s="196"/>
      <c r="CD700" s="196"/>
      <c r="CE700" s="196"/>
      <c r="CF700" s="196"/>
      <c r="CG700" s="196"/>
      <c r="CH700" s="196"/>
      <c r="CI700" s="196"/>
      <c r="CJ700" s="196"/>
      <c r="CK700" s="196"/>
      <c r="CL700" s="196"/>
      <c r="CM700" s="196"/>
      <c r="CN700" s="196"/>
      <c r="CO700" s="196"/>
      <c r="CP700" s="196"/>
      <c r="CQ700" s="196"/>
      <c r="CR700" s="196"/>
      <c r="CS700" s="196"/>
      <c r="CT700" s="196"/>
      <c r="CU700" s="196"/>
      <c r="CV700" s="196"/>
      <c r="CW700" s="196"/>
      <c r="CX700" s="196"/>
      <c r="CY700" s="196"/>
      <c r="CZ700" s="196"/>
      <c r="DA700" s="196"/>
      <c r="DB700" s="196"/>
      <c r="DC700" s="196"/>
      <c r="DD700" s="196"/>
      <c r="DE700" s="196"/>
      <c r="DF700" s="196"/>
      <c r="DG700" s="196"/>
      <c r="DH700" s="196"/>
      <c r="DI700" s="196"/>
      <c r="DJ700" s="196"/>
      <c r="DK700" s="196"/>
      <c r="DL700" s="196"/>
      <c r="DM700" s="196"/>
      <c r="DN700" s="196"/>
      <c r="DO700" s="196"/>
      <c r="DP700" s="196"/>
      <c r="DQ700" s="196"/>
      <c r="DR700" s="196"/>
      <c r="DS700" s="196"/>
      <c r="DT700" s="196"/>
    </row>
    <row r="701" spans="76:124" x14ac:dyDescent="0.25">
      <c r="BX701" s="196"/>
      <c r="BY701" s="196"/>
      <c r="BZ701" s="196"/>
      <c r="CA701" s="196"/>
      <c r="CB701" s="196"/>
      <c r="CC701" s="196"/>
      <c r="CD701" s="196"/>
      <c r="CE701" s="196"/>
      <c r="CF701" s="196"/>
      <c r="CG701" s="196"/>
      <c r="CH701" s="196"/>
      <c r="CI701" s="196"/>
      <c r="CJ701" s="196"/>
      <c r="CK701" s="196"/>
      <c r="CL701" s="196"/>
      <c r="CM701" s="196"/>
      <c r="CN701" s="196"/>
      <c r="CO701" s="196"/>
      <c r="CP701" s="196"/>
      <c r="CQ701" s="196"/>
      <c r="CR701" s="196"/>
      <c r="CS701" s="196"/>
      <c r="CT701" s="196"/>
      <c r="CU701" s="196"/>
      <c r="CV701" s="196"/>
      <c r="CW701" s="196"/>
      <c r="CX701" s="196"/>
      <c r="CY701" s="196"/>
      <c r="CZ701" s="196"/>
      <c r="DA701" s="196"/>
      <c r="DB701" s="196"/>
      <c r="DC701" s="196"/>
      <c r="DD701" s="196"/>
      <c r="DE701" s="196"/>
      <c r="DF701" s="196"/>
      <c r="DG701" s="196"/>
      <c r="DH701" s="196"/>
      <c r="DI701" s="196"/>
      <c r="DJ701" s="196"/>
      <c r="DK701" s="196"/>
      <c r="DL701" s="196"/>
      <c r="DM701" s="196"/>
      <c r="DN701" s="196"/>
      <c r="DO701" s="196"/>
      <c r="DP701" s="196"/>
      <c r="DQ701" s="196"/>
      <c r="DR701" s="196"/>
      <c r="DS701" s="196"/>
      <c r="DT701" s="196"/>
    </row>
    <row r="702" spans="76:124" x14ac:dyDescent="0.25">
      <c r="BX702" s="196"/>
      <c r="BY702" s="196"/>
      <c r="BZ702" s="196"/>
      <c r="CA702" s="196"/>
      <c r="CB702" s="196"/>
      <c r="CC702" s="196"/>
      <c r="CD702" s="196"/>
      <c r="CE702" s="196"/>
      <c r="CF702" s="196"/>
      <c r="CG702" s="196"/>
      <c r="CH702" s="196"/>
      <c r="CI702" s="196"/>
      <c r="CJ702" s="196"/>
      <c r="CK702" s="196"/>
      <c r="CL702" s="196"/>
      <c r="CM702" s="196"/>
      <c r="CN702" s="196"/>
      <c r="CO702" s="196"/>
      <c r="CP702" s="196"/>
      <c r="CQ702" s="196"/>
      <c r="CR702" s="196"/>
      <c r="CS702" s="196"/>
      <c r="CT702" s="196"/>
      <c r="CU702" s="196"/>
      <c r="CV702" s="196"/>
      <c r="CW702" s="196"/>
      <c r="CX702" s="196"/>
      <c r="CY702" s="196"/>
      <c r="CZ702" s="196"/>
      <c r="DA702" s="196"/>
      <c r="DB702" s="196"/>
      <c r="DC702" s="196"/>
      <c r="DD702" s="196"/>
      <c r="DE702" s="196"/>
      <c r="DF702" s="196"/>
      <c r="DG702" s="196"/>
      <c r="DH702" s="196"/>
      <c r="DI702" s="196"/>
      <c r="DJ702" s="196"/>
      <c r="DK702" s="196"/>
      <c r="DL702" s="196"/>
      <c r="DM702" s="196"/>
      <c r="DN702" s="196"/>
      <c r="DO702" s="196"/>
      <c r="DP702" s="196"/>
      <c r="DQ702" s="196"/>
      <c r="DR702" s="196"/>
      <c r="DS702" s="196"/>
      <c r="DT702" s="196"/>
    </row>
    <row r="703" spans="76:124" x14ac:dyDescent="0.25">
      <c r="BX703" s="196"/>
      <c r="BY703" s="196"/>
      <c r="BZ703" s="196"/>
      <c r="CA703" s="196"/>
      <c r="CB703" s="196"/>
      <c r="CC703" s="196"/>
      <c r="CD703" s="196"/>
      <c r="CE703" s="196"/>
      <c r="CF703" s="196"/>
      <c r="CG703" s="196"/>
      <c r="CH703" s="196"/>
      <c r="CI703" s="196"/>
      <c r="CJ703" s="196"/>
      <c r="CK703" s="196"/>
      <c r="CL703" s="196"/>
      <c r="CM703" s="196"/>
      <c r="CN703" s="196"/>
      <c r="CO703" s="196"/>
      <c r="CP703" s="196"/>
      <c r="CQ703" s="196"/>
      <c r="CR703" s="196"/>
      <c r="CS703" s="196"/>
      <c r="CT703" s="196"/>
      <c r="CU703" s="196"/>
      <c r="CV703" s="196"/>
      <c r="CW703" s="196"/>
      <c r="CX703" s="196"/>
      <c r="CY703" s="196"/>
      <c r="CZ703" s="196"/>
      <c r="DA703" s="196"/>
      <c r="DB703" s="196"/>
      <c r="DC703" s="196"/>
      <c r="DD703" s="196"/>
      <c r="DE703" s="196"/>
      <c r="DF703" s="196"/>
      <c r="DG703" s="196"/>
      <c r="DH703" s="196"/>
      <c r="DI703" s="196"/>
      <c r="DJ703" s="196"/>
      <c r="DK703" s="196"/>
      <c r="DL703" s="196"/>
      <c r="DM703" s="196"/>
      <c r="DN703" s="196"/>
      <c r="DO703" s="196"/>
      <c r="DP703" s="196"/>
      <c r="DQ703" s="196"/>
      <c r="DR703" s="196"/>
      <c r="DS703" s="196"/>
      <c r="DT703" s="196"/>
    </row>
    <row r="704" spans="76:124" x14ac:dyDescent="0.25">
      <c r="BX704" s="196"/>
      <c r="BY704" s="196"/>
      <c r="BZ704" s="196"/>
      <c r="CA704" s="196"/>
      <c r="CB704" s="196"/>
      <c r="CC704" s="196"/>
      <c r="CD704" s="196"/>
      <c r="CE704" s="196"/>
      <c r="CF704" s="196"/>
      <c r="CG704" s="196"/>
      <c r="CH704" s="196"/>
      <c r="CI704" s="196"/>
      <c r="CJ704" s="196"/>
      <c r="CK704" s="196"/>
      <c r="CL704" s="196"/>
      <c r="CM704" s="196"/>
      <c r="CN704" s="196"/>
      <c r="CO704" s="196"/>
      <c r="CP704" s="196"/>
      <c r="CQ704" s="196"/>
      <c r="CR704" s="196"/>
      <c r="CS704" s="196"/>
      <c r="CT704" s="196"/>
      <c r="CU704" s="196"/>
      <c r="CV704" s="196"/>
      <c r="CW704" s="196"/>
      <c r="CX704" s="196"/>
      <c r="CY704" s="196"/>
      <c r="CZ704" s="196"/>
      <c r="DA704" s="196"/>
      <c r="DB704" s="196"/>
      <c r="DC704" s="196"/>
      <c r="DD704" s="196"/>
      <c r="DE704" s="196"/>
      <c r="DF704" s="196"/>
      <c r="DG704" s="196"/>
      <c r="DH704" s="196"/>
      <c r="DI704" s="196"/>
      <c r="DJ704" s="196"/>
      <c r="DK704" s="196"/>
      <c r="DL704" s="196"/>
      <c r="DM704" s="196"/>
      <c r="DN704" s="196"/>
      <c r="DO704" s="196"/>
      <c r="DP704" s="196"/>
      <c r="DQ704" s="196"/>
      <c r="DR704" s="196"/>
      <c r="DS704" s="196"/>
      <c r="DT704" s="196"/>
    </row>
    <row r="705" spans="40:124" x14ac:dyDescent="0.25">
      <c r="BX705" s="196"/>
      <c r="BY705" s="196"/>
      <c r="BZ705" s="196"/>
      <c r="CA705" s="196"/>
      <c r="CB705" s="196"/>
      <c r="CC705" s="196"/>
      <c r="CD705" s="196"/>
      <c r="CE705" s="196"/>
      <c r="CF705" s="196"/>
      <c r="CG705" s="196"/>
      <c r="CH705" s="196"/>
      <c r="CI705" s="196"/>
      <c r="CJ705" s="196"/>
      <c r="CK705" s="196"/>
      <c r="CL705" s="196"/>
      <c r="CM705" s="196"/>
      <c r="CN705" s="196"/>
      <c r="CO705" s="196"/>
      <c r="CP705" s="196"/>
      <c r="CQ705" s="196"/>
      <c r="CR705" s="196"/>
      <c r="CS705" s="196"/>
      <c r="CT705" s="196"/>
      <c r="CU705" s="196"/>
      <c r="CV705" s="196"/>
      <c r="CW705" s="196"/>
      <c r="CX705" s="196"/>
      <c r="CY705" s="196"/>
      <c r="CZ705" s="196"/>
      <c r="DA705" s="196"/>
      <c r="DB705" s="196"/>
      <c r="DC705" s="196"/>
      <c r="DD705" s="196"/>
      <c r="DE705" s="196"/>
      <c r="DF705" s="196"/>
      <c r="DG705" s="196"/>
      <c r="DH705" s="196"/>
      <c r="DI705" s="196"/>
      <c r="DJ705" s="196"/>
      <c r="DK705" s="196"/>
      <c r="DL705" s="196"/>
      <c r="DM705" s="196"/>
      <c r="DN705" s="196"/>
      <c r="DO705" s="196"/>
      <c r="DP705" s="196"/>
      <c r="DQ705" s="196"/>
      <c r="DR705" s="196"/>
      <c r="DS705" s="196"/>
      <c r="DT705" s="196"/>
    </row>
    <row r="706" spans="40:124" x14ac:dyDescent="0.25">
      <c r="BX706" s="196"/>
      <c r="BY706" s="196"/>
      <c r="BZ706" s="196"/>
      <c r="CA706" s="196"/>
      <c r="CB706" s="196"/>
      <c r="CC706" s="196"/>
      <c r="CD706" s="196"/>
      <c r="CE706" s="196"/>
      <c r="CF706" s="196"/>
      <c r="CG706" s="196"/>
      <c r="CH706" s="196"/>
      <c r="CI706" s="196"/>
      <c r="CJ706" s="196"/>
      <c r="CK706" s="196"/>
      <c r="CL706" s="196"/>
      <c r="CM706" s="196"/>
      <c r="CN706" s="196"/>
      <c r="CO706" s="196"/>
      <c r="CP706" s="196"/>
      <c r="CQ706" s="196"/>
      <c r="CR706" s="196"/>
      <c r="CS706" s="196"/>
      <c r="CT706" s="196"/>
      <c r="CU706" s="196"/>
      <c r="CV706" s="196"/>
      <c r="CW706" s="196"/>
      <c r="CX706" s="196"/>
      <c r="CY706" s="196"/>
      <c r="CZ706" s="196"/>
      <c r="DA706" s="196"/>
      <c r="DB706" s="196"/>
      <c r="DC706" s="196"/>
      <c r="DD706" s="196"/>
      <c r="DE706" s="196"/>
      <c r="DF706" s="196"/>
      <c r="DG706" s="196"/>
      <c r="DH706" s="196"/>
      <c r="DI706" s="196"/>
      <c r="DJ706" s="196"/>
      <c r="DK706" s="196"/>
      <c r="DL706" s="196"/>
      <c r="DM706" s="196"/>
      <c r="DN706" s="196"/>
      <c r="DO706" s="196"/>
      <c r="DP706" s="196"/>
      <c r="DQ706" s="196"/>
      <c r="DR706" s="196"/>
      <c r="DS706" s="196"/>
      <c r="DT706" s="196"/>
    </row>
    <row r="707" spans="40:124" x14ac:dyDescent="0.25">
      <c r="BX707" s="196"/>
      <c r="BY707" s="196"/>
      <c r="BZ707" s="196"/>
      <c r="CA707" s="196"/>
      <c r="CB707" s="196"/>
      <c r="CC707" s="196"/>
      <c r="CD707" s="196"/>
      <c r="CE707" s="196"/>
      <c r="CF707" s="196"/>
      <c r="CG707" s="196"/>
      <c r="CH707" s="196"/>
      <c r="CI707" s="196"/>
      <c r="CJ707" s="196"/>
      <c r="CK707" s="196"/>
      <c r="CL707" s="196"/>
      <c r="CM707" s="196"/>
      <c r="CN707" s="196"/>
      <c r="CO707" s="196"/>
      <c r="CP707" s="196"/>
      <c r="CQ707" s="196"/>
      <c r="CR707" s="196"/>
      <c r="CS707" s="196"/>
      <c r="CT707" s="196"/>
      <c r="CU707" s="196"/>
      <c r="CV707" s="196"/>
      <c r="CW707" s="196"/>
      <c r="CX707" s="196"/>
      <c r="CY707" s="196"/>
      <c r="CZ707" s="196"/>
      <c r="DA707" s="196"/>
      <c r="DB707" s="196"/>
      <c r="DC707" s="196"/>
      <c r="DD707" s="196"/>
      <c r="DE707" s="196"/>
      <c r="DF707" s="196"/>
      <c r="DG707" s="196"/>
      <c r="DH707" s="196"/>
      <c r="DI707" s="196"/>
      <c r="DJ707" s="196"/>
      <c r="DK707" s="196"/>
      <c r="DL707" s="196"/>
      <c r="DM707" s="196"/>
      <c r="DN707" s="196"/>
      <c r="DO707" s="196"/>
      <c r="DP707" s="196"/>
      <c r="DQ707" s="196"/>
      <c r="DR707" s="196"/>
      <c r="DS707" s="196"/>
      <c r="DT707" s="196"/>
    </row>
    <row r="708" spans="40:124" x14ac:dyDescent="0.25">
      <c r="BX708" s="196"/>
      <c r="BY708" s="196"/>
      <c r="BZ708" s="196"/>
      <c r="CA708" s="196"/>
      <c r="CB708" s="196"/>
      <c r="CC708" s="196"/>
      <c r="CD708" s="196"/>
      <c r="CE708" s="196"/>
      <c r="CF708" s="196"/>
      <c r="CG708" s="196"/>
      <c r="CH708" s="196"/>
      <c r="CI708" s="196"/>
      <c r="CJ708" s="196"/>
      <c r="CK708" s="196"/>
      <c r="CL708" s="196"/>
      <c r="CM708" s="196"/>
      <c r="CN708" s="196"/>
      <c r="CO708" s="196"/>
      <c r="CP708" s="196"/>
      <c r="CQ708" s="196"/>
      <c r="CR708" s="196"/>
      <c r="CS708" s="196"/>
      <c r="CT708" s="196"/>
      <c r="CU708" s="196"/>
      <c r="CV708" s="196"/>
      <c r="CW708" s="196"/>
      <c r="CX708" s="196"/>
      <c r="CY708" s="196"/>
      <c r="CZ708" s="196"/>
      <c r="DA708" s="196"/>
      <c r="DB708" s="196"/>
      <c r="DC708" s="196"/>
      <c r="DD708" s="196"/>
      <c r="DE708" s="196"/>
      <c r="DF708" s="196"/>
      <c r="DG708" s="196"/>
      <c r="DH708" s="196"/>
      <c r="DI708" s="196"/>
      <c r="DJ708" s="196"/>
      <c r="DK708" s="196"/>
      <c r="DL708" s="196"/>
      <c r="DM708" s="196"/>
      <c r="DN708" s="196"/>
      <c r="DO708" s="196"/>
      <c r="DP708" s="196"/>
      <c r="DQ708" s="196"/>
      <c r="DR708" s="196"/>
      <c r="DS708" s="196"/>
      <c r="DT708" s="196"/>
    </row>
    <row r="709" spans="40:124" x14ac:dyDescent="0.25">
      <c r="BX709" s="196"/>
      <c r="BY709" s="196"/>
      <c r="BZ709" s="196"/>
      <c r="CA709" s="196"/>
      <c r="CB709" s="196"/>
      <c r="CC709" s="196"/>
      <c r="CD709" s="196"/>
      <c r="CE709" s="196"/>
      <c r="CF709" s="196"/>
      <c r="CG709" s="196"/>
      <c r="CH709" s="196"/>
      <c r="CI709" s="196"/>
      <c r="CJ709" s="196"/>
      <c r="CK709" s="196"/>
      <c r="CL709" s="196"/>
      <c r="CM709" s="196"/>
      <c r="CN709" s="196"/>
      <c r="CO709" s="196"/>
      <c r="CP709" s="196"/>
      <c r="CQ709" s="196"/>
      <c r="CR709" s="196"/>
      <c r="CS709" s="196"/>
      <c r="CT709" s="196"/>
      <c r="CU709" s="196"/>
      <c r="CV709" s="196"/>
      <c r="CW709" s="196"/>
      <c r="CX709" s="196"/>
      <c r="CY709" s="196"/>
      <c r="CZ709" s="196"/>
      <c r="DA709" s="196"/>
      <c r="DB709" s="196"/>
      <c r="DC709" s="196"/>
      <c r="DD709" s="196"/>
      <c r="DE709" s="196"/>
      <c r="DF709" s="196"/>
      <c r="DG709" s="196"/>
      <c r="DH709" s="196"/>
      <c r="DI709" s="196"/>
      <c r="DJ709" s="196"/>
      <c r="DK709" s="196"/>
      <c r="DL709" s="196"/>
      <c r="DM709" s="196"/>
      <c r="DN709" s="196"/>
      <c r="DO709" s="196"/>
      <c r="DP709" s="196"/>
      <c r="DQ709" s="196"/>
      <c r="DR709" s="196"/>
      <c r="DS709" s="196"/>
      <c r="DT709" s="196"/>
    </row>
    <row r="710" spans="40:124" x14ac:dyDescent="0.25">
      <c r="BX710" s="196"/>
      <c r="BY710" s="196"/>
      <c r="BZ710" s="196"/>
      <c r="CA710" s="196"/>
      <c r="CB710" s="196"/>
      <c r="CC710" s="196"/>
      <c r="CD710" s="196"/>
      <c r="CE710" s="196"/>
      <c r="CF710" s="196"/>
      <c r="CG710" s="196"/>
      <c r="CH710" s="196"/>
      <c r="CI710" s="196"/>
      <c r="CJ710" s="196"/>
      <c r="CK710" s="196"/>
      <c r="CL710" s="196"/>
      <c r="CM710" s="196"/>
      <c r="CN710" s="196"/>
      <c r="CO710" s="196"/>
      <c r="CP710" s="196"/>
      <c r="CQ710" s="196"/>
      <c r="CR710" s="196"/>
      <c r="CS710" s="196"/>
      <c r="CT710" s="196"/>
      <c r="CU710" s="196"/>
      <c r="CV710" s="196"/>
      <c r="CW710" s="196"/>
      <c r="CX710" s="196"/>
      <c r="CY710" s="196"/>
      <c r="CZ710" s="196"/>
      <c r="DA710" s="196"/>
      <c r="DB710" s="196"/>
      <c r="DC710" s="196"/>
      <c r="DD710" s="196"/>
      <c r="DE710" s="196"/>
      <c r="DF710" s="196"/>
      <c r="DG710" s="196"/>
      <c r="DH710" s="196"/>
      <c r="DI710" s="196"/>
      <c r="DJ710" s="196"/>
      <c r="DK710" s="196"/>
      <c r="DL710" s="196"/>
      <c r="DM710" s="196"/>
      <c r="DN710" s="196"/>
      <c r="DO710" s="196"/>
      <c r="DP710" s="196"/>
      <c r="DQ710" s="196"/>
      <c r="DR710" s="196"/>
      <c r="DS710" s="196"/>
      <c r="DT710" s="196"/>
    </row>
    <row r="711" spans="40:124" x14ac:dyDescent="0.25">
      <c r="BX711" s="196"/>
      <c r="BY711" s="196"/>
      <c r="BZ711" s="196"/>
      <c r="CA711" s="196"/>
      <c r="CB711" s="196"/>
      <c r="CC711" s="196"/>
      <c r="CD711" s="196"/>
      <c r="CE711" s="196"/>
      <c r="CF711" s="196"/>
      <c r="CG711" s="196"/>
      <c r="CH711" s="196"/>
      <c r="CI711" s="196"/>
      <c r="CJ711" s="196"/>
      <c r="CK711" s="196"/>
      <c r="CL711" s="196"/>
      <c r="CM711" s="196"/>
      <c r="CN711" s="196"/>
      <c r="CO711" s="196"/>
      <c r="CP711" s="196"/>
      <c r="CQ711" s="196"/>
      <c r="CR711" s="196"/>
      <c r="CS711" s="196"/>
      <c r="CT711" s="196"/>
      <c r="CU711" s="196"/>
      <c r="CV711" s="196"/>
      <c r="CW711" s="196"/>
      <c r="CX711" s="196"/>
      <c r="CY711" s="196"/>
      <c r="CZ711" s="196"/>
      <c r="DA711" s="196"/>
      <c r="DB711" s="196"/>
      <c r="DC711" s="196"/>
      <c r="DD711" s="196"/>
      <c r="DE711" s="196"/>
      <c r="DF711" s="196"/>
      <c r="DG711" s="196"/>
      <c r="DH711" s="196"/>
      <c r="DI711" s="196"/>
      <c r="DJ711" s="196"/>
      <c r="DK711" s="196"/>
      <c r="DL711" s="196"/>
      <c r="DM711" s="196"/>
      <c r="DN711" s="196"/>
      <c r="DO711" s="196"/>
      <c r="DP711" s="196"/>
      <c r="DQ711" s="196"/>
      <c r="DR711" s="196"/>
      <c r="DS711" s="196"/>
      <c r="DT711" s="196"/>
    </row>
    <row r="712" spans="40:124" x14ac:dyDescent="0.25">
      <c r="AN712" s="196"/>
      <c r="AO712" s="196"/>
      <c r="BX712" s="196"/>
      <c r="BY712" s="196"/>
      <c r="BZ712" s="196"/>
      <c r="CA712" s="196"/>
      <c r="CB712" s="196"/>
      <c r="CC712" s="196"/>
      <c r="CD712" s="196"/>
      <c r="CE712" s="196"/>
      <c r="CF712" s="196"/>
      <c r="CG712" s="196"/>
      <c r="CH712" s="196"/>
      <c r="CI712" s="196"/>
      <c r="CJ712" s="196"/>
      <c r="CK712" s="196"/>
      <c r="CL712" s="196"/>
      <c r="CM712" s="196"/>
      <c r="CN712" s="196"/>
      <c r="CO712" s="196"/>
      <c r="CP712" s="196"/>
      <c r="CQ712" s="196"/>
      <c r="CR712" s="196"/>
      <c r="CS712" s="196"/>
      <c r="CT712" s="196"/>
      <c r="CU712" s="196"/>
      <c r="CV712" s="196"/>
      <c r="CW712" s="196"/>
      <c r="CX712" s="196"/>
      <c r="CY712" s="196"/>
      <c r="CZ712" s="196"/>
      <c r="DA712" s="196"/>
      <c r="DB712" s="196"/>
      <c r="DC712" s="196"/>
      <c r="DD712" s="196"/>
      <c r="DE712" s="196"/>
      <c r="DF712" s="196"/>
      <c r="DG712" s="196"/>
      <c r="DH712" s="196"/>
      <c r="DI712" s="196"/>
      <c r="DJ712" s="196"/>
      <c r="DK712" s="196"/>
      <c r="DL712" s="196"/>
      <c r="DM712" s="196"/>
      <c r="DN712" s="196"/>
      <c r="DO712" s="196"/>
      <c r="DP712" s="196"/>
      <c r="DQ712" s="196"/>
      <c r="DR712" s="196"/>
      <c r="DS712" s="196"/>
      <c r="DT712" s="196"/>
    </row>
    <row r="713" spans="40:124" x14ac:dyDescent="0.25">
      <c r="AN713" s="196"/>
      <c r="AO713" s="196"/>
      <c r="BX713" s="196"/>
      <c r="BY713" s="196"/>
      <c r="BZ713" s="196"/>
      <c r="CA713" s="196"/>
      <c r="CB713" s="196"/>
      <c r="CC713" s="196"/>
      <c r="CD713" s="196"/>
      <c r="CE713" s="196"/>
      <c r="CF713" s="196"/>
      <c r="CG713" s="196"/>
      <c r="CH713" s="196"/>
      <c r="CI713" s="196"/>
      <c r="CJ713" s="196"/>
      <c r="CK713" s="196"/>
      <c r="CL713" s="196"/>
      <c r="CM713" s="196"/>
      <c r="CN713" s="196"/>
      <c r="CO713" s="196"/>
      <c r="CP713" s="196"/>
      <c r="CQ713" s="196"/>
      <c r="CR713" s="196"/>
      <c r="CS713" s="196"/>
      <c r="CT713" s="196"/>
      <c r="CU713" s="196"/>
      <c r="CV713" s="196"/>
      <c r="CW713" s="196"/>
      <c r="CX713" s="196"/>
      <c r="CY713" s="196"/>
      <c r="CZ713" s="196"/>
      <c r="DA713" s="196"/>
      <c r="DB713" s="196"/>
      <c r="DC713" s="196"/>
      <c r="DD713" s="196"/>
      <c r="DE713" s="196"/>
      <c r="DF713" s="196"/>
      <c r="DG713" s="196"/>
      <c r="DH713" s="196"/>
      <c r="DI713" s="196"/>
      <c r="DJ713" s="196"/>
      <c r="DK713" s="196"/>
      <c r="DL713" s="196"/>
      <c r="DM713" s="196"/>
      <c r="DN713" s="196"/>
      <c r="DO713" s="196"/>
      <c r="DP713" s="196"/>
      <c r="DQ713" s="196"/>
      <c r="DR713" s="196"/>
      <c r="DS713" s="196"/>
      <c r="DT713" s="196"/>
    </row>
    <row r="714" spans="40:124" x14ac:dyDescent="0.25">
      <c r="AN714" s="196"/>
      <c r="AO714" s="196"/>
      <c r="BX714" s="196"/>
      <c r="BY714" s="196"/>
      <c r="BZ714" s="196"/>
      <c r="CA714" s="196"/>
      <c r="CB714" s="196"/>
      <c r="CC714" s="196"/>
      <c r="CD714" s="196"/>
      <c r="CE714" s="196"/>
      <c r="CF714" s="196"/>
      <c r="CG714" s="196"/>
      <c r="CH714" s="196"/>
      <c r="CI714" s="196"/>
      <c r="CJ714" s="196"/>
      <c r="CK714" s="196"/>
      <c r="CL714" s="196"/>
      <c r="CM714" s="196"/>
      <c r="CN714" s="196"/>
      <c r="CO714" s="196"/>
      <c r="CP714" s="196"/>
      <c r="CQ714" s="196"/>
      <c r="CR714" s="196"/>
      <c r="CS714" s="196"/>
      <c r="CT714" s="196"/>
      <c r="CU714" s="196"/>
      <c r="CV714" s="196"/>
      <c r="CW714" s="196"/>
      <c r="CX714" s="196"/>
      <c r="CY714" s="196"/>
      <c r="CZ714" s="196"/>
      <c r="DA714" s="196"/>
      <c r="DB714" s="196"/>
      <c r="DC714" s="196"/>
      <c r="DD714" s="196"/>
      <c r="DE714" s="196"/>
      <c r="DF714" s="196"/>
      <c r="DG714" s="196"/>
      <c r="DH714" s="196"/>
      <c r="DI714" s="196"/>
      <c r="DJ714" s="196"/>
      <c r="DK714" s="196"/>
      <c r="DL714" s="196"/>
      <c r="DM714" s="196"/>
      <c r="DN714" s="196"/>
      <c r="DO714" s="196"/>
      <c r="DP714" s="196"/>
      <c r="DQ714" s="196"/>
      <c r="DR714" s="196"/>
      <c r="DS714" s="196"/>
      <c r="DT714" s="196"/>
    </row>
    <row r="715" spans="40:124" x14ac:dyDescent="0.25">
      <c r="AN715" s="196"/>
      <c r="AO715" s="196"/>
      <c r="BX715" s="196"/>
      <c r="BY715" s="196"/>
      <c r="BZ715" s="196"/>
      <c r="CA715" s="196"/>
      <c r="CB715" s="196"/>
      <c r="CC715" s="196"/>
      <c r="CD715" s="196"/>
      <c r="CE715" s="196"/>
      <c r="CF715" s="196"/>
      <c r="CG715" s="196"/>
      <c r="CH715" s="196"/>
      <c r="CI715" s="196"/>
      <c r="CJ715" s="196"/>
      <c r="CK715" s="196"/>
      <c r="CL715" s="196"/>
      <c r="CM715" s="196"/>
      <c r="CN715" s="196"/>
      <c r="CO715" s="196"/>
      <c r="CP715" s="196"/>
      <c r="CQ715" s="196"/>
      <c r="CR715" s="196"/>
      <c r="CS715" s="196"/>
      <c r="CT715" s="196"/>
      <c r="CU715" s="196"/>
      <c r="CV715" s="196"/>
      <c r="CW715" s="196"/>
      <c r="CX715" s="196"/>
      <c r="CY715" s="196"/>
      <c r="CZ715" s="196"/>
      <c r="DA715" s="196"/>
      <c r="DB715" s="196"/>
      <c r="DC715" s="196"/>
      <c r="DD715" s="196"/>
      <c r="DE715" s="196"/>
      <c r="DF715" s="196"/>
      <c r="DG715" s="196"/>
      <c r="DH715" s="196"/>
      <c r="DI715" s="196"/>
      <c r="DJ715" s="196"/>
      <c r="DK715" s="196"/>
      <c r="DL715" s="196"/>
      <c r="DM715" s="196"/>
      <c r="DN715" s="196"/>
      <c r="DO715" s="196"/>
      <c r="DP715" s="196"/>
      <c r="DQ715" s="196"/>
      <c r="DR715" s="196"/>
      <c r="DS715" s="196"/>
      <c r="DT715" s="196"/>
    </row>
    <row r="716" spans="40:124" x14ac:dyDescent="0.25">
      <c r="AN716" s="196"/>
      <c r="AO716" s="196"/>
      <c r="BX716" s="196"/>
      <c r="BY716" s="196"/>
      <c r="BZ716" s="196"/>
      <c r="CA716" s="196"/>
      <c r="CB716" s="196"/>
      <c r="CC716" s="196"/>
      <c r="CD716" s="196"/>
      <c r="CE716" s="196"/>
      <c r="CF716" s="196"/>
      <c r="CG716" s="196"/>
      <c r="CH716" s="196"/>
      <c r="CI716" s="196"/>
      <c r="CJ716" s="196"/>
      <c r="CK716" s="196"/>
      <c r="CL716" s="196"/>
      <c r="CM716" s="196"/>
      <c r="CN716" s="196"/>
      <c r="CO716" s="196"/>
      <c r="CP716" s="196"/>
      <c r="CQ716" s="196"/>
      <c r="CR716" s="196"/>
      <c r="CS716" s="196"/>
      <c r="CT716" s="196"/>
      <c r="CU716" s="196"/>
      <c r="CV716" s="196"/>
      <c r="CW716" s="196"/>
      <c r="CX716" s="196"/>
      <c r="CY716" s="196"/>
      <c r="CZ716" s="196"/>
      <c r="DA716" s="196"/>
      <c r="DB716" s="196"/>
      <c r="DC716" s="196"/>
      <c r="DD716" s="196"/>
      <c r="DE716" s="196"/>
      <c r="DF716" s="196"/>
      <c r="DG716" s="196"/>
      <c r="DH716" s="196"/>
      <c r="DI716" s="196"/>
      <c r="DJ716" s="196"/>
      <c r="DK716" s="196"/>
      <c r="DL716" s="196"/>
      <c r="DM716" s="196"/>
      <c r="DN716" s="196"/>
      <c r="DO716" s="196"/>
      <c r="DP716" s="196"/>
      <c r="DQ716" s="196"/>
      <c r="DR716" s="196"/>
      <c r="DS716" s="196"/>
      <c r="DT716" s="196"/>
    </row>
    <row r="717" spans="40:124" x14ac:dyDescent="0.25">
      <c r="AN717" s="196"/>
      <c r="AO717" s="196"/>
      <c r="BX717" s="196"/>
      <c r="BY717" s="196"/>
      <c r="BZ717" s="196"/>
      <c r="CA717" s="196"/>
      <c r="CB717" s="196"/>
      <c r="CC717" s="196"/>
      <c r="CD717" s="196"/>
      <c r="CE717" s="196"/>
      <c r="CF717" s="196"/>
      <c r="CG717" s="196"/>
      <c r="CH717" s="196"/>
      <c r="CI717" s="196"/>
      <c r="CJ717" s="196"/>
      <c r="CK717" s="196"/>
      <c r="CL717" s="196"/>
      <c r="CM717" s="196"/>
      <c r="CN717" s="196"/>
      <c r="CO717" s="196"/>
      <c r="CP717" s="196"/>
      <c r="CQ717" s="196"/>
      <c r="CR717" s="196"/>
      <c r="CS717" s="196"/>
      <c r="CT717" s="196"/>
      <c r="CU717" s="196"/>
      <c r="CV717" s="196"/>
      <c r="CW717" s="196"/>
      <c r="CX717" s="196"/>
      <c r="CY717" s="196"/>
      <c r="CZ717" s="196"/>
      <c r="DA717" s="196"/>
      <c r="DB717" s="196"/>
      <c r="DC717" s="196"/>
      <c r="DD717" s="196"/>
      <c r="DE717" s="196"/>
      <c r="DF717" s="196"/>
      <c r="DG717" s="196"/>
      <c r="DH717" s="196"/>
      <c r="DI717" s="196"/>
      <c r="DJ717" s="196"/>
      <c r="DK717" s="196"/>
      <c r="DL717" s="196"/>
      <c r="DM717" s="196"/>
      <c r="DN717" s="196"/>
      <c r="DO717" s="196"/>
      <c r="DP717" s="196"/>
      <c r="DQ717" s="196"/>
      <c r="DR717" s="196"/>
      <c r="DS717" s="196"/>
      <c r="DT717" s="196"/>
    </row>
    <row r="718" spans="40:124" x14ac:dyDescent="0.25">
      <c r="AN718" s="196"/>
      <c r="AO718" s="196"/>
      <c r="BX718" s="196"/>
      <c r="BY718" s="196"/>
      <c r="BZ718" s="196"/>
      <c r="CA718" s="196"/>
      <c r="CB718" s="196"/>
      <c r="CC718" s="196"/>
      <c r="CD718" s="196"/>
      <c r="CE718" s="196"/>
      <c r="CF718" s="196"/>
      <c r="CG718" s="196"/>
      <c r="CH718" s="196"/>
      <c r="CI718" s="196"/>
      <c r="CJ718" s="196"/>
      <c r="CK718" s="196"/>
      <c r="CL718" s="196"/>
      <c r="CM718" s="196"/>
      <c r="CN718" s="196"/>
      <c r="CO718" s="196"/>
      <c r="CP718" s="196"/>
      <c r="CQ718" s="196"/>
      <c r="CR718" s="196"/>
      <c r="CS718" s="196"/>
      <c r="CT718" s="196"/>
      <c r="CU718" s="196"/>
      <c r="CV718" s="196"/>
      <c r="CW718" s="196"/>
      <c r="CX718" s="196"/>
      <c r="CY718" s="196"/>
      <c r="CZ718" s="196"/>
      <c r="DA718" s="196"/>
      <c r="DB718" s="196"/>
      <c r="DC718" s="196"/>
      <c r="DD718" s="196"/>
      <c r="DE718" s="196"/>
      <c r="DF718" s="196"/>
      <c r="DG718" s="196"/>
      <c r="DH718" s="196"/>
      <c r="DI718" s="196"/>
      <c r="DJ718" s="196"/>
      <c r="DK718" s="196"/>
      <c r="DL718" s="196"/>
      <c r="DM718" s="196"/>
      <c r="DN718" s="196"/>
      <c r="DO718" s="196"/>
      <c r="DP718" s="196"/>
      <c r="DQ718" s="196"/>
      <c r="DR718" s="196"/>
      <c r="DS718" s="196"/>
      <c r="DT718" s="196"/>
    </row>
    <row r="719" spans="40:124" x14ac:dyDescent="0.25">
      <c r="AN719" s="196"/>
      <c r="AO719" s="196"/>
      <c r="BX719" s="196"/>
      <c r="BY719" s="196"/>
      <c r="BZ719" s="196"/>
      <c r="CA719" s="196"/>
      <c r="CB719" s="196"/>
      <c r="CC719" s="196"/>
      <c r="CD719" s="196"/>
      <c r="CE719" s="196"/>
      <c r="CF719" s="196"/>
      <c r="CG719" s="196"/>
      <c r="CH719" s="196"/>
      <c r="CI719" s="196"/>
      <c r="CJ719" s="196"/>
      <c r="CK719" s="196"/>
      <c r="CL719" s="196"/>
      <c r="CM719" s="196"/>
      <c r="CN719" s="196"/>
      <c r="CO719" s="196"/>
      <c r="CP719" s="196"/>
      <c r="CQ719" s="196"/>
      <c r="CR719" s="196"/>
      <c r="CS719" s="196"/>
      <c r="CT719" s="196"/>
      <c r="CU719" s="196"/>
      <c r="CV719" s="196"/>
      <c r="CW719" s="196"/>
      <c r="CX719" s="196"/>
      <c r="CY719" s="196"/>
      <c r="CZ719" s="196"/>
      <c r="DA719" s="196"/>
      <c r="DB719" s="196"/>
      <c r="DC719" s="196"/>
      <c r="DD719" s="196"/>
      <c r="DE719" s="196"/>
      <c r="DF719" s="196"/>
      <c r="DG719" s="196"/>
      <c r="DH719" s="196"/>
      <c r="DI719" s="196"/>
      <c r="DJ719" s="196"/>
      <c r="DK719" s="196"/>
      <c r="DL719" s="196"/>
      <c r="DM719" s="196"/>
      <c r="DN719" s="196"/>
      <c r="DO719" s="196"/>
      <c r="DP719" s="196"/>
      <c r="DQ719" s="196"/>
      <c r="DR719" s="196"/>
      <c r="DS719" s="196"/>
      <c r="DT719" s="196"/>
    </row>
    <row r="720" spans="40:124" x14ac:dyDescent="0.25">
      <c r="AN720" s="196"/>
      <c r="AO720" s="196"/>
      <c r="BX720" s="196"/>
      <c r="BY720" s="196"/>
      <c r="BZ720" s="196"/>
      <c r="CA720" s="196"/>
      <c r="CB720" s="196"/>
      <c r="CC720" s="196"/>
      <c r="CD720" s="196"/>
      <c r="CE720" s="196"/>
      <c r="CF720" s="196"/>
      <c r="CG720" s="196"/>
      <c r="CH720" s="196"/>
      <c r="CI720" s="196"/>
      <c r="CJ720" s="196"/>
      <c r="CK720" s="196"/>
      <c r="CL720" s="196"/>
      <c r="CM720" s="196"/>
      <c r="CN720" s="196"/>
      <c r="CO720" s="196"/>
      <c r="CP720" s="196"/>
      <c r="CQ720" s="196"/>
      <c r="CR720" s="196"/>
      <c r="CS720" s="196"/>
      <c r="CT720" s="196"/>
      <c r="CU720" s="196"/>
      <c r="CV720" s="196"/>
      <c r="CW720" s="196"/>
      <c r="CX720" s="196"/>
      <c r="CY720" s="196"/>
      <c r="CZ720" s="196"/>
      <c r="DA720" s="196"/>
      <c r="DB720" s="196"/>
      <c r="DC720" s="196"/>
      <c r="DD720" s="196"/>
      <c r="DE720" s="196"/>
      <c r="DF720" s="196"/>
      <c r="DG720" s="196"/>
      <c r="DH720" s="196"/>
      <c r="DI720" s="196"/>
      <c r="DJ720" s="196"/>
      <c r="DK720" s="196"/>
      <c r="DL720" s="196"/>
      <c r="DM720" s="196"/>
      <c r="DN720" s="196"/>
      <c r="DO720" s="196"/>
      <c r="DP720" s="196"/>
      <c r="DQ720" s="196"/>
      <c r="DR720" s="196"/>
      <c r="DS720" s="196"/>
      <c r="DT720" s="196"/>
    </row>
    <row r="721" spans="27:124" x14ac:dyDescent="0.25">
      <c r="AN721" s="196"/>
      <c r="AO721" s="196"/>
      <c r="BX721" s="196"/>
      <c r="BY721" s="196"/>
      <c r="BZ721" s="196"/>
      <c r="CA721" s="196"/>
      <c r="CB721" s="196"/>
      <c r="CC721" s="196"/>
      <c r="CD721" s="196"/>
      <c r="CE721" s="196"/>
      <c r="CF721" s="196"/>
      <c r="CG721" s="196"/>
      <c r="CH721" s="196"/>
      <c r="CI721" s="196"/>
      <c r="CJ721" s="196"/>
      <c r="CK721" s="196"/>
      <c r="CL721" s="196"/>
      <c r="CM721" s="196"/>
      <c r="CN721" s="196"/>
      <c r="CO721" s="196"/>
      <c r="CP721" s="196"/>
      <c r="CQ721" s="196"/>
      <c r="CR721" s="196"/>
      <c r="CS721" s="196"/>
      <c r="CT721" s="196"/>
      <c r="CU721" s="196"/>
      <c r="CV721" s="196"/>
      <c r="CW721" s="196"/>
      <c r="CX721" s="196"/>
      <c r="CY721" s="196"/>
      <c r="CZ721" s="196"/>
      <c r="DA721" s="196"/>
      <c r="DB721" s="196"/>
      <c r="DC721" s="196"/>
      <c r="DD721" s="196"/>
      <c r="DE721" s="196"/>
      <c r="DF721" s="196"/>
      <c r="DG721" s="196"/>
      <c r="DH721" s="196"/>
      <c r="DI721" s="196"/>
      <c r="DJ721" s="196"/>
      <c r="DK721" s="196"/>
      <c r="DL721" s="196"/>
      <c r="DM721" s="196"/>
      <c r="DN721" s="196"/>
      <c r="DO721" s="196"/>
      <c r="DP721" s="196"/>
      <c r="DQ721" s="196"/>
      <c r="DR721" s="196"/>
      <c r="DS721" s="196"/>
      <c r="DT721" s="196"/>
    </row>
    <row r="722" spans="27:124" x14ac:dyDescent="0.25">
      <c r="AN722" s="196"/>
      <c r="AO722" s="196"/>
      <c r="BX722" s="196"/>
      <c r="BY722" s="196"/>
      <c r="BZ722" s="196"/>
      <c r="CA722" s="196"/>
      <c r="CB722" s="196"/>
      <c r="CC722" s="196"/>
      <c r="CD722" s="196"/>
      <c r="CE722" s="196"/>
      <c r="CF722" s="196"/>
      <c r="CG722" s="196"/>
      <c r="CH722" s="196"/>
      <c r="CI722" s="196"/>
      <c r="CJ722" s="196"/>
      <c r="CK722" s="196"/>
      <c r="CL722" s="196"/>
      <c r="CM722" s="196"/>
      <c r="CN722" s="196"/>
      <c r="CO722" s="196"/>
      <c r="CP722" s="196"/>
      <c r="CQ722" s="196"/>
      <c r="CR722" s="196"/>
      <c r="CS722" s="196"/>
      <c r="CT722" s="196"/>
      <c r="CU722" s="196"/>
      <c r="CV722" s="196"/>
      <c r="CW722" s="196"/>
      <c r="CX722" s="196"/>
      <c r="CY722" s="196"/>
      <c r="CZ722" s="196"/>
      <c r="DA722" s="196"/>
      <c r="DB722" s="196"/>
      <c r="DC722" s="196"/>
      <c r="DD722" s="196"/>
      <c r="DE722" s="196"/>
      <c r="DF722" s="196"/>
      <c r="DG722" s="196"/>
      <c r="DH722" s="196"/>
      <c r="DI722" s="196"/>
      <c r="DJ722" s="196"/>
      <c r="DK722" s="196"/>
      <c r="DL722" s="196"/>
      <c r="DM722" s="196"/>
      <c r="DN722" s="196"/>
      <c r="DO722" s="196"/>
      <c r="DP722" s="196"/>
      <c r="DQ722" s="196"/>
      <c r="DR722" s="196"/>
      <c r="DS722" s="196"/>
      <c r="DT722" s="196"/>
    </row>
    <row r="723" spans="27:124" x14ac:dyDescent="0.25">
      <c r="AN723" s="196"/>
      <c r="AO723" s="196"/>
      <c r="BX723" s="196"/>
      <c r="BY723" s="196"/>
      <c r="BZ723" s="196"/>
      <c r="CA723" s="196"/>
      <c r="CB723" s="196"/>
      <c r="CC723" s="196"/>
      <c r="CD723" s="196"/>
      <c r="CE723" s="196"/>
      <c r="CF723" s="196"/>
      <c r="CG723" s="196"/>
      <c r="CH723" s="196"/>
      <c r="CI723" s="196"/>
      <c r="CJ723" s="196"/>
      <c r="CK723" s="196"/>
      <c r="CL723" s="196"/>
      <c r="CM723" s="196"/>
      <c r="CN723" s="196"/>
      <c r="CO723" s="196"/>
      <c r="CP723" s="196"/>
      <c r="CQ723" s="196"/>
      <c r="CR723" s="196"/>
      <c r="CS723" s="196"/>
      <c r="CT723" s="196"/>
      <c r="CU723" s="196"/>
      <c r="CV723" s="196"/>
      <c r="CW723" s="196"/>
      <c r="CX723" s="196"/>
      <c r="CY723" s="196"/>
      <c r="CZ723" s="196"/>
      <c r="DA723" s="196"/>
      <c r="DB723" s="196"/>
      <c r="DC723" s="196"/>
      <c r="DD723" s="196"/>
      <c r="DE723" s="196"/>
      <c r="DF723" s="196"/>
      <c r="DG723" s="196"/>
      <c r="DH723" s="196"/>
      <c r="DI723" s="196"/>
      <c r="DJ723" s="196"/>
      <c r="DK723" s="196"/>
      <c r="DL723" s="196"/>
      <c r="DM723" s="196"/>
      <c r="DN723" s="196"/>
      <c r="DO723" s="196"/>
      <c r="DP723" s="196"/>
      <c r="DQ723" s="196"/>
      <c r="DR723" s="196"/>
      <c r="DS723" s="196"/>
      <c r="DT723" s="196"/>
    </row>
    <row r="724" spans="27:124" x14ac:dyDescent="0.25">
      <c r="AN724" s="196"/>
      <c r="AO724" s="196"/>
      <c r="BX724" s="196"/>
      <c r="BY724" s="196"/>
      <c r="BZ724" s="196"/>
      <c r="CA724" s="196"/>
      <c r="CB724" s="196"/>
      <c r="CC724" s="196"/>
      <c r="CD724" s="196"/>
      <c r="CE724" s="196"/>
      <c r="CF724" s="196"/>
      <c r="CG724" s="196"/>
      <c r="CH724" s="196"/>
      <c r="CI724" s="196"/>
      <c r="CJ724" s="196"/>
      <c r="CK724" s="196"/>
      <c r="CL724" s="196"/>
      <c r="CM724" s="196"/>
      <c r="CN724" s="196"/>
      <c r="CO724" s="196"/>
      <c r="CP724" s="196"/>
      <c r="CQ724" s="196"/>
      <c r="CR724" s="196"/>
      <c r="CS724" s="196"/>
      <c r="CT724" s="196"/>
      <c r="CU724" s="196"/>
      <c r="CV724" s="196"/>
      <c r="CW724" s="196"/>
      <c r="CX724" s="196"/>
      <c r="CY724" s="196"/>
      <c r="CZ724" s="196"/>
      <c r="DA724" s="196"/>
      <c r="DB724" s="196"/>
      <c r="DC724" s="196"/>
      <c r="DD724" s="196"/>
      <c r="DE724" s="196"/>
      <c r="DF724" s="196"/>
      <c r="DG724" s="196"/>
      <c r="DH724" s="196"/>
      <c r="DI724" s="196"/>
      <c r="DJ724" s="196"/>
      <c r="DK724" s="196"/>
      <c r="DL724" s="196"/>
      <c r="DM724" s="196"/>
      <c r="DN724" s="196"/>
      <c r="DO724" s="196"/>
      <c r="DP724" s="196"/>
      <c r="DQ724" s="196"/>
      <c r="DR724" s="196"/>
      <c r="DS724" s="196"/>
      <c r="DT724" s="196"/>
    </row>
    <row r="725" spans="27:124" x14ac:dyDescent="0.25">
      <c r="AN725" s="196"/>
      <c r="AO725" s="196"/>
      <c r="BX725" s="196"/>
      <c r="BY725" s="196"/>
      <c r="BZ725" s="196"/>
      <c r="CA725" s="196"/>
      <c r="CB725" s="196"/>
      <c r="CC725" s="196"/>
      <c r="CD725" s="196"/>
      <c r="CE725" s="196"/>
      <c r="CF725" s="196"/>
      <c r="CG725" s="196"/>
      <c r="CH725" s="196"/>
      <c r="CI725" s="196"/>
      <c r="CJ725" s="196"/>
      <c r="CK725" s="196"/>
      <c r="CL725" s="196"/>
      <c r="CM725" s="196"/>
      <c r="CN725" s="196"/>
      <c r="CO725" s="196"/>
      <c r="CP725" s="196"/>
      <c r="CQ725" s="196"/>
      <c r="CR725" s="196"/>
      <c r="CS725" s="196"/>
      <c r="CT725" s="196"/>
      <c r="CU725" s="196"/>
      <c r="CV725" s="196"/>
      <c r="CW725" s="196"/>
      <c r="CX725" s="196"/>
      <c r="CY725" s="196"/>
      <c r="CZ725" s="196"/>
      <c r="DA725" s="196"/>
      <c r="DB725" s="196"/>
      <c r="DC725" s="196"/>
      <c r="DD725" s="196"/>
      <c r="DE725" s="196"/>
      <c r="DF725" s="196"/>
      <c r="DG725" s="196"/>
      <c r="DH725" s="196"/>
      <c r="DI725" s="196"/>
      <c r="DJ725" s="196"/>
      <c r="DK725" s="196"/>
      <c r="DL725" s="196"/>
      <c r="DM725" s="196"/>
      <c r="DN725" s="196"/>
      <c r="DO725" s="196"/>
      <c r="DP725" s="196"/>
      <c r="DQ725" s="196"/>
      <c r="DR725" s="196"/>
      <c r="DS725" s="196"/>
      <c r="DT725" s="196"/>
    </row>
    <row r="726" spans="27:124" x14ac:dyDescent="0.25">
      <c r="AN726" s="196"/>
      <c r="AO726" s="196"/>
      <c r="BX726" s="196"/>
      <c r="BY726" s="196"/>
      <c r="BZ726" s="196"/>
      <c r="CA726" s="196"/>
      <c r="CB726" s="196"/>
      <c r="CC726" s="196"/>
      <c r="CD726" s="196"/>
      <c r="CE726" s="196"/>
      <c r="CF726" s="196"/>
      <c r="CG726" s="196"/>
      <c r="CH726" s="196"/>
      <c r="CI726" s="196"/>
      <c r="CJ726" s="196"/>
      <c r="CK726" s="196"/>
      <c r="CL726" s="196"/>
      <c r="CM726" s="196"/>
      <c r="CN726" s="196"/>
      <c r="CO726" s="196"/>
      <c r="CP726" s="196"/>
      <c r="CQ726" s="196"/>
      <c r="CR726" s="196"/>
      <c r="CS726" s="196"/>
      <c r="CT726" s="196"/>
      <c r="CU726" s="196"/>
      <c r="CV726" s="196"/>
      <c r="CW726" s="196"/>
      <c r="CX726" s="196"/>
      <c r="CY726" s="196"/>
      <c r="CZ726" s="196"/>
      <c r="DA726" s="196"/>
      <c r="DB726" s="196"/>
      <c r="DC726" s="196"/>
      <c r="DD726" s="196"/>
      <c r="DE726" s="196"/>
      <c r="DF726" s="196"/>
      <c r="DG726" s="196"/>
      <c r="DH726" s="196"/>
      <c r="DI726" s="196"/>
      <c r="DJ726" s="196"/>
      <c r="DK726" s="196"/>
      <c r="DL726" s="196"/>
      <c r="DM726" s="196"/>
      <c r="DN726" s="196"/>
      <c r="DO726" s="196"/>
      <c r="DP726" s="196"/>
      <c r="DQ726" s="196"/>
      <c r="DR726" s="196"/>
      <c r="DS726" s="196"/>
      <c r="DT726" s="196"/>
    </row>
    <row r="727" spans="27:124" x14ac:dyDescent="0.25">
      <c r="AN727" s="196"/>
      <c r="AO727" s="196"/>
      <c r="BX727" s="196"/>
      <c r="BY727" s="196"/>
      <c r="BZ727" s="196"/>
      <c r="CA727" s="196"/>
      <c r="CB727" s="196"/>
      <c r="CC727" s="196"/>
      <c r="CD727" s="196"/>
      <c r="CE727" s="196"/>
      <c r="CF727" s="196"/>
      <c r="CG727" s="196"/>
      <c r="CH727" s="196"/>
      <c r="CI727" s="196"/>
      <c r="CJ727" s="196"/>
      <c r="CK727" s="196"/>
      <c r="CL727" s="196"/>
      <c r="CM727" s="196"/>
      <c r="CN727" s="196"/>
      <c r="CO727" s="196"/>
      <c r="CP727" s="196"/>
      <c r="CQ727" s="196"/>
      <c r="CR727" s="196"/>
      <c r="CS727" s="196"/>
      <c r="CT727" s="196"/>
      <c r="CU727" s="196"/>
      <c r="CV727" s="196"/>
      <c r="CW727" s="196"/>
      <c r="CX727" s="196"/>
      <c r="CY727" s="196"/>
      <c r="CZ727" s="196"/>
      <c r="DA727" s="196"/>
      <c r="DB727" s="196"/>
      <c r="DC727" s="196"/>
      <c r="DD727" s="196"/>
      <c r="DE727" s="196"/>
      <c r="DF727" s="196"/>
      <c r="DG727" s="196"/>
      <c r="DH727" s="196"/>
      <c r="DI727" s="196"/>
      <c r="DJ727" s="196"/>
      <c r="DK727" s="196"/>
      <c r="DL727" s="196"/>
      <c r="DM727" s="196"/>
      <c r="DN727" s="196"/>
      <c r="DO727" s="196"/>
      <c r="DP727" s="196"/>
      <c r="DQ727" s="196"/>
      <c r="DR727" s="196"/>
      <c r="DS727" s="196"/>
      <c r="DT727" s="196"/>
    </row>
    <row r="728" spans="27:124" x14ac:dyDescent="0.25">
      <c r="AN728" s="196"/>
      <c r="AO728" s="196"/>
      <c r="BX728" s="196"/>
      <c r="BY728" s="196"/>
      <c r="BZ728" s="196"/>
      <c r="CA728" s="196"/>
      <c r="CB728" s="196"/>
      <c r="CC728" s="196"/>
      <c r="CD728" s="196"/>
      <c r="CE728" s="196"/>
      <c r="CF728" s="196"/>
      <c r="CG728" s="196"/>
      <c r="CH728" s="196"/>
      <c r="CI728" s="196"/>
      <c r="CJ728" s="196"/>
      <c r="CK728" s="196"/>
      <c r="CL728" s="196"/>
      <c r="CM728" s="196"/>
      <c r="CN728" s="196"/>
      <c r="CO728" s="196"/>
      <c r="CP728" s="196"/>
      <c r="CQ728" s="196"/>
      <c r="CR728" s="196"/>
      <c r="CS728" s="196"/>
      <c r="CT728" s="196"/>
      <c r="CU728" s="196"/>
      <c r="CV728" s="196"/>
      <c r="CW728" s="196"/>
      <c r="CX728" s="196"/>
      <c r="CY728" s="196"/>
      <c r="CZ728" s="196"/>
      <c r="DA728" s="196"/>
      <c r="DB728" s="196"/>
      <c r="DC728" s="196"/>
      <c r="DD728" s="196"/>
      <c r="DE728" s="196"/>
      <c r="DF728" s="196"/>
      <c r="DG728" s="196"/>
      <c r="DH728" s="196"/>
      <c r="DI728" s="196"/>
      <c r="DJ728" s="196"/>
      <c r="DK728" s="196"/>
      <c r="DL728" s="196"/>
      <c r="DM728" s="196"/>
      <c r="DN728" s="196"/>
      <c r="DO728" s="196"/>
      <c r="DP728" s="196"/>
      <c r="DQ728" s="196"/>
      <c r="DR728" s="196"/>
      <c r="DS728" s="196"/>
      <c r="DT728" s="196"/>
    </row>
    <row r="729" spans="27:124" ht="15.75" thickBot="1" x14ac:dyDescent="0.3">
      <c r="AI729" s="465"/>
      <c r="AJ729" s="465"/>
      <c r="AK729" s="465"/>
      <c r="AL729" s="465"/>
      <c r="AM729" s="465"/>
      <c r="AN729" s="196"/>
      <c r="AO729" s="196"/>
      <c r="BX729" s="196"/>
      <c r="BY729" s="196"/>
      <c r="BZ729" s="196"/>
      <c r="CA729" s="196"/>
      <c r="CB729" s="196"/>
      <c r="CC729" s="196"/>
      <c r="CD729" s="196"/>
      <c r="CE729" s="196"/>
      <c r="CF729" s="196"/>
      <c r="CG729" s="196"/>
      <c r="CH729" s="196"/>
      <c r="CI729" s="196"/>
      <c r="CJ729" s="196"/>
      <c r="CK729" s="196"/>
      <c r="CL729" s="196"/>
      <c r="CM729" s="196"/>
      <c r="CN729" s="196"/>
      <c r="CO729" s="196"/>
      <c r="CP729" s="196"/>
      <c r="CQ729" s="196"/>
      <c r="CR729" s="196"/>
      <c r="CS729" s="196"/>
      <c r="CT729" s="196"/>
      <c r="CU729" s="196"/>
      <c r="CV729" s="196"/>
      <c r="CW729" s="196"/>
      <c r="CX729" s="196"/>
      <c r="CY729" s="196"/>
      <c r="CZ729" s="196"/>
      <c r="DA729" s="196"/>
      <c r="DB729" s="196"/>
      <c r="DC729" s="196"/>
      <c r="DD729" s="196"/>
      <c r="DE729" s="196"/>
      <c r="DF729" s="196"/>
      <c r="DG729" s="196"/>
      <c r="DH729" s="196"/>
      <c r="DI729" s="196"/>
      <c r="DJ729" s="196"/>
      <c r="DK729" s="196"/>
      <c r="DL729" s="196"/>
      <c r="DM729" s="196"/>
      <c r="DN729" s="196"/>
      <c r="DO729" s="196"/>
      <c r="DP729" s="196"/>
      <c r="DQ729" s="196"/>
      <c r="DR729" s="196"/>
      <c r="DS729" s="196"/>
      <c r="DT729" s="196"/>
    </row>
    <row r="730" spans="27:124" ht="16.5" thickTop="1" thickBot="1" x14ac:dyDescent="0.3">
      <c r="AA730" s="497" t="s">
        <v>454</v>
      </c>
      <c r="AB730" s="498"/>
      <c r="AC730" s="498"/>
      <c r="AD730" s="498"/>
      <c r="AE730" s="498"/>
      <c r="AF730" s="498"/>
      <c r="AG730" s="499"/>
      <c r="AH730" s="222" t="s">
        <v>455</v>
      </c>
      <c r="AI730" s="13" t="s">
        <v>732</v>
      </c>
      <c r="AJ730" s="118" t="s">
        <v>732</v>
      </c>
      <c r="AK730" s="118" t="s">
        <v>476</v>
      </c>
      <c r="AL730" s="304" t="s">
        <v>733</v>
      </c>
      <c r="AM730" s="474" t="s">
        <v>731</v>
      </c>
      <c r="AN730" s="196"/>
      <c r="AO730" s="196"/>
      <c r="BX730" s="196"/>
      <c r="BY730" s="196"/>
      <c r="BZ730" s="196"/>
      <c r="CA730" s="196"/>
      <c r="CB730" s="196"/>
      <c r="CC730" s="196"/>
      <c r="CD730" s="196"/>
      <c r="CE730" s="196"/>
      <c r="CF730" s="196"/>
      <c r="CG730" s="196"/>
      <c r="CH730" s="196"/>
      <c r="CI730" s="196"/>
      <c r="CJ730" s="196"/>
      <c r="CK730" s="196"/>
      <c r="CL730" s="196"/>
      <c r="CM730" s="196"/>
      <c r="CN730" s="196"/>
      <c r="CO730" s="196"/>
      <c r="CP730" s="196"/>
      <c r="CQ730" s="196"/>
      <c r="CR730" s="196"/>
      <c r="CS730" s="196"/>
      <c r="CT730" s="196"/>
      <c r="CU730" s="196"/>
      <c r="CV730" s="196"/>
      <c r="CW730" s="196"/>
      <c r="CX730" s="196"/>
      <c r="CY730" s="196"/>
      <c r="CZ730" s="196"/>
      <c r="DA730" s="196"/>
      <c r="DB730" s="196"/>
      <c r="DC730" s="196"/>
      <c r="DD730" s="196"/>
      <c r="DE730" s="196"/>
      <c r="DF730" s="196"/>
      <c r="DG730" s="196"/>
      <c r="DH730" s="196"/>
      <c r="DI730" s="196"/>
      <c r="DJ730" s="196"/>
      <c r="DK730" s="196"/>
      <c r="DL730" s="196"/>
      <c r="DM730" s="196"/>
      <c r="DN730" s="196"/>
      <c r="DO730" s="196"/>
      <c r="DP730" s="196"/>
      <c r="DQ730" s="196"/>
      <c r="DR730" s="196"/>
      <c r="DS730" s="196"/>
      <c r="DT730" s="196"/>
    </row>
    <row r="731" spans="27:124" ht="16.5" thickTop="1" thickBot="1" x14ac:dyDescent="0.3">
      <c r="AA731" s="48" t="s">
        <v>113</v>
      </c>
      <c r="AB731" s="13">
        <v>0</v>
      </c>
      <c r="AG731" s="304" t="s">
        <v>732</v>
      </c>
      <c r="AH731" s="120">
        <v>0</v>
      </c>
      <c r="AI731" s="476">
        <f>HLOOKUP($AI$730,$AJ$730:$AM$737,2,0)</f>
        <v>0</v>
      </c>
      <c r="AJ731" s="475"/>
      <c r="AK731" s="475"/>
      <c r="AL731" s="475"/>
      <c r="AM731" s="475"/>
      <c r="AN731" s="196"/>
      <c r="AO731" s="196"/>
      <c r="BX731" s="196"/>
      <c r="BY731" s="196"/>
      <c r="BZ731" s="196"/>
      <c r="CA731" s="196"/>
      <c r="CB731" s="196"/>
      <c r="CC731" s="196"/>
      <c r="CD731" s="196"/>
      <c r="CE731" s="196"/>
      <c r="CF731" s="196"/>
      <c r="CG731" s="196"/>
      <c r="CH731" s="196"/>
      <c r="CI731" s="196"/>
      <c r="CJ731" s="196"/>
      <c r="CK731" s="196"/>
      <c r="CL731" s="196"/>
      <c r="CM731" s="196"/>
      <c r="CN731" s="196"/>
      <c r="CO731" s="196"/>
      <c r="CP731" s="196"/>
      <c r="CQ731" s="196"/>
      <c r="CR731" s="196"/>
      <c r="CS731" s="196"/>
      <c r="CT731" s="196"/>
      <c r="CU731" s="196"/>
      <c r="CV731" s="196"/>
      <c r="CW731" s="196"/>
      <c r="CX731" s="196"/>
      <c r="CY731" s="196"/>
      <c r="CZ731" s="196"/>
      <c r="DA731" s="196"/>
      <c r="DB731" s="196"/>
      <c r="DC731" s="196"/>
      <c r="DD731" s="196"/>
      <c r="DE731" s="196"/>
      <c r="DF731" s="196"/>
      <c r="DG731" s="196"/>
      <c r="DH731" s="196"/>
      <c r="DI731" s="196"/>
      <c r="DJ731" s="196"/>
      <c r="DK731" s="196"/>
      <c r="DL731" s="196"/>
      <c r="DM731" s="196"/>
      <c r="DN731" s="196"/>
      <c r="DO731" s="196"/>
      <c r="DP731" s="196"/>
      <c r="DQ731" s="196"/>
      <c r="DR731" s="196"/>
      <c r="DS731" s="196"/>
      <c r="DT731" s="196"/>
    </row>
    <row r="732" spans="27:124" ht="16.5" thickTop="1" thickBot="1" x14ac:dyDescent="0.3">
      <c r="AA732" s="27" t="s">
        <v>109</v>
      </c>
      <c r="AB732" s="18">
        <v>0</v>
      </c>
      <c r="AC732" s="18">
        <v>0</v>
      </c>
      <c r="AE732" s="196"/>
      <c r="AG732" s="304" t="s">
        <v>476</v>
      </c>
      <c r="AH732" s="120">
        <v>1</v>
      </c>
      <c r="AI732" s="476">
        <f>HLOOKUP($AI$730,$AJ$730:$AM$737,3,0)</f>
        <v>0.68</v>
      </c>
      <c r="AJ732" s="475">
        <v>0.68</v>
      </c>
      <c r="AK732" s="475">
        <v>0.73</v>
      </c>
      <c r="AL732" s="475">
        <v>0.73</v>
      </c>
      <c r="AM732" s="475">
        <v>0.73</v>
      </c>
      <c r="AN732" s="196"/>
      <c r="AO732" s="196"/>
      <c r="BX732" s="196"/>
      <c r="BY732" s="196"/>
      <c r="BZ732" s="196"/>
      <c r="CA732" s="196"/>
      <c r="CB732" s="196"/>
      <c r="CC732" s="196"/>
      <c r="CD732" s="196"/>
      <c r="CE732" s="196"/>
      <c r="CF732" s="196"/>
      <c r="CG732" s="196"/>
      <c r="CH732" s="196"/>
      <c r="CI732" s="196"/>
      <c r="CJ732" s="196"/>
      <c r="CK732" s="196"/>
      <c r="CL732" s="196"/>
      <c r="CM732" s="196"/>
      <c r="CN732" s="196"/>
      <c r="CO732" s="196"/>
      <c r="CP732" s="196"/>
      <c r="CQ732" s="196"/>
      <c r="CR732" s="196"/>
      <c r="CS732" s="196"/>
      <c r="CT732" s="196"/>
      <c r="CU732" s="196"/>
      <c r="CV732" s="196"/>
      <c r="CW732" s="196"/>
      <c r="CX732" s="196"/>
      <c r="CY732" s="196"/>
      <c r="CZ732" s="196"/>
      <c r="DA732" s="196"/>
      <c r="DB732" s="196"/>
      <c r="DC732" s="196"/>
      <c r="DD732" s="196"/>
      <c r="DE732" s="196"/>
      <c r="DF732" s="196"/>
      <c r="DG732" s="196"/>
      <c r="DH732" s="196"/>
      <c r="DI732" s="196"/>
      <c r="DJ732" s="196"/>
      <c r="DK732" s="196"/>
      <c r="DL732" s="196"/>
      <c r="DM732" s="196"/>
      <c r="DN732" s="196"/>
      <c r="DO732" s="196"/>
      <c r="DP732" s="196"/>
      <c r="DQ732" s="196"/>
      <c r="DR732" s="196"/>
      <c r="DS732" s="196"/>
      <c r="DT732" s="196"/>
    </row>
    <row r="733" spans="27:124" ht="16.5" thickTop="1" thickBot="1" x14ac:dyDescent="0.3">
      <c r="AA733" s="27"/>
      <c r="AB733" s="54" t="str">
        <f>VLOOKUP($AB$732,$AH$731:$AI$737,2,0)*100&amp;"%"</f>
        <v>0%</v>
      </c>
      <c r="AC733" s="54">
        <f>$AC$732/100</f>
        <v>0</v>
      </c>
      <c r="AD733" s="293" t="str">
        <f>IFERROR(($AD$736/($AB$731-$AB$734)),"")</f>
        <v/>
      </c>
      <c r="AG733" s="304" t="s">
        <v>733</v>
      </c>
      <c r="AH733" s="120">
        <v>2</v>
      </c>
      <c r="AI733" s="476">
        <f>HLOOKUP($AI$730,$AJ$730:$AM$737,4,0)</f>
        <v>0.65</v>
      </c>
      <c r="AJ733" s="475">
        <v>0.65</v>
      </c>
      <c r="AK733" s="475">
        <v>0.73</v>
      </c>
      <c r="AL733" s="475">
        <v>0.73</v>
      </c>
      <c r="AM733" s="475">
        <v>0.73</v>
      </c>
      <c r="AN733" s="196"/>
      <c r="AO733" s="196"/>
      <c r="BX733" s="196"/>
      <c r="BY733" s="196"/>
      <c r="BZ733" s="196"/>
      <c r="CA733" s="196"/>
      <c r="CB733" s="196"/>
      <c r="CC733" s="196"/>
      <c r="CD733" s="196"/>
      <c r="CE733" s="196"/>
      <c r="CF733" s="196"/>
      <c r="CG733" s="196"/>
      <c r="CH733" s="196"/>
      <c r="CI733" s="196"/>
      <c r="CJ733" s="196"/>
      <c r="CK733" s="196"/>
      <c r="CL733" s="196"/>
      <c r="CM733" s="196"/>
      <c r="CN733" s="196"/>
      <c r="CO733" s="196"/>
      <c r="CP733" s="196"/>
      <c r="CQ733" s="196"/>
      <c r="CR733" s="196"/>
      <c r="CS733" s="196"/>
      <c r="CT733" s="196"/>
      <c r="CU733" s="196"/>
      <c r="CV733" s="196"/>
      <c r="CW733" s="196"/>
      <c r="CX733" s="196"/>
      <c r="CY733" s="196"/>
      <c r="CZ733" s="196"/>
      <c r="DA733" s="196"/>
      <c r="DB733" s="196"/>
      <c r="DC733" s="196"/>
      <c r="DD733" s="196"/>
      <c r="DE733" s="196"/>
      <c r="DF733" s="196"/>
      <c r="DG733" s="196"/>
      <c r="DH733" s="196"/>
      <c r="DI733" s="196"/>
      <c r="DJ733" s="196"/>
      <c r="DK733" s="196"/>
      <c r="DL733" s="196"/>
      <c r="DM733" s="196"/>
      <c r="DN733" s="196"/>
      <c r="DO733" s="196"/>
      <c r="DP733" s="196"/>
      <c r="DQ733" s="196"/>
      <c r="DR733" s="196"/>
      <c r="DS733" s="196"/>
      <c r="DT733" s="196"/>
    </row>
    <row r="734" spans="27:124" ht="16.5" thickTop="1" thickBot="1" x14ac:dyDescent="0.3">
      <c r="AA734" s="27" t="s">
        <v>114</v>
      </c>
      <c r="AB734" s="18">
        <v>0</v>
      </c>
      <c r="AG734" s="304" t="s">
        <v>731</v>
      </c>
      <c r="AH734" s="120">
        <v>3</v>
      </c>
      <c r="AI734" s="476">
        <f>HLOOKUP($AI$730,$AJ$730:$AM$737,5,0)</f>
        <v>0.6</v>
      </c>
      <c r="AJ734" s="475">
        <v>0.6</v>
      </c>
      <c r="AK734" s="475">
        <v>0.73</v>
      </c>
      <c r="AL734" s="475">
        <v>0.6</v>
      </c>
      <c r="AM734" s="475">
        <v>0.71</v>
      </c>
      <c r="AN734" s="196"/>
      <c r="AO734" s="196"/>
      <c r="BX734" s="196"/>
      <c r="BY734" s="196"/>
      <c r="BZ734" s="196"/>
      <c r="CA734" s="196"/>
      <c r="CB734" s="196"/>
      <c r="CC734" s="196"/>
      <c r="CD734" s="196"/>
      <c r="CE734" s="196"/>
      <c r="CF734" s="196"/>
      <c r="CG734" s="196"/>
      <c r="CH734" s="196"/>
      <c r="CI734" s="196"/>
      <c r="CJ734" s="196"/>
      <c r="CK734" s="196"/>
      <c r="CL734" s="196"/>
      <c r="CM734" s="196"/>
      <c r="CN734" s="196"/>
      <c r="CO734" s="196"/>
      <c r="CP734" s="196"/>
      <c r="CQ734" s="196"/>
      <c r="CR734" s="196"/>
      <c r="CS734" s="196"/>
      <c r="CT734" s="196"/>
      <c r="CU734" s="196"/>
      <c r="CV734" s="196"/>
      <c r="CW734" s="196"/>
      <c r="CX734" s="196"/>
      <c r="CY734" s="196"/>
      <c r="CZ734" s="196"/>
      <c r="DA734" s="196"/>
      <c r="DB734" s="196"/>
      <c r="DC734" s="196"/>
      <c r="DD734" s="196"/>
      <c r="DE734" s="196"/>
      <c r="DF734" s="196"/>
      <c r="DG734" s="196"/>
      <c r="DH734" s="196"/>
      <c r="DI734" s="196"/>
      <c r="DJ734" s="196"/>
      <c r="DK734" s="196"/>
      <c r="DL734" s="196"/>
      <c r="DM734" s="196"/>
      <c r="DN734" s="196"/>
      <c r="DO734" s="196"/>
      <c r="DP734" s="196"/>
      <c r="DQ734" s="196"/>
      <c r="DR734" s="196"/>
      <c r="DS734" s="196"/>
      <c r="DT734" s="196"/>
    </row>
    <row r="735" spans="27:124" ht="16.5" thickTop="1" thickBot="1" x14ac:dyDescent="0.3">
      <c r="AA735" s="27" t="s">
        <v>116</v>
      </c>
      <c r="AB735" s="18">
        <v>0</v>
      </c>
      <c r="AH735" s="120">
        <v>4</v>
      </c>
      <c r="AI735" s="476">
        <f>HLOOKUP($AI$730,$AJ$730:$AM$737,6,0)</f>
        <v>0.55000000000000004</v>
      </c>
      <c r="AJ735" s="475">
        <v>0.55000000000000004</v>
      </c>
      <c r="AK735" s="475">
        <v>0.73</v>
      </c>
      <c r="AL735" s="475">
        <v>0.6</v>
      </c>
      <c r="AM735" s="475">
        <v>0.71</v>
      </c>
      <c r="AN735" s="196"/>
      <c r="AO735" s="196"/>
      <c r="BX735" s="196"/>
      <c r="BY735" s="196"/>
      <c r="BZ735" s="196"/>
      <c r="CA735" s="196"/>
      <c r="CB735" s="196"/>
      <c r="CC735" s="196"/>
      <c r="CD735" s="196"/>
      <c r="CE735" s="196"/>
      <c r="CF735" s="196"/>
      <c r="CG735" s="196"/>
      <c r="CH735" s="196"/>
      <c r="CI735" s="196"/>
      <c r="CJ735" s="196"/>
      <c r="CK735" s="196"/>
      <c r="CL735" s="196"/>
      <c r="CM735" s="196"/>
      <c r="CN735" s="196"/>
      <c r="CO735" s="196"/>
      <c r="CP735" s="196"/>
      <c r="CQ735" s="196"/>
      <c r="CR735" s="196"/>
      <c r="CS735" s="196"/>
      <c r="CT735" s="196"/>
      <c r="CU735" s="196"/>
      <c r="CV735" s="196"/>
      <c r="CW735" s="196"/>
      <c r="CX735" s="196"/>
      <c r="CY735" s="196"/>
      <c r="CZ735" s="196"/>
      <c r="DA735" s="196"/>
      <c r="DB735" s="196"/>
      <c r="DC735" s="196"/>
      <c r="DD735" s="196"/>
      <c r="DE735" s="196"/>
      <c r="DF735" s="196"/>
      <c r="DG735" s="196"/>
      <c r="DH735" s="196"/>
      <c r="DI735" s="196"/>
      <c r="DJ735" s="196"/>
      <c r="DK735" s="196"/>
      <c r="DL735" s="196"/>
      <c r="DM735" s="196"/>
      <c r="DN735" s="196"/>
      <c r="DO735" s="196"/>
      <c r="DP735" s="196"/>
      <c r="DQ735" s="196"/>
      <c r="DR735" s="196"/>
      <c r="DS735" s="196"/>
      <c r="DT735" s="196"/>
    </row>
    <row r="736" spans="27:124" ht="16.5" thickTop="1" thickBot="1" x14ac:dyDescent="0.3">
      <c r="AA736" s="41" t="s">
        <v>115</v>
      </c>
      <c r="AB736" s="79">
        <f>($AB$731*$AB$733)-$AB$734</f>
        <v>0</v>
      </c>
      <c r="AC736" s="79">
        <f>($AB$731*$AC$733)-$AB$734</f>
        <v>0</v>
      </c>
      <c r="AD736" s="18">
        <v>0</v>
      </c>
      <c r="AE736" s="42">
        <f>$AB$736</f>
        <v>0</v>
      </c>
      <c r="AH736" s="120">
        <v>5</v>
      </c>
      <c r="AI736" s="476">
        <f>HLOOKUP($AI$730,$AJ$730:$AM$737,7,0)</f>
        <v>0.55000000000000004</v>
      </c>
      <c r="AJ736" s="475">
        <v>0.55000000000000004</v>
      </c>
      <c r="AK736" s="475">
        <v>0.73</v>
      </c>
      <c r="AL736" s="475">
        <v>0.6</v>
      </c>
      <c r="AM736" s="475">
        <v>0.71</v>
      </c>
      <c r="AN736" s="196"/>
      <c r="AO736" s="196"/>
      <c r="BX736" s="196"/>
      <c r="BY736" s="196"/>
      <c r="BZ736" s="196"/>
      <c r="CA736" s="196"/>
      <c r="CB736" s="196"/>
      <c r="CC736" s="196"/>
      <c r="CD736" s="196"/>
      <c r="CE736" s="196"/>
      <c r="CF736" s="196"/>
      <c r="CG736" s="196"/>
      <c r="CH736" s="196"/>
      <c r="CI736" s="196"/>
      <c r="CJ736" s="196"/>
      <c r="CK736" s="196"/>
      <c r="CL736" s="196"/>
      <c r="CM736" s="196"/>
      <c r="CN736" s="196"/>
      <c r="CO736" s="196"/>
      <c r="CP736" s="196"/>
      <c r="CQ736" s="196"/>
      <c r="CR736" s="196"/>
      <c r="CS736" s="196"/>
      <c r="CT736" s="196"/>
      <c r="CU736" s="196"/>
      <c r="CV736" s="196"/>
      <c r="CW736" s="196"/>
      <c r="CX736" s="196"/>
      <c r="CY736" s="196"/>
      <c r="CZ736" s="196"/>
      <c r="DA736" s="196"/>
      <c r="DB736" s="196"/>
      <c r="DC736" s="196"/>
      <c r="DD736" s="196"/>
      <c r="DE736" s="196"/>
      <c r="DF736" s="196"/>
      <c r="DG736" s="196"/>
      <c r="DH736" s="196"/>
      <c r="DI736" s="196"/>
      <c r="DJ736" s="196"/>
      <c r="DK736" s="196"/>
      <c r="DL736" s="196"/>
      <c r="DM736" s="196"/>
      <c r="DN736" s="196"/>
      <c r="DO736" s="196"/>
      <c r="DP736" s="196"/>
      <c r="DQ736" s="196"/>
      <c r="DR736" s="196"/>
      <c r="DS736" s="196"/>
      <c r="DT736" s="196"/>
    </row>
    <row r="737" spans="27:124" ht="16.5" thickTop="1" thickBot="1" x14ac:dyDescent="0.3">
      <c r="AA737" s="41" t="s">
        <v>117</v>
      </c>
      <c r="AB737" s="79" t="str">
        <f>IF($AB$736=0,"0",IF($AB$735=0,"",($AB$736/$AB$735)*1000))</f>
        <v>0</v>
      </c>
      <c r="AC737" s="79" t="str">
        <f>IF($AC$736=0,"0",IF($AB$735=0,"0",($AC$736/$AB$735)*1000))</f>
        <v>0</v>
      </c>
      <c r="AD737" s="79" t="str">
        <f>IF($AD$736=0,"0",IF($AB$735=0,"0",($AD$736/$AB$735)*1000))</f>
        <v>0</v>
      </c>
      <c r="AE737" s="42" t="str">
        <f>$AB$737</f>
        <v>0</v>
      </c>
      <c r="AH737" s="120">
        <v>6</v>
      </c>
      <c r="AI737" s="476">
        <f>HLOOKUP($AI$730,$AJ$730:$AM$737,8,0)</f>
        <v>0.5</v>
      </c>
      <c r="AJ737" s="475">
        <v>0.5</v>
      </c>
      <c r="AK737" s="475">
        <v>0.73</v>
      </c>
      <c r="AL737" s="475">
        <v>0.6</v>
      </c>
      <c r="AM737" s="475">
        <v>0.71</v>
      </c>
      <c r="AN737" s="196"/>
      <c r="AO737" s="196"/>
      <c r="BX737" s="196"/>
      <c r="BY737" s="196"/>
      <c r="BZ737" s="196"/>
      <c r="CA737" s="196"/>
      <c r="CB737" s="196"/>
      <c r="CC737" s="196"/>
      <c r="CD737" s="196"/>
      <c r="CE737" s="196"/>
      <c r="CF737" s="196"/>
      <c r="CG737" s="196"/>
      <c r="CH737" s="196"/>
      <c r="CI737" s="196"/>
      <c r="CJ737" s="196"/>
      <c r="CK737" s="196"/>
      <c r="CL737" s="196"/>
      <c r="CM737" s="196"/>
      <c r="CN737" s="196"/>
      <c r="CO737" s="196"/>
      <c r="CP737" s="196"/>
      <c r="CQ737" s="196"/>
      <c r="CR737" s="196"/>
      <c r="CS737" s="196"/>
      <c r="CT737" s="196"/>
      <c r="CU737" s="196"/>
      <c r="CV737" s="196"/>
      <c r="CW737" s="196"/>
      <c r="CX737" s="196"/>
      <c r="CY737" s="196"/>
      <c r="CZ737" s="196"/>
      <c r="DA737" s="196"/>
      <c r="DB737" s="196"/>
      <c r="DC737" s="196"/>
      <c r="DD737" s="196"/>
      <c r="DE737" s="196"/>
      <c r="DF737" s="196"/>
      <c r="DG737" s="196"/>
      <c r="DH737" s="196"/>
      <c r="DI737" s="196"/>
      <c r="DJ737" s="196"/>
      <c r="DK737" s="196"/>
      <c r="DL737" s="196"/>
      <c r="DM737" s="196"/>
      <c r="DN737" s="196"/>
      <c r="DO737" s="196"/>
      <c r="DP737" s="196"/>
      <c r="DQ737" s="196"/>
      <c r="DR737" s="196"/>
      <c r="DS737" s="196"/>
      <c r="DT737" s="196"/>
    </row>
    <row r="738" spans="27:124" ht="15.75" thickBot="1" x14ac:dyDescent="0.3">
      <c r="AN738" s="196"/>
      <c r="AO738" s="196"/>
      <c r="BX738" s="196"/>
      <c r="BY738" s="196"/>
      <c r="BZ738" s="196"/>
      <c r="CA738" s="196"/>
      <c r="CB738" s="196"/>
      <c r="CC738" s="196"/>
      <c r="CD738" s="196"/>
      <c r="CE738" s="196"/>
      <c r="CF738" s="196"/>
      <c r="CG738" s="196"/>
      <c r="CH738" s="196"/>
      <c r="CI738" s="196"/>
      <c r="CJ738" s="196"/>
      <c r="CK738" s="196"/>
      <c r="CL738" s="196"/>
      <c r="CM738" s="196"/>
      <c r="CN738" s="196"/>
      <c r="CO738" s="196"/>
      <c r="CP738" s="196"/>
      <c r="CQ738" s="196"/>
      <c r="CR738" s="196"/>
      <c r="CS738" s="196"/>
      <c r="CT738" s="196"/>
      <c r="CU738" s="196"/>
      <c r="CV738" s="196"/>
      <c r="CW738" s="196"/>
      <c r="CX738" s="196"/>
      <c r="CY738" s="196"/>
      <c r="CZ738" s="196"/>
      <c r="DA738" s="196"/>
      <c r="DB738" s="196"/>
      <c r="DC738" s="196"/>
      <c r="DD738" s="196"/>
      <c r="DE738" s="196"/>
      <c r="DF738" s="196"/>
      <c r="DG738" s="196"/>
      <c r="DH738" s="196"/>
      <c r="DI738" s="196"/>
      <c r="DJ738" s="196"/>
      <c r="DK738" s="196"/>
      <c r="DL738" s="196"/>
      <c r="DM738" s="196"/>
      <c r="DN738" s="196"/>
      <c r="DO738" s="196"/>
      <c r="DP738" s="196"/>
      <c r="DQ738" s="196"/>
      <c r="DR738" s="196"/>
      <c r="DS738" s="196"/>
      <c r="DT738" s="196"/>
    </row>
    <row r="739" spans="27:124" ht="16.5" thickTop="1" thickBot="1" x14ac:dyDescent="0.3">
      <c r="AA739" s="48" t="s">
        <v>113</v>
      </c>
      <c r="AB739" s="13">
        <v>0</v>
      </c>
      <c r="AD739" s="196"/>
      <c r="AN739" s="196"/>
      <c r="AO739" s="196"/>
      <c r="BX739" s="196"/>
      <c r="BY739" s="196"/>
      <c r="BZ739" s="196"/>
      <c r="CA739" s="196"/>
      <c r="CB739" s="196"/>
      <c r="CC739" s="196"/>
      <c r="CD739" s="196"/>
      <c r="CE739" s="196"/>
      <c r="CF739" s="196"/>
      <c r="CG739" s="196"/>
      <c r="CH739" s="196"/>
      <c r="CI739" s="196"/>
      <c r="CJ739" s="196"/>
      <c r="CK739" s="196"/>
      <c r="CL739" s="196"/>
      <c r="CM739" s="196"/>
      <c r="CN739" s="196"/>
      <c r="CO739" s="196"/>
      <c r="CP739" s="196"/>
      <c r="CQ739" s="196"/>
      <c r="CR739" s="196"/>
      <c r="CS739" s="196"/>
      <c r="CT739" s="196"/>
      <c r="CU739" s="196"/>
      <c r="CV739" s="196"/>
      <c r="CW739" s="196"/>
      <c r="CX739" s="196"/>
      <c r="CY739" s="196"/>
      <c r="CZ739" s="196"/>
      <c r="DA739" s="196"/>
      <c r="DB739" s="196"/>
      <c r="DC739" s="196"/>
      <c r="DD739" s="196"/>
      <c r="DE739" s="196"/>
      <c r="DF739" s="196"/>
      <c r="DG739" s="196"/>
      <c r="DH739" s="196"/>
      <c r="DI739" s="196"/>
      <c r="DJ739" s="196"/>
      <c r="DK739" s="196"/>
      <c r="DL739" s="196"/>
      <c r="DM739" s="196"/>
      <c r="DN739" s="196"/>
      <c r="DO739" s="196"/>
      <c r="DP739" s="196"/>
      <c r="DQ739" s="196"/>
      <c r="DR739" s="196"/>
      <c r="DS739" s="196"/>
      <c r="DT739" s="196"/>
    </row>
    <row r="740" spans="27:124" ht="16.5" thickTop="1" thickBot="1" x14ac:dyDescent="0.3">
      <c r="AA740" s="27" t="s">
        <v>109</v>
      </c>
      <c r="AB740" s="18">
        <v>0</v>
      </c>
      <c r="AC740" s="18">
        <v>0</v>
      </c>
      <c r="AD740" s="196"/>
      <c r="AN740" s="196"/>
      <c r="AO740" s="196"/>
      <c r="BX740" s="196"/>
      <c r="BY740" s="196"/>
      <c r="BZ740" s="196"/>
      <c r="CA740" s="196"/>
      <c r="CB740" s="196"/>
      <c r="CC740" s="196"/>
      <c r="CD740" s="196"/>
      <c r="CE740" s="196"/>
      <c r="CF740" s="196"/>
      <c r="CG740" s="196"/>
      <c r="CH740" s="196"/>
      <c r="CI740" s="196"/>
      <c r="CJ740" s="196"/>
      <c r="CK740" s="196"/>
      <c r="CL740" s="196"/>
      <c r="CM740" s="196"/>
      <c r="CN740" s="196"/>
      <c r="CO740" s="196"/>
      <c r="CP740" s="196"/>
      <c r="CQ740" s="196"/>
      <c r="CR740" s="196"/>
      <c r="CS740" s="196"/>
      <c r="CT740" s="196"/>
      <c r="CU740" s="196"/>
      <c r="CV740" s="196"/>
      <c r="CW740" s="196"/>
      <c r="CX740" s="196"/>
      <c r="CY740" s="196"/>
      <c r="CZ740" s="196"/>
      <c r="DA740" s="196"/>
      <c r="DB740" s="196"/>
      <c r="DC740" s="196"/>
      <c r="DD740" s="196"/>
      <c r="DE740" s="196"/>
      <c r="DF740" s="196"/>
      <c r="DG740" s="196"/>
      <c r="DH740" s="196"/>
      <c r="DI740" s="196"/>
      <c r="DJ740" s="196"/>
      <c r="DK740" s="196"/>
      <c r="DL740" s="196"/>
      <c r="DM740" s="196"/>
      <c r="DN740" s="196"/>
      <c r="DO740" s="196"/>
      <c r="DP740" s="196"/>
      <c r="DQ740" s="196"/>
      <c r="DR740" s="196"/>
      <c r="DS740" s="196"/>
      <c r="DT740" s="196"/>
    </row>
    <row r="741" spans="27:124" ht="16.5" thickTop="1" thickBot="1" x14ac:dyDescent="0.3">
      <c r="AA741" s="27"/>
      <c r="AB741" s="54" t="str">
        <f>VLOOKUP($AB$740,$AH$731:$AI$737,2,0)*100&amp;"%"</f>
        <v>0%</v>
      </c>
      <c r="AC741" s="54">
        <f>$AC$740/100</f>
        <v>0</v>
      </c>
      <c r="AD741" s="292" t="str">
        <f>IFERROR($AD$744/($AB$739-$AB$742),"")</f>
        <v/>
      </c>
      <c r="AN741" s="196"/>
      <c r="AO741" s="196"/>
      <c r="BX741" s="196"/>
      <c r="BY741" s="196"/>
      <c r="BZ741" s="196"/>
      <c r="CA741" s="196"/>
      <c r="CB741" s="196"/>
      <c r="CC741" s="196"/>
      <c r="CD741" s="196"/>
      <c r="CE741" s="196"/>
      <c r="CF741" s="196"/>
      <c r="CG741" s="196"/>
      <c r="CH741" s="196"/>
      <c r="CI741" s="196"/>
      <c r="CJ741" s="196"/>
      <c r="CK741" s="196"/>
      <c r="CL741" s="196"/>
      <c r="CM741" s="196"/>
      <c r="CN741" s="196"/>
      <c r="CO741" s="196"/>
      <c r="CP741" s="196"/>
      <c r="CQ741" s="196"/>
      <c r="CR741" s="196"/>
      <c r="CS741" s="196"/>
      <c r="CT741" s="196"/>
      <c r="CU741" s="196"/>
      <c r="CV741" s="196"/>
      <c r="CW741" s="196"/>
      <c r="CX741" s="196"/>
      <c r="CY741" s="196"/>
      <c r="CZ741" s="196"/>
      <c r="DA741" s="196"/>
      <c r="DB741" s="196"/>
      <c r="DC741" s="196"/>
      <c r="DD741" s="196"/>
      <c r="DE741" s="196"/>
      <c r="DF741" s="196"/>
      <c r="DG741" s="196"/>
      <c r="DH741" s="196"/>
      <c r="DI741" s="196"/>
      <c r="DJ741" s="196"/>
      <c r="DK741" s="196"/>
      <c r="DL741" s="196"/>
      <c r="DM741" s="196"/>
      <c r="DN741" s="196"/>
      <c r="DO741" s="196"/>
      <c r="DP741" s="196"/>
      <c r="DQ741" s="196"/>
      <c r="DR741" s="196"/>
      <c r="DS741" s="196"/>
      <c r="DT741" s="196"/>
    </row>
    <row r="742" spans="27:124" ht="16.5" thickTop="1" thickBot="1" x14ac:dyDescent="0.3">
      <c r="AA742" s="27" t="s">
        <v>114</v>
      </c>
      <c r="AB742" s="18">
        <v>0</v>
      </c>
      <c r="AC742" s="196"/>
      <c r="AD742" s="196"/>
      <c r="AN742" s="196"/>
      <c r="AO742" s="196"/>
      <c r="BX742" s="196"/>
      <c r="BY742" s="196"/>
      <c r="BZ742" s="196"/>
      <c r="CA742" s="196"/>
      <c r="CB742" s="196"/>
      <c r="CC742" s="196"/>
      <c r="CD742" s="196"/>
      <c r="CE742" s="196"/>
      <c r="CF742" s="196"/>
      <c r="CG742" s="196"/>
      <c r="CH742" s="196"/>
      <c r="CI742" s="196"/>
      <c r="CJ742" s="196"/>
      <c r="CK742" s="196"/>
      <c r="CL742" s="196"/>
      <c r="CM742" s="196"/>
      <c r="CN742" s="196"/>
      <c r="CO742" s="196"/>
      <c r="CP742" s="196"/>
      <c r="CQ742" s="196"/>
      <c r="CR742" s="196"/>
      <c r="CS742" s="196"/>
      <c r="CT742" s="196"/>
      <c r="CU742" s="196"/>
      <c r="CV742" s="196"/>
      <c r="CW742" s="196"/>
      <c r="CX742" s="196"/>
      <c r="CY742" s="196"/>
      <c r="CZ742" s="196"/>
      <c r="DA742" s="196"/>
      <c r="DB742" s="196"/>
      <c r="DC742" s="196"/>
      <c r="DD742" s="196"/>
      <c r="DE742" s="196"/>
      <c r="DF742" s="196"/>
      <c r="DG742" s="196"/>
      <c r="DH742" s="196"/>
      <c r="DI742" s="196"/>
      <c r="DJ742" s="196"/>
      <c r="DK742" s="196"/>
      <c r="DL742" s="196"/>
      <c r="DM742" s="196"/>
      <c r="DN742" s="196"/>
      <c r="DO742" s="196"/>
      <c r="DP742" s="196"/>
      <c r="DQ742" s="196"/>
      <c r="DR742" s="196"/>
      <c r="DS742" s="196"/>
      <c r="DT742" s="196"/>
    </row>
    <row r="743" spans="27:124" ht="16.5" thickTop="1" thickBot="1" x14ac:dyDescent="0.3">
      <c r="AA743" s="27" t="s">
        <v>116</v>
      </c>
      <c r="AB743" s="288">
        <f>$AB$735</f>
        <v>0</v>
      </c>
      <c r="AC743" s="196"/>
      <c r="AD743" s="196"/>
      <c r="AN743" s="196"/>
      <c r="AO743" s="196"/>
      <c r="BX743" s="196"/>
      <c r="BY743" s="196"/>
      <c r="BZ743" s="196"/>
      <c r="CA743" s="196"/>
      <c r="CB743" s="196"/>
      <c r="CC743" s="196"/>
      <c r="CD743" s="196"/>
      <c r="CE743" s="196"/>
      <c r="CF743" s="196"/>
      <c r="CG743" s="196"/>
      <c r="CH743" s="196"/>
      <c r="CI743" s="196"/>
      <c r="CJ743" s="196"/>
      <c r="CK743" s="196"/>
      <c r="CL743" s="196"/>
      <c r="CM743" s="196"/>
      <c r="CN743" s="196"/>
      <c r="CO743" s="196"/>
      <c r="CP743" s="196"/>
      <c r="CQ743" s="196"/>
      <c r="CR743" s="196"/>
      <c r="CS743" s="196"/>
      <c r="CT743" s="196"/>
      <c r="CU743" s="196"/>
      <c r="CV743" s="196"/>
      <c r="CW743" s="196"/>
      <c r="CX743" s="196"/>
      <c r="CY743" s="196"/>
      <c r="CZ743" s="196"/>
      <c r="DA743" s="196"/>
      <c r="DB743" s="196"/>
      <c r="DC743" s="196"/>
      <c r="DD743" s="196"/>
      <c r="DE743" s="196"/>
      <c r="DF743" s="196"/>
      <c r="DG743" s="196"/>
      <c r="DH743" s="196"/>
      <c r="DI743" s="196"/>
      <c r="DJ743" s="196"/>
      <c r="DK743" s="196"/>
      <c r="DL743" s="196"/>
      <c r="DM743" s="196"/>
      <c r="DN743" s="196"/>
      <c r="DO743" s="196"/>
      <c r="DP743" s="196"/>
      <c r="DQ743" s="196"/>
      <c r="DR743" s="196"/>
      <c r="DS743" s="196"/>
      <c r="DT743" s="196"/>
    </row>
    <row r="744" spans="27:124" ht="16.5" thickTop="1" thickBot="1" x14ac:dyDescent="0.3">
      <c r="AA744" s="41" t="s">
        <v>115</v>
      </c>
      <c r="AB744" s="79">
        <f>($AB$739*$AB$741)-$AB$742</f>
        <v>0</v>
      </c>
      <c r="AC744" s="79">
        <f>($AB$739*$AC$741)-$AB$742</f>
        <v>0</v>
      </c>
      <c r="AD744" s="18">
        <v>0</v>
      </c>
      <c r="AE744" s="42">
        <f>$AB$744</f>
        <v>0</v>
      </c>
      <c r="AN744" s="196"/>
      <c r="AO744" s="196"/>
      <c r="BX744" s="196"/>
      <c r="BY744" s="196"/>
      <c r="BZ744" s="196"/>
      <c r="CA744" s="196"/>
      <c r="CB744" s="196"/>
      <c r="CC744" s="196"/>
      <c r="CD744" s="196"/>
      <c r="CE744" s="196"/>
      <c r="CF744" s="196"/>
      <c r="CG744" s="196"/>
      <c r="CH744" s="196"/>
      <c r="CI744" s="196"/>
      <c r="CJ744" s="196"/>
      <c r="CK744" s="196"/>
      <c r="CL744" s="196"/>
      <c r="CM744" s="196"/>
      <c r="CN744" s="196"/>
      <c r="CO744" s="196"/>
      <c r="CP744" s="196"/>
      <c r="CQ744" s="196"/>
      <c r="CR744" s="196"/>
      <c r="CS744" s="196"/>
      <c r="CT744" s="196"/>
      <c r="CU744" s="196"/>
      <c r="CV744" s="196"/>
      <c r="CW744" s="196"/>
      <c r="CX744" s="196"/>
      <c r="CY744" s="196"/>
      <c r="CZ744" s="196"/>
      <c r="DA744" s="196"/>
      <c r="DB744" s="196"/>
      <c r="DC744" s="196"/>
      <c r="DD744" s="196"/>
      <c r="DE744" s="196"/>
      <c r="DF744" s="196"/>
      <c r="DG744" s="196"/>
      <c r="DH744" s="196"/>
      <c r="DI744" s="196"/>
      <c r="DJ744" s="196"/>
      <c r="DK744" s="196"/>
      <c r="DL744" s="196"/>
      <c r="DM744" s="196"/>
      <c r="DN744" s="196"/>
      <c r="DO744" s="196"/>
      <c r="DP744" s="196"/>
      <c r="DQ744" s="196"/>
      <c r="DR744" s="196"/>
      <c r="DS744" s="196"/>
      <c r="DT744" s="196"/>
    </row>
    <row r="745" spans="27:124" ht="16.5" thickTop="1" thickBot="1" x14ac:dyDescent="0.3">
      <c r="AA745" s="41" t="s">
        <v>117</v>
      </c>
      <c r="AB745" s="79" t="str">
        <f>IF($AB$744=0,"0",IF($AB$743=0,"",($AB$744/$AB$743)*1000))</f>
        <v>0</v>
      </c>
      <c r="AC745" s="79" t="str">
        <f>IF($AC$744=0,"0",IF($AB$743=0,"",($AC$744/$AB$743)*1000))</f>
        <v>0</v>
      </c>
      <c r="AD745" s="79" t="str">
        <f>IF($AD$744=0,"0",IF($AB$743=0,"0",($AD$744/$AB$743)*1000))</f>
        <v>0</v>
      </c>
      <c r="AE745" s="42" t="str">
        <f>$AB$745</f>
        <v>0</v>
      </c>
      <c r="AN745" s="196"/>
      <c r="AO745" s="196"/>
      <c r="BX745" s="196"/>
      <c r="BY745" s="196"/>
      <c r="BZ745" s="196"/>
      <c r="CA745" s="196"/>
      <c r="CB745" s="196"/>
      <c r="CC745" s="196"/>
      <c r="CD745" s="196"/>
      <c r="CE745" s="196"/>
      <c r="CF745" s="196"/>
      <c r="CG745" s="196"/>
      <c r="CH745" s="196"/>
      <c r="CI745" s="196"/>
      <c r="CJ745" s="196"/>
      <c r="CK745" s="196"/>
      <c r="CL745" s="196"/>
      <c r="CM745" s="196"/>
      <c r="CN745" s="196"/>
      <c r="CO745" s="196"/>
      <c r="CP745" s="196"/>
      <c r="CQ745" s="196"/>
      <c r="CR745" s="196"/>
      <c r="CS745" s="196"/>
      <c r="CT745" s="196"/>
      <c r="CU745" s="196"/>
      <c r="CV745" s="196"/>
      <c r="CW745" s="196"/>
      <c r="CX745" s="196"/>
      <c r="CY745" s="196"/>
      <c r="CZ745" s="196"/>
      <c r="DA745" s="196"/>
      <c r="DB745" s="196"/>
      <c r="DC745" s="196"/>
      <c r="DD745" s="196"/>
      <c r="DE745" s="196"/>
      <c r="DF745" s="196"/>
      <c r="DG745" s="196"/>
      <c r="DH745" s="196"/>
      <c r="DI745" s="196"/>
      <c r="DJ745" s="196"/>
      <c r="DK745" s="196"/>
      <c r="DL745" s="196"/>
      <c r="DM745" s="196"/>
      <c r="DN745" s="196"/>
      <c r="DO745" s="196"/>
      <c r="DP745" s="196"/>
      <c r="DQ745" s="196"/>
      <c r="DR745" s="196"/>
      <c r="DS745" s="196"/>
      <c r="DT745" s="196"/>
    </row>
    <row r="746" spans="27:124" ht="15.75" thickBot="1" x14ac:dyDescent="0.3">
      <c r="AN746" s="196"/>
      <c r="AO746" s="196"/>
      <c r="BX746" s="196"/>
      <c r="BY746" s="196"/>
      <c r="BZ746" s="196"/>
      <c r="CA746" s="196"/>
      <c r="CB746" s="196"/>
      <c r="CC746" s="196"/>
      <c r="CD746" s="196"/>
      <c r="CE746" s="196"/>
      <c r="CF746" s="196"/>
      <c r="CG746" s="196"/>
      <c r="CH746" s="196"/>
      <c r="CI746" s="196"/>
      <c r="CJ746" s="196"/>
      <c r="CK746" s="196"/>
      <c r="CL746" s="196"/>
      <c r="CM746" s="196"/>
      <c r="CN746" s="196"/>
      <c r="CO746" s="196"/>
      <c r="CP746" s="196"/>
      <c r="CQ746" s="196"/>
      <c r="CR746" s="196"/>
      <c r="CS746" s="196"/>
      <c r="CT746" s="196"/>
      <c r="CU746" s="196"/>
      <c r="CV746" s="196"/>
      <c r="CW746" s="196"/>
      <c r="CX746" s="196"/>
      <c r="CY746" s="196"/>
      <c r="CZ746" s="196"/>
      <c r="DA746" s="196"/>
      <c r="DB746" s="196"/>
      <c r="DC746" s="196"/>
      <c r="DD746" s="196"/>
      <c r="DE746" s="196"/>
      <c r="DF746" s="196"/>
      <c r="DG746" s="196"/>
      <c r="DH746" s="196"/>
      <c r="DI746" s="196"/>
      <c r="DJ746" s="196"/>
      <c r="DK746" s="196"/>
      <c r="DL746" s="196"/>
      <c r="DM746" s="196"/>
      <c r="DN746" s="196"/>
      <c r="DO746" s="196"/>
      <c r="DP746" s="196"/>
      <c r="DQ746" s="196"/>
      <c r="DR746" s="196"/>
      <c r="DS746" s="196"/>
      <c r="DT746" s="196"/>
    </row>
    <row r="747" spans="27:124" ht="16.5" thickTop="1" thickBot="1" x14ac:dyDescent="0.3">
      <c r="AA747" s="48" t="s">
        <v>113</v>
      </c>
      <c r="AB747" s="287">
        <f>$AB$731+AB739</f>
        <v>0</v>
      </c>
      <c r="AD747" s="196"/>
      <c r="AN747" s="196"/>
      <c r="AO747" s="196"/>
      <c r="BX747" s="196"/>
      <c r="BY747" s="196"/>
      <c r="BZ747" s="196"/>
      <c r="CA747" s="196"/>
      <c r="CB747" s="196"/>
      <c r="CC747" s="196"/>
      <c r="CD747" s="196"/>
      <c r="CE747" s="196"/>
      <c r="CF747" s="196"/>
      <c r="CG747" s="196"/>
      <c r="CH747" s="196"/>
      <c r="CI747" s="196"/>
      <c r="CJ747" s="196"/>
      <c r="CK747" s="196"/>
      <c r="CL747" s="196"/>
      <c r="CM747" s="196"/>
      <c r="CN747" s="196"/>
      <c r="CO747" s="196"/>
      <c r="CP747" s="196"/>
      <c r="CQ747" s="196"/>
      <c r="CR747" s="196"/>
      <c r="CS747" s="196"/>
      <c r="CT747" s="196"/>
      <c r="CU747" s="196"/>
      <c r="CV747" s="196"/>
      <c r="CW747" s="196"/>
      <c r="CX747" s="196"/>
      <c r="CY747" s="196"/>
      <c r="CZ747" s="196"/>
      <c r="DA747" s="196"/>
      <c r="DB747" s="196"/>
      <c r="DC747" s="196"/>
      <c r="DD747" s="196"/>
      <c r="DE747" s="196"/>
      <c r="DF747" s="196"/>
      <c r="DG747" s="196"/>
      <c r="DH747" s="196"/>
      <c r="DI747" s="196"/>
      <c r="DJ747" s="196"/>
      <c r="DK747" s="196"/>
      <c r="DL747" s="196"/>
      <c r="DM747" s="196"/>
      <c r="DN747" s="196"/>
      <c r="DO747" s="196"/>
      <c r="DP747" s="196"/>
      <c r="DQ747" s="196"/>
      <c r="DR747" s="196"/>
      <c r="DS747" s="196"/>
      <c r="DT747" s="196"/>
    </row>
    <row r="748" spans="27:124" ht="16.5" thickTop="1" thickBot="1" x14ac:dyDescent="0.3">
      <c r="AA748" s="37" t="s">
        <v>109</v>
      </c>
      <c r="AB748" s="54"/>
      <c r="AC748" s="196"/>
      <c r="AD748" s="196"/>
      <c r="AN748" s="196"/>
      <c r="AO748" s="196"/>
      <c r="BX748" s="196"/>
      <c r="BY748" s="196"/>
      <c r="BZ748" s="196"/>
      <c r="CA748" s="196"/>
      <c r="CB748" s="196"/>
      <c r="CC748" s="196"/>
      <c r="CD748" s="196"/>
      <c r="CE748" s="196"/>
      <c r="CF748" s="196"/>
      <c r="CG748" s="196"/>
      <c r="CH748" s="196"/>
      <c r="CI748" s="196"/>
      <c r="CJ748" s="196"/>
      <c r="CK748" s="196"/>
      <c r="CL748" s="196"/>
      <c r="CM748" s="196"/>
      <c r="CN748" s="196"/>
      <c r="CO748" s="196"/>
      <c r="CP748" s="196"/>
      <c r="CQ748" s="196"/>
      <c r="CR748" s="196"/>
      <c r="CS748" s="196"/>
      <c r="CT748" s="196"/>
      <c r="CU748" s="196"/>
      <c r="CV748" s="196"/>
      <c r="CW748" s="196"/>
      <c r="CX748" s="196"/>
      <c r="CY748" s="196"/>
      <c r="CZ748" s="196"/>
      <c r="DA748" s="196"/>
      <c r="DB748" s="196"/>
      <c r="DC748" s="196"/>
      <c r="DD748" s="196"/>
      <c r="DE748" s="196"/>
      <c r="DF748" s="196"/>
      <c r="DG748" s="196"/>
      <c r="DH748" s="196"/>
      <c r="DI748" s="196"/>
      <c r="DJ748" s="196"/>
      <c r="DK748" s="196"/>
      <c r="DL748" s="196"/>
      <c r="DM748" s="196"/>
      <c r="DN748" s="196"/>
      <c r="DO748" s="196"/>
      <c r="DP748" s="196"/>
      <c r="DQ748" s="196"/>
      <c r="DR748" s="196"/>
      <c r="DS748" s="196"/>
      <c r="DT748" s="196"/>
    </row>
    <row r="749" spans="27:124" ht="16.5" thickTop="1" thickBot="1" x14ac:dyDescent="0.3">
      <c r="AA749" s="37"/>
      <c r="AB749" s="54"/>
      <c r="AC749" s="196"/>
      <c r="AD749" s="196"/>
      <c r="AN749" s="196"/>
      <c r="AO749" s="196"/>
      <c r="BX749" s="196"/>
      <c r="BY749" s="196"/>
      <c r="BZ749" s="196"/>
      <c r="CA749" s="196"/>
      <c r="CB749" s="196"/>
      <c r="CC749" s="196"/>
      <c r="CD749" s="196"/>
      <c r="CE749" s="196"/>
      <c r="CF749" s="196"/>
      <c r="CG749" s="196"/>
      <c r="CH749" s="196"/>
      <c r="CI749" s="196"/>
      <c r="CJ749" s="196"/>
      <c r="CK749" s="196"/>
      <c r="CL749" s="196"/>
      <c r="CM749" s="196"/>
      <c r="CN749" s="196"/>
      <c r="CO749" s="196"/>
      <c r="CP749" s="196"/>
      <c r="CQ749" s="196"/>
      <c r="CR749" s="196"/>
      <c r="CS749" s="196"/>
      <c r="CT749" s="196"/>
      <c r="CU749" s="196"/>
      <c r="CV749" s="196"/>
      <c r="CW749" s="196"/>
      <c r="CX749" s="196"/>
      <c r="CY749" s="196"/>
      <c r="CZ749" s="196"/>
      <c r="DA749" s="196"/>
      <c r="DB749" s="196"/>
      <c r="DC749" s="196"/>
      <c r="DD749" s="196"/>
      <c r="DE749" s="196"/>
      <c r="DF749" s="196"/>
      <c r="DG749" s="196"/>
      <c r="DH749" s="196"/>
      <c r="DI749" s="196"/>
      <c r="DJ749" s="196"/>
      <c r="DK749" s="196"/>
      <c r="DL749" s="196"/>
      <c r="DM749" s="196"/>
      <c r="DN749" s="196"/>
      <c r="DO749" s="196"/>
      <c r="DP749" s="196"/>
      <c r="DQ749" s="196"/>
      <c r="DR749" s="196"/>
      <c r="DS749" s="196"/>
      <c r="DT749" s="196"/>
    </row>
    <row r="750" spans="27:124" ht="16.5" thickTop="1" thickBot="1" x14ac:dyDescent="0.3">
      <c r="AA750" s="27" t="s">
        <v>114</v>
      </c>
      <c r="AB750" s="287">
        <f>$AB$734+$AB$742</f>
        <v>0</v>
      </c>
      <c r="AC750" s="196"/>
      <c r="AD750" s="196"/>
      <c r="AN750" s="196"/>
      <c r="AO750" s="196"/>
      <c r="BX750" s="196"/>
      <c r="BY750" s="196"/>
      <c r="BZ750" s="196"/>
      <c r="CA750" s="196"/>
      <c r="CB750" s="196"/>
      <c r="CC750" s="196"/>
      <c r="CD750" s="196"/>
      <c r="CE750" s="196"/>
      <c r="CF750" s="196"/>
      <c r="CG750" s="196"/>
      <c r="CH750" s="196"/>
      <c r="CI750" s="196"/>
      <c r="CJ750" s="196"/>
      <c r="CK750" s="196"/>
      <c r="CL750" s="196"/>
      <c r="CM750" s="196"/>
      <c r="CN750" s="196"/>
      <c r="CO750" s="196"/>
      <c r="CP750" s="196"/>
      <c r="CQ750" s="196"/>
      <c r="CR750" s="196"/>
      <c r="CS750" s="196"/>
      <c r="CT750" s="196"/>
      <c r="CU750" s="196"/>
      <c r="CV750" s="196"/>
      <c r="CW750" s="196"/>
      <c r="CX750" s="196"/>
      <c r="CY750" s="196"/>
      <c r="CZ750" s="196"/>
      <c r="DA750" s="196"/>
      <c r="DB750" s="196"/>
      <c r="DC750" s="196"/>
      <c r="DD750" s="196"/>
      <c r="DE750" s="196"/>
      <c r="DF750" s="196"/>
      <c r="DG750" s="196"/>
      <c r="DH750" s="196"/>
      <c r="DI750" s="196"/>
      <c r="DJ750" s="196"/>
      <c r="DK750" s="196"/>
      <c r="DL750" s="196"/>
      <c r="DM750" s="196"/>
      <c r="DN750" s="196"/>
      <c r="DO750" s="196"/>
      <c r="DP750" s="196"/>
      <c r="DQ750" s="196"/>
      <c r="DR750" s="196"/>
      <c r="DS750" s="196"/>
      <c r="DT750" s="196"/>
    </row>
    <row r="751" spans="27:124" ht="16.5" thickTop="1" thickBot="1" x14ac:dyDescent="0.3">
      <c r="AA751" s="37" t="s">
        <v>116</v>
      </c>
      <c r="AB751" s="54">
        <f>$AB$735</f>
        <v>0</v>
      </c>
      <c r="AC751" s="196"/>
      <c r="AD751" s="196"/>
      <c r="AN751" s="196"/>
      <c r="AO751" s="196"/>
      <c r="BX751" s="196"/>
      <c r="BY751" s="196"/>
      <c r="BZ751" s="196"/>
      <c r="CA751" s="196"/>
      <c r="CB751" s="196"/>
      <c r="CC751" s="196"/>
      <c r="CD751" s="196"/>
      <c r="CE751" s="196"/>
      <c r="CF751" s="196"/>
      <c r="CG751" s="196"/>
      <c r="CH751" s="196"/>
      <c r="CI751" s="196"/>
      <c r="CJ751" s="196"/>
      <c r="CK751" s="196"/>
      <c r="CL751" s="196"/>
      <c r="CM751" s="196"/>
      <c r="CN751" s="196"/>
      <c r="CO751" s="196"/>
      <c r="CP751" s="196"/>
      <c r="CQ751" s="196"/>
      <c r="CR751" s="196"/>
      <c r="CS751" s="196"/>
      <c r="CT751" s="196"/>
      <c r="CU751" s="196"/>
      <c r="CV751" s="196"/>
      <c r="CW751" s="196"/>
      <c r="CX751" s="196"/>
      <c r="CY751" s="196"/>
      <c r="CZ751" s="196"/>
      <c r="DA751" s="196"/>
      <c r="DB751" s="196"/>
      <c r="DC751" s="196"/>
      <c r="DD751" s="196"/>
      <c r="DE751" s="196"/>
      <c r="DF751" s="196"/>
      <c r="DG751" s="196"/>
      <c r="DH751" s="196"/>
      <c r="DI751" s="196"/>
      <c r="DJ751" s="196"/>
      <c r="DK751" s="196"/>
      <c r="DL751" s="196"/>
      <c r="DM751" s="196"/>
      <c r="DN751" s="196"/>
      <c r="DO751" s="196"/>
      <c r="DP751" s="196"/>
      <c r="DQ751" s="196"/>
      <c r="DR751" s="196"/>
      <c r="DS751" s="196"/>
      <c r="DT751" s="196"/>
    </row>
    <row r="752" spans="27:124" ht="16.5" thickTop="1" thickBot="1" x14ac:dyDescent="0.3">
      <c r="AA752" s="41" t="s">
        <v>115</v>
      </c>
      <c r="AB752" s="287">
        <f>$AE$736+AE744</f>
        <v>0</v>
      </c>
      <c r="AC752" s="196"/>
      <c r="AD752" s="196"/>
      <c r="AN752" s="196"/>
      <c r="AO752" s="196"/>
      <c r="BX752" s="196"/>
      <c r="BY752" s="196"/>
      <c r="BZ752" s="196"/>
      <c r="CA752" s="196"/>
      <c r="CB752" s="196"/>
      <c r="CC752" s="196"/>
      <c r="CD752" s="196"/>
      <c r="CE752" s="196"/>
      <c r="CF752" s="196"/>
      <c r="CG752" s="196"/>
      <c r="CH752" s="196"/>
      <c r="CI752" s="196"/>
      <c r="CJ752" s="196"/>
      <c r="CK752" s="196"/>
      <c r="CL752" s="196"/>
      <c r="CM752" s="196"/>
      <c r="CN752" s="196"/>
      <c r="CO752" s="196"/>
      <c r="CP752" s="196"/>
      <c r="CQ752" s="196"/>
      <c r="CR752" s="196"/>
      <c r="CS752" s="196"/>
      <c r="CT752" s="196"/>
      <c r="CU752" s="196"/>
      <c r="CV752" s="196"/>
      <c r="CW752" s="196"/>
      <c r="CX752" s="196"/>
      <c r="CY752" s="196"/>
      <c r="CZ752" s="196"/>
      <c r="DA752" s="196"/>
      <c r="DB752" s="196"/>
      <c r="DC752" s="196"/>
      <c r="DD752" s="196"/>
      <c r="DE752" s="196"/>
      <c r="DF752" s="196"/>
      <c r="DG752" s="196"/>
      <c r="DH752" s="196"/>
      <c r="DI752" s="196"/>
      <c r="DJ752" s="196"/>
      <c r="DK752" s="196"/>
      <c r="DL752" s="196"/>
      <c r="DM752" s="196"/>
      <c r="DN752" s="196"/>
      <c r="DO752" s="196"/>
      <c r="DP752" s="196"/>
      <c r="DQ752" s="196"/>
      <c r="DR752" s="196"/>
      <c r="DS752" s="196"/>
      <c r="DT752" s="196"/>
    </row>
    <row r="753" spans="26:124" ht="16.5" thickTop="1" thickBot="1" x14ac:dyDescent="0.3">
      <c r="AA753" s="41" t="s">
        <v>117</v>
      </c>
      <c r="AB753" s="287">
        <f>IFERROR($AE$737+$AE$745,"")</f>
        <v>0</v>
      </c>
      <c r="AC753" s="224" t="str">
        <f>IF(_xlfn.NUMBERVALUE($AB$753)&gt;=$AD$753,$AE$753,"")</f>
        <v/>
      </c>
      <c r="AD753" s="70">
        <v>5000000</v>
      </c>
      <c r="AE753" s="196" t="s">
        <v>409</v>
      </c>
      <c r="AN753" s="196"/>
      <c r="AO753" s="196"/>
      <c r="BX753" s="196"/>
      <c r="BY753" s="196"/>
      <c r="BZ753" s="196"/>
      <c r="CA753" s="196"/>
      <c r="CB753" s="196"/>
      <c r="CC753" s="196"/>
      <c r="CD753" s="196"/>
      <c r="CE753" s="196"/>
      <c r="CF753" s="196"/>
      <c r="CG753" s="196"/>
      <c r="CH753" s="196"/>
      <c r="CI753" s="196"/>
      <c r="CJ753" s="196"/>
      <c r="CK753" s="196"/>
      <c r="CL753" s="196"/>
      <c r="CM753" s="196"/>
      <c r="CN753" s="196"/>
      <c r="CO753" s="196"/>
      <c r="CP753" s="196"/>
      <c r="CQ753" s="196"/>
      <c r="CR753" s="196"/>
      <c r="CS753" s="196"/>
      <c r="CT753" s="196"/>
      <c r="CU753" s="196"/>
      <c r="CV753" s="196"/>
      <c r="CW753" s="196"/>
      <c r="CX753" s="196"/>
      <c r="CY753" s="196"/>
      <c r="CZ753" s="196"/>
      <c r="DA753" s="196"/>
      <c r="DB753" s="196"/>
      <c r="DC753" s="196"/>
      <c r="DD753" s="196"/>
      <c r="DE753" s="196"/>
      <c r="DF753" s="196"/>
      <c r="DG753" s="196"/>
      <c r="DH753" s="196"/>
      <c r="DI753" s="196"/>
      <c r="DJ753" s="196"/>
      <c r="DK753" s="196"/>
      <c r="DL753" s="196"/>
      <c r="DM753" s="196"/>
      <c r="DN753" s="196"/>
      <c r="DO753" s="196"/>
      <c r="DP753" s="196"/>
      <c r="DQ753" s="196"/>
      <c r="DR753" s="196"/>
      <c r="DS753" s="196"/>
      <c r="DT753" s="196"/>
    </row>
    <row r="754" spans="26:124" x14ac:dyDescent="0.25">
      <c r="AN754" s="196"/>
      <c r="AO754" s="196"/>
      <c r="BX754" s="196"/>
      <c r="BY754" s="196"/>
      <c r="BZ754" s="196"/>
      <c r="CA754" s="196"/>
      <c r="CB754" s="196"/>
      <c r="CC754" s="196"/>
      <c r="CD754" s="196"/>
      <c r="CE754" s="196"/>
      <c r="CF754" s="196"/>
      <c r="CG754" s="196"/>
      <c r="CH754" s="196"/>
      <c r="CI754" s="196"/>
      <c r="CJ754" s="196"/>
      <c r="CK754" s="196"/>
      <c r="CL754" s="196"/>
      <c r="CM754" s="196"/>
      <c r="CN754" s="196"/>
      <c r="CO754" s="196"/>
      <c r="CP754" s="196"/>
      <c r="CQ754" s="196"/>
      <c r="CR754" s="196"/>
      <c r="CS754" s="196"/>
      <c r="CT754" s="196"/>
      <c r="CU754" s="196"/>
      <c r="CV754" s="196"/>
      <c r="CW754" s="196"/>
      <c r="CX754" s="196"/>
      <c r="CY754" s="196"/>
      <c r="CZ754" s="196"/>
      <c r="DA754" s="196"/>
      <c r="DB754" s="196"/>
      <c r="DC754" s="196"/>
      <c r="DD754" s="196"/>
      <c r="DE754" s="196"/>
      <c r="DF754" s="196"/>
      <c r="DG754" s="196"/>
      <c r="DH754" s="196"/>
      <c r="DI754" s="196"/>
      <c r="DJ754" s="196"/>
      <c r="DK754" s="196"/>
      <c r="DL754" s="196"/>
      <c r="DM754" s="196"/>
      <c r="DN754" s="196"/>
      <c r="DO754" s="196"/>
      <c r="DP754" s="196"/>
      <c r="DQ754" s="196"/>
      <c r="DR754" s="196"/>
      <c r="DS754" s="196"/>
      <c r="DT754" s="196"/>
    </row>
    <row r="755" spans="26:124" x14ac:dyDescent="0.25">
      <c r="AN755" s="196"/>
      <c r="AO755" s="196"/>
      <c r="BX755" s="196"/>
      <c r="BY755" s="196"/>
      <c r="BZ755" s="196"/>
      <c r="CA755" s="196"/>
      <c r="CB755" s="196"/>
      <c r="CC755" s="196"/>
      <c r="CD755" s="196"/>
      <c r="CE755" s="196"/>
      <c r="CF755" s="196"/>
      <c r="CG755" s="196"/>
      <c r="CH755" s="196"/>
      <c r="CI755" s="196"/>
      <c r="CJ755" s="196"/>
      <c r="CK755" s="196"/>
      <c r="CL755" s="196"/>
      <c r="CM755" s="196"/>
      <c r="CN755" s="196"/>
      <c r="CO755" s="196"/>
      <c r="CP755" s="196"/>
      <c r="CQ755" s="196"/>
      <c r="CR755" s="196"/>
      <c r="CS755" s="196"/>
      <c r="CT755" s="196"/>
      <c r="CU755" s="196"/>
      <c r="CV755" s="196"/>
      <c r="CW755" s="196"/>
      <c r="CX755" s="196"/>
      <c r="CY755" s="196"/>
      <c r="CZ755" s="196"/>
      <c r="DA755" s="196"/>
      <c r="DB755" s="196"/>
      <c r="DC755" s="196"/>
      <c r="DD755" s="196"/>
      <c r="DE755" s="196"/>
      <c r="DF755" s="196"/>
      <c r="DG755" s="196"/>
      <c r="DH755" s="196"/>
      <c r="DI755" s="196"/>
      <c r="DJ755" s="196"/>
      <c r="DK755" s="196"/>
      <c r="DL755" s="196"/>
      <c r="DM755" s="196"/>
      <c r="DN755" s="196"/>
      <c r="DO755" s="196"/>
      <c r="DP755" s="196"/>
      <c r="DQ755" s="196"/>
      <c r="DR755" s="196"/>
      <c r="DS755" s="196"/>
      <c r="DT755" s="196"/>
    </row>
    <row r="756" spans="26:124" x14ac:dyDescent="0.25">
      <c r="AJ756" s="196"/>
      <c r="AK756" s="196"/>
      <c r="AL756" s="196"/>
      <c r="AM756" s="196"/>
      <c r="AN756" s="196"/>
      <c r="AO756" s="196"/>
      <c r="BX756" s="196"/>
      <c r="BY756" s="196"/>
      <c r="BZ756" s="196"/>
      <c r="CA756" s="196"/>
      <c r="CB756" s="196"/>
      <c r="CC756" s="196"/>
      <c r="CD756" s="196"/>
      <c r="CE756" s="196"/>
      <c r="CF756" s="196"/>
      <c r="CG756" s="196"/>
      <c r="CH756" s="196"/>
      <c r="CI756" s="196"/>
      <c r="CJ756" s="196"/>
      <c r="CK756" s="196"/>
      <c r="CL756" s="196"/>
      <c r="CM756" s="196"/>
      <c r="CN756" s="196"/>
      <c r="CO756" s="196"/>
      <c r="CP756" s="196"/>
      <c r="CQ756" s="196"/>
      <c r="CR756" s="196"/>
      <c r="CS756" s="196"/>
      <c r="CT756" s="196"/>
      <c r="CU756" s="196"/>
      <c r="CV756" s="196"/>
      <c r="CW756" s="196"/>
      <c r="CX756" s="196"/>
      <c r="CY756" s="196"/>
      <c r="CZ756" s="196"/>
      <c r="DA756" s="196"/>
      <c r="DB756" s="196"/>
      <c r="DC756" s="196"/>
      <c r="DD756" s="196"/>
      <c r="DE756" s="196"/>
      <c r="DF756" s="196"/>
      <c r="DG756" s="196"/>
      <c r="DH756" s="196"/>
      <c r="DI756" s="196"/>
      <c r="DJ756" s="196"/>
      <c r="DK756" s="196"/>
      <c r="DL756" s="196"/>
      <c r="DM756" s="196"/>
      <c r="DN756" s="196"/>
      <c r="DO756" s="196"/>
      <c r="DP756" s="196"/>
      <c r="DQ756" s="196"/>
      <c r="DR756" s="196"/>
      <c r="DS756" s="196"/>
      <c r="DT756" s="196"/>
    </row>
    <row r="757" spans="26:124" x14ac:dyDescent="0.25">
      <c r="AJ757" s="315" t="s">
        <v>525</v>
      </c>
      <c r="AK757" s="196"/>
      <c r="AL757" s="196"/>
      <c r="AM757" s="196"/>
      <c r="AN757" s="196"/>
      <c r="AO757" s="196"/>
      <c r="BX757" s="196"/>
      <c r="BY757" s="196"/>
      <c r="BZ757" s="196"/>
      <c r="CA757" s="196"/>
      <c r="CB757" s="196"/>
      <c r="CC757" s="196"/>
      <c r="CD757" s="196"/>
      <c r="CE757" s="196"/>
      <c r="CF757" s="196"/>
      <c r="CG757" s="196"/>
      <c r="CH757" s="196"/>
      <c r="CI757" s="196"/>
      <c r="CJ757" s="196"/>
      <c r="CK757" s="196"/>
      <c r="CL757" s="196"/>
      <c r="CM757" s="196"/>
      <c r="CN757" s="196"/>
      <c r="CO757" s="196"/>
      <c r="CP757" s="196"/>
      <c r="CQ757" s="196"/>
      <c r="CR757" s="196"/>
      <c r="CS757" s="196"/>
      <c r="CT757" s="196"/>
      <c r="CU757" s="196"/>
      <c r="CV757" s="196"/>
      <c r="CW757" s="196"/>
      <c r="CX757" s="196"/>
      <c r="CY757" s="196"/>
      <c r="CZ757" s="196"/>
      <c r="DA757" s="196"/>
      <c r="DB757" s="196"/>
      <c r="DC757" s="196"/>
      <c r="DD757" s="196"/>
      <c r="DE757" s="196"/>
      <c r="DF757" s="196"/>
      <c r="DG757" s="196"/>
      <c r="DH757" s="196"/>
      <c r="DI757" s="196"/>
      <c r="DJ757" s="196"/>
      <c r="DK757" s="196"/>
      <c r="DL757" s="196"/>
      <c r="DM757" s="196"/>
      <c r="DN757" s="196"/>
      <c r="DO757" s="196"/>
      <c r="DP757" s="196"/>
      <c r="DQ757" s="196"/>
      <c r="DR757" s="196"/>
      <c r="DS757" s="196"/>
      <c r="DT757" s="196"/>
    </row>
    <row r="758" spans="26:124" ht="15.75" thickBot="1" x14ac:dyDescent="0.3">
      <c r="AJ758" s="315" t="s">
        <v>521</v>
      </c>
      <c r="AK758" s="196"/>
      <c r="AL758" s="196"/>
      <c r="AM758" s="196"/>
      <c r="AN758" s="196"/>
      <c r="AO758" s="196"/>
      <c r="BX758" s="196"/>
      <c r="BY758" s="196"/>
      <c r="BZ758" s="196"/>
      <c r="CA758" s="196"/>
      <c r="CB758" s="196"/>
      <c r="CC758" s="196"/>
      <c r="CD758" s="196"/>
      <c r="CE758" s="196"/>
      <c r="CF758" s="196"/>
      <c r="CG758" s="196"/>
      <c r="CH758" s="196"/>
      <c r="CI758" s="196"/>
      <c r="CJ758" s="196"/>
      <c r="CK758" s="196"/>
      <c r="CL758" s="196"/>
      <c r="CM758" s="196"/>
      <c r="CN758" s="196"/>
      <c r="CO758" s="196"/>
      <c r="CP758" s="196"/>
      <c r="CQ758" s="196"/>
      <c r="CR758" s="196"/>
      <c r="CS758" s="196"/>
      <c r="CT758" s="196"/>
      <c r="CU758" s="196"/>
      <c r="CV758" s="196"/>
      <c r="CW758" s="196"/>
      <c r="CX758" s="196"/>
      <c r="CY758" s="196"/>
      <c r="CZ758" s="196"/>
      <c r="DA758" s="196"/>
      <c r="DB758" s="196"/>
      <c r="DC758" s="196"/>
      <c r="DD758" s="196"/>
      <c r="DE758" s="196"/>
      <c r="DF758" s="196"/>
      <c r="DG758" s="196"/>
      <c r="DH758" s="196"/>
      <c r="DI758" s="196"/>
      <c r="DJ758" s="196"/>
      <c r="DK758" s="196"/>
      <c r="DL758" s="196"/>
      <c r="DM758" s="196"/>
      <c r="DN758" s="196"/>
      <c r="DO758" s="196"/>
      <c r="DP758" s="196"/>
      <c r="DQ758" s="196"/>
      <c r="DR758" s="196"/>
      <c r="DS758" s="196"/>
      <c r="DT758" s="196"/>
    </row>
    <row r="759" spans="26:124" ht="16.5" customHeight="1" thickTop="1" thickBot="1" x14ac:dyDescent="0.3">
      <c r="AD759" s="196"/>
      <c r="AE759" s="196"/>
      <c r="AF759" s="196"/>
      <c r="AJ759" s="315" t="s">
        <v>522</v>
      </c>
      <c r="AK759" s="196"/>
      <c r="AL759" s="196"/>
      <c r="AM759" s="196"/>
      <c r="AN759" s="196"/>
      <c r="AO759" s="196"/>
      <c r="AQ759" s="306"/>
      <c r="AR759" s="287" t="str">
        <f>IFERROR(IF($AQ$759="","",VLOOKUP($AQ$759,ESTADO,2,0)),"Otros")</f>
        <v/>
      </c>
      <c r="AS759" s="328" t="str">
        <f>IF($AR$759="","",IF($AR$759=$AI$771,"OK",IF($AR$759=$AI$772,"OK",IF($AR$759=$AI$773,"OK",""))))</f>
        <v/>
      </c>
      <c r="AW759" s="287" t="str">
        <f>IFERROR(IF($AQ$759="","",VLOOKUP($AQ$759,$AU$760:$AW$1104,3,0)),"Otros")</f>
        <v/>
      </c>
      <c r="BX759" s="196"/>
      <c r="BY759" s="196"/>
      <c r="BZ759" s="196"/>
      <c r="CA759" s="196"/>
      <c r="CB759" s="196"/>
      <c r="CC759" s="196"/>
      <c r="CD759" s="196"/>
      <c r="CE759" s="196"/>
      <c r="CF759" s="196"/>
      <c r="CG759" s="196"/>
      <c r="CH759" s="196"/>
      <c r="CI759" s="196"/>
      <c r="CJ759" s="196"/>
      <c r="CK759" s="196"/>
      <c r="CL759" s="196"/>
      <c r="CM759" s="196"/>
      <c r="CN759" s="196"/>
      <c r="CO759" s="196"/>
      <c r="CP759" s="196"/>
      <c r="CQ759" s="196"/>
      <c r="CR759" s="196"/>
      <c r="CS759" s="196"/>
      <c r="CT759" s="196"/>
      <c r="CU759" s="196"/>
      <c r="CV759" s="196"/>
      <c r="CW759" s="196"/>
      <c r="CX759" s="196"/>
      <c r="CY759" s="196"/>
      <c r="CZ759" s="196"/>
      <c r="DA759" s="196"/>
      <c r="DB759" s="196"/>
      <c r="DC759" s="196"/>
      <c r="DD759" s="196"/>
      <c r="DE759" s="196"/>
      <c r="DF759" s="196"/>
      <c r="DG759" s="196"/>
      <c r="DH759" s="196"/>
      <c r="DI759" s="196"/>
      <c r="DJ759" s="196"/>
      <c r="DK759" s="196"/>
      <c r="DL759" s="196"/>
      <c r="DM759" s="196"/>
      <c r="DN759" s="196"/>
      <c r="DO759" s="196"/>
      <c r="DP759" s="196"/>
      <c r="DQ759" s="196"/>
      <c r="DR759" s="196"/>
      <c r="DS759" s="196"/>
      <c r="DT759" s="196"/>
    </row>
    <row r="760" spans="26:124" ht="16.5" thickTop="1" thickBot="1" x14ac:dyDescent="0.3">
      <c r="AA760" s="497" t="s">
        <v>456</v>
      </c>
      <c r="AB760" s="498"/>
      <c r="AC760" s="498"/>
      <c r="AD760" s="498"/>
      <c r="AE760" s="498"/>
      <c r="AF760" s="498"/>
      <c r="AJ760" s="196"/>
      <c r="AK760" s="196"/>
      <c r="AL760" s="196"/>
      <c r="AM760" s="196"/>
      <c r="AN760" s="196"/>
      <c r="AO760" s="196"/>
      <c r="AU760" s="337" t="s">
        <v>558</v>
      </c>
      <c r="AV760" s="338" t="s">
        <v>559</v>
      </c>
      <c r="BX760" s="196"/>
      <c r="BY760" s="196"/>
      <c r="BZ760" s="196"/>
      <c r="CA760" s="196"/>
      <c r="CB760" s="196"/>
      <c r="CC760" s="196"/>
      <c r="CD760" s="196"/>
      <c r="CE760" s="196"/>
      <c r="CF760" s="196"/>
      <c r="CG760" s="196"/>
      <c r="CH760" s="196"/>
      <c r="CI760" s="196"/>
      <c r="CJ760" s="196"/>
      <c r="CK760" s="196"/>
      <c r="CL760" s="196"/>
      <c r="CM760" s="196"/>
      <c r="CN760" s="196"/>
      <c r="CO760" s="196"/>
      <c r="CP760" s="196"/>
      <c r="CQ760" s="196"/>
      <c r="CR760" s="196"/>
      <c r="CS760" s="196"/>
      <c r="CT760" s="196"/>
      <c r="CU760" s="196"/>
      <c r="CV760" s="196"/>
      <c r="CW760" s="196"/>
      <c r="CX760" s="196"/>
      <c r="CY760" s="196"/>
      <c r="CZ760" s="196"/>
      <c r="DA760" s="196"/>
      <c r="DB760" s="196"/>
      <c r="DC760" s="196"/>
      <c r="DD760" s="196"/>
      <c r="DE760" s="196"/>
      <c r="DF760" s="196"/>
      <c r="DG760" s="196"/>
      <c r="DH760" s="196"/>
      <c r="DI760" s="196"/>
      <c r="DJ760" s="196"/>
      <c r="DK760" s="196"/>
      <c r="DL760" s="196"/>
      <c r="DM760" s="196"/>
      <c r="DN760" s="196"/>
      <c r="DO760" s="196"/>
      <c r="DP760" s="196"/>
      <c r="DQ760" s="196"/>
      <c r="DR760" s="196"/>
      <c r="DS760" s="196"/>
      <c r="DT760" s="196"/>
    </row>
    <row r="761" spans="26:124" s="196" customFormat="1" ht="16.5" thickTop="1" thickBot="1" x14ac:dyDescent="0.3">
      <c r="AA761" s="41" t="s">
        <v>490</v>
      </c>
      <c r="AB761" s="306"/>
      <c r="AC761" s="303" t="str">
        <f>IFERROR(VLOOKUP($AB$761,$AA$775:$AF$785,2,0),"")</f>
        <v/>
      </c>
      <c r="AD761" s="44" t="s">
        <v>545</v>
      </c>
      <c r="AE761" s="300" t="str">
        <f>IF($C$782=$D$782,"No Aplica",IF($C$782=$E$782,"No Aplica","Rechazo"))</f>
        <v>Rechazo</v>
      </c>
      <c r="AI761" s="147" t="str">
        <f>$V$789</f>
        <v>FOVISSSTE para todos</v>
      </c>
      <c r="AJ761" s="79">
        <v>1</v>
      </c>
      <c r="AK761" s="252" t="s">
        <v>520</v>
      </c>
      <c r="AU761" s="336">
        <v>257</v>
      </c>
      <c r="AV761" s="336" t="s">
        <v>511</v>
      </c>
      <c r="AW761" s="336" t="s">
        <v>511</v>
      </c>
    </row>
    <row r="762" spans="26:124" s="196" customFormat="1" ht="16.5" thickTop="1" thickBot="1" x14ac:dyDescent="0.3">
      <c r="AA762" s="41" t="s">
        <v>457</v>
      </c>
      <c r="AB762" s="306"/>
      <c r="AC762" s="303" t="str">
        <f>IFERROR(VLOOKUP($AB$761,$AA$775:$AF$785,3,0),"")</f>
        <v/>
      </c>
      <c r="AD762" s="270" t="s">
        <v>544</v>
      </c>
      <c r="AE762" s="79" t="str">
        <f>IFERROR(IF($AB$769="","",IF($AB$769=$AE$761,$AE$761,IF($AB$769&gt;$AB$771,$AB$771,$AB$769))),"")</f>
        <v/>
      </c>
      <c r="AI762" s="452" t="str">
        <f>IF($AB$761=$AA$776,$AA$776&amp;$AI$771,IF($AB$761=$AA$777,$AA$777&amp;$AI$771,$AA$776&amp;$AI$771))</f>
        <v>High Quality: COFINAVIT,Apoyo INFONAVIT,FOVISSSTE Aliados,FOVISSSTE RespaldadosTabasco</v>
      </c>
      <c r="AJ762" s="79">
        <v>1</v>
      </c>
      <c r="AU762" s="336">
        <v>260</v>
      </c>
      <c r="AV762" s="336" t="s">
        <v>511</v>
      </c>
      <c r="AW762" s="336" t="s">
        <v>511</v>
      </c>
    </row>
    <row r="763" spans="26:124" ht="16.5" thickTop="1" thickBot="1" x14ac:dyDescent="0.3">
      <c r="AA763" s="41" t="s">
        <v>507</v>
      </c>
      <c r="AB763" s="306"/>
      <c r="AC763" s="303" t="str">
        <f>IFERROR(VLOOKUP($AB$761,$AA$775:$AF$785,4,0),"")</f>
        <v/>
      </c>
      <c r="AD763" s="270" t="s">
        <v>546</v>
      </c>
      <c r="AE763" s="79" t="str">
        <f>IFERROR(IF($AE$762=$AE$761,$AE$761,$AE$762),"")</f>
        <v/>
      </c>
      <c r="AF763" s="196"/>
      <c r="AI763" s="452" t="str">
        <f>IF($AB$761=$AA$776,$AA$776&amp;$AI$772,IF($AB$761=$AA$777,$AA$777&amp;$AI$772,$AA$776&amp;$AI$772))</f>
        <v>High Quality: COFINAVIT,Apoyo INFONAVIT,FOVISSSTE Aliados,FOVISSSTE RespaldadosTamaulipas</v>
      </c>
      <c r="AJ763" s="79">
        <v>1</v>
      </c>
      <c r="AK763" s="252" t="s">
        <v>552</v>
      </c>
      <c r="AN763" s="388" t="str">
        <f>$AB$775</f>
        <v>No Asalariado</v>
      </c>
      <c r="AO763" s="388" t="str">
        <f>IF($AB$762=$AN$763,"OK",IF($AB$762=$AB$785,"OK",""))</f>
        <v/>
      </c>
      <c r="AP763" s="388" t="s">
        <v>659</v>
      </c>
      <c r="AR763" s="382" t="s">
        <v>638</v>
      </c>
      <c r="AS763" s="330" t="s">
        <v>639</v>
      </c>
      <c r="AU763" s="336">
        <v>263</v>
      </c>
      <c r="AV763" s="336" t="s">
        <v>511</v>
      </c>
      <c r="AW763" s="336" t="s">
        <v>511</v>
      </c>
      <c r="BX763" s="196"/>
      <c r="BY763" s="196"/>
      <c r="BZ763" s="196"/>
      <c r="CA763" s="196"/>
      <c r="CB763" s="196"/>
      <c r="CC763" s="196"/>
      <c r="CD763" s="196"/>
      <c r="CE763" s="196"/>
      <c r="CF763" s="196"/>
      <c r="CG763" s="196"/>
      <c r="CH763" s="196"/>
      <c r="CI763" s="196"/>
      <c r="CJ763" s="196"/>
      <c r="CK763" s="196"/>
      <c r="CL763" s="196"/>
      <c r="CM763" s="196"/>
      <c r="CN763" s="196"/>
      <c r="CO763" s="196"/>
      <c r="CP763" s="196"/>
      <c r="CQ763" s="196"/>
      <c r="CR763" s="196"/>
      <c r="CS763" s="196"/>
      <c r="CT763" s="196"/>
      <c r="CU763" s="196"/>
      <c r="CV763" s="196"/>
      <c r="CW763" s="196"/>
      <c r="CX763" s="196"/>
      <c r="CY763" s="196"/>
      <c r="CZ763" s="196"/>
      <c r="DA763" s="196"/>
      <c r="DB763" s="196"/>
      <c r="DC763" s="196"/>
      <c r="DD763" s="196"/>
      <c r="DE763" s="196"/>
      <c r="DF763" s="196"/>
      <c r="DG763" s="196"/>
      <c r="DH763" s="196"/>
      <c r="DI763" s="196"/>
      <c r="DJ763" s="196"/>
      <c r="DK763" s="196"/>
      <c r="DL763" s="196"/>
      <c r="DM763" s="196"/>
      <c r="DN763" s="196"/>
      <c r="DO763" s="196"/>
      <c r="DP763" s="196"/>
      <c r="DQ763" s="196"/>
      <c r="DR763" s="196"/>
      <c r="DS763" s="196"/>
      <c r="DT763" s="196"/>
    </row>
    <row r="764" spans="26:124" ht="16.5" thickTop="1" thickBot="1" x14ac:dyDescent="0.3">
      <c r="AA764" s="41" t="s">
        <v>458</v>
      </c>
      <c r="AB764" s="306"/>
      <c r="AC764" s="303" t="str">
        <f>IFERROR(VLOOKUP($AB$761,$AA$775:$AF$785,5,0),"")</f>
        <v/>
      </c>
      <c r="AD764" s="270" t="s">
        <v>547</v>
      </c>
      <c r="AE764" s="310" t="str">
        <f>IF($AB$762=$C$789,$C$825,IF($AB$762=$D$789,$D$825,IF($AB$762=$E$789,$E$825,IF($AB$762=$F$789,$F$825,IF($AB$762=$G$789,$G$825,IF($AB$762=$H$789,$H$825,IF($AB$762=$I$789,$I$825,IF($AB$762=$J$789,$J$825,IF($AB$762=$K$789,$K$825,IF($AB$762=$L$789,$L$825,IF($AB$762=$M$789,$M$825,IF($AB$762=$N$789,$N$825,IF($AB$762=$O$789,$O$825,IF($AB$762=$P$789,$P$825,IF($AB$762=$Q$789,$Q$825,IF($AB$762=$R$789,$R$825,IF($AB$762=$S$789,$S$825,IF($AB$762=$T$789,$T$825,IF($AB$762=$U$789,$U$825,IF($AB$762=$V$789,$V$825,IF($AB$762=$W$789,$W$825,IF($AB$762=$X$789,$X$825,IF($AB$762=$Y$789,$Y$825,IF($AB$762=$Z$789,$Z$825,IF($AB$762=$AA$789,$AA$825,IF($AB$762=$AB$789,$AB$825,IF($AB$762=$AC$789,$AC$825,IF($AB$762=$AD$789,$AD$825,IF($AB$762=$AE$789,$AE$825,IF($AB$762=$AF$789,$AF$825,IF($AB$762=$AG$789,$AG$825,IF($AB$762=$AH$789,$AG$825,IF($AB$762=$AI$789,$AG$825,"")))))))))))))))))))))))))))))))))</f>
        <v/>
      </c>
      <c r="AF764" s="196"/>
      <c r="AI764" s="452" t="str">
        <f>IF($AB$761=$AA$776,$AA$776&amp;$AI$773,IF($AB$761=$AA$777,$AA$777&amp;$AI$773,$AA$776&amp;$AI$773))</f>
        <v>High Quality: COFINAVIT,Apoyo INFONAVIT,FOVISSSTE Aliados,FOVISSSTE RespaldadosVeracruz</v>
      </c>
      <c r="AJ764" s="79">
        <v>1</v>
      </c>
      <c r="AK764" s="196"/>
      <c r="AL764" s="196"/>
      <c r="AN764" s="387" t="s">
        <v>457</v>
      </c>
      <c r="AO764" s="414" t="s">
        <v>637</v>
      </c>
      <c r="AP764" s="415" t="str">
        <f>IFERROR(VLOOKUP($AB$764,$AN$764:$AO$770,2,0),"")</f>
        <v/>
      </c>
      <c r="AR764" s="382" t="s">
        <v>640</v>
      </c>
      <c r="AS764" s="330" t="s">
        <v>639</v>
      </c>
      <c r="AU764" s="336">
        <v>266</v>
      </c>
      <c r="AV764" s="336" t="s">
        <v>511</v>
      </c>
      <c r="AW764" s="336" t="s">
        <v>511</v>
      </c>
      <c r="BX764" s="196"/>
      <c r="BY764" s="196"/>
      <c r="BZ764" s="196"/>
      <c r="CA764" s="196"/>
      <c r="CB764" s="196"/>
      <c r="CC764" s="196"/>
      <c r="CD764" s="196"/>
      <c r="CE764" s="196"/>
      <c r="CF764" s="196"/>
      <c r="CG764" s="196"/>
      <c r="CH764" s="196"/>
      <c r="CI764" s="196"/>
      <c r="CJ764" s="196"/>
      <c r="CK764" s="196"/>
      <c r="CL764" s="196"/>
      <c r="CM764" s="196"/>
      <c r="CN764" s="196"/>
      <c r="CO764" s="196"/>
      <c r="CP764" s="196"/>
      <c r="CQ764" s="196"/>
      <c r="CR764" s="196"/>
      <c r="CS764" s="196"/>
      <c r="CT764" s="196"/>
      <c r="CU764" s="196"/>
      <c r="CV764" s="196"/>
      <c r="CW764" s="196"/>
      <c r="CX764" s="196"/>
      <c r="CY764" s="196"/>
      <c r="CZ764" s="196"/>
      <c r="DA764" s="196"/>
      <c r="DB764" s="196"/>
      <c r="DC764" s="196"/>
      <c r="DD764" s="196"/>
      <c r="DE764" s="196"/>
      <c r="DF764" s="196"/>
      <c r="DG764" s="196"/>
      <c r="DH764" s="196"/>
      <c r="DI764" s="196"/>
      <c r="DJ764" s="196"/>
      <c r="DK764" s="196"/>
      <c r="DL764" s="196"/>
      <c r="DM764" s="196"/>
      <c r="DN764" s="196"/>
      <c r="DO764" s="196"/>
      <c r="DP764" s="196"/>
      <c r="DQ764" s="196"/>
      <c r="DR764" s="196"/>
      <c r="DS764" s="196"/>
      <c r="DT764" s="196"/>
    </row>
    <row r="765" spans="26:124" ht="16.5" thickTop="1" thickBot="1" x14ac:dyDescent="0.3">
      <c r="Z765" s="271" t="str">
        <f>IF($AB$761=$AA$775,$F$783,IF($AB$761=$AA$776,$F$783,IF($AB$761=$AA$777,$F$783,IF($AB$761=$AA$778,$G$783,IF($AB$761=$AA$779,$G$783,IF($AB$761=$AA$780,$F$783,IF($AB$761=$AA$781,$G$783,IF($AB$761=$AA$782,$F$783,IF($AB$761=$AA$783,$F$783,"")))))))))</f>
        <v/>
      </c>
      <c r="AA765" s="314" t="str">
        <f>IFERROR(IF($Z$765=$F$783,VLOOKUP($AB$765,$B$784:$G$785,5,0),IF($Z$765=$G$783,VLOOKUP($AB$765,$B$784:$G$785,6,0),"")),"")</f>
        <v/>
      </c>
      <c r="AB765" s="306"/>
      <c r="AC765" s="303" t="str">
        <f>IFERROR(VLOOKUP($AB$761,$AA$775:$AF$785,6,0),"")</f>
        <v/>
      </c>
      <c r="AD765" s="270" t="s">
        <v>548</v>
      </c>
      <c r="AE765" s="310" t="str">
        <f>"R"&amp;$AB$764&amp;","</f>
        <v>R,</v>
      </c>
      <c r="AF765" s="196"/>
      <c r="AI765" s="442" t="str">
        <f>IF($AB$761=$AA$775,$AD$775&amp;$AI$771,IF($AB$761=$AA$778,$AD$778&amp;$AI$771,IF($AB$761=$AA$779,$AD$779&amp;$AI$771,$AD$775&amp;$AI$771)))</f>
        <v>Asalariado (Con Nomina HSBC)Tabasco</v>
      </c>
      <c r="AJ765" s="79">
        <v>1</v>
      </c>
      <c r="AK765" s="196"/>
      <c r="AL765" s="196"/>
      <c r="AN765" s="309">
        <v>1</v>
      </c>
      <c r="AO765" s="302">
        <v>0.85</v>
      </c>
      <c r="AP765" s="196"/>
      <c r="AR765" s="382" t="s">
        <v>641</v>
      </c>
      <c r="AS765" s="330" t="s">
        <v>639</v>
      </c>
      <c r="AU765" s="336">
        <v>268</v>
      </c>
      <c r="AV765" s="336" t="s">
        <v>511</v>
      </c>
      <c r="AW765" s="336" t="s">
        <v>511</v>
      </c>
      <c r="BX765" s="196"/>
      <c r="BY765" s="196"/>
      <c r="BZ765" s="196"/>
      <c r="CA765" s="196"/>
      <c r="CB765" s="196"/>
      <c r="CC765" s="196"/>
      <c r="CD765" s="196"/>
      <c r="CE765" s="196"/>
      <c r="CF765" s="196"/>
      <c r="CG765" s="196"/>
      <c r="CH765" s="196"/>
      <c r="CI765" s="196"/>
      <c r="CJ765" s="196"/>
      <c r="CK765" s="196"/>
      <c r="CL765" s="196"/>
      <c r="CM765" s="196"/>
      <c r="CN765" s="196"/>
      <c r="CO765" s="196"/>
      <c r="CP765" s="196"/>
      <c r="CQ765" s="196"/>
      <c r="CR765" s="196"/>
      <c r="CS765" s="196"/>
      <c r="CT765" s="196"/>
      <c r="CU765" s="196"/>
      <c r="CV765" s="196"/>
      <c r="CW765" s="196"/>
      <c r="CX765" s="196"/>
      <c r="CY765" s="196"/>
      <c r="CZ765" s="196"/>
      <c r="DA765" s="196"/>
      <c r="DB765" s="196"/>
      <c r="DC765" s="196"/>
      <c r="DD765" s="196"/>
      <c r="DE765" s="196"/>
      <c r="DF765" s="196"/>
      <c r="DG765" s="196"/>
      <c r="DH765" s="196"/>
      <c r="DI765" s="196"/>
      <c r="DJ765" s="196"/>
      <c r="DK765" s="196"/>
      <c r="DL765" s="196"/>
      <c r="DM765" s="196"/>
      <c r="DN765" s="196"/>
      <c r="DO765" s="196"/>
      <c r="DP765" s="196"/>
      <c r="DQ765" s="196"/>
      <c r="DR765" s="196"/>
      <c r="DS765" s="196"/>
      <c r="DT765" s="196"/>
    </row>
    <row r="766" spans="26:124" ht="16.5" thickTop="1" thickBot="1" x14ac:dyDescent="0.3">
      <c r="AA766" s="41" t="s">
        <v>509</v>
      </c>
      <c r="AB766" s="310" t="s">
        <v>430</v>
      </c>
      <c r="AC766" s="196"/>
      <c r="AD766" s="270" t="s">
        <v>551</v>
      </c>
      <c r="AE766" s="79" t="str">
        <f>IF($AB$768=$E$783,$AB$768,"")</f>
        <v/>
      </c>
      <c r="AF766" s="196"/>
      <c r="AI766" s="442" t="str">
        <f>IF($AB$761=$AA$775,$AD$775&amp;$AI$772,IF($AB$761=$AA$778,$AD$778&amp;$AI$772,IF($AB$761=$AA$779,$AD$779&amp;$AI$772,$AD$775&amp;$AI$772)))</f>
        <v>Asalariado (Con Nomina HSBC)Tamaulipas</v>
      </c>
      <c r="AJ766" s="79">
        <v>1</v>
      </c>
      <c r="AK766" s="196"/>
      <c r="AL766" s="196"/>
      <c r="AN766" s="301">
        <v>2</v>
      </c>
      <c r="AO766" s="302">
        <v>0.85</v>
      </c>
      <c r="AP766" s="196"/>
      <c r="AR766" s="382" t="s">
        <v>642</v>
      </c>
      <c r="AS766" s="330" t="s">
        <v>639</v>
      </c>
      <c r="AU766" s="336">
        <v>271</v>
      </c>
      <c r="AV766" s="336" t="s">
        <v>511</v>
      </c>
      <c r="AW766" s="336" t="s">
        <v>511</v>
      </c>
      <c r="BX766" s="196"/>
      <c r="BY766" s="196"/>
      <c r="BZ766" s="196"/>
      <c r="CA766" s="196"/>
      <c r="CB766" s="196"/>
      <c r="CC766" s="196"/>
      <c r="CD766" s="196"/>
      <c r="CE766" s="196"/>
      <c r="CF766" s="196"/>
      <c r="CG766" s="196"/>
      <c r="CH766" s="196"/>
      <c r="CI766" s="196"/>
      <c r="CJ766" s="196"/>
      <c r="CK766" s="196"/>
      <c r="CL766" s="196"/>
      <c r="CM766" s="196"/>
      <c r="CN766" s="196"/>
      <c r="CO766" s="196"/>
      <c r="CP766" s="196"/>
      <c r="CQ766" s="196"/>
      <c r="CR766" s="196"/>
      <c r="CS766" s="196"/>
      <c r="CT766" s="196"/>
      <c r="CU766" s="196"/>
      <c r="CV766" s="196"/>
      <c r="CW766" s="196"/>
      <c r="CX766" s="196"/>
      <c r="CY766" s="196"/>
      <c r="CZ766" s="196"/>
      <c r="DA766" s="196"/>
      <c r="DB766" s="196"/>
      <c r="DC766" s="196"/>
      <c r="DD766" s="196"/>
      <c r="DE766" s="196"/>
      <c r="DF766" s="196"/>
      <c r="DG766" s="196"/>
      <c r="DH766" s="196"/>
      <c r="DI766" s="196"/>
      <c r="DJ766" s="196"/>
      <c r="DK766" s="196"/>
      <c r="DL766" s="196"/>
      <c r="DM766" s="196"/>
      <c r="DN766" s="196"/>
      <c r="DO766" s="196"/>
      <c r="DP766" s="196"/>
      <c r="DQ766" s="196"/>
      <c r="DR766" s="196"/>
      <c r="DS766" s="196"/>
      <c r="DT766" s="196"/>
    </row>
    <row r="767" spans="26:124" ht="16.5" thickTop="1" thickBot="1" x14ac:dyDescent="0.3">
      <c r="AA767" s="196"/>
      <c r="AB767" s="196"/>
      <c r="AC767" s="196"/>
      <c r="AD767" s="196"/>
      <c r="AE767" s="196"/>
      <c r="AF767" s="196"/>
      <c r="AI767" s="442" t="str">
        <f>IF($AB$761=$AA$775,$AD$775&amp;$AI$773,IF($AB$761=$AA$778,$AD$778&amp;$AI$773,IF($AB$761=$AA$779,$AD$779&amp;$AI$773,$AD$775&amp;$AI$773)))</f>
        <v>Asalariado (Con Nomina HSBC)Veracruz</v>
      </c>
      <c r="AJ767" s="79">
        <v>1</v>
      </c>
      <c r="AK767" s="196"/>
      <c r="AL767" s="196"/>
      <c r="AN767" s="301">
        <v>3</v>
      </c>
      <c r="AO767" s="302">
        <v>0.8</v>
      </c>
      <c r="AP767" s="196"/>
      <c r="AR767" s="382" t="s">
        <v>635</v>
      </c>
      <c r="AS767" s="330"/>
      <c r="AU767" s="336">
        <v>272</v>
      </c>
      <c r="AV767" s="336" t="s">
        <v>511</v>
      </c>
      <c r="AW767" s="336" t="s">
        <v>511</v>
      </c>
      <c r="BX767" s="196"/>
      <c r="BY767" s="196"/>
      <c r="BZ767" s="196"/>
      <c r="CA767" s="196"/>
      <c r="CB767" s="196"/>
      <c r="CC767" s="196"/>
      <c r="CD767" s="196"/>
      <c r="CE767" s="196"/>
      <c r="CF767" s="196"/>
      <c r="CG767" s="196"/>
      <c r="CH767" s="196"/>
      <c r="CI767" s="196"/>
      <c r="CJ767" s="196"/>
      <c r="CK767" s="196"/>
      <c r="CL767" s="196"/>
      <c r="CM767" s="196"/>
      <c r="CN767" s="196"/>
      <c r="CO767" s="196"/>
      <c r="CP767" s="196"/>
      <c r="CQ767" s="196"/>
      <c r="CR767" s="196"/>
      <c r="CS767" s="196"/>
      <c r="CT767" s="196"/>
      <c r="CU767" s="196"/>
      <c r="CV767" s="196"/>
      <c r="CW767" s="196"/>
      <c r="CX767" s="196"/>
      <c r="CY767" s="196"/>
      <c r="CZ767" s="196"/>
      <c r="DA767" s="196"/>
      <c r="DB767" s="196"/>
      <c r="DC767" s="196"/>
      <c r="DD767" s="196"/>
      <c r="DE767" s="196"/>
      <c r="DF767" s="196"/>
      <c r="DG767" s="196"/>
      <c r="DH767" s="196"/>
      <c r="DI767" s="196"/>
      <c r="DJ767" s="196"/>
      <c r="DK767" s="196"/>
      <c r="DL767" s="196"/>
      <c r="DM767" s="196"/>
      <c r="DN767" s="196"/>
      <c r="DO767" s="196"/>
      <c r="DP767" s="196"/>
      <c r="DQ767" s="196"/>
      <c r="DR767" s="196"/>
      <c r="DS767" s="196"/>
      <c r="DT767" s="196"/>
    </row>
    <row r="768" spans="26:124" ht="16.5" thickTop="1" thickBot="1" x14ac:dyDescent="0.3">
      <c r="AA768" s="41" t="s">
        <v>503</v>
      </c>
      <c r="AB768" s="310" t="str">
        <f>IFERROR(IF(AND($AB$763&gt;=0,$AB$763&lt;=5000000),$C$783,IF(AND($AB$763&gt;=5000000.01,$AB$763&lt;=8000000),$D$783,IF($AB$763&gt;=8000000.01,$E$783))),"2")</f>
        <v>Hasta 5 MDP</v>
      </c>
      <c r="AC768" s="328" t="str">
        <f>IF($AB$761="","",IF($AB$762="","",IF($AB$763="","",IF($AB$764="","",IF($AB$765="","",IF($AB$766="","","OK"))))))</f>
        <v/>
      </c>
      <c r="AD768" s="270" t="s">
        <v>506</v>
      </c>
      <c r="AE768" s="312" t="str">
        <f>IF($AC$768="","",(IF($AE$763=$AE$761,$AE$761,($AE$763*100)&amp;"%")))</f>
        <v/>
      </c>
      <c r="AF768" s="196"/>
      <c r="AH768" s="196"/>
      <c r="AI768" s="443" t="str">
        <f>IF($AB$761=$AA$775,$AF$775&amp;$AI$771,IF($AB$761=$AA$776,$AD$776&amp;$AI$771,IF($AB$761=$AA$778,$AF$778&amp;$AI$771,IF($AB$761=$AA$779,$AF$779&amp;$AI$771,IF($AB$761=$AA$781,$AF$781&amp;$AI$771,$AF$775&amp;$AI$771)))))</f>
        <v>Asalariado (Empleavit)Tabasco</v>
      </c>
      <c r="AJ768" s="79">
        <v>1</v>
      </c>
      <c r="AL768" s="196"/>
      <c r="AN768" s="301">
        <v>4</v>
      </c>
      <c r="AO768" s="376" t="str">
        <f>$AE$768</f>
        <v/>
      </c>
      <c r="AP768" s="196"/>
      <c r="AR768" s="196"/>
      <c r="AS768" s="196"/>
      <c r="AU768" s="336">
        <v>273</v>
      </c>
      <c r="AV768" s="336" t="s">
        <v>511</v>
      </c>
      <c r="AW768" s="336" t="s">
        <v>511</v>
      </c>
      <c r="BX768" s="196"/>
      <c r="BY768" s="196"/>
      <c r="BZ768" s="196"/>
      <c r="CA768" s="196"/>
      <c r="CB768" s="196"/>
      <c r="CC768" s="196"/>
      <c r="CD768" s="196"/>
      <c r="CE768" s="196"/>
      <c r="CF768" s="196"/>
      <c r="CG768" s="196"/>
      <c r="CH768" s="196"/>
      <c r="CI768" s="196"/>
      <c r="CJ768" s="196"/>
      <c r="CK768" s="196"/>
      <c r="CL768" s="196"/>
      <c r="CM768" s="196"/>
      <c r="CN768" s="196"/>
      <c r="CO768" s="196"/>
      <c r="CP768" s="196"/>
      <c r="CQ768" s="196"/>
      <c r="CR768" s="196"/>
      <c r="CS768" s="196"/>
      <c r="CT768" s="196"/>
      <c r="CU768" s="196"/>
      <c r="CV768" s="196"/>
      <c r="CW768" s="196"/>
      <c r="CX768" s="196"/>
      <c r="CY768" s="196"/>
      <c r="CZ768" s="196"/>
      <c r="DA768" s="196"/>
      <c r="DB768" s="196"/>
      <c r="DC768" s="196"/>
      <c r="DD768" s="196"/>
      <c r="DE768" s="196"/>
      <c r="DF768" s="196"/>
      <c r="DG768" s="196"/>
      <c r="DH768" s="196"/>
      <c r="DI768" s="196"/>
      <c r="DJ768" s="196"/>
      <c r="DK768" s="196"/>
      <c r="DL768" s="196"/>
      <c r="DM768" s="196"/>
      <c r="DN768" s="196"/>
      <c r="DO768" s="196"/>
      <c r="DP768" s="196"/>
      <c r="DQ768" s="196"/>
      <c r="DR768" s="196"/>
      <c r="DS768" s="196"/>
      <c r="DT768" s="196"/>
    </row>
    <row r="769" spans="1:124" ht="16.5" thickTop="1" thickBot="1" x14ac:dyDescent="0.3">
      <c r="C769" s="196"/>
      <c r="D769" s="196"/>
      <c r="E769" s="196"/>
      <c r="F769" s="196"/>
      <c r="G769" s="196"/>
      <c r="H769" s="196"/>
      <c r="I769" s="196"/>
      <c r="J769" s="196"/>
      <c r="K769" s="196"/>
      <c r="N769" s="196"/>
      <c r="AA769" s="41" t="s">
        <v>505</v>
      </c>
      <c r="AB769" s="79" t="str">
        <f>IFERROR(IF($AB$768=$C$783,VLOOKUP($AB$765,$B$784:$G$785,2,0),IF($AB$768=$D$783,VLOOKUP($AB$765,$B$784:$G$785,3,0),IF($AB$768=$E$783,VLOOKUP($AB$765,$B$784:$G$785,4,0)))),"")</f>
        <v/>
      </c>
      <c r="AC769" s="196"/>
      <c r="AF769" s="196"/>
      <c r="AH769" s="196"/>
      <c r="AI769" s="443" t="str">
        <f>IF($AB$761=$AA$775,$AF$775&amp;$AI$772,IF($AB$761=$AA$776,$AD$776&amp;$AI$772,IF($AB$761=$AA$778,$AF$778&amp;$AI$772,IF($AB$761=$AA$779,$AF$779&amp;$AI$772,IF($AB$761=$AA$781,$AF$781&amp;$AI$772,$AF$775&amp;$AI$772)))))</f>
        <v>Asalariado (Empleavit)Tamaulipas</v>
      </c>
      <c r="AJ769" s="79">
        <v>1</v>
      </c>
      <c r="AL769" s="196"/>
      <c r="AM769" s="196"/>
      <c r="AN769" s="301">
        <v>5</v>
      </c>
      <c r="AO769" s="376" t="str">
        <f>$AE$768</f>
        <v/>
      </c>
      <c r="AP769" s="196"/>
      <c r="AR769" s="382" t="s">
        <v>643</v>
      </c>
      <c r="AS769" s="382" t="str">
        <f t="shared" ref="AS769:AS783" si="5">"El Estado de Residencia corresponde a "&amp;$AR769&amp;" Si el cliente tiene una antigüedad minima de 6 meses en HSBC le corresponde:"</f>
        <v>El Estado de Residencia corresponde a AGUASCALIENTES Si el cliente tiene una antigüedad minima de 6 meses en HSBC le corresponde:</v>
      </c>
      <c r="AU769" s="336">
        <v>334</v>
      </c>
      <c r="AV769" s="336" t="s">
        <v>512</v>
      </c>
      <c r="AW769" s="336" t="s">
        <v>512</v>
      </c>
      <c r="BX769" s="196"/>
      <c r="BY769" s="196"/>
      <c r="BZ769" s="196"/>
      <c r="CA769" s="196"/>
      <c r="CB769" s="196"/>
      <c r="CC769" s="196"/>
      <c r="CD769" s="196"/>
      <c r="CE769" s="196"/>
      <c r="CF769" s="196"/>
      <c r="CG769" s="196"/>
      <c r="CH769" s="196"/>
      <c r="CI769" s="196"/>
      <c r="CJ769" s="196"/>
      <c r="CK769" s="196"/>
      <c r="CL769" s="196"/>
      <c r="CM769" s="196"/>
      <c r="CN769" s="196"/>
      <c r="CO769" s="196"/>
      <c r="CP769" s="196"/>
      <c r="CQ769" s="196"/>
      <c r="CR769" s="196"/>
      <c r="CS769" s="196"/>
      <c r="CT769" s="196"/>
      <c r="CU769" s="196"/>
      <c r="CV769" s="196"/>
      <c r="CW769" s="196"/>
      <c r="CX769" s="196"/>
      <c r="CY769" s="196"/>
      <c r="CZ769" s="196"/>
      <c r="DA769" s="196"/>
      <c r="DB769" s="196"/>
      <c r="DC769" s="196"/>
      <c r="DD769" s="196"/>
      <c r="DE769" s="196"/>
      <c r="DF769" s="196"/>
      <c r="DG769" s="196"/>
      <c r="DH769" s="196"/>
      <c r="DI769" s="196"/>
      <c r="DJ769" s="196"/>
      <c r="DK769" s="196"/>
      <c r="DL769" s="196"/>
      <c r="DM769" s="196"/>
      <c r="DN769" s="196"/>
      <c r="DO769" s="196"/>
      <c r="DP769" s="196"/>
      <c r="DQ769" s="196"/>
      <c r="DR769" s="196"/>
      <c r="DS769" s="196"/>
      <c r="DT769" s="196"/>
    </row>
    <row r="770" spans="1:124" ht="16.5" thickTop="1" thickBot="1" x14ac:dyDescent="0.3">
      <c r="C770" s="196"/>
      <c r="D770" s="196"/>
      <c r="E770" s="196"/>
      <c r="F770" s="196"/>
      <c r="G770" s="196"/>
      <c r="H770" s="196"/>
      <c r="I770" s="196"/>
      <c r="J770" s="196"/>
      <c r="K770" s="196"/>
      <c r="N770" s="196"/>
      <c r="AA770" s="41" t="s">
        <v>515</v>
      </c>
      <c r="AB770" s="310" t="str">
        <f>$AB$761&amp;$AB$766</f>
        <v/>
      </c>
      <c r="AC770" s="196"/>
      <c r="AD770" s="196"/>
      <c r="AE770" s="196"/>
      <c r="AF770" s="196"/>
      <c r="AH770" s="196"/>
      <c r="AI770" s="443" t="str">
        <f>IF($AB$761=$AA$775,$AF$775&amp;$AI$773,IF($AB$761=$AA$776,$AD$776&amp;$AI$773,IF($AB$761=$AA$778,$AF$778&amp;$AI$773,IF($AB$761=$AA$779,$AF$779&amp;$AI$773,IF($AB$761=$AA$781,$AF$781&amp;$AI$773,$AF$775&amp;$AI$773)))))</f>
        <v>Asalariado (Empleavit)Veracruz</v>
      </c>
      <c r="AJ770" s="79">
        <v>1</v>
      </c>
      <c r="AL770" s="196"/>
      <c r="AM770" s="196"/>
      <c r="AN770" s="301">
        <v>6</v>
      </c>
      <c r="AO770" s="376" t="str">
        <f>$AE$768</f>
        <v/>
      </c>
      <c r="AP770" s="79" t="str">
        <f>AP764</f>
        <v/>
      </c>
      <c r="AR770" s="382" t="s">
        <v>644</v>
      </c>
      <c r="AS770" s="383" t="str">
        <f t="shared" si="5"/>
        <v>El Estado de Residencia corresponde a BAJA CALIFORNIA NTE Si el cliente tiene una antigüedad minima de 6 meses en HSBC le corresponde:</v>
      </c>
      <c r="AU770" s="336">
        <v>335</v>
      </c>
      <c r="AV770" s="336" t="s">
        <v>512</v>
      </c>
      <c r="AW770" s="336" t="s">
        <v>512</v>
      </c>
      <c r="BX770" s="196"/>
      <c r="BY770" s="196"/>
      <c r="BZ770" s="196"/>
      <c r="CA770" s="196"/>
      <c r="CB770" s="196"/>
      <c r="CC770" s="196"/>
      <c r="CD770" s="196"/>
      <c r="CE770" s="196"/>
      <c r="CF770" s="196"/>
      <c r="CG770" s="196"/>
      <c r="CH770" s="196"/>
      <c r="CI770" s="196"/>
      <c r="CJ770" s="196"/>
      <c r="CK770" s="196"/>
      <c r="CL770" s="196"/>
      <c r="CM770" s="196"/>
      <c r="CN770" s="196"/>
      <c r="CO770" s="196"/>
      <c r="CP770" s="196"/>
      <c r="CQ770" s="196"/>
      <c r="CR770" s="196"/>
      <c r="CS770" s="196"/>
      <c r="CT770" s="196"/>
      <c r="CU770" s="196"/>
      <c r="CV770" s="196"/>
      <c r="CW770" s="196"/>
      <c r="CX770" s="196"/>
      <c r="CY770" s="196"/>
      <c r="CZ770" s="196"/>
      <c r="DA770" s="196"/>
      <c r="DB770" s="196"/>
      <c r="DC770" s="196"/>
      <c r="DD770" s="196"/>
      <c r="DE770" s="196"/>
      <c r="DF770" s="196"/>
      <c r="DG770" s="196"/>
      <c r="DH770" s="196"/>
      <c r="DI770" s="196"/>
      <c r="DJ770" s="196"/>
      <c r="DK770" s="196"/>
      <c r="DL770" s="196"/>
      <c r="DM770" s="196"/>
      <c r="DN770" s="196"/>
      <c r="DO770" s="196"/>
      <c r="DP770" s="196"/>
      <c r="DQ770" s="196"/>
      <c r="DR770" s="196"/>
      <c r="DS770" s="196"/>
      <c r="DT770" s="196"/>
    </row>
    <row r="771" spans="1:124" ht="16.5" thickTop="1" thickBot="1" x14ac:dyDescent="0.3">
      <c r="C771" s="196"/>
      <c r="D771" s="196"/>
      <c r="E771" s="196"/>
      <c r="F771" s="196"/>
      <c r="G771" s="196"/>
      <c r="H771" s="196"/>
      <c r="I771" s="196"/>
      <c r="J771" s="196"/>
      <c r="K771" s="196"/>
      <c r="N771" s="196"/>
      <c r="AA771" s="41" t="s">
        <v>514</v>
      </c>
      <c r="AB771" s="313" t="e">
        <f>IF($AB$762=$AE$776,"",IF($AB$762=$AI$761,$AJ$761,IF($AB$770=$AI$762,$AJ$762,IF($AB$770=$AI$763,$AJ$763,IF($AB$770=$AI$764,$AJ$764,IF($AB$762&amp;$AB$766=$AI$765,$AJ$765,IF($AB$762&amp;$AB$766=$AI$766,$AJ$766,IF($AB$762&amp;$AB$766=$AI$767,$AJ$767,IF($AB$762&amp;$AB$766=$AI$768,$AJ$768,IF($AB$762&amp;$AB$766=$AI$769,$AJ$769,IF($AB$762&amp;$AB$766=$AI$770,$AJ$770,VLOOKUP($AB$766,$AI$771:$AJ$775,2,0))))))))))))</f>
        <v>#N/A</v>
      </c>
      <c r="AC771" s="196"/>
      <c r="AD771" s="41" t="s">
        <v>550</v>
      </c>
      <c r="AE771" s="327" t="str">
        <f>IF($AC$768="","","("&amp;$AE$764&amp;","&amp;$AE$765&amp;"LTV "&amp;$AE$768&amp;")"&amp;" "&amp;$AE$766&amp;$AA$765&amp;". ")</f>
        <v/>
      </c>
      <c r="AF771" s="196"/>
      <c r="AI771" s="147" t="s">
        <v>510</v>
      </c>
      <c r="AJ771" s="79" t="b">
        <f>$AK$771</f>
        <v>0</v>
      </c>
      <c r="AK771" s="316" t="b">
        <f>IF($AB$765=$CH$649,0.8,IF($AB$765=$CH$648,0.7))</f>
        <v>0</v>
      </c>
      <c r="AL771" s="196"/>
      <c r="AM771" s="196"/>
      <c r="AN771" s="270" t="s">
        <v>549</v>
      </c>
      <c r="AO771" s="328" t="str">
        <f>IF($AB$762=$AC$775,"NA",IF($AB$762=$AD$775,"NA",IF($AB$762=$AE$775,"NA",IF($AC$768="","NA",IF($AB$768=$D$783,"NA",IF($AB$768=$E$783,"NA",IF($AB$765="SI","NA","OK")))))))</f>
        <v>NA</v>
      </c>
      <c r="AP771" s="79" t="str">
        <f>IF($AP$770=$AE$761,$AE$761,IF($AO$771="NA","",($AP$770*100)&amp;"%"))</f>
        <v/>
      </c>
      <c r="AR771" s="382" t="s">
        <v>646</v>
      </c>
      <c r="AS771" s="383" t="str">
        <f t="shared" si="5"/>
        <v>El Estado de Residencia corresponde a CAMPECHE Si el cliente tiene una antigüedad minima de 6 meses en HSBC le corresponde:</v>
      </c>
      <c r="AU771" s="336">
        <v>336</v>
      </c>
      <c r="AV771" s="336" t="s">
        <v>512</v>
      </c>
      <c r="AW771" s="336" t="s">
        <v>512</v>
      </c>
      <c r="BX771" s="196"/>
      <c r="BY771" s="196"/>
      <c r="BZ771" s="196"/>
      <c r="CA771" s="196"/>
      <c r="CB771" s="196"/>
      <c r="CC771" s="196"/>
      <c r="CD771" s="196"/>
      <c r="CE771" s="196"/>
      <c r="CF771" s="196"/>
      <c r="CG771" s="196"/>
      <c r="CH771" s="196"/>
      <c r="CI771" s="196"/>
      <c r="CJ771" s="196"/>
      <c r="CK771" s="196"/>
      <c r="CL771" s="196"/>
      <c r="CM771" s="196"/>
      <c r="CN771" s="196"/>
      <c r="CO771" s="196"/>
      <c r="CP771" s="196"/>
      <c r="CQ771" s="196"/>
      <c r="CR771" s="196"/>
      <c r="CS771" s="196"/>
      <c r="CT771" s="196"/>
      <c r="CU771" s="196"/>
      <c r="CV771" s="196"/>
      <c r="CW771" s="196"/>
      <c r="CX771" s="196"/>
      <c r="CY771" s="196"/>
      <c r="CZ771" s="196"/>
      <c r="DA771" s="196"/>
      <c r="DB771" s="196"/>
      <c r="DC771" s="196"/>
      <c r="DD771" s="196"/>
      <c r="DE771" s="196"/>
      <c r="DF771" s="196"/>
      <c r="DG771" s="196"/>
      <c r="DH771" s="196"/>
      <c r="DI771" s="196"/>
      <c r="DJ771" s="196"/>
      <c r="DK771" s="196"/>
      <c r="DL771" s="196"/>
      <c r="DM771" s="196"/>
      <c r="DN771" s="196"/>
      <c r="DO771" s="196"/>
      <c r="DP771" s="196"/>
      <c r="DQ771" s="196"/>
      <c r="DR771" s="196"/>
      <c r="DS771" s="196"/>
      <c r="DT771" s="196"/>
    </row>
    <row r="772" spans="1:124" ht="16.5" thickTop="1" thickBot="1" x14ac:dyDescent="0.3">
      <c r="C772" s="196"/>
      <c r="D772" s="196"/>
      <c r="E772" s="196"/>
      <c r="F772" s="196"/>
      <c r="G772" s="196"/>
      <c r="H772" s="196"/>
      <c r="I772" s="196"/>
      <c r="J772" s="196"/>
      <c r="K772" s="196"/>
      <c r="N772" s="196"/>
      <c r="AA772" s="196"/>
      <c r="AB772" s="196"/>
      <c r="AC772" s="196"/>
      <c r="AD772" s="196"/>
      <c r="AE772" s="196"/>
      <c r="AF772" s="196"/>
      <c r="AI772" s="147" t="s">
        <v>511</v>
      </c>
      <c r="AJ772" s="79" t="b">
        <f>$AK$772</f>
        <v>0</v>
      </c>
      <c r="AK772" s="316" t="b">
        <f>IF($AB$765=$CH$649,0.8,IF($AB$765=$CH$648,0.7))</f>
        <v>0</v>
      </c>
      <c r="AL772" s="196"/>
      <c r="AM772" s="196"/>
      <c r="AN772" s="270" t="s">
        <v>645</v>
      </c>
      <c r="AO772" s="329" t="str">
        <f>IFERROR(IF($AO$771="NA","",VLOOKUP(1,$AN$774:$AP$776,3,0)),"")</f>
        <v/>
      </c>
      <c r="AP772" s="376" t="str">
        <f>IF($AO$772="","",$AP$771)</f>
        <v/>
      </c>
      <c r="AR772" s="382" t="s">
        <v>647</v>
      </c>
      <c r="AS772" s="383" t="str">
        <f t="shared" si="5"/>
        <v>El Estado de Residencia corresponde a CHIAPAS Si el cliente tiene una antigüedad minima de 6 meses en HSBC le corresponde:</v>
      </c>
      <c r="AU772" s="336">
        <v>337</v>
      </c>
      <c r="AV772" s="336" t="s">
        <v>512</v>
      </c>
      <c r="AW772" s="336" t="s">
        <v>512</v>
      </c>
      <c r="BX772" s="196"/>
      <c r="BY772" s="196"/>
      <c r="BZ772" s="196"/>
      <c r="CA772" s="196"/>
      <c r="CB772" s="196"/>
      <c r="CC772" s="196"/>
      <c r="CD772" s="196"/>
      <c r="CE772" s="196"/>
      <c r="CF772" s="196"/>
      <c r="CG772" s="196"/>
      <c r="CH772" s="196"/>
      <c r="CI772" s="196"/>
      <c r="CJ772" s="196"/>
      <c r="CK772" s="196"/>
      <c r="CL772" s="196"/>
      <c r="CM772" s="196"/>
      <c r="CN772" s="196"/>
      <c r="CO772" s="196"/>
      <c r="CP772" s="196"/>
      <c r="CQ772" s="196"/>
      <c r="CR772" s="196"/>
      <c r="CS772" s="196"/>
      <c r="CT772" s="196"/>
      <c r="CU772" s="196"/>
      <c r="CV772" s="196"/>
      <c r="CW772" s="196"/>
      <c r="CX772" s="196"/>
      <c r="CY772" s="196"/>
      <c r="CZ772" s="196"/>
      <c r="DA772" s="196"/>
      <c r="DB772" s="196"/>
      <c r="DC772" s="196"/>
      <c r="DD772" s="196"/>
      <c r="DE772" s="196"/>
      <c r="DF772" s="196"/>
      <c r="DG772" s="196"/>
      <c r="DH772" s="196"/>
      <c r="DI772" s="196"/>
      <c r="DJ772" s="196"/>
      <c r="DK772" s="196"/>
      <c r="DL772" s="196"/>
      <c r="DM772" s="196"/>
      <c r="DN772" s="196"/>
      <c r="DO772" s="196"/>
      <c r="DP772" s="196"/>
      <c r="DQ772" s="196"/>
      <c r="DR772" s="196"/>
      <c r="DS772" s="196"/>
      <c r="DT772" s="196"/>
    </row>
    <row r="773" spans="1:124" ht="16.5" thickTop="1" thickBot="1" x14ac:dyDescent="0.3">
      <c r="C773" s="196"/>
      <c r="D773" s="196"/>
      <c r="E773" s="196"/>
      <c r="F773" s="196"/>
      <c r="G773" s="196"/>
      <c r="H773" s="196"/>
      <c r="I773" s="196"/>
      <c r="J773" s="196"/>
      <c r="K773" s="196"/>
      <c r="N773" s="196"/>
      <c r="AA773" s="196"/>
      <c r="AB773" s="196"/>
      <c r="AC773" s="196"/>
      <c r="AD773" s="196"/>
      <c r="AE773" s="196"/>
      <c r="AF773" s="196"/>
      <c r="AI773" s="147" t="s">
        <v>512</v>
      </c>
      <c r="AJ773" s="79" t="b">
        <f>$AK$773</f>
        <v>0</v>
      </c>
      <c r="AK773" s="316" t="b">
        <f>IF($AB$765=$CH$649,0.8,IF($AB$765=$CH$648,0.7))</f>
        <v>0</v>
      </c>
      <c r="AL773" s="196"/>
      <c r="AM773" s="196"/>
      <c r="AN773" s="196"/>
      <c r="AO773" s="196"/>
      <c r="AP773" s="196"/>
      <c r="AR773" s="382" t="s">
        <v>648</v>
      </c>
      <c r="AS773" s="383" t="str">
        <f t="shared" si="5"/>
        <v>El Estado de Residencia corresponde a CHIHUAHUA Si el cliente tiene una antigüedad minima de 6 meses en HSBC le corresponde:</v>
      </c>
      <c r="AU773" s="336">
        <v>338</v>
      </c>
      <c r="AV773" s="336" t="s">
        <v>512</v>
      </c>
      <c r="AW773" s="336" t="s">
        <v>512</v>
      </c>
      <c r="BX773" s="196"/>
      <c r="BY773" s="196"/>
      <c r="BZ773" s="196"/>
      <c r="CA773" s="196"/>
      <c r="CB773" s="196"/>
      <c r="CC773" s="196"/>
      <c r="CD773" s="196"/>
      <c r="CE773" s="196"/>
      <c r="CF773" s="196"/>
      <c r="CG773" s="196"/>
      <c r="CH773" s="196"/>
      <c r="CI773" s="196"/>
      <c r="CJ773" s="196"/>
      <c r="CK773" s="196"/>
      <c r="CL773" s="196"/>
      <c r="CM773" s="196"/>
      <c r="CN773" s="196"/>
      <c r="CO773" s="196"/>
      <c r="CP773" s="196"/>
      <c r="CQ773" s="196"/>
      <c r="CR773" s="196"/>
      <c r="CS773" s="196"/>
      <c r="CT773" s="196"/>
      <c r="CU773" s="196"/>
      <c r="CV773" s="196"/>
      <c r="CW773" s="196"/>
      <c r="CX773" s="196"/>
      <c r="CY773" s="196"/>
      <c r="CZ773" s="196"/>
      <c r="DA773" s="196"/>
      <c r="DB773" s="196"/>
      <c r="DC773" s="196"/>
      <c r="DD773" s="196"/>
      <c r="DE773" s="196"/>
      <c r="DF773" s="196"/>
      <c r="DG773" s="196"/>
      <c r="DH773" s="196"/>
      <c r="DI773" s="196"/>
      <c r="DJ773" s="196"/>
      <c r="DK773" s="196"/>
      <c r="DL773" s="196"/>
      <c r="DM773" s="196"/>
      <c r="DN773" s="196"/>
      <c r="DO773" s="196"/>
      <c r="DP773" s="196"/>
      <c r="DQ773" s="196"/>
      <c r="DR773" s="196"/>
      <c r="DS773" s="196"/>
      <c r="DT773" s="196"/>
    </row>
    <row r="774" spans="1:124" ht="16.5" thickTop="1" thickBot="1" x14ac:dyDescent="0.3">
      <c r="C774" s="196"/>
      <c r="D774" s="196"/>
      <c r="E774" s="196"/>
      <c r="F774" s="196"/>
      <c r="G774" s="196"/>
      <c r="H774" s="196"/>
      <c r="I774" s="196"/>
      <c r="J774" s="196"/>
      <c r="K774" s="196"/>
      <c r="N774" s="196"/>
      <c r="AA774" s="196"/>
      <c r="AB774" s="196"/>
      <c r="AC774" s="196"/>
      <c r="AD774" s="196"/>
      <c r="AE774" s="196"/>
      <c r="AF774" s="196"/>
      <c r="AG774" s="196"/>
      <c r="AH774" s="196"/>
      <c r="AI774" s="147" t="s">
        <v>513</v>
      </c>
      <c r="AJ774" s="79">
        <v>1</v>
      </c>
      <c r="AK774" s="196"/>
      <c r="AL774" s="196"/>
      <c r="AM774" s="196"/>
      <c r="AN774" s="384" t="str">
        <f>IF($AO$778="","",IF($AO$778=CH649,"",IF($AO$778=CH648,IF(AP774="","",IF(AN776=1,"",IF(AN775=1,"",1))))))</f>
        <v/>
      </c>
      <c r="AO774" s="380" t="s">
        <v>635</v>
      </c>
      <c r="AP774" s="329" t="str">
        <f>IF($AR$759=$AO$774,"La sucursal corresponde a: "&amp;VLOOKUP($AQ$759,$AU$760:$AW$1104,3,0)&amp;" Si el cliente tiene una antigüedad minima de 6 meses en HSBC le corresponde:","")</f>
        <v/>
      </c>
      <c r="AR774" s="382" t="s">
        <v>649</v>
      </c>
      <c r="AS774" s="383" t="str">
        <f t="shared" si="5"/>
        <v>El Estado de Residencia corresponde a COAHUILA Si el cliente tiene una antigüedad minima de 6 meses en HSBC le corresponde:</v>
      </c>
      <c r="AU774" s="336">
        <v>341</v>
      </c>
      <c r="AV774" s="336" t="s">
        <v>512</v>
      </c>
      <c r="AW774" s="336" t="s">
        <v>512</v>
      </c>
      <c r="BX774" s="196"/>
      <c r="BY774" s="196"/>
      <c r="BZ774" s="196"/>
      <c r="CA774" s="196"/>
      <c r="CB774" s="196"/>
      <c r="CC774" s="196"/>
      <c r="CD774" s="196"/>
      <c r="CE774" s="196"/>
      <c r="CF774" s="196"/>
      <c r="CG774" s="196"/>
      <c r="CH774" s="196"/>
      <c r="CI774" s="196"/>
      <c r="CJ774" s="196"/>
      <c r="CK774" s="196"/>
      <c r="CL774" s="196"/>
      <c r="CM774" s="196"/>
      <c r="CN774" s="196"/>
      <c r="CO774" s="196"/>
      <c r="CP774" s="196"/>
      <c r="CQ774" s="196"/>
      <c r="CR774" s="196"/>
      <c r="CS774" s="196"/>
      <c r="CT774" s="196"/>
      <c r="CU774" s="196"/>
      <c r="CV774" s="196"/>
      <c r="CW774" s="196"/>
      <c r="CX774" s="196"/>
      <c r="CY774" s="196"/>
      <c r="CZ774" s="196"/>
      <c r="DA774" s="196"/>
      <c r="DB774" s="196"/>
      <c r="DC774" s="196"/>
      <c r="DD774" s="196"/>
      <c r="DE774" s="196"/>
      <c r="DF774" s="196"/>
      <c r="DG774" s="196"/>
      <c r="DH774" s="196"/>
      <c r="DI774" s="196"/>
      <c r="DJ774" s="196"/>
      <c r="DK774" s="196"/>
      <c r="DL774" s="196"/>
      <c r="DM774" s="196"/>
      <c r="DN774" s="196"/>
      <c r="DO774" s="196"/>
      <c r="DP774" s="196"/>
      <c r="DQ774" s="196"/>
      <c r="DR774" s="196"/>
      <c r="DS774" s="196"/>
      <c r="DT774" s="196"/>
    </row>
    <row r="775" spans="1:124" ht="16.5" thickTop="1" thickBot="1" x14ac:dyDescent="0.3">
      <c r="C775" s="196"/>
      <c r="D775" s="196"/>
      <c r="E775" s="196"/>
      <c r="F775" s="196"/>
      <c r="G775" s="196"/>
      <c r="H775" s="196"/>
      <c r="I775" s="196"/>
      <c r="J775" s="196"/>
      <c r="K775" s="196"/>
      <c r="N775" s="196"/>
      <c r="Z775" s="272" t="str">
        <f>$AA$775</f>
        <v>Standard Salaried: (Adquisición de Vivienda)</v>
      </c>
      <c r="AA775" s="304" t="s">
        <v>523</v>
      </c>
      <c r="AB775" s="305" t="s">
        <v>177</v>
      </c>
      <c r="AC775" s="305" t="s">
        <v>488</v>
      </c>
      <c r="AD775" s="453" t="s">
        <v>633</v>
      </c>
      <c r="AE775" s="305" t="s">
        <v>42</v>
      </c>
      <c r="AF775" s="451" t="s">
        <v>698</v>
      </c>
      <c r="AG775" s="196"/>
      <c r="AI775" s="147" t="s">
        <v>635</v>
      </c>
      <c r="AJ775" s="79">
        <v>1</v>
      </c>
      <c r="AK775" s="196"/>
      <c r="AL775" s="196"/>
      <c r="AN775" s="384" t="str">
        <f>IF($AO$778="","",IF($AO$778=CH649,"",IF($AO$778=CH648,IF(AP775="","",IF(AN776=1,"",1)))))</f>
        <v/>
      </c>
      <c r="AO775" s="385"/>
      <c r="AP775" s="329" t="str">
        <f>IFERROR(IF($AO$775=$AV$851,"",VLOOKUP($AO$775,$AR$769:$AS$783,2,0)),"")</f>
        <v/>
      </c>
      <c r="AR775" s="382" t="s">
        <v>650</v>
      </c>
      <c r="AS775" s="383" t="str">
        <f t="shared" si="5"/>
        <v>El Estado de Residencia corresponde a COLIMA Si el cliente tiene una antigüedad minima de 6 meses en HSBC le corresponde:</v>
      </c>
      <c r="AU775" s="336">
        <v>342</v>
      </c>
      <c r="AV775" s="336" t="s">
        <v>512</v>
      </c>
      <c r="AW775" s="336" t="s">
        <v>512</v>
      </c>
      <c r="BX775" s="196"/>
      <c r="BY775" s="196"/>
      <c r="BZ775" s="196"/>
      <c r="CA775" s="196"/>
      <c r="CB775" s="196"/>
      <c r="CC775" s="196"/>
      <c r="CD775" s="196"/>
      <c r="CE775" s="196"/>
      <c r="CF775" s="196"/>
      <c r="CG775" s="196"/>
      <c r="CH775" s="196"/>
      <c r="CI775" s="196"/>
      <c r="CJ775" s="196"/>
      <c r="CK775" s="196"/>
      <c r="CL775" s="196"/>
      <c r="CM775" s="196"/>
      <c r="CN775" s="196"/>
      <c r="CO775" s="196"/>
      <c r="CP775" s="196"/>
      <c r="CQ775" s="196"/>
      <c r="CR775" s="196"/>
      <c r="CS775" s="196"/>
      <c r="CT775" s="196"/>
      <c r="CU775" s="196"/>
      <c r="CV775" s="196"/>
      <c r="CW775" s="196"/>
      <c r="CX775" s="196"/>
      <c r="CY775" s="196"/>
      <c r="CZ775" s="196"/>
      <c r="DA775" s="196"/>
      <c r="DB775" s="196"/>
      <c r="DC775" s="196"/>
      <c r="DD775" s="196"/>
      <c r="DE775" s="196"/>
      <c r="DF775" s="196"/>
      <c r="DG775" s="196"/>
      <c r="DH775" s="196"/>
      <c r="DI775" s="196"/>
      <c r="DJ775" s="196"/>
      <c r="DK775" s="196"/>
      <c r="DL775" s="196"/>
      <c r="DM775" s="196"/>
      <c r="DN775" s="196"/>
      <c r="DO775" s="196"/>
      <c r="DP775" s="196"/>
      <c r="DQ775" s="196"/>
      <c r="DR775" s="196"/>
      <c r="DS775" s="196"/>
      <c r="DT775" s="196"/>
    </row>
    <row r="776" spans="1:124" ht="16.5" thickTop="1" thickBot="1" x14ac:dyDescent="0.3">
      <c r="C776" s="196"/>
      <c r="D776" s="196"/>
      <c r="E776" s="196"/>
      <c r="F776" s="196"/>
      <c r="G776" s="196"/>
      <c r="H776" s="196"/>
      <c r="I776" s="196"/>
      <c r="J776" s="196"/>
      <c r="K776" s="196"/>
      <c r="N776" s="196"/>
      <c r="Z776" s="196"/>
      <c r="AA776" s="304" t="s">
        <v>519</v>
      </c>
      <c r="AB776" s="305" t="s">
        <v>492</v>
      </c>
      <c r="AC776" s="305" t="s">
        <v>709</v>
      </c>
      <c r="AD776" s="451" t="s">
        <v>710</v>
      </c>
      <c r="AE776" s="305" t="s">
        <v>493</v>
      </c>
      <c r="AF776" s="305" t="s">
        <v>493</v>
      </c>
      <c r="AG776" s="196"/>
      <c r="AN776" s="384" t="str">
        <f>IF(AP776="","",1)</f>
        <v/>
      </c>
      <c r="AO776" s="385"/>
      <c r="AP776" s="329" t="str">
        <f>IFERROR(IF($AO$776=$AV$851,"",VLOOKUP($AO$776,$AR$763:$AS$766,2,0)),"")</f>
        <v/>
      </c>
      <c r="AR776" s="382" t="s">
        <v>651</v>
      </c>
      <c r="AS776" s="383" t="str">
        <f t="shared" si="5"/>
        <v>El Estado de Residencia corresponde a GUANAJUATO Si el cliente tiene una antigüedad minima de 6 meses en HSBC le corresponde:</v>
      </c>
      <c r="AU776" s="336">
        <v>343</v>
      </c>
      <c r="AV776" s="336" t="s">
        <v>512</v>
      </c>
      <c r="AW776" s="336" t="s">
        <v>512</v>
      </c>
      <c r="BX776" s="196"/>
      <c r="BY776" s="196"/>
      <c r="BZ776" s="196"/>
      <c r="CA776" s="196"/>
      <c r="CB776" s="196"/>
      <c r="CC776" s="196"/>
      <c r="CD776" s="196"/>
      <c r="CE776" s="196"/>
      <c r="CF776" s="196"/>
      <c r="CG776" s="196"/>
      <c r="CH776" s="196"/>
      <c r="CI776" s="196"/>
      <c r="CJ776" s="196"/>
      <c r="CK776" s="196"/>
      <c r="CL776" s="196"/>
      <c r="CM776" s="196"/>
      <c r="CN776" s="196"/>
      <c r="CO776" s="196"/>
      <c r="CP776" s="196"/>
      <c r="CQ776" s="196"/>
      <c r="CR776" s="196"/>
      <c r="CS776" s="196"/>
      <c r="CT776" s="196"/>
      <c r="CU776" s="196"/>
      <c r="CV776" s="196"/>
      <c r="CW776" s="196"/>
      <c r="CX776" s="196"/>
      <c r="CY776" s="196"/>
      <c r="CZ776" s="196"/>
      <c r="DA776" s="196"/>
      <c r="DB776" s="196"/>
      <c r="DC776" s="196"/>
      <c r="DD776" s="196"/>
      <c r="DE776" s="196"/>
      <c r="DF776" s="196"/>
      <c r="DG776" s="196"/>
      <c r="DH776" s="196"/>
      <c r="DI776" s="196"/>
      <c r="DJ776" s="196"/>
      <c r="DK776" s="196"/>
      <c r="DL776" s="196"/>
      <c r="DM776" s="196"/>
      <c r="DN776" s="196"/>
      <c r="DO776" s="196"/>
      <c r="DP776" s="196"/>
      <c r="DQ776" s="196"/>
      <c r="DR776" s="196"/>
      <c r="DS776" s="196"/>
      <c r="DT776" s="196"/>
    </row>
    <row r="777" spans="1:124" ht="16.5" thickTop="1" thickBot="1" x14ac:dyDescent="0.3">
      <c r="C777" s="196"/>
      <c r="D777" s="196"/>
      <c r="E777" s="196"/>
      <c r="F777" s="196"/>
      <c r="G777" s="196"/>
      <c r="H777" s="196"/>
      <c r="I777" s="196"/>
      <c r="J777" s="196"/>
      <c r="K777" s="196"/>
      <c r="N777" s="196"/>
      <c r="Z777" s="196"/>
      <c r="AA777" s="304" t="s">
        <v>524</v>
      </c>
      <c r="AB777" s="305" t="s">
        <v>206</v>
      </c>
      <c r="AC777" s="305" t="s">
        <v>493</v>
      </c>
      <c r="AD777" s="305" t="s">
        <v>493</v>
      </c>
      <c r="AE777" s="305" t="s">
        <v>493</v>
      </c>
      <c r="AF777" s="305" t="s">
        <v>493</v>
      </c>
      <c r="AG777" s="196"/>
      <c r="AN777" s="196"/>
      <c r="AO777" s="196"/>
      <c r="AR777" s="382" t="s">
        <v>652</v>
      </c>
      <c r="AS777" s="383" t="str">
        <f t="shared" si="5"/>
        <v>El Estado de Residencia corresponde a GUERRERO Si el cliente tiene una antigüedad minima de 6 meses en HSBC le corresponde:</v>
      </c>
      <c r="AU777" s="336">
        <v>344</v>
      </c>
      <c r="AV777" s="336" t="s">
        <v>512</v>
      </c>
      <c r="AW777" s="336" t="s">
        <v>512</v>
      </c>
      <c r="BX777" s="196"/>
      <c r="BY777" s="196"/>
      <c r="BZ777" s="196"/>
      <c r="CA777" s="196"/>
      <c r="CB777" s="196"/>
      <c r="CC777" s="196"/>
      <c r="CD777" s="196"/>
      <c r="CE777" s="196"/>
      <c r="CF777" s="196"/>
      <c r="CG777" s="196"/>
      <c r="CH777" s="196"/>
      <c r="CI777" s="196"/>
      <c r="CJ777" s="196"/>
      <c r="CK777" s="196"/>
      <c r="CL777" s="196"/>
      <c r="CM777" s="196"/>
      <c r="CN777" s="196"/>
      <c r="CO777" s="196"/>
      <c r="CP777" s="196"/>
      <c r="CQ777" s="196"/>
      <c r="CR777" s="196"/>
      <c r="CS777" s="196"/>
      <c r="CT777" s="196"/>
      <c r="CU777" s="196"/>
      <c r="CV777" s="196"/>
      <c r="CW777" s="196"/>
      <c r="CX777" s="196"/>
      <c r="CY777" s="196"/>
      <c r="CZ777" s="196"/>
      <c r="DA777" s="196"/>
      <c r="DB777" s="196"/>
      <c r="DC777" s="196"/>
      <c r="DD777" s="196"/>
      <c r="DE777" s="196"/>
      <c r="DF777" s="196"/>
      <c r="DG777" s="196"/>
      <c r="DH777" s="196"/>
      <c r="DI777" s="196"/>
      <c r="DJ777" s="196"/>
      <c r="DK777" s="196"/>
      <c r="DL777" s="196"/>
      <c r="DM777" s="196"/>
      <c r="DN777" s="196"/>
      <c r="DO777" s="196"/>
      <c r="DP777" s="196"/>
      <c r="DQ777" s="196"/>
      <c r="DR777" s="196"/>
      <c r="DS777" s="196"/>
      <c r="DT777" s="196"/>
    </row>
    <row r="778" spans="1:124" s="196" customFormat="1" ht="16.5" thickTop="1" thickBot="1" x14ac:dyDescent="0.3">
      <c r="AA778" s="304" t="s">
        <v>704</v>
      </c>
      <c r="AB778" s="305" t="s">
        <v>707</v>
      </c>
      <c r="AC778" s="305" t="s">
        <v>711</v>
      </c>
      <c r="AD778" s="453" t="s">
        <v>712</v>
      </c>
      <c r="AE778" s="305" t="s">
        <v>495</v>
      </c>
      <c r="AF778" s="451" t="s">
        <v>699</v>
      </c>
      <c r="AN778" s="270" t="s">
        <v>696</v>
      </c>
      <c r="AO778" s="436"/>
      <c r="AR778" s="382" t="s">
        <v>653</v>
      </c>
      <c r="AS778" s="383" t="str">
        <f t="shared" si="5"/>
        <v>El Estado de Residencia corresponde a MICHOACAN Si el cliente tiene una antigüedad minima de 6 meses en HSBC le corresponde:</v>
      </c>
      <c r="AU778" s="336">
        <v>345</v>
      </c>
      <c r="AV778" s="336" t="s">
        <v>512</v>
      </c>
      <c r="AW778" s="336" t="s">
        <v>512</v>
      </c>
    </row>
    <row r="779" spans="1:124" s="196" customFormat="1" ht="16.5" thickTop="1" thickBot="1" x14ac:dyDescent="0.3">
      <c r="AA779" s="304" t="s">
        <v>705</v>
      </c>
      <c r="AB779" s="305" t="s">
        <v>498</v>
      </c>
      <c r="AC779" s="305" t="s">
        <v>499</v>
      </c>
      <c r="AD779" s="453" t="s">
        <v>634</v>
      </c>
      <c r="AE779" s="305" t="s">
        <v>496</v>
      </c>
      <c r="AF779" s="451" t="s">
        <v>700</v>
      </c>
      <c r="AR779" s="382" t="s">
        <v>654</v>
      </c>
      <c r="AS779" s="383" t="str">
        <f t="shared" si="5"/>
        <v>El Estado de Residencia corresponde a NAYARIT Si el cliente tiene una antigüedad minima de 6 meses en HSBC le corresponde:</v>
      </c>
      <c r="AU779" s="336">
        <v>346</v>
      </c>
      <c r="AV779" s="336" t="s">
        <v>510</v>
      </c>
      <c r="AW779" s="336" t="s">
        <v>510</v>
      </c>
    </row>
    <row r="780" spans="1:124" s="196" customFormat="1" ht="16.5" thickTop="1" thickBot="1" x14ac:dyDescent="0.3">
      <c r="A780" s="196">
        <f>IF($AB$765="SI",$V$811,IF($AB$768=$C$783,$V$790,IF($AB$768=$D$783,$V$804,IF($AB$768=$E$783,$V$818))))</f>
        <v>0.95</v>
      </c>
      <c r="AA780" s="304" t="s">
        <v>491</v>
      </c>
      <c r="AB780" s="305" t="s">
        <v>491</v>
      </c>
      <c r="AC780" s="305" t="s">
        <v>493</v>
      </c>
      <c r="AD780" s="305" t="s">
        <v>493</v>
      </c>
      <c r="AE780" s="305" t="s">
        <v>493</v>
      </c>
      <c r="AF780" s="305" t="s">
        <v>493</v>
      </c>
      <c r="AR780" s="382" t="s">
        <v>655</v>
      </c>
      <c r="AS780" s="383" t="str">
        <f t="shared" si="5"/>
        <v>El Estado de Residencia corresponde a OAXACA Si el cliente tiene una antigüedad minima de 6 meses en HSBC le corresponde:</v>
      </c>
      <c r="AU780" s="336">
        <v>347</v>
      </c>
      <c r="AV780" s="336" t="s">
        <v>510</v>
      </c>
      <c r="AW780" s="336" t="s">
        <v>510</v>
      </c>
    </row>
    <row r="781" spans="1:124" s="196" customFormat="1" ht="16.5" thickTop="1" thickBot="1" x14ac:dyDescent="0.3">
      <c r="B781" s="513" t="s">
        <v>631</v>
      </c>
      <c r="C781" s="514"/>
      <c r="D781" s="514"/>
      <c r="E781" s="514"/>
      <c r="F781" s="514"/>
      <c r="G781" s="515"/>
      <c r="AA781" s="304" t="s">
        <v>121</v>
      </c>
      <c r="AB781" s="305" t="s">
        <v>171</v>
      </c>
      <c r="AC781" s="305" t="s">
        <v>254</v>
      </c>
      <c r="AD781" s="305" t="s">
        <v>489</v>
      </c>
      <c r="AE781" s="305" t="s">
        <v>497</v>
      </c>
      <c r="AF781" s="451" t="s">
        <v>701</v>
      </c>
      <c r="AI781"/>
      <c r="AJ781" s="370" t="str">
        <f>IF($AE$761="No Aplica","Verificar con supervisor, ya que para Pemex no hay líneas mayores a 5mdp",IF($AE$768=$AE$761,"Rechazo",IF($AB$761=$AA$776,"",IF($AB$761=$AA$777,"",IF($AB$761=$AA$780,"","")))))</f>
        <v/>
      </c>
      <c r="AR781" s="382" t="s">
        <v>656</v>
      </c>
      <c r="AS781" s="383" t="str">
        <f t="shared" si="5"/>
        <v>El Estado de Residencia corresponde a SAN LUIS POTOSI Si el cliente tiene una antigüedad minima de 6 meses en HSBC le corresponde:</v>
      </c>
      <c r="AU781" s="336">
        <v>348</v>
      </c>
      <c r="AV781" s="336" t="s">
        <v>510</v>
      </c>
      <c r="AW781" s="336" t="s">
        <v>510</v>
      </c>
    </row>
    <row r="782" spans="1:124" s="196" customFormat="1" ht="16.5" thickTop="1" thickBot="1" x14ac:dyDescent="0.3">
      <c r="B782" s="449" t="s">
        <v>703</v>
      </c>
      <c r="C782" s="447" t="str">
        <f>$AB$761&amp;$AB$768</f>
        <v>Hasta 5 MDP</v>
      </c>
      <c r="D782" s="447" t="str">
        <f>$AA$777&amp;$D$783</f>
        <v>High Quality: (PEMEX) De 5 MDP a 8MDP</v>
      </c>
      <c r="E782" s="447" t="str">
        <f>$AA$777&amp;$E$783</f>
        <v>High Quality: (PEMEX)JUMBO</v>
      </c>
      <c r="F782" s="448"/>
      <c r="G782" s="448"/>
      <c r="M782" s="465"/>
      <c r="O782" s="465"/>
      <c r="Q782" s="465"/>
      <c r="AA782" s="304" t="s">
        <v>660</v>
      </c>
      <c r="AB782" s="305" t="s">
        <v>661</v>
      </c>
      <c r="AC782" s="305" t="s">
        <v>713</v>
      </c>
      <c r="AD782" s="305" t="s">
        <v>493</v>
      </c>
      <c r="AE782" s="305" t="s">
        <v>493</v>
      </c>
      <c r="AF782" s="305" t="s">
        <v>493</v>
      </c>
      <c r="AJ782" s="371" t="s">
        <v>630</v>
      </c>
      <c r="AR782" s="382" t="s">
        <v>657</v>
      </c>
      <c r="AS782" s="383" t="str">
        <f t="shared" si="5"/>
        <v>El Estado de Residencia corresponde a SINALOA Si el cliente tiene una antigüedad minima de 6 meses en HSBC le corresponde:</v>
      </c>
      <c r="AU782" s="336">
        <v>349</v>
      </c>
      <c r="AV782" s="336" t="s">
        <v>510</v>
      </c>
      <c r="AW782" s="336" t="s">
        <v>510</v>
      </c>
    </row>
    <row r="783" spans="1:124" s="196" customFormat="1" ht="16.5" thickTop="1" thickBot="1" x14ac:dyDescent="0.3">
      <c r="B783" s="270" t="s">
        <v>507</v>
      </c>
      <c r="C783" s="311" t="s">
        <v>500</v>
      </c>
      <c r="D783" s="311" t="s">
        <v>501</v>
      </c>
      <c r="E783" s="311" t="s">
        <v>508</v>
      </c>
      <c r="F783" s="310" t="s">
        <v>526</v>
      </c>
      <c r="G783" s="310" t="s">
        <v>527</v>
      </c>
      <c r="M783" s="465"/>
      <c r="O783" s="465"/>
      <c r="Q783" s="465"/>
      <c r="AA783" s="304" t="s">
        <v>706</v>
      </c>
      <c r="AB783" s="305" t="s">
        <v>708</v>
      </c>
      <c r="AC783" s="305" t="s">
        <v>662</v>
      </c>
      <c r="AD783" s="305" t="s">
        <v>493</v>
      </c>
      <c r="AE783" s="305" t="s">
        <v>493</v>
      </c>
      <c r="AF783" s="305" t="s">
        <v>493</v>
      </c>
      <c r="AR783" s="382" t="s">
        <v>658</v>
      </c>
      <c r="AS783" s="383" t="str">
        <f t="shared" si="5"/>
        <v>El Estado de Residencia corresponde a ZACATECAS Si el cliente tiene una antigüedad minima de 6 meses en HSBC le corresponde:</v>
      </c>
      <c r="AU783" s="336">
        <v>350</v>
      </c>
      <c r="AV783" s="336" t="s">
        <v>510</v>
      </c>
      <c r="AW783" s="336" t="s">
        <v>510</v>
      </c>
    </row>
    <row r="784" spans="1:124" s="196" customFormat="1" ht="16.5" thickTop="1" thickBot="1" x14ac:dyDescent="0.3">
      <c r="A784"/>
      <c r="B784" s="270" t="s">
        <v>504</v>
      </c>
      <c r="C784" s="79" t="str">
        <f>IFERROR(IF($AB$762="","",IF($AB$762=$C$789,VLOOKUP($AB$764,$B$790:$AI$795,2,0),IF($AB$762=$D$789,VLOOKUP($AB$764,$B$790:$AI$795,3,0),IF($AB$762=$E$789,VLOOKUP($AB$764,$B$790:$AI$795,4,0),IF($AB$762=$F$789,VLOOKUP($AB$764,$B$790:$AI$795,5,0),IF($AB$762=$G$789,VLOOKUP($AB$764,$B$790:$AI$795,6,0),IF($AB$762=$H$789,VLOOKUP($AB$764,$B$790:$AI$795,7,0),IF($AB$762=$I$789,VLOOKUP($AB$764,$B$790:$AI$795,8,0),IF($AB$762=$J$789,VLOOKUP($AB$764,$B$790:$AI$795,9,0),IF($AB$762=$K$789,VLOOKUP($AB$764,$B$790:$AI$795,10,0),IF($AB$762=$L$789,VLOOKUP($AB$764,$B$790:$AI$795,11,0),IF($AB$762=$M$789,VLOOKUP($AB$764,$B$790:$AI$795,12,0),IF($AB$762=$N$789,VLOOKUP($AB$764,$B$790:$AI$795,13,0),IF($AB$762=$O$789,VLOOKUP($AB$764,$B$790:$AI$795,14,0),IF($AB$762=$P$789,VLOOKUP($AB$764,$B$790:$AI$795,15,0),IF($AB$762=$Q$789,VLOOKUP($AB$764,$B$790:$AI$795,16,0),IF($AB$762=$R$789,VLOOKUP($AB$764,$B$790:$AI$795,17,0),IF($AB$762=$S$789,VLOOKUP($AB$764,$B$790:$AI$795,18,0),IF($AB$762=$T$789,VLOOKUP($AB$764,$B$790:$AI$795,19,0),IF($AB$762=$U$789,VLOOKUP($AB$764,$B$790:$AI$795,20,0),IF($AB$762=$V$789,VLOOKUP($AB$764,$B$790:$AI$795,21,0),IF($AB$762=$W$789,VLOOKUP($AB$764,$B$790:$AI$795,22,0),IF($AB$762=$X$789,VLOOKUP($AB$764,$B$790:$AI$795,23,0),IF($AB$762=$Y$789,VLOOKUP($AB$764,$B$790:$AI$795,24,0),IF($AB$762=$Z$789,VLOOKUP($AB$764,$B$790:$AI$795,25,0),IF($AB$762=$AA$789,VLOOKUP($AB$764,$B$790:$AI$795,26,0),IF($AB$762=$AB$789,VLOOKUP($AB$764,$B$790:$AI$795,27,0),IF($AB$762=$AC$789,VLOOKUP($AB$764,$B$790:$AI$795,28,0),IF($AB$762=$AD$789,VLOOKUP($AB$764,$B$790:$AI$795,29,0),IF($AB$762=$AE$789,VLOOKUP($AB$764,$B$790:$AI$795,30,0),IF($AB$762=$AF$789,VLOOKUP($AB$764,$B$790:$AI$795,31,0),IF($AB$762=$AG$789,VLOOKUP($AB$764,$B$790:$AI$795,32,0),IF($AB$762=$AH$789,VLOOKUP($AB$764,$B$790:$AI$795,33,0),IF($AB$762=$AI$789,VLOOKUP($AB$764,$B$790:$AI$795,34,0))))))))))))))))))))))))))))))))))),"")</f>
        <v/>
      </c>
      <c r="D784" s="79" t="str">
        <f>IFERROR(IF($AB$762="","",IF($AB$762=$C$789,VLOOKUP($AB$764,$B$804:$AI$809,2,0),IF($AB$762=$D$789,VLOOKUP($AB$764,$B$804:$AI$809,3,0),IF($AB$762=$E$789,VLOOKUP($AB$764,$B$804:$AI$809,4,0),IF($AB$762=$F$789,VLOOKUP($AB$764,$B$804:$AI$809,5,0),IF($AB$762=$G$789,VLOOKUP($AB$764,$B$804:$AI$809,6,0),IF($AB$762=$H$789,VLOOKUP($AB$764,$B$804:$AI$809,7,0),IF($AB$762=$I$789,VLOOKUP($AB$764,$B$804:$AI$809,8,0),IF($AB$762=$J$789,VLOOKUP($AB$764,$B$804:$AI$809,9,0),IF($AB$762=$K$789,VLOOKUP($AB$764,$B$804:$AI$809,10,0),IF($AB$762=$L$789,VLOOKUP($AB$764,$B$804:$AI$809,11,0),IF($AB$762=$M$789,VLOOKUP($AB$764,$B$804:$AI$809,12,0),IF($AB$762=$N$789,VLOOKUP($AB$764,$B$804:$AI$809,13,0),IF($AB$762=$O$789,VLOOKUP($AB$764,$B$804:$AI$809,14,0),IF($AB$762=$P$789,VLOOKUP($AB$764,$B$804:$AI$809,15,0),IF($AB$762=$Q$789,VLOOKUP($AB$764,$B$804:$AI$809,16,0),IF($AB$762=$R$789,VLOOKUP($AB$764,$B$804:$AI$809,17,0),IF($AB$762=$S$789,VLOOKUP($AB$764,$B$804:$AI$809,18,0),IF($AB$762=$T$789,VLOOKUP($AB$764,$B$804:$AI$809,19,0),IF($AB$762=$U$789,VLOOKUP($AB$764,$B$804:$AI$809,20,0),IF($AB$762=$V$789,VLOOKUP($AB$764,$B$804:$AI$809,21,0),IF($AB$762=$W$789,VLOOKUP($AB$764,$B$804:$AI$809,22,0),IF($AB$762=$X$789,VLOOKUP($AB$764,$B$804:$AI$809,23,0),IF($AB$762=$Y$789,VLOOKUP($AB$764,$B$804:$AI$809,24,0),IF($AB$762=$Z$789,VLOOKUP($AB$764,$B$804:$AI$809,25,0),IF($AB$762=$AA$789,VLOOKUP($AB$764,$B$804:$AI$809,26,0),IF($AB$762=$AB$789,VLOOKUP($AB$764,$B$804:$AI$809,27,0),IF($AB$762=$AC$789,VLOOKUP($AB$764,$B$804:$AI$809,28,0),IF($AB$762=$AD$789,VLOOKUP($AB$764,$B$804:$AI$809,29,0),IF($AB$762=$AE$789,VLOOKUP($AB$764,$B$804:$AI$809,30,0),IF($AB$762=$AF$789,VLOOKUP($AB$764,$B$804:$AI$809,31,0),IF($AB$762=$AG$789,VLOOKUP($AB$764,$B$804:$AI$809,32,0),IF($AB$762=$AH$789,VLOOKUP($AB$764,$B$804:$AI$809,33,0),IF($AB$762=$AI$789,VLOOKUP($AB$764,$B$804:$AI$809,34,0))))))))))))))))))))))))))))))))))),"")</f>
        <v/>
      </c>
      <c r="E784" s="79" t="str">
        <f>IFERROR(IF($AB$762="","",IF($AB$762=$C$789,VLOOKUP($AB$764,$B$818:$AI$823,2,0),IF($AB$762=$D$789,VLOOKUP($AB$764,$B$818:$AI$823,3,0),IF($AB$762=$E$789,VLOOKUP($AB$764,$B$818:$AI$823,4,0),IF($AB$762=$F$789,VLOOKUP($AB$764,$B$818:$AI$823,5,0),IF($AB$762=$G$789,VLOOKUP($AB$764,$B$818:$AI$823,6,0),IF($AB$762=$H$789,VLOOKUP($AB$764,$B$818:$AI$823,7,0),IF($AB$762=$I$789,VLOOKUP($AB$764,$B$818:$AI$823,8,0),IF($AB$762=$J$789,VLOOKUP($AB$764,$B$818:$AI$823,9,0),IF($AB$762=$K$789,VLOOKUP($AB$764,$B$818:$AI$823,10,0),IF($AB$762=$L$789,VLOOKUP($AB$764,$B$818:$AI$823,11,0),IF($AB$762=$M$789,VLOOKUP($AB$764,$B$818:$AI$823,12,0),IF($AB$762=$N$789,VLOOKUP($AB$764,$B$818:$AI$823,13,0),IF($AB$762=$O$789,VLOOKUP($AB$764,$B$818:$AI$823,14,0),IF($AB$762=$P$789,VLOOKUP($AB$764,$B$818:$AI$823,15,0),IF($AB$762=$Q$789,VLOOKUP($AB$764,$B$818:$AI$823,16,0),IF($AB$762=$R$789,VLOOKUP($AB$764,$B$818:$AI$823,17,0),IF($AB$762=$S$789,VLOOKUP($AB$764,$B$818:$AI$823,18,0),IF($AB$762=$T$789,VLOOKUP($AB$764,$B$818:$AI$823,19,0),IF($AB$762=$U$789,VLOOKUP($AB$764,$B$818:$AI$823,20,0),IF($AB$762=$V$789,VLOOKUP($AB$764,$B$818:$AI$823,21,0),IF($AB$762=$W$789,VLOOKUP($AB$764,$B$818:$AI$823,22,0),IF($AB$762=$X$789,VLOOKUP($AB$764,$B$818:$AI$823,23,0),IF($AB$762=$Y$789,VLOOKUP($AB$764,$B$818:$AI$823,24,0),IF($AB$762=$Z$789,VLOOKUP($AB$764,$B$818:$AI$823,25,0),IF($AB$762=$AA$789,VLOOKUP($AB$764,$B$818:$AI$823,26,0),IF($AB$762=$AB$789,VLOOKUP($AB$764,$B$818:$AI$823,27,0),IF($AB$762=$AC$789,VLOOKUP($AB$764,$B$818:$AI$823,28,0),IF($AB$762=$AD$789,VLOOKUP($AB$764,$B$818:$AI$823,29,0),IF($AB$762=$AE$789,VLOOKUP($AB$764,$B$818:$AI$823,30,0),IF($AB$762=$AF$789,VLOOKUP($AB$764,$B$818:$AI$823,31,0),IF($AB$762=$AG$789,VLOOKUP($AB$764,$B$818:$AI$823,32,0),IF($AB$762=$AH$789,VLOOKUP($AB$764,$B$818:$AI$823,33,0),IF($AB$762=$AI$789,VLOOKUP($AB$764,$B$818:$AI$823,34,0))))))))))))))))))))))))))))))))))),"")</f>
        <v/>
      </c>
      <c r="F784" s="326" t="s">
        <v>529</v>
      </c>
      <c r="G784" s="326" t="s">
        <v>531</v>
      </c>
      <c r="M784" s="465"/>
      <c r="O784" s="465"/>
      <c r="Q784" s="465"/>
      <c r="AA784" s="304" t="s">
        <v>724</v>
      </c>
      <c r="AB784" s="305" t="s">
        <v>725</v>
      </c>
      <c r="AC784" s="305" t="s">
        <v>726</v>
      </c>
      <c r="AD784" s="305" t="s">
        <v>493</v>
      </c>
      <c r="AE784" s="305" t="s">
        <v>493</v>
      </c>
      <c r="AF784" s="305" t="s">
        <v>493</v>
      </c>
      <c r="AR784" s="386" t="s">
        <v>635</v>
      </c>
      <c r="AS784" s="386"/>
      <c r="AU784" s="336">
        <v>351</v>
      </c>
      <c r="AV784" s="336" t="s">
        <v>510</v>
      </c>
      <c r="AW784" s="336" t="s">
        <v>510</v>
      </c>
    </row>
    <row r="785" spans="1:124" s="196" customFormat="1" ht="16.5" thickTop="1" thickBot="1" x14ac:dyDescent="0.3">
      <c r="A785"/>
      <c r="B785" s="270" t="s">
        <v>239</v>
      </c>
      <c r="C785" s="79" t="str">
        <f>IFERROR(IF($AB$762="","",IF($AB$762=$C$789,VLOOKUP($AB$764,$B$797:$AI$802,2,0),IF($AB$762=$D$789,VLOOKUP($AB$764,$B$797:$AI$802,3,0),IF($AB$762=$E$789,VLOOKUP($AB$764,$B$797:$AI$802,4,0),IF($AB$762=$F$789,VLOOKUP($AB$764,$B$797:$AI$802,5,0),IF($AB$762=$G$789,VLOOKUP($AB$764,$B$797:$AI$802,6,0),IF($AB$762=$H$789,VLOOKUP($AB$764,$B$797:$AI$802,7,0),IF($AB$762=$I$789,VLOOKUP($AB$764,$B$797:$AI$802,8,0),IF($AB$762=$J$789,VLOOKUP($AB$764,$B$797:$AI$802,9,0),IF($AB$762=$K$789,VLOOKUP($AB$764,$B$797:$AI$802,10,0),IF($AB$762=$L$789,VLOOKUP($AB$764,$B$797:$AI$802,11,0),IF($AB$762=$M$789,VLOOKUP($AB$764,$B$797:$AI$802,12,0),IF($AB$762=$N$789,VLOOKUP($AB$764,$B$797:$AI$802,13,0),IF($AB$762=$O$789,VLOOKUP($AB$764,$B$797:$AI$802,14,0),IF($AB$762=$P$789,VLOOKUP($AB$764,$B$797:$AI$802,15,0),IF($AB$762=$Q$789,VLOOKUP($AB$764,$B$797:$AI$802,16,0),IF($AB$762=$R$789,VLOOKUP($AB$764,$B$797:$AI$802,17,0),IF($AB$762=$S$789,VLOOKUP($AB$764,$B$797:$AI$802,18,0),IF($AB$762=$T$789,VLOOKUP($AB$764,$B$797:$AI$802,19,0),IF($AB$762=$U$789,VLOOKUP($AB$764,$B$797:$AI$802,20,0),IF($AB$762=$V$789,VLOOKUP($AB$764,$B$797:$AI$802,21,0),IF($AB$762=$W$789,VLOOKUP($AB$764,$B$797:$AI$802,22,0),IF($AB$762=$X$789,VLOOKUP($AB$764,$B$797:$AI$802,23,0),IF($AB$762=$Y$789,VLOOKUP($AB$764,$B$797:$AI$802,24,0),IF($AB$762=$Z$789,VLOOKUP($AB$764,$B$797:$AI$802,25,0),IF($AB$762=$AA$789,VLOOKUP($AB$764,$B$797:$AI$802,26,0),IF($AB$762=$AB$789,VLOOKUP($AB$764,$B$797:$AI$802,27,0),IF($AB$762=$AC$789,VLOOKUP($AB$764,$B$797:$AI$802,28,0),IF($AB$762=$AD$789,VLOOKUP($AB$764,$B$797:$AI$802,29,0),IF($AB$762=$AE$789,VLOOKUP($AB$764,$B$797:$AI$802,30,0),IF($AB$762=$AF$789,VLOOKUP($AB$764,$B$797:$AI$802,31,0),IF($AB$762=$AG$789,VLOOKUP($AB$764,$B$797:$AI$802,32,0),IF($AB$762=$AH$789,VLOOKUP($AB$764,$B$797:$AI$802,33,0),IF($AB$762=$AI$789,VLOOKUP($AB$764,$B$797:$AI$802,34,0))))))))))))))))))))))))))))))))))),"")</f>
        <v/>
      </c>
      <c r="D785" s="79" t="str">
        <f>IFERROR(IF($AB$762="","",IF($AB$762=$C$789,VLOOKUP($AB$764,$B$811:$AI$816,2,0),IF($AB$762=$D$789,VLOOKUP($AB$764,$B$811:$AI$816,3,0),IF($AB$762=$E$789,VLOOKUP($AB$764,$B$811:$AI$816,4,0),IF($AB$762=$F$789,VLOOKUP($AB$764,$B$811:$AI$816,5,0),IF($AB$762=$G$789,VLOOKUP($AB$764,$B$811:$AI$816,6,0),IF($AB$762=$H$789,VLOOKUP($AB$764,$B$811:$AI$816,7,0),IF($AB$762=$I$789,VLOOKUP($AB$764,$B$811:$AI$816,8,0),IF($AB$762=$J$789,VLOOKUP($AB$764,$B$811:$AI$816,9,0),IF($AB$762=$K$789,VLOOKUP($AB$764,$B$811:$AI$816,10,0),IF($AB$762=$L$789,VLOOKUP($AB$764,$B$811:$AI$816,11,0),IF($AB$762=$M$789,VLOOKUP($AB$764,$B$811:$AI$816,12,0),IF($AB$762=$N$789,VLOOKUP($AB$764,$B$811:$AI$816,13,0),IF($AB$762=$O$789,VLOOKUP($AB$764,$B$811:$AI$816,14,0),IF($AB$762=$P$789,VLOOKUP($AB$764,$B$811:$AI$816,15,0),IF($AB$762=$Q$789,VLOOKUP($AB$764,$B$811:$AI$816,16,0),IF($AB$762=$R$789,VLOOKUP($AB$764,$B$811:$AI$816,17,0),IF($AB$762=$S$789,VLOOKUP($AB$764,$B$811:$AI$816,18,0),IF($AB$762=$T$789,VLOOKUP($AB$764,$B$811:$AI$816,19,0),IF($AB$762=$U$789,VLOOKUP($AB$764,$B$811:$AI$816,20,0),IF($AB$762=$V$789,VLOOKUP($AB$764,$B$811:$AI$816,21,0),IF($AB$762=$W$789,VLOOKUP($AB$764,$B$811:$AI$816,22,0),IF($AB$762=$X$789,VLOOKUP($AB$764,$B$811:$AI$816,23,0),IF($AB$762=$Y$789,VLOOKUP($AB$764,$B$811:$AI$816,24,0),IF($AB$762=$Z$789,VLOOKUP($AB$764,$B$811:$AI$816,25,0),IF($AB$762=$AA$789,VLOOKUP($AB$764,$B$811:$AI$816,26,0),IF($AB$762=$AB$789,VLOOKUP($AB$764,$B$811:$AI$816,27,0),IF($AB$762=$AC$789,VLOOKUP($AB$764,$B$811:$AI$816,28,0),IF($AB$762=$AD$789,VLOOKUP($AB$764,$B$811:$AI$816,29,0),IF($AB$762=$AE$789,VLOOKUP($AB$764,$B$811:$AI$816,30,0),IF($AB$762=$AF$789,VLOOKUP($AB$764,$B$811:$AI$816,31,0),IF($AB$762=$AG$789,VLOOKUP($AB$764,$B$811:$AI$816,32,0),IF($AB$762=$AH$789,VLOOKUP($AB$764,$B$811:$AI$816,33,0),IF($AB$762=$AI$789,VLOOKUP($AB$764,$B$811:$AI$816,34,0))))))))))))))))))))))))))))))))))),"")</f>
        <v/>
      </c>
      <c r="E785" s="79" t="str">
        <f>IFERROR(IF($AB$762="","",IF($AB$762=$C$789,VLOOKUP($AB$764,$B$818:$AI$823,2,0),IF($AB$762=$D$789,VLOOKUP($AB$764,$B$818:$AI$823,3,0),IF($AB$762=$E$789,VLOOKUP($AB$764,$B$818:$AI$823,4,0),IF($AB$762=$F$789,VLOOKUP($AB$764,$B$818:$AI$823,5,0),IF($AB$762=$G$789,VLOOKUP($AB$764,$B$818:$AI$823,6,0),IF($AB$762=$H$789,VLOOKUP($AB$764,$B$818:$AI$823,7,0),IF($AB$762=$I$789,VLOOKUP($AB$764,$B$818:$AI$823,8,0),IF($AB$762=$J$789,VLOOKUP($AB$764,$B$818:$AI$823,9,0),IF($AB$762=$K$789,VLOOKUP($AB$764,$B$818:$AI$823,10,0),IF($AB$762=$L$789,VLOOKUP($AB$764,$B$818:$AI$823,11,0),IF($AB$762=$M$789,VLOOKUP($AB$764,$B$818:$AI$823,12,0),IF($AB$762=$N$789,VLOOKUP($AB$764,$B$818:$AI$823,13,0),IF($AB$762=$O$789,VLOOKUP($AB$764,$B$818:$AI$823,14,0),IF($AB$762=$P$789,VLOOKUP($AB$764,$B$818:$AI$823,15,0),IF($AB$762=$Q$789,VLOOKUP($AB$764,$B$818:$AI$823,16,0),IF($AB$762=$R$789,VLOOKUP($AB$764,$B$818:$AI$823,17,0),IF($AB$762=$S$789,VLOOKUP($AB$764,$B$818:$AI$823,18,0),IF($AB$762=$T$789,VLOOKUP($AB$764,$B$818:$AI$823,19,0),IF($AB$762=$U$789,VLOOKUP($AB$764,$B$818:$AI$823,20,0),IF($AB$762=$V$789,VLOOKUP($AB$764,$B$818:$AI$823,21,0),IF($AB$762=$W$789,VLOOKUP($AB$764,$B$818:$AI$823,22,0),IF($AB$762=$X$789,VLOOKUP($AB$764,$B$818:$AI$823,23,0),IF($AB$762=$Y$789,VLOOKUP($AB$764,$B$818:$AI$823,24,0),IF($AB$762=$Z$789,VLOOKUP($AB$764,$B$818:$AI$823,25,0),IF($AB$762=$AA$789,VLOOKUP($AB$764,$B$818:$AI$823,26,0),IF($AB$762=$AB$789,VLOOKUP($AB$764,$B$818:$AI$823,27,0),IF($AB$762=$AC$789,VLOOKUP($AB$764,$B$818:$AI$823,28,0),IF($AB$762=$AD$789,VLOOKUP($AB$764,$B$818:$AI$823,29,0),IF($AB$762=$AE$789,VLOOKUP($AB$764,$B$818:$AI$823,30,0),IF($AB$762=$AF$789,VLOOKUP($AB$764,$B$818:$AI$823,31,0),IF($AB$762=$AG$789,VLOOKUP($AB$764,$B$818:$AI$823,32,0),IF($AB$762=$AH$789,VLOOKUP($AB$764,$B$818:$AI$823,33,0),IF($AB$762=$AI$789,VLOOKUP($AB$764,$B$818:$AI$823,34,0))))))))))))))))))))))))))))))))))),"")</f>
        <v/>
      </c>
      <c r="F785" s="326" t="s">
        <v>528</v>
      </c>
      <c r="G785" s="326" t="s">
        <v>530</v>
      </c>
      <c r="M785" s="465"/>
      <c r="O785" s="465"/>
      <c r="Q785" s="465"/>
      <c r="Y785"/>
      <c r="Z785"/>
      <c r="AA785" s="304" t="s">
        <v>729</v>
      </c>
      <c r="AB785" s="305" t="s">
        <v>728</v>
      </c>
      <c r="AC785" s="305" t="s">
        <v>727</v>
      </c>
      <c r="AD785" s="305" t="s">
        <v>493</v>
      </c>
      <c r="AE785" s="305" t="s">
        <v>493</v>
      </c>
      <c r="AF785" s="305" t="s">
        <v>493</v>
      </c>
      <c r="AG785"/>
      <c r="AR785" s="386" t="s">
        <v>510</v>
      </c>
      <c r="AS785" s="386"/>
      <c r="AU785" s="336">
        <v>352</v>
      </c>
      <c r="AV785" s="336" t="s">
        <v>510</v>
      </c>
      <c r="AW785" s="336" t="s">
        <v>510</v>
      </c>
    </row>
    <row r="786" spans="1:124" s="196" customFormat="1" ht="46.5" customHeight="1" thickTop="1" thickBot="1" x14ac:dyDescent="0.3">
      <c r="AR786" s="386" t="s">
        <v>511</v>
      </c>
      <c r="AS786" s="386"/>
      <c r="AU786" s="336">
        <v>354</v>
      </c>
      <c r="AV786" s="336" t="s">
        <v>510</v>
      </c>
      <c r="AW786" s="336" t="s">
        <v>510</v>
      </c>
    </row>
    <row r="787" spans="1:124" s="196" customFormat="1" ht="16.5" thickTop="1" thickBot="1" x14ac:dyDescent="0.3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R787" s="386" t="s">
        <v>512</v>
      </c>
      <c r="AS787" s="386"/>
      <c r="AU787" s="336">
        <v>355</v>
      </c>
      <c r="AV787" s="336" t="s">
        <v>510</v>
      </c>
      <c r="AW787" s="336" t="s">
        <v>510</v>
      </c>
    </row>
    <row r="788" spans="1:124" ht="53.25" customHeight="1" thickTop="1" thickBot="1" x14ac:dyDescent="0.3">
      <c r="B788" s="307" t="s">
        <v>490</v>
      </c>
      <c r="C788" s="505" t="s">
        <v>523</v>
      </c>
      <c r="D788" s="505"/>
      <c r="E788" s="505"/>
      <c r="F788" s="505"/>
      <c r="G788" s="505"/>
      <c r="H788" s="506" t="s">
        <v>519</v>
      </c>
      <c r="I788" s="506"/>
      <c r="J788" s="506"/>
      <c r="K788" s="450" t="s">
        <v>524</v>
      </c>
      <c r="L788" s="507" t="s">
        <v>704</v>
      </c>
      <c r="M788" s="508"/>
      <c r="N788" s="508"/>
      <c r="O788" s="508"/>
      <c r="P788" s="509"/>
      <c r="Q788" s="510" t="s">
        <v>705</v>
      </c>
      <c r="R788" s="511"/>
      <c r="S788" s="511"/>
      <c r="T788" s="511"/>
      <c r="U788" s="512"/>
      <c r="V788" s="450" t="s">
        <v>491</v>
      </c>
      <c r="W788" s="510" t="s">
        <v>121</v>
      </c>
      <c r="X788" s="511"/>
      <c r="Y788" s="511"/>
      <c r="Z788" s="511"/>
      <c r="AA788" s="512"/>
      <c r="AB788" s="504" t="s">
        <v>660</v>
      </c>
      <c r="AC788" s="504"/>
      <c r="AD788" s="504" t="s">
        <v>706</v>
      </c>
      <c r="AE788" s="504"/>
      <c r="AF788" s="504" t="s">
        <v>724</v>
      </c>
      <c r="AG788" s="504"/>
      <c r="AH788" s="504" t="s">
        <v>729</v>
      </c>
      <c r="AI788" s="504"/>
      <c r="AQ788" s="196"/>
      <c r="AU788" s="336">
        <v>357</v>
      </c>
      <c r="AV788" s="336" t="s">
        <v>510</v>
      </c>
      <c r="AW788" s="336" t="s">
        <v>510</v>
      </c>
      <c r="BX788" s="196"/>
      <c r="BY788" s="196"/>
      <c r="BZ788" s="196"/>
      <c r="CA788" s="196"/>
      <c r="CB788" s="196"/>
      <c r="CC788" s="196"/>
      <c r="CD788" s="196"/>
      <c r="CE788" s="196"/>
      <c r="CF788" s="196"/>
      <c r="CG788" s="196"/>
      <c r="CH788" s="196"/>
      <c r="CI788" s="196"/>
      <c r="CJ788" s="196"/>
      <c r="CK788" s="196"/>
      <c r="CL788" s="196"/>
      <c r="CM788" s="196"/>
      <c r="CN788" s="196"/>
      <c r="CO788" s="196"/>
      <c r="CP788" s="196"/>
      <c r="CQ788" s="196"/>
      <c r="CR788" s="196"/>
      <c r="CS788" s="196"/>
      <c r="CT788" s="196"/>
      <c r="CU788" s="196"/>
      <c r="CV788" s="196"/>
      <c r="CW788" s="196"/>
      <c r="CX788" s="196"/>
      <c r="CY788" s="196"/>
      <c r="CZ788" s="196"/>
      <c r="DA788" s="196"/>
      <c r="DB788" s="196"/>
      <c r="DC788" s="196"/>
      <c r="DD788" s="196"/>
      <c r="DE788" s="196"/>
      <c r="DF788" s="196"/>
      <c r="DG788" s="196"/>
      <c r="DH788" s="196"/>
      <c r="DI788" s="196"/>
      <c r="DJ788" s="196"/>
      <c r="DK788" s="196"/>
      <c r="DL788" s="196"/>
      <c r="DM788" s="196"/>
      <c r="DN788" s="196"/>
      <c r="DO788" s="196"/>
      <c r="DP788" s="196"/>
      <c r="DQ788" s="196"/>
      <c r="DR788" s="196"/>
      <c r="DS788" s="196"/>
      <c r="DT788" s="196"/>
    </row>
    <row r="789" spans="1:124" ht="91.5" thickTop="1" thickBot="1" x14ac:dyDescent="0.3">
      <c r="B789" s="307" t="s">
        <v>457</v>
      </c>
      <c r="C789" s="444" t="s">
        <v>177</v>
      </c>
      <c r="D789" s="444" t="s">
        <v>488</v>
      </c>
      <c r="E789" s="444" t="s">
        <v>633</v>
      </c>
      <c r="F789" s="440" t="s">
        <v>42</v>
      </c>
      <c r="G789" s="441" t="s">
        <v>698</v>
      </c>
      <c r="H789" s="444" t="s">
        <v>492</v>
      </c>
      <c r="I789" s="440" t="s">
        <v>709</v>
      </c>
      <c r="J789" s="441" t="s">
        <v>710</v>
      </c>
      <c r="K789" s="450" t="s">
        <v>206</v>
      </c>
      <c r="L789" s="444" t="s">
        <v>707</v>
      </c>
      <c r="M789" s="444" t="s">
        <v>711</v>
      </c>
      <c r="N789" s="468" t="s">
        <v>712</v>
      </c>
      <c r="O789" s="440" t="s">
        <v>495</v>
      </c>
      <c r="P789" s="441" t="s">
        <v>699</v>
      </c>
      <c r="Q789" s="444" t="s">
        <v>498</v>
      </c>
      <c r="R789" s="444" t="s">
        <v>499</v>
      </c>
      <c r="S789" s="444" t="s">
        <v>634</v>
      </c>
      <c r="T789" s="440" t="s">
        <v>496</v>
      </c>
      <c r="U789" s="441" t="s">
        <v>700</v>
      </c>
      <c r="V789" s="450" t="s">
        <v>491</v>
      </c>
      <c r="W789" s="444" t="s">
        <v>171</v>
      </c>
      <c r="X789" s="444" t="s">
        <v>254</v>
      </c>
      <c r="Y789" s="444" t="s">
        <v>489</v>
      </c>
      <c r="Z789" s="440" t="s">
        <v>497</v>
      </c>
      <c r="AA789" s="441" t="s">
        <v>701</v>
      </c>
      <c r="AB789" s="444" t="s">
        <v>661</v>
      </c>
      <c r="AC789" s="444" t="s">
        <v>713</v>
      </c>
      <c r="AD789" s="444" t="s">
        <v>708</v>
      </c>
      <c r="AE789" s="444" t="s">
        <v>662</v>
      </c>
      <c r="AF789" s="466" t="s">
        <v>725</v>
      </c>
      <c r="AG789" s="466" t="s">
        <v>726</v>
      </c>
      <c r="AH789" s="467" t="s">
        <v>728</v>
      </c>
      <c r="AI789" s="467" t="s">
        <v>727</v>
      </c>
      <c r="AQ789" s="196"/>
      <c r="AU789" s="336">
        <v>428</v>
      </c>
      <c r="AV789" s="336" t="s">
        <v>512</v>
      </c>
      <c r="AW789" s="336" t="s">
        <v>512</v>
      </c>
      <c r="BX789" s="196"/>
      <c r="BY789" s="196"/>
      <c r="BZ789" s="196"/>
      <c r="CA789" s="196"/>
      <c r="CB789" s="196"/>
      <c r="CC789" s="196"/>
      <c r="CD789" s="196"/>
      <c r="CE789" s="196"/>
      <c r="CF789" s="196"/>
      <c r="CG789" s="196"/>
      <c r="CH789" s="196"/>
      <c r="CI789" s="196"/>
      <c r="CJ789" s="196"/>
      <c r="CK789" s="196"/>
      <c r="CL789" s="196"/>
      <c r="CM789" s="196"/>
      <c r="CN789" s="196"/>
      <c r="CO789" s="196"/>
      <c r="CP789" s="196"/>
      <c r="CQ789" s="196"/>
      <c r="CR789" s="196"/>
      <c r="CS789" s="196"/>
      <c r="CT789" s="196"/>
      <c r="CU789" s="196"/>
      <c r="CV789" s="196"/>
      <c r="CW789" s="196"/>
      <c r="CX789" s="196"/>
      <c r="CY789" s="196"/>
      <c r="CZ789" s="196"/>
      <c r="DA789" s="196"/>
      <c r="DB789" s="196"/>
      <c r="DC789" s="196"/>
      <c r="DD789" s="196"/>
      <c r="DE789" s="196"/>
      <c r="DF789" s="196"/>
      <c r="DG789" s="196"/>
      <c r="DH789" s="196"/>
      <c r="DI789" s="196"/>
      <c r="DJ789" s="196"/>
      <c r="DK789" s="196"/>
      <c r="DL789" s="196"/>
      <c r="DM789" s="196"/>
      <c r="DN789" s="196"/>
      <c r="DO789" s="196"/>
      <c r="DP789" s="196"/>
      <c r="DQ789" s="196"/>
      <c r="DR789" s="196"/>
      <c r="DS789" s="196"/>
      <c r="DT789" s="196"/>
    </row>
    <row r="790" spans="1:124" ht="16.5" thickTop="1" thickBot="1" x14ac:dyDescent="0.3">
      <c r="A790" s="494" t="s">
        <v>500</v>
      </c>
      <c r="B790" s="437">
        <v>1</v>
      </c>
      <c r="C790" s="492">
        <f>IF($AB$766=$AI$771,80%,IF($AB$766=$AI$772,80%,IF($AB$766=$AI$773,80%,85%)))</f>
        <v>0.85</v>
      </c>
      <c r="D790" s="438">
        <f>IF($AB$766=$AI$771,80%,IF($AB$766=$AI$772,80%,IF($AB$766=$AI$773,80%,90%)))</f>
        <v>0.9</v>
      </c>
      <c r="E790" s="439">
        <v>0.9</v>
      </c>
      <c r="F790" s="439">
        <v>0.9</v>
      </c>
      <c r="G790" s="439">
        <v>0.9</v>
      </c>
      <c r="H790" s="439">
        <v>0.95</v>
      </c>
      <c r="I790" s="439">
        <v>0.95</v>
      </c>
      <c r="J790" s="439">
        <v>0.95</v>
      </c>
      <c r="K790" s="439">
        <v>1</v>
      </c>
      <c r="L790" s="492">
        <v>0.85</v>
      </c>
      <c r="M790" s="439">
        <v>0.85</v>
      </c>
      <c r="N790" s="439">
        <v>0.85</v>
      </c>
      <c r="O790" s="439">
        <v>0.85</v>
      </c>
      <c r="P790" s="439">
        <v>0.9</v>
      </c>
      <c r="Q790" s="439">
        <v>0.8</v>
      </c>
      <c r="R790" s="439">
        <v>0.85</v>
      </c>
      <c r="S790" s="439">
        <v>0.85</v>
      </c>
      <c r="T790" s="439">
        <v>0.85</v>
      </c>
      <c r="U790" s="439">
        <v>0.85</v>
      </c>
      <c r="V790" s="439">
        <v>0.95</v>
      </c>
      <c r="W790" s="439">
        <v>0.7</v>
      </c>
      <c r="X790" s="439">
        <v>0.7</v>
      </c>
      <c r="Y790" s="439">
        <v>0.7</v>
      </c>
      <c r="Z790" s="439">
        <v>0.7</v>
      </c>
      <c r="AA790" s="439">
        <v>0.7</v>
      </c>
      <c r="AB790" s="439">
        <v>0.6</v>
      </c>
      <c r="AC790" s="439">
        <v>0.6</v>
      </c>
      <c r="AD790" s="302">
        <v>0.75</v>
      </c>
      <c r="AE790" s="302">
        <v>0.75</v>
      </c>
      <c r="AF790" s="302">
        <v>0.7</v>
      </c>
      <c r="AG790" s="302">
        <v>0.7</v>
      </c>
      <c r="AH790" s="302">
        <v>0.8</v>
      </c>
      <c r="AI790" s="302">
        <v>0.9</v>
      </c>
      <c r="AQ790" s="196"/>
      <c r="AU790" s="336">
        <v>437</v>
      </c>
      <c r="AV790" s="336" t="s">
        <v>512</v>
      </c>
      <c r="AW790" s="336" t="s">
        <v>512</v>
      </c>
      <c r="BX790" s="196"/>
      <c r="BY790" s="196"/>
      <c r="BZ790" s="196"/>
      <c r="CA790" s="196"/>
      <c r="CB790" s="196"/>
      <c r="CC790" s="196"/>
      <c r="CD790" s="196"/>
      <c r="CE790" s="196"/>
      <c r="CF790" s="196"/>
      <c r="CG790" s="196"/>
      <c r="CH790" s="196"/>
      <c r="CI790" s="196"/>
      <c r="CJ790" s="196"/>
      <c r="CK790" s="196"/>
      <c r="CL790" s="196"/>
      <c r="CM790" s="196"/>
      <c r="CN790" s="196"/>
      <c r="CO790" s="196"/>
      <c r="CP790" s="196"/>
      <c r="CQ790" s="196"/>
      <c r="CR790" s="196"/>
      <c r="CS790" s="196"/>
      <c r="CT790" s="196"/>
      <c r="CU790" s="196"/>
      <c r="CV790" s="196"/>
      <c r="CW790" s="196"/>
      <c r="CX790" s="196"/>
      <c r="CY790" s="196"/>
      <c r="CZ790" s="196"/>
      <c r="DA790" s="196"/>
      <c r="DB790" s="196"/>
      <c r="DC790" s="196"/>
      <c r="DD790" s="196"/>
      <c r="DE790" s="196"/>
      <c r="DF790" s="196"/>
      <c r="DG790" s="196"/>
      <c r="DH790" s="196"/>
      <c r="DI790" s="196"/>
      <c r="DJ790" s="196"/>
      <c r="DK790" s="196"/>
      <c r="DL790" s="196"/>
      <c r="DM790" s="196"/>
      <c r="DN790" s="196"/>
      <c r="DO790" s="196"/>
      <c r="DP790" s="196"/>
      <c r="DQ790" s="196"/>
      <c r="DR790" s="196"/>
      <c r="DS790" s="196"/>
      <c r="DT790" s="196"/>
    </row>
    <row r="791" spans="1:124" ht="16.5" thickTop="1" thickBot="1" x14ac:dyDescent="0.3">
      <c r="A791" s="495"/>
      <c r="B791" s="301">
        <v>2</v>
      </c>
      <c r="C791" s="374">
        <f>IF($AB$766=$AI$771,80%,IF($AB$766=$AI$772,80%,IF($AB$766=$AI$773,80%,80%)))</f>
        <v>0.8</v>
      </c>
      <c r="D791" s="374">
        <f>IF($AB$766=$AI$771,80%,IF($AB$766=$AI$772,80%,IF($AB$766=$AI$773,80%,90%)))</f>
        <v>0.9</v>
      </c>
      <c r="E791" s="302">
        <v>0.9</v>
      </c>
      <c r="F791" s="302">
        <v>0.9</v>
      </c>
      <c r="G791" s="302">
        <v>0.9</v>
      </c>
      <c r="H791" s="302">
        <v>0.95</v>
      </c>
      <c r="I791" s="302">
        <v>0.95</v>
      </c>
      <c r="J791" s="302">
        <v>0.95</v>
      </c>
      <c r="K791" s="302">
        <v>1</v>
      </c>
      <c r="L791" s="302">
        <v>0.8</v>
      </c>
      <c r="M791" s="302">
        <v>0.85</v>
      </c>
      <c r="N791" s="302">
        <v>0.85</v>
      </c>
      <c r="O791" s="302">
        <v>0.85</v>
      </c>
      <c r="P791" s="302">
        <v>0.9</v>
      </c>
      <c r="Q791" s="302">
        <v>0.8</v>
      </c>
      <c r="R791" s="302">
        <v>0.85</v>
      </c>
      <c r="S791" s="302">
        <v>0.85</v>
      </c>
      <c r="T791" s="302">
        <v>0.85</v>
      </c>
      <c r="U791" s="302">
        <v>0.85</v>
      </c>
      <c r="V791" s="302">
        <v>0.95</v>
      </c>
      <c r="W791" s="302">
        <v>0.7</v>
      </c>
      <c r="X791" s="302">
        <v>0.7</v>
      </c>
      <c r="Y791" s="302">
        <v>0.7</v>
      </c>
      <c r="Z791" s="302">
        <v>0.7</v>
      </c>
      <c r="AA791" s="439">
        <v>0.7</v>
      </c>
      <c r="AB791" s="302">
        <v>0.6</v>
      </c>
      <c r="AC791" s="302">
        <v>0.6</v>
      </c>
      <c r="AD791" s="302">
        <v>0.75</v>
      </c>
      <c r="AE791" s="302">
        <v>0.75</v>
      </c>
      <c r="AF791" s="302">
        <v>0.7</v>
      </c>
      <c r="AG791" s="302">
        <v>0.7</v>
      </c>
      <c r="AH791" s="302">
        <v>0.8</v>
      </c>
      <c r="AI791" s="302">
        <v>0.9</v>
      </c>
      <c r="AQ791" s="196"/>
      <c r="AU791" s="336">
        <v>446</v>
      </c>
      <c r="AV791" s="336" t="s">
        <v>512</v>
      </c>
      <c r="AW791" s="336" t="s">
        <v>512</v>
      </c>
      <c r="BX791" s="196"/>
      <c r="BY791" s="196"/>
      <c r="BZ791" s="196"/>
      <c r="CA791" s="196"/>
      <c r="CB791" s="196"/>
      <c r="CC791" s="196"/>
      <c r="CD791" s="196"/>
      <c r="CE791" s="196"/>
      <c r="CF791" s="196"/>
      <c r="CG791" s="196"/>
      <c r="CH791" s="196"/>
      <c r="CI791" s="196"/>
      <c r="CJ791" s="196"/>
      <c r="CK791" s="196"/>
      <c r="CL791" s="196"/>
      <c r="CM791" s="196"/>
      <c r="CN791" s="196"/>
      <c r="CO791" s="196"/>
      <c r="CP791" s="196"/>
      <c r="CQ791" s="196"/>
      <c r="CR791" s="196"/>
      <c r="CS791" s="196"/>
      <c r="CT791" s="196"/>
      <c r="CU791" s="196"/>
      <c r="CV791" s="196"/>
      <c r="CW791" s="196"/>
      <c r="CX791" s="196"/>
      <c r="CY791" s="196"/>
      <c r="CZ791" s="196"/>
      <c r="DA791" s="196"/>
      <c r="DB791" s="196"/>
      <c r="DC791" s="196"/>
      <c r="DD791" s="196"/>
      <c r="DE791" s="196"/>
      <c r="DF791" s="196"/>
      <c r="DG791" s="196"/>
      <c r="DH791" s="196"/>
      <c r="DI791" s="196"/>
      <c r="DJ791" s="196"/>
      <c r="DK791" s="196"/>
      <c r="DL791" s="196"/>
      <c r="DM791" s="196"/>
      <c r="DN791" s="196"/>
      <c r="DO791" s="196"/>
      <c r="DP791" s="196"/>
      <c r="DQ791" s="196"/>
      <c r="DR791" s="196"/>
      <c r="DS791" s="196"/>
      <c r="DT791" s="196"/>
    </row>
    <row r="792" spans="1:124" ht="16.5" thickTop="1" thickBot="1" x14ac:dyDescent="0.3">
      <c r="A792" s="495"/>
      <c r="B792" s="301">
        <v>3</v>
      </c>
      <c r="C792" s="375">
        <f>IF($AB$766=$AI$771,70%,IF($AB$766=$AI$772,70%,IF($AB$766=$AI$773,70%,70%)))</f>
        <v>0.7</v>
      </c>
      <c r="D792" s="374">
        <f>IF($AB$766=$AI$771,80%,IF($AB$766=$AI$772,80%,IF($AB$766=$AI$773,80%,85%)))</f>
        <v>0.85</v>
      </c>
      <c r="E792" s="302">
        <v>0.9</v>
      </c>
      <c r="F792" s="302">
        <v>0.85</v>
      </c>
      <c r="G792" s="302">
        <v>0.9</v>
      </c>
      <c r="H792" s="302">
        <v>0.95</v>
      </c>
      <c r="I792" s="302">
        <v>0.95</v>
      </c>
      <c r="J792" s="302">
        <v>0.95</v>
      </c>
      <c r="K792" s="302">
        <v>1</v>
      </c>
      <c r="L792" s="302">
        <v>0.7</v>
      </c>
      <c r="M792" s="302">
        <v>0.85</v>
      </c>
      <c r="N792" s="302">
        <v>0.85</v>
      </c>
      <c r="O792" s="302">
        <v>0.85</v>
      </c>
      <c r="P792" s="302">
        <v>0.9</v>
      </c>
      <c r="Q792" s="302">
        <v>0.7</v>
      </c>
      <c r="R792" s="302">
        <v>0.85</v>
      </c>
      <c r="S792" s="302">
        <v>0.85</v>
      </c>
      <c r="T792" s="302">
        <v>0.85</v>
      </c>
      <c r="U792" s="302">
        <v>0.85</v>
      </c>
      <c r="V792" s="302">
        <v>0.95</v>
      </c>
      <c r="W792" s="302">
        <v>0.6</v>
      </c>
      <c r="X792" s="302">
        <v>0.6</v>
      </c>
      <c r="Y792" s="302">
        <v>0.6</v>
      </c>
      <c r="Z792" s="302">
        <v>0.6</v>
      </c>
      <c r="AA792" s="439">
        <v>0.6</v>
      </c>
      <c r="AB792" s="302">
        <v>0.6</v>
      </c>
      <c r="AC792" s="302">
        <v>0.6</v>
      </c>
      <c r="AD792" s="302">
        <v>0.7</v>
      </c>
      <c r="AE792" s="302">
        <v>0.75</v>
      </c>
      <c r="AF792" s="302">
        <v>0.6</v>
      </c>
      <c r="AG792" s="302">
        <v>0.6</v>
      </c>
      <c r="AH792" s="302">
        <v>0.7</v>
      </c>
      <c r="AI792" s="302">
        <v>0.85</v>
      </c>
      <c r="AQ792" s="196"/>
      <c r="AU792" s="336">
        <v>457</v>
      </c>
      <c r="AV792" s="336" t="s">
        <v>511</v>
      </c>
      <c r="AW792" s="336" t="s">
        <v>511</v>
      </c>
      <c r="BX792" s="196"/>
      <c r="BY792" s="196"/>
      <c r="BZ792" s="196"/>
      <c r="CA792" s="196"/>
      <c r="CB792" s="196"/>
      <c r="CC792" s="196"/>
      <c r="CD792" s="196"/>
      <c r="CE792" s="196"/>
      <c r="CF792" s="196"/>
      <c r="CG792" s="196"/>
      <c r="CH792" s="196"/>
      <c r="CI792" s="196"/>
      <c r="CJ792" s="196"/>
      <c r="CK792" s="196"/>
      <c r="CL792" s="196"/>
      <c r="CM792" s="196"/>
      <c r="CN792" s="196"/>
      <c r="CO792" s="196"/>
      <c r="CP792" s="196"/>
      <c r="CQ792" s="196"/>
      <c r="CR792" s="196"/>
      <c r="CS792" s="196"/>
      <c r="CT792" s="196"/>
      <c r="CU792" s="196"/>
      <c r="CV792" s="196"/>
      <c r="CW792" s="196"/>
      <c r="CX792" s="196"/>
      <c r="CY792" s="196"/>
      <c r="CZ792" s="196"/>
      <c r="DA792" s="196"/>
      <c r="DB792" s="196"/>
      <c r="DC792" s="196"/>
      <c r="DD792" s="196"/>
      <c r="DE792" s="196"/>
      <c r="DF792" s="196"/>
      <c r="DG792" s="196"/>
      <c r="DH792" s="196"/>
      <c r="DI792" s="196"/>
      <c r="DJ792" s="196"/>
      <c r="DK792" s="196"/>
      <c r="DL792" s="196"/>
      <c r="DM792" s="196"/>
      <c r="DN792" s="196"/>
      <c r="DO792" s="196"/>
      <c r="DP792" s="196"/>
      <c r="DQ792" s="196"/>
      <c r="DR792" s="196"/>
      <c r="DS792" s="196"/>
      <c r="DT792" s="196"/>
    </row>
    <row r="793" spans="1:124" ht="16.5" thickTop="1" thickBot="1" x14ac:dyDescent="0.3">
      <c r="A793" s="495"/>
      <c r="B793" s="301">
        <v>4</v>
      </c>
      <c r="C793" s="300" t="s">
        <v>208</v>
      </c>
      <c r="D793" s="374">
        <f>IF($AB$766=$AI$771,80%,IF($AB$766=$AI$772,80%,IF($AB$766=$AI$773,80%,80%)))</f>
        <v>0.8</v>
      </c>
      <c r="E793" s="302">
        <v>0.9</v>
      </c>
      <c r="F793" s="302">
        <v>0.85</v>
      </c>
      <c r="G793" s="302">
        <v>0.9</v>
      </c>
      <c r="H793" s="302">
        <v>0.95</v>
      </c>
      <c r="I793" s="302">
        <v>0.95</v>
      </c>
      <c r="J793" s="302">
        <v>0.95</v>
      </c>
      <c r="K793" s="302">
        <v>1</v>
      </c>
      <c r="L793" s="300" t="s">
        <v>208</v>
      </c>
      <c r="M793" s="302">
        <v>0.85</v>
      </c>
      <c r="N793" s="302">
        <v>0.85</v>
      </c>
      <c r="O793" s="302">
        <v>0.85</v>
      </c>
      <c r="P793" s="302">
        <v>0.9</v>
      </c>
      <c r="Q793" s="300" t="s">
        <v>208</v>
      </c>
      <c r="R793" s="302">
        <v>0.85</v>
      </c>
      <c r="S793" s="302">
        <v>0.85</v>
      </c>
      <c r="T793" s="302">
        <v>0.85</v>
      </c>
      <c r="U793" s="302">
        <v>0.85</v>
      </c>
      <c r="V793" s="302">
        <v>0.95</v>
      </c>
      <c r="W793" s="302">
        <v>0.4</v>
      </c>
      <c r="X793" s="300" t="s">
        <v>208</v>
      </c>
      <c r="Y793" s="300" t="s">
        <v>208</v>
      </c>
      <c r="Z793" s="302">
        <v>0.5</v>
      </c>
      <c r="AA793" s="439">
        <v>0.4</v>
      </c>
      <c r="AB793" s="300" t="s">
        <v>208</v>
      </c>
      <c r="AC793" s="302">
        <v>0.6</v>
      </c>
      <c r="AD793" s="300" t="s">
        <v>208</v>
      </c>
      <c r="AE793" s="302">
        <v>0.75</v>
      </c>
      <c r="AF793" s="300" t="s">
        <v>208</v>
      </c>
      <c r="AG793" s="302">
        <v>0.4</v>
      </c>
      <c r="AH793" s="300" t="s">
        <v>208</v>
      </c>
      <c r="AI793" s="302">
        <v>0.8</v>
      </c>
      <c r="AQ793" s="196"/>
      <c r="AU793" s="336">
        <v>538</v>
      </c>
      <c r="AV793" s="336" t="s">
        <v>511</v>
      </c>
      <c r="AW793" s="336" t="s">
        <v>511</v>
      </c>
      <c r="BX793" s="196"/>
      <c r="BY793" s="196"/>
      <c r="BZ793" s="196"/>
      <c r="CA793" s="196"/>
      <c r="CB793" s="196"/>
      <c r="CC793" s="196"/>
      <c r="CD793" s="196"/>
      <c r="CE793" s="196"/>
      <c r="CF793" s="196"/>
      <c r="CG793" s="196"/>
      <c r="CH793" s="196"/>
      <c r="CI793" s="196"/>
      <c r="CJ793" s="196"/>
      <c r="CK793" s="196"/>
      <c r="CL793" s="196"/>
      <c r="CM793" s="196"/>
      <c r="CN793" s="196"/>
      <c r="CO793" s="196"/>
      <c r="CP793" s="196"/>
      <c r="CQ793" s="196"/>
      <c r="CR793" s="196"/>
      <c r="CS793" s="196"/>
      <c r="CT793" s="196"/>
      <c r="CU793" s="196"/>
      <c r="CV793" s="196"/>
      <c r="CW793" s="196"/>
      <c r="CX793" s="196"/>
      <c r="CY793" s="196"/>
      <c r="CZ793" s="196"/>
      <c r="DA793" s="196"/>
      <c r="DB793" s="196"/>
      <c r="DC793" s="196"/>
      <c r="DD793" s="196"/>
      <c r="DE793" s="196"/>
      <c r="DF793" s="196"/>
      <c r="DG793" s="196"/>
      <c r="DH793" s="196"/>
      <c r="DI793" s="196"/>
      <c r="DJ793" s="196"/>
      <c r="DK793" s="196"/>
      <c r="DL793" s="196"/>
      <c r="DM793" s="196"/>
      <c r="DN793" s="196"/>
      <c r="DO793" s="196"/>
      <c r="DP793" s="196"/>
      <c r="DQ793" s="196"/>
      <c r="DR793" s="196"/>
      <c r="DS793" s="196"/>
      <c r="DT793" s="196"/>
    </row>
    <row r="794" spans="1:124" ht="16.5" thickTop="1" thickBot="1" x14ac:dyDescent="0.3">
      <c r="A794" s="495"/>
      <c r="B794" s="301">
        <v>5</v>
      </c>
      <c r="C794" s="300" t="s">
        <v>208</v>
      </c>
      <c r="D794" s="374">
        <f>IF($AB$766=$AI$771,80%,IF($AB$766=$AI$772,80%,IF($AB$766=$AI$773,80%,80%)))</f>
        <v>0.8</v>
      </c>
      <c r="E794" s="302">
        <v>0.9</v>
      </c>
      <c r="F794" s="302">
        <v>0.8</v>
      </c>
      <c r="G794" s="302">
        <v>0.9</v>
      </c>
      <c r="H794" s="302">
        <v>0.95</v>
      </c>
      <c r="I794" s="302">
        <v>0.95</v>
      </c>
      <c r="J794" s="302">
        <v>0.95</v>
      </c>
      <c r="K794" s="302">
        <v>1</v>
      </c>
      <c r="L794" s="300" t="s">
        <v>208</v>
      </c>
      <c r="M794" s="302">
        <v>0.8</v>
      </c>
      <c r="N794" s="302">
        <v>0.8</v>
      </c>
      <c r="O794" s="302">
        <v>0.8</v>
      </c>
      <c r="P794" s="302">
        <v>0.9</v>
      </c>
      <c r="Q794" s="300" t="s">
        <v>208</v>
      </c>
      <c r="R794" s="302">
        <v>0.8</v>
      </c>
      <c r="S794" s="302">
        <v>0.8</v>
      </c>
      <c r="T794" s="302">
        <v>0.8</v>
      </c>
      <c r="U794" s="302">
        <v>0.8</v>
      </c>
      <c r="V794" s="302">
        <v>0.95</v>
      </c>
      <c r="W794" s="300" t="s">
        <v>208</v>
      </c>
      <c r="X794" s="300" t="s">
        <v>208</v>
      </c>
      <c r="Y794" s="300" t="s">
        <v>208</v>
      </c>
      <c r="Z794" s="302">
        <v>0.5</v>
      </c>
      <c r="AA794" s="300" t="s">
        <v>208</v>
      </c>
      <c r="AB794" s="300" t="s">
        <v>208</v>
      </c>
      <c r="AC794" s="300" t="s">
        <v>208</v>
      </c>
      <c r="AD794" s="300" t="s">
        <v>208</v>
      </c>
      <c r="AE794" s="300" t="s">
        <v>208</v>
      </c>
      <c r="AF794" s="300" t="s">
        <v>208</v>
      </c>
      <c r="AG794" s="300" t="s">
        <v>208</v>
      </c>
      <c r="AH794" s="300" t="s">
        <v>208</v>
      </c>
      <c r="AI794" s="302">
        <v>0.8</v>
      </c>
      <c r="AL794" s="196"/>
      <c r="AM794" s="196"/>
      <c r="AN794" s="196"/>
      <c r="AO794" s="196"/>
      <c r="AP794" s="196"/>
      <c r="AQ794" s="196"/>
      <c r="AU794" s="336">
        <v>675</v>
      </c>
      <c r="AV794" s="336" t="s">
        <v>512</v>
      </c>
      <c r="AW794" s="336" t="s">
        <v>512</v>
      </c>
      <c r="BX794" s="196"/>
      <c r="BY794" s="196"/>
      <c r="BZ794" s="196"/>
      <c r="CA794" s="196"/>
      <c r="CB794" s="196"/>
      <c r="CC794" s="196"/>
      <c r="CD794" s="196"/>
      <c r="CE794" s="196"/>
      <c r="CF794" s="196"/>
      <c r="CG794" s="196"/>
      <c r="CH794" s="196"/>
      <c r="CI794" s="196"/>
      <c r="CJ794" s="196"/>
      <c r="CK794" s="196"/>
      <c r="CL794" s="196"/>
      <c r="CM794" s="196"/>
      <c r="CN794" s="196"/>
      <c r="CO794" s="196"/>
      <c r="CP794" s="196"/>
      <c r="CQ794" s="196"/>
      <c r="CR794" s="196"/>
      <c r="CS794" s="196"/>
      <c r="CT794" s="196"/>
      <c r="CU794" s="196"/>
      <c r="CV794" s="196"/>
      <c r="CW794" s="196"/>
      <c r="CX794" s="196"/>
      <c r="CY794" s="196"/>
      <c r="CZ794" s="196"/>
      <c r="DA794" s="196"/>
      <c r="DB794" s="196"/>
      <c r="DC794" s="196"/>
      <c r="DD794" s="196"/>
      <c r="DE794" s="196"/>
      <c r="DF794" s="196"/>
      <c r="DG794" s="196"/>
      <c r="DH794" s="196"/>
      <c r="DI794" s="196"/>
      <c r="DJ794" s="196"/>
      <c r="DK794" s="196"/>
      <c r="DL794" s="196"/>
      <c r="DM794" s="196"/>
      <c r="DN794" s="196"/>
      <c r="DO794" s="196"/>
      <c r="DP794" s="196"/>
      <c r="DQ794" s="196"/>
      <c r="DR794" s="196"/>
      <c r="DS794" s="196"/>
      <c r="DT794" s="196"/>
    </row>
    <row r="795" spans="1:124" ht="16.5" thickTop="1" thickBot="1" x14ac:dyDescent="0.3">
      <c r="A795" s="495"/>
      <c r="B795" s="301">
        <v>6</v>
      </c>
      <c r="C795" s="300" t="s">
        <v>208</v>
      </c>
      <c r="D795" s="300" t="s">
        <v>208</v>
      </c>
      <c r="E795" s="300" t="s">
        <v>208</v>
      </c>
      <c r="F795" s="302">
        <v>0.8</v>
      </c>
      <c r="G795" s="302">
        <v>0.9</v>
      </c>
      <c r="H795" s="300" t="s">
        <v>208</v>
      </c>
      <c r="I795" s="302">
        <v>0.95</v>
      </c>
      <c r="J795" s="302">
        <v>0.95</v>
      </c>
      <c r="K795" s="302">
        <v>1</v>
      </c>
      <c r="L795" s="300" t="s">
        <v>208</v>
      </c>
      <c r="M795" s="300" t="s">
        <v>208</v>
      </c>
      <c r="N795" s="300" t="s">
        <v>208</v>
      </c>
      <c r="O795" s="302">
        <v>0.8</v>
      </c>
      <c r="P795" s="302">
        <v>0.9</v>
      </c>
      <c r="Q795" s="300" t="s">
        <v>208</v>
      </c>
      <c r="R795" s="300" t="s">
        <v>208</v>
      </c>
      <c r="S795" s="300" t="s">
        <v>208</v>
      </c>
      <c r="T795" s="302">
        <v>0.8</v>
      </c>
      <c r="U795" s="302">
        <v>0.8</v>
      </c>
      <c r="V795" s="302">
        <v>0.95</v>
      </c>
      <c r="W795" s="300" t="s">
        <v>208</v>
      </c>
      <c r="X795" s="300" t="s">
        <v>208</v>
      </c>
      <c r="Y795" s="300" t="s">
        <v>208</v>
      </c>
      <c r="Z795" s="302">
        <v>0.5</v>
      </c>
      <c r="AA795" s="300" t="s">
        <v>208</v>
      </c>
      <c r="AB795" s="300" t="s">
        <v>208</v>
      </c>
      <c r="AC795" s="300" t="s">
        <v>208</v>
      </c>
      <c r="AD795" s="300" t="s">
        <v>208</v>
      </c>
      <c r="AE795" s="300" t="s">
        <v>208</v>
      </c>
      <c r="AF795" s="300" t="s">
        <v>208</v>
      </c>
      <c r="AG795" s="300" t="s">
        <v>208</v>
      </c>
      <c r="AH795" s="300" t="s">
        <v>208</v>
      </c>
      <c r="AI795" s="300" t="s">
        <v>208</v>
      </c>
      <c r="AL795" s="196"/>
      <c r="AM795" s="196"/>
      <c r="AN795" s="196"/>
      <c r="AO795" s="196"/>
      <c r="AP795" s="196"/>
      <c r="AQ795" s="196"/>
      <c r="AU795" s="336">
        <v>768</v>
      </c>
      <c r="AV795" s="336" t="s">
        <v>510</v>
      </c>
      <c r="AW795" s="336" t="s">
        <v>510</v>
      </c>
      <c r="BX795" s="196"/>
      <c r="BY795" s="196"/>
      <c r="BZ795" s="196"/>
      <c r="CA795" s="196"/>
      <c r="CB795" s="196"/>
      <c r="CC795" s="196"/>
      <c r="CD795" s="196"/>
      <c r="CE795" s="196"/>
      <c r="CF795" s="196"/>
      <c r="CG795" s="196"/>
      <c r="CH795" s="196"/>
      <c r="CI795" s="196"/>
      <c r="CJ795" s="196"/>
      <c r="CK795" s="196"/>
      <c r="CL795" s="196"/>
      <c r="CM795" s="196"/>
      <c r="CN795" s="196"/>
      <c r="CO795" s="196"/>
      <c r="CP795" s="196"/>
      <c r="CQ795" s="196"/>
      <c r="CR795" s="196"/>
      <c r="CS795" s="196"/>
      <c r="CT795" s="196"/>
      <c r="CU795" s="196"/>
      <c r="CV795" s="196"/>
      <c r="CW795" s="196"/>
      <c r="CX795" s="196"/>
      <c r="CY795" s="196"/>
      <c r="CZ795" s="196"/>
      <c r="DA795" s="196"/>
      <c r="DB795" s="196"/>
      <c r="DC795" s="196"/>
      <c r="DD795" s="196"/>
      <c r="DE795" s="196"/>
      <c r="DF795" s="196"/>
      <c r="DG795" s="196"/>
      <c r="DH795" s="196"/>
      <c r="DI795" s="196"/>
      <c r="DJ795" s="196"/>
      <c r="DK795" s="196"/>
      <c r="DL795" s="196"/>
      <c r="DM795" s="196"/>
      <c r="DN795" s="196"/>
      <c r="DO795" s="196"/>
      <c r="DP795" s="196"/>
      <c r="DQ795" s="196"/>
      <c r="DR795" s="196"/>
      <c r="DS795" s="196"/>
      <c r="DT795" s="196"/>
    </row>
    <row r="796" spans="1:124" ht="16.5" thickTop="1" thickBot="1" x14ac:dyDescent="0.3">
      <c r="A796" s="495"/>
      <c r="B796" s="445" t="s">
        <v>459</v>
      </c>
      <c r="C796" s="446"/>
      <c r="D796" s="446"/>
      <c r="E796" s="446"/>
      <c r="F796" s="446"/>
      <c r="G796" s="446"/>
      <c r="H796" s="446"/>
      <c r="I796" s="446"/>
      <c r="J796" s="446"/>
      <c r="K796" s="446"/>
      <c r="L796" s="446"/>
      <c r="M796" s="446"/>
      <c r="N796" s="446"/>
      <c r="O796" s="446"/>
      <c r="P796" s="446"/>
      <c r="Q796" s="446"/>
      <c r="R796" s="446"/>
      <c r="S796" s="446"/>
      <c r="T796" s="446"/>
      <c r="U796" s="446"/>
      <c r="V796" s="446"/>
      <c r="W796" s="446"/>
      <c r="X796" s="446"/>
      <c r="Y796" s="446"/>
      <c r="Z796" s="446"/>
      <c r="AA796" s="446"/>
      <c r="AB796" s="446"/>
      <c r="AC796" s="446"/>
      <c r="AD796" s="446"/>
      <c r="AE796" s="446"/>
      <c r="AF796" s="469"/>
      <c r="AG796" s="469"/>
      <c r="AH796" s="469"/>
      <c r="AI796" s="469"/>
      <c r="AL796" s="196"/>
      <c r="AM796" s="196"/>
      <c r="AN796" s="196"/>
      <c r="AO796" s="196"/>
      <c r="AP796" s="196"/>
      <c r="AQ796" s="196"/>
      <c r="AU796" s="336">
        <v>781</v>
      </c>
      <c r="AV796" s="336" t="s">
        <v>512</v>
      </c>
      <c r="AW796" s="336" t="s">
        <v>512</v>
      </c>
      <c r="BX796" s="196"/>
      <c r="BY796" s="196"/>
      <c r="BZ796" s="196"/>
      <c r="CA796" s="196"/>
      <c r="CB796" s="196"/>
      <c r="CC796" s="196"/>
      <c r="CD796" s="196"/>
      <c r="CE796" s="196"/>
      <c r="CF796" s="196"/>
      <c r="CG796" s="196"/>
      <c r="CH796" s="196"/>
      <c r="CI796" s="196"/>
      <c r="CJ796" s="196"/>
      <c r="CK796" s="196"/>
      <c r="CL796" s="196"/>
      <c r="CM796" s="196"/>
      <c r="CN796" s="196"/>
      <c r="CO796" s="196"/>
      <c r="CP796" s="196"/>
      <c r="CQ796" s="196"/>
      <c r="CR796" s="196"/>
      <c r="CS796" s="196"/>
      <c r="CT796" s="196"/>
      <c r="CU796" s="196"/>
      <c r="CV796" s="196"/>
      <c r="CW796" s="196"/>
      <c r="CX796" s="196"/>
      <c r="CY796" s="196"/>
      <c r="CZ796" s="196"/>
      <c r="DA796" s="196"/>
      <c r="DB796" s="196"/>
      <c r="DC796" s="196"/>
      <c r="DD796" s="196"/>
      <c r="DE796" s="196"/>
      <c r="DF796" s="196"/>
      <c r="DG796" s="196"/>
      <c r="DH796" s="196"/>
      <c r="DI796" s="196"/>
      <c r="DJ796" s="196"/>
      <c r="DK796" s="196"/>
      <c r="DL796" s="196"/>
      <c r="DM796" s="196"/>
      <c r="DN796" s="196"/>
      <c r="DO796" s="196"/>
      <c r="DP796" s="196"/>
      <c r="DQ796" s="196"/>
      <c r="DR796" s="196"/>
      <c r="DS796" s="196"/>
      <c r="DT796" s="196"/>
    </row>
    <row r="797" spans="1:124" ht="16.5" thickTop="1" thickBot="1" x14ac:dyDescent="0.3">
      <c r="A797" s="495"/>
      <c r="B797" s="301">
        <v>1</v>
      </c>
      <c r="C797" s="492">
        <f>IF($AB$766=$AI$771,70%,IF($AB$766=$AI$772,70%,IF($AB$766=$AI$773,70%,75%)))</f>
        <v>0.75</v>
      </c>
      <c r="D797" s="302">
        <v>0.8</v>
      </c>
      <c r="E797" s="302">
        <v>0.9</v>
      </c>
      <c r="F797" s="302">
        <v>0.8</v>
      </c>
      <c r="G797" s="302">
        <v>0.8</v>
      </c>
      <c r="H797" s="302">
        <v>0.95</v>
      </c>
      <c r="I797" s="302">
        <v>0.8</v>
      </c>
      <c r="J797" s="302">
        <v>0.8</v>
      </c>
      <c r="K797" s="302">
        <v>1</v>
      </c>
      <c r="L797" s="492">
        <v>0.75</v>
      </c>
      <c r="M797" s="302">
        <v>0.8</v>
      </c>
      <c r="N797" s="302">
        <v>0.85</v>
      </c>
      <c r="O797" s="302">
        <v>0.8</v>
      </c>
      <c r="P797" s="302">
        <v>0.8</v>
      </c>
      <c r="Q797" s="302">
        <v>0.5</v>
      </c>
      <c r="R797" s="302">
        <v>0.8</v>
      </c>
      <c r="S797" s="302">
        <v>0.8</v>
      </c>
      <c r="T797" s="302">
        <v>0.8</v>
      </c>
      <c r="U797" s="302">
        <v>0.8</v>
      </c>
      <c r="V797" s="439">
        <v>0.95</v>
      </c>
      <c r="W797" s="439">
        <v>0.7</v>
      </c>
      <c r="X797" s="492">
        <v>0.7</v>
      </c>
      <c r="Y797" s="492">
        <v>0.7</v>
      </c>
      <c r="Z797" s="302">
        <v>0.5</v>
      </c>
      <c r="AA797" s="302">
        <v>0.5</v>
      </c>
      <c r="AB797" s="302">
        <v>0.5</v>
      </c>
      <c r="AC797" s="302">
        <v>0.5</v>
      </c>
      <c r="AD797" s="492">
        <v>0.7</v>
      </c>
      <c r="AE797" s="302">
        <v>0.7</v>
      </c>
      <c r="AF797" s="492">
        <v>0.7</v>
      </c>
      <c r="AG797" s="302">
        <v>0.7</v>
      </c>
      <c r="AH797" s="302">
        <v>0.5</v>
      </c>
      <c r="AI797" s="302">
        <v>0.8</v>
      </c>
      <c r="AJ797" s="196"/>
      <c r="AK797" s="196"/>
      <c r="AL797" s="196"/>
      <c r="AM797" s="196"/>
      <c r="AN797" s="196"/>
      <c r="AO797" s="196"/>
      <c r="AU797" s="336">
        <v>788</v>
      </c>
      <c r="AV797" s="336" t="s">
        <v>511</v>
      </c>
      <c r="AW797" s="336" t="s">
        <v>511</v>
      </c>
      <c r="BX797" s="196"/>
      <c r="BY797" s="196"/>
      <c r="BZ797" s="196"/>
      <c r="CA797" s="196"/>
      <c r="CB797" s="196"/>
      <c r="CC797" s="196"/>
      <c r="CD797" s="196"/>
      <c r="CE797" s="196"/>
      <c r="CF797" s="196"/>
      <c r="CG797" s="196"/>
      <c r="CH797" s="196"/>
      <c r="CI797" s="196"/>
      <c r="CJ797" s="196"/>
      <c r="CK797" s="196"/>
      <c r="CL797" s="196"/>
      <c r="CM797" s="196"/>
      <c r="CN797" s="196"/>
      <c r="CO797" s="196"/>
      <c r="CP797" s="196"/>
      <c r="CQ797" s="196"/>
      <c r="CR797" s="196"/>
      <c r="CS797" s="196"/>
      <c r="CT797" s="196"/>
      <c r="CU797" s="196"/>
      <c r="CV797" s="196"/>
      <c r="CW797" s="196"/>
      <c r="CX797" s="196"/>
      <c r="CY797" s="196"/>
      <c r="CZ797" s="196"/>
      <c r="DA797" s="196"/>
      <c r="DB797" s="196"/>
      <c r="DC797" s="196"/>
      <c r="DD797" s="196"/>
      <c r="DE797" s="196"/>
      <c r="DF797" s="196"/>
      <c r="DG797" s="196"/>
      <c r="DH797" s="196"/>
      <c r="DI797" s="196"/>
      <c r="DJ797" s="196"/>
      <c r="DK797" s="196"/>
      <c r="DL797" s="196"/>
      <c r="DM797" s="196"/>
      <c r="DN797" s="196"/>
      <c r="DO797" s="196"/>
      <c r="DP797" s="196"/>
      <c r="DQ797" s="196"/>
      <c r="DR797" s="196"/>
      <c r="DS797" s="196"/>
      <c r="DT797" s="196"/>
    </row>
    <row r="798" spans="1:124" ht="16.5" thickTop="1" thickBot="1" x14ac:dyDescent="0.3">
      <c r="A798" s="495"/>
      <c r="B798" s="301">
        <v>2</v>
      </c>
      <c r="C798" s="492">
        <v>0.7</v>
      </c>
      <c r="D798" s="302">
        <v>0.8</v>
      </c>
      <c r="E798" s="302">
        <v>0.9</v>
      </c>
      <c r="F798" s="302">
        <v>0.8</v>
      </c>
      <c r="G798" s="302">
        <v>0.8</v>
      </c>
      <c r="H798" s="302">
        <v>0.95</v>
      </c>
      <c r="I798" s="302">
        <v>0.8</v>
      </c>
      <c r="J798" s="302">
        <v>0.8</v>
      </c>
      <c r="K798" s="302">
        <v>1</v>
      </c>
      <c r="L798" s="492">
        <v>0.7</v>
      </c>
      <c r="M798" s="302">
        <v>0.8</v>
      </c>
      <c r="N798" s="302">
        <v>0.85</v>
      </c>
      <c r="O798" s="302">
        <v>0.8</v>
      </c>
      <c r="P798" s="302">
        <v>0.8</v>
      </c>
      <c r="Q798" s="302">
        <v>0.5</v>
      </c>
      <c r="R798" s="302">
        <v>0.8</v>
      </c>
      <c r="S798" s="302">
        <v>0.8</v>
      </c>
      <c r="T798" s="302">
        <v>0.8</v>
      </c>
      <c r="U798" s="302">
        <v>0.8</v>
      </c>
      <c r="V798" s="302">
        <v>0.95</v>
      </c>
      <c r="W798" s="302">
        <v>0.7</v>
      </c>
      <c r="X798" s="492">
        <v>0.7</v>
      </c>
      <c r="Y798" s="492">
        <v>0.7</v>
      </c>
      <c r="Z798" s="302">
        <v>0.5</v>
      </c>
      <c r="AA798" s="302">
        <v>0.5</v>
      </c>
      <c r="AB798" s="302">
        <v>0.5</v>
      </c>
      <c r="AC798" s="302">
        <v>0.5</v>
      </c>
      <c r="AD798" s="492">
        <v>0.7</v>
      </c>
      <c r="AE798" s="302">
        <v>0.7</v>
      </c>
      <c r="AF798" s="492">
        <v>0.7</v>
      </c>
      <c r="AG798" s="302">
        <v>0.7</v>
      </c>
      <c r="AH798" s="302">
        <v>0.5</v>
      </c>
      <c r="AI798" s="302">
        <v>0.8</v>
      </c>
      <c r="AJ798" s="196"/>
      <c r="AK798" s="196"/>
      <c r="AL798" s="465"/>
      <c r="AM798" s="465"/>
      <c r="AN798" s="465"/>
      <c r="AO798" s="196"/>
      <c r="AU798" s="336">
        <v>796</v>
      </c>
      <c r="AV798" s="336" t="s">
        <v>511</v>
      </c>
      <c r="AW798" s="336" t="s">
        <v>511</v>
      </c>
      <c r="BX798" s="196"/>
      <c r="BY798" s="196"/>
      <c r="BZ798" s="196"/>
      <c r="CA798" s="196"/>
      <c r="CB798" s="196"/>
      <c r="CC798" s="196"/>
      <c r="CD798" s="196"/>
      <c r="CE798" s="196"/>
      <c r="CF798" s="196"/>
      <c r="CG798" s="196"/>
      <c r="CH798" s="196"/>
      <c r="CI798" s="196"/>
      <c r="CJ798" s="196"/>
      <c r="CK798" s="196"/>
      <c r="CL798" s="196"/>
      <c r="CM798" s="196"/>
      <c r="CN798" s="196"/>
      <c r="CO798" s="196"/>
      <c r="CP798" s="196"/>
      <c r="CQ798" s="196"/>
      <c r="CR798" s="196"/>
      <c r="CS798" s="196"/>
      <c r="CT798" s="196"/>
      <c r="CU798" s="196"/>
      <c r="CV798" s="196"/>
      <c r="CW798" s="196"/>
      <c r="CX798" s="196"/>
      <c r="CY798" s="196"/>
      <c r="CZ798" s="196"/>
      <c r="DA798" s="196"/>
      <c r="DB798" s="196"/>
      <c r="DC798" s="196"/>
      <c r="DD798" s="196"/>
      <c r="DE798" s="196"/>
      <c r="DF798" s="196"/>
      <c r="DG798" s="196"/>
      <c r="DH798" s="196"/>
      <c r="DI798" s="196"/>
      <c r="DJ798" s="196"/>
      <c r="DK798" s="196"/>
      <c r="DL798" s="196"/>
      <c r="DM798" s="196"/>
      <c r="DN798" s="196"/>
      <c r="DO798" s="196"/>
      <c r="DP798" s="196"/>
      <c r="DQ798" s="196"/>
      <c r="DR798" s="196"/>
      <c r="DS798" s="196"/>
      <c r="DT798" s="196"/>
    </row>
    <row r="799" spans="1:124" ht="16.5" thickTop="1" thickBot="1" x14ac:dyDescent="0.3">
      <c r="A799" s="495"/>
      <c r="B799" s="301">
        <v>3</v>
      </c>
      <c r="C799" s="375">
        <f>IF($AB$766=$AI$771,50%,IF($AB$766=$AI$772,50%,IF($AB$766=$AI$773,50%,50%)))</f>
        <v>0.5</v>
      </c>
      <c r="D799" s="302">
        <v>0.7</v>
      </c>
      <c r="E799" s="302">
        <v>0.9</v>
      </c>
      <c r="F799" s="302">
        <v>0.7</v>
      </c>
      <c r="G799" s="302">
        <v>0.8</v>
      </c>
      <c r="H799" s="302">
        <v>0.95</v>
      </c>
      <c r="I799" s="302">
        <v>0.8</v>
      </c>
      <c r="J799" s="302">
        <v>0.8</v>
      </c>
      <c r="K799" s="302">
        <v>1</v>
      </c>
      <c r="L799" s="302">
        <v>0.5</v>
      </c>
      <c r="M799" s="302">
        <v>0.7</v>
      </c>
      <c r="N799" s="302">
        <v>0.85</v>
      </c>
      <c r="O799" s="302">
        <v>0.7</v>
      </c>
      <c r="P799" s="302">
        <v>0.8</v>
      </c>
      <c r="Q799" s="302">
        <v>0.5</v>
      </c>
      <c r="R799" s="302">
        <v>0.7</v>
      </c>
      <c r="S799" s="302">
        <v>0.7</v>
      </c>
      <c r="T799" s="302">
        <v>0.7</v>
      </c>
      <c r="U799" s="302">
        <v>0.7</v>
      </c>
      <c r="V799" s="302">
        <v>0.95</v>
      </c>
      <c r="W799" s="302">
        <v>0.6</v>
      </c>
      <c r="X799" s="302">
        <v>0.5</v>
      </c>
      <c r="Y799" s="302">
        <v>0.5</v>
      </c>
      <c r="Z799" s="302">
        <v>0.5</v>
      </c>
      <c r="AA799" s="302">
        <v>0.5</v>
      </c>
      <c r="AB799" s="302">
        <v>0.5</v>
      </c>
      <c r="AC799" s="302">
        <v>0.5</v>
      </c>
      <c r="AD799" s="302">
        <v>0.5</v>
      </c>
      <c r="AE799" s="302">
        <v>0.5</v>
      </c>
      <c r="AF799" s="302">
        <v>0.5</v>
      </c>
      <c r="AG799" s="302">
        <v>0.6</v>
      </c>
      <c r="AH799" s="302">
        <v>0.5</v>
      </c>
      <c r="AI799" s="302">
        <v>0.7</v>
      </c>
      <c r="AJ799" s="196"/>
      <c r="AK799" s="196"/>
      <c r="AL799" s="465"/>
      <c r="AM799" s="465"/>
      <c r="AN799" s="465"/>
      <c r="AO799" s="196"/>
      <c r="AU799" s="336">
        <v>797</v>
      </c>
      <c r="AV799" s="336" t="s">
        <v>511</v>
      </c>
      <c r="AW799" s="336" t="s">
        <v>511</v>
      </c>
      <c r="BX799" s="196"/>
      <c r="BY799" s="196"/>
      <c r="BZ799" s="196"/>
      <c r="CA799" s="196"/>
      <c r="CB799" s="196"/>
      <c r="CC799" s="196"/>
      <c r="CD799" s="196"/>
      <c r="CE799" s="196"/>
      <c r="CF799" s="196"/>
      <c r="CG799" s="196"/>
      <c r="CH799" s="196"/>
      <c r="CI799" s="196"/>
      <c r="CJ799" s="196"/>
      <c r="CK799" s="196"/>
      <c r="CL799" s="196"/>
      <c r="CM799" s="196"/>
      <c r="CN799" s="196"/>
      <c r="CO799" s="196"/>
      <c r="CP799" s="196"/>
      <c r="CQ799" s="196"/>
      <c r="CR799" s="196"/>
      <c r="CS799" s="196"/>
      <c r="CT799" s="196"/>
      <c r="CU799" s="196"/>
      <c r="CV799" s="196"/>
      <c r="CW799" s="196"/>
      <c r="CX799" s="196"/>
      <c r="CY799" s="196"/>
      <c r="CZ799" s="196"/>
      <c r="DA799" s="196"/>
      <c r="DB799" s="196"/>
      <c r="DC799" s="196"/>
      <c r="DD799" s="196"/>
      <c r="DE799" s="196"/>
      <c r="DF799" s="196"/>
      <c r="DG799" s="196"/>
      <c r="DH799" s="196"/>
      <c r="DI799" s="196"/>
      <c r="DJ799" s="196"/>
      <c r="DK799" s="196"/>
      <c r="DL799" s="196"/>
      <c r="DM799" s="196"/>
      <c r="DN799" s="196"/>
      <c r="DO799" s="196"/>
      <c r="DP799" s="196"/>
      <c r="DQ799" s="196"/>
      <c r="DR799" s="196"/>
      <c r="DS799" s="196"/>
      <c r="DT799" s="196"/>
    </row>
    <row r="800" spans="1:124" ht="16.5" thickTop="1" thickBot="1" x14ac:dyDescent="0.3">
      <c r="A800" s="495"/>
      <c r="B800" s="301">
        <v>4</v>
      </c>
      <c r="C800" s="300" t="s">
        <v>208</v>
      </c>
      <c r="D800" s="302">
        <v>0.7</v>
      </c>
      <c r="E800" s="302">
        <v>0.9</v>
      </c>
      <c r="F800" s="302">
        <v>0.7</v>
      </c>
      <c r="G800" s="302">
        <v>0.8</v>
      </c>
      <c r="H800" s="302">
        <v>0.95</v>
      </c>
      <c r="I800" s="302">
        <v>0.8</v>
      </c>
      <c r="J800" s="302">
        <v>0.8</v>
      </c>
      <c r="K800" s="302">
        <v>1</v>
      </c>
      <c r="L800" s="300" t="s">
        <v>208</v>
      </c>
      <c r="M800" s="302">
        <v>0.7</v>
      </c>
      <c r="N800" s="302">
        <v>0.85</v>
      </c>
      <c r="O800" s="302">
        <v>0.7</v>
      </c>
      <c r="P800" s="302">
        <v>0.8</v>
      </c>
      <c r="Q800" s="300" t="s">
        <v>208</v>
      </c>
      <c r="R800" s="302">
        <v>0.7</v>
      </c>
      <c r="S800" s="302">
        <v>0.7</v>
      </c>
      <c r="T800" s="302">
        <v>0.7</v>
      </c>
      <c r="U800" s="302">
        <v>0.7</v>
      </c>
      <c r="V800" s="302">
        <v>0.95</v>
      </c>
      <c r="W800" s="302">
        <v>0.4</v>
      </c>
      <c r="X800" s="300" t="s">
        <v>208</v>
      </c>
      <c r="Y800" s="300" t="s">
        <v>208</v>
      </c>
      <c r="Z800" s="302">
        <v>0.5</v>
      </c>
      <c r="AA800" s="302">
        <v>0.4</v>
      </c>
      <c r="AB800" s="300" t="s">
        <v>208</v>
      </c>
      <c r="AC800" s="302">
        <v>0.5</v>
      </c>
      <c r="AD800" s="300" t="s">
        <v>208</v>
      </c>
      <c r="AE800" s="302">
        <v>0.5</v>
      </c>
      <c r="AF800" s="300" t="s">
        <v>208</v>
      </c>
      <c r="AG800" s="302">
        <v>0.4</v>
      </c>
      <c r="AH800" s="300" t="s">
        <v>208</v>
      </c>
      <c r="AI800" s="302">
        <v>0.7</v>
      </c>
      <c r="AM800" s="196"/>
      <c r="AN800" s="196"/>
      <c r="AO800" s="196"/>
      <c r="AU800" s="336">
        <v>800</v>
      </c>
      <c r="AV800" s="336" t="s">
        <v>511</v>
      </c>
      <c r="AW800" s="336" t="s">
        <v>511</v>
      </c>
      <c r="BX800" s="196"/>
      <c r="BY800" s="196"/>
      <c r="BZ800" s="196"/>
      <c r="CA800" s="196"/>
      <c r="CB800" s="196"/>
      <c r="CC800" s="196"/>
      <c r="CD800" s="196"/>
      <c r="CE800" s="196"/>
      <c r="CF800" s="196"/>
      <c r="CG800" s="196"/>
      <c r="CH800" s="196"/>
      <c r="CI800" s="196"/>
      <c r="CJ800" s="196"/>
      <c r="CK800" s="196"/>
      <c r="CL800" s="196"/>
      <c r="CM800" s="196"/>
      <c r="CN800" s="196"/>
      <c r="CO800" s="196"/>
      <c r="CP800" s="196"/>
      <c r="CQ800" s="196"/>
      <c r="CR800" s="196"/>
      <c r="CS800" s="196"/>
      <c r="CT800" s="196"/>
      <c r="CU800" s="196"/>
      <c r="CV800" s="196"/>
      <c r="CW800" s="196"/>
      <c r="CX800" s="196"/>
      <c r="CY800" s="196"/>
      <c r="CZ800" s="196"/>
      <c r="DA800" s="196"/>
      <c r="DB800" s="196"/>
      <c r="DC800" s="196"/>
      <c r="DD800" s="196"/>
      <c r="DE800" s="196"/>
      <c r="DF800" s="196"/>
      <c r="DG800" s="196"/>
      <c r="DH800" s="196"/>
      <c r="DI800" s="196"/>
      <c r="DJ800" s="196"/>
      <c r="DK800" s="196"/>
      <c r="DL800" s="196"/>
      <c r="DM800" s="196"/>
      <c r="DN800" s="196"/>
      <c r="DO800" s="196"/>
      <c r="DP800" s="196"/>
      <c r="DQ800" s="196"/>
      <c r="DR800" s="196"/>
      <c r="DS800" s="196"/>
      <c r="DT800" s="196"/>
    </row>
    <row r="801" spans="1:124" ht="16.5" thickTop="1" thickBot="1" x14ac:dyDescent="0.3">
      <c r="A801" s="495"/>
      <c r="B801" s="301">
        <v>5</v>
      </c>
      <c r="C801" s="300" t="s">
        <v>208</v>
      </c>
      <c r="D801" s="302">
        <v>0.7</v>
      </c>
      <c r="E801" s="302">
        <v>0.9</v>
      </c>
      <c r="F801" s="302">
        <v>0.7</v>
      </c>
      <c r="G801" s="302">
        <v>0.8</v>
      </c>
      <c r="H801" s="302">
        <v>0.95</v>
      </c>
      <c r="I801" s="302">
        <v>0.8</v>
      </c>
      <c r="J801" s="302">
        <v>0.8</v>
      </c>
      <c r="K801" s="302">
        <v>1</v>
      </c>
      <c r="L801" s="300" t="s">
        <v>208</v>
      </c>
      <c r="M801" s="302">
        <v>0.7</v>
      </c>
      <c r="N801" s="302">
        <v>0.8</v>
      </c>
      <c r="O801" s="302">
        <v>0.7</v>
      </c>
      <c r="P801" s="302">
        <v>0.8</v>
      </c>
      <c r="Q801" s="300" t="s">
        <v>208</v>
      </c>
      <c r="R801" s="302">
        <v>0.7</v>
      </c>
      <c r="S801" s="302">
        <v>0.7</v>
      </c>
      <c r="T801" s="302">
        <v>0.7</v>
      </c>
      <c r="U801" s="302">
        <v>0.7</v>
      </c>
      <c r="V801" s="302">
        <v>0.95</v>
      </c>
      <c r="W801" s="300" t="s">
        <v>208</v>
      </c>
      <c r="X801" s="300" t="s">
        <v>208</v>
      </c>
      <c r="Y801" s="300" t="s">
        <v>208</v>
      </c>
      <c r="Z801" s="302">
        <v>0.5</v>
      </c>
      <c r="AA801" s="300" t="s">
        <v>208</v>
      </c>
      <c r="AB801" s="300" t="s">
        <v>208</v>
      </c>
      <c r="AC801" s="300" t="s">
        <v>208</v>
      </c>
      <c r="AD801" s="300" t="s">
        <v>208</v>
      </c>
      <c r="AE801" s="300" t="s">
        <v>208</v>
      </c>
      <c r="AF801" s="300" t="s">
        <v>208</v>
      </c>
      <c r="AG801" s="300" t="s">
        <v>208</v>
      </c>
      <c r="AH801" s="300" t="s">
        <v>208</v>
      </c>
      <c r="AI801" s="302">
        <v>0.7</v>
      </c>
      <c r="AM801" s="196"/>
      <c r="AN801" s="196"/>
      <c r="AO801" s="196"/>
      <c r="AU801" s="336">
        <v>3602</v>
      </c>
      <c r="AV801" s="336" t="s">
        <v>511</v>
      </c>
      <c r="AW801" s="336" t="s">
        <v>511</v>
      </c>
      <c r="BX801" s="196"/>
      <c r="BY801" s="196"/>
      <c r="BZ801" s="196"/>
      <c r="CA801" s="196"/>
      <c r="CB801" s="196"/>
      <c r="CC801" s="196"/>
      <c r="CD801" s="196"/>
      <c r="CE801" s="196"/>
      <c r="CF801" s="196"/>
      <c r="CG801" s="196"/>
      <c r="CH801" s="196"/>
      <c r="CI801" s="196"/>
      <c r="CJ801" s="196"/>
      <c r="CK801" s="196"/>
      <c r="CL801" s="196"/>
      <c r="CM801" s="196"/>
      <c r="CN801" s="196"/>
      <c r="CO801" s="196"/>
      <c r="CP801" s="196"/>
      <c r="CQ801" s="196"/>
      <c r="CR801" s="196"/>
      <c r="CS801" s="196"/>
      <c r="CT801" s="196"/>
      <c r="CU801" s="196"/>
      <c r="CV801" s="196"/>
      <c r="CW801" s="196"/>
      <c r="CX801" s="196"/>
      <c r="CY801" s="196"/>
      <c r="CZ801" s="196"/>
      <c r="DA801" s="196"/>
      <c r="DB801" s="196"/>
      <c r="DC801" s="196"/>
      <c r="DD801" s="196"/>
      <c r="DE801" s="196"/>
      <c r="DF801" s="196"/>
      <c r="DG801" s="196"/>
      <c r="DH801" s="196"/>
      <c r="DI801" s="196"/>
      <c r="DJ801" s="196"/>
      <c r="DK801" s="196"/>
      <c r="DL801" s="196"/>
      <c r="DM801" s="196"/>
      <c r="DN801" s="196"/>
      <c r="DO801" s="196"/>
      <c r="DP801" s="196"/>
      <c r="DQ801" s="196"/>
      <c r="DR801" s="196"/>
      <c r="DS801" s="196"/>
      <c r="DT801" s="196"/>
    </row>
    <row r="802" spans="1:124" ht="16.5" thickTop="1" thickBot="1" x14ac:dyDescent="0.3">
      <c r="A802" s="496"/>
      <c r="B802" s="308">
        <v>6</v>
      </c>
      <c r="C802" s="300" t="s">
        <v>208</v>
      </c>
      <c r="D802" s="300" t="s">
        <v>208</v>
      </c>
      <c r="E802" s="300" t="s">
        <v>208</v>
      </c>
      <c r="F802" s="302">
        <v>0.7</v>
      </c>
      <c r="G802" s="302">
        <v>0.8</v>
      </c>
      <c r="H802" s="300" t="s">
        <v>208</v>
      </c>
      <c r="I802" s="302">
        <v>0.8</v>
      </c>
      <c r="J802" s="302">
        <v>0.8</v>
      </c>
      <c r="K802" s="302">
        <v>1</v>
      </c>
      <c r="L802" s="300" t="s">
        <v>208</v>
      </c>
      <c r="M802" s="300" t="s">
        <v>208</v>
      </c>
      <c r="N802" s="300" t="s">
        <v>208</v>
      </c>
      <c r="O802" s="302">
        <v>0.7</v>
      </c>
      <c r="P802" s="302">
        <v>0.8</v>
      </c>
      <c r="Q802" s="300" t="s">
        <v>208</v>
      </c>
      <c r="R802" s="300" t="s">
        <v>208</v>
      </c>
      <c r="S802" s="300" t="s">
        <v>208</v>
      </c>
      <c r="T802" s="302">
        <v>0.7</v>
      </c>
      <c r="U802" s="302">
        <v>0.7</v>
      </c>
      <c r="V802" s="302">
        <v>0.95</v>
      </c>
      <c r="W802" s="300" t="s">
        <v>208</v>
      </c>
      <c r="X802" s="300" t="s">
        <v>208</v>
      </c>
      <c r="Y802" s="300" t="s">
        <v>208</v>
      </c>
      <c r="Z802" s="302">
        <v>0.5</v>
      </c>
      <c r="AA802" s="300" t="s">
        <v>208</v>
      </c>
      <c r="AB802" s="300" t="s">
        <v>208</v>
      </c>
      <c r="AC802" s="300" t="s">
        <v>208</v>
      </c>
      <c r="AD802" s="300" t="s">
        <v>208</v>
      </c>
      <c r="AE802" s="300" t="s">
        <v>208</v>
      </c>
      <c r="AF802" s="300" t="s">
        <v>208</v>
      </c>
      <c r="AG802" s="300" t="s">
        <v>208</v>
      </c>
      <c r="AH802" s="300" t="s">
        <v>208</v>
      </c>
      <c r="AI802" s="300" t="s">
        <v>208</v>
      </c>
      <c r="AL802" s="465"/>
      <c r="AM802" s="465"/>
      <c r="AN802" s="196"/>
      <c r="AO802" s="196"/>
      <c r="AU802" s="336">
        <v>806</v>
      </c>
      <c r="AV802" s="336" t="s">
        <v>511</v>
      </c>
      <c r="AW802" s="336" t="s">
        <v>511</v>
      </c>
      <c r="BX802" s="196"/>
      <c r="BY802" s="196"/>
      <c r="BZ802" s="196"/>
      <c r="CA802" s="196"/>
      <c r="CB802" s="196"/>
      <c r="CC802" s="196"/>
      <c r="CD802" s="196"/>
      <c r="CE802" s="196"/>
      <c r="CF802" s="196"/>
      <c r="CG802" s="196"/>
      <c r="CH802" s="196"/>
      <c r="CI802" s="196"/>
      <c r="CJ802" s="196"/>
      <c r="CK802" s="196"/>
      <c r="CL802" s="196"/>
      <c r="CM802" s="196"/>
      <c r="CN802" s="196"/>
      <c r="CO802" s="196"/>
      <c r="CP802" s="196"/>
      <c r="CQ802" s="196"/>
      <c r="CR802" s="196"/>
      <c r="CS802" s="196"/>
      <c r="CT802" s="196"/>
      <c r="CU802" s="196"/>
      <c r="CV802" s="196"/>
      <c r="CW802" s="196"/>
      <c r="CX802" s="196"/>
      <c r="CY802" s="196"/>
      <c r="CZ802" s="196"/>
      <c r="DA802" s="196"/>
      <c r="DB802" s="196"/>
      <c r="DC802" s="196"/>
      <c r="DD802" s="196"/>
      <c r="DE802" s="196"/>
      <c r="DF802" s="196"/>
      <c r="DG802" s="196"/>
      <c r="DH802" s="196"/>
      <c r="DI802" s="196"/>
      <c r="DJ802" s="196"/>
      <c r="DK802" s="196"/>
      <c r="DL802" s="196"/>
      <c r="DM802" s="196"/>
      <c r="DN802" s="196"/>
      <c r="DO802" s="196"/>
      <c r="DP802" s="196"/>
      <c r="DQ802" s="196"/>
      <c r="DR802" s="196"/>
      <c r="DS802" s="196"/>
      <c r="DT802" s="196"/>
    </row>
    <row r="803" spans="1:124" ht="16.5" thickTop="1" thickBot="1" x14ac:dyDescent="0.3">
      <c r="A803" s="494" t="s">
        <v>501</v>
      </c>
      <c r="B803" s="445" t="s">
        <v>501</v>
      </c>
      <c r="C803" s="446"/>
      <c r="D803" s="446"/>
      <c r="E803" s="446"/>
      <c r="F803" s="446"/>
      <c r="G803" s="446"/>
      <c r="H803" s="446"/>
      <c r="I803" s="446"/>
      <c r="J803" s="446"/>
      <c r="K803" s="446"/>
      <c r="L803" s="446"/>
      <c r="M803" s="446"/>
      <c r="N803" s="446"/>
      <c r="O803" s="446"/>
      <c r="P803" s="446"/>
      <c r="Q803" s="446"/>
      <c r="R803" s="446"/>
      <c r="S803" s="446"/>
      <c r="T803" s="446"/>
      <c r="U803" s="446"/>
      <c r="V803" s="446"/>
      <c r="W803" s="446"/>
      <c r="X803" s="446"/>
      <c r="Y803" s="446"/>
      <c r="Z803" s="446"/>
      <c r="AA803" s="446"/>
      <c r="AB803" s="446"/>
      <c r="AC803" s="446"/>
      <c r="AD803" s="446"/>
      <c r="AE803" s="446"/>
      <c r="AF803" s="446"/>
      <c r="AG803" s="446"/>
      <c r="AH803" s="446"/>
      <c r="AI803" s="446"/>
      <c r="AL803" s="465"/>
      <c r="AM803" s="465"/>
      <c r="AN803" s="196"/>
      <c r="AO803" s="196"/>
      <c r="AU803" s="336">
        <v>832</v>
      </c>
      <c r="AV803" s="336" t="s">
        <v>512</v>
      </c>
      <c r="AW803" s="336" t="s">
        <v>512</v>
      </c>
      <c r="BX803" s="196"/>
      <c r="BY803" s="196"/>
      <c r="BZ803" s="196"/>
      <c r="CA803" s="196"/>
      <c r="CB803" s="196"/>
      <c r="CC803" s="196"/>
      <c r="CD803" s="196"/>
      <c r="CE803" s="196"/>
      <c r="CF803" s="196"/>
      <c r="CG803" s="196"/>
      <c r="CH803" s="196"/>
      <c r="CI803" s="196"/>
      <c r="CJ803" s="196"/>
      <c r="CK803" s="196"/>
      <c r="CL803" s="196"/>
      <c r="CM803" s="196"/>
      <c r="CN803" s="196"/>
      <c r="CO803" s="196"/>
      <c r="CP803" s="196"/>
      <c r="CQ803" s="196"/>
      <c r="CR803" s="196"/>
      <c r="CS803" s="196"/>
      <c r="CT803" s="196"/>
      <c r="CU803" s="196"/>
      <c r="CV803" s="196"/>
      <c r="CW803" s="196"/>
      <c r="CX803" s="196"/>
      <c r="CY803" s="196"/>
      <c r="CZ803" s="196"/>
      <c r="DA803" s="196"/>
      <c r="DB803" s="196"/>
      <c r="DC803" s="196"/>
      <c r="DD803" s="196"/>
      <c r="DE803" s="196"/>
      <c r="DF803" s="196"/>
      <c r="DG803" s="196"/>
      <c r="DH803" s="196"/>
      <c r="DI803" s="196"/>
      <c r="DJ803" s="196"/>
      <c r="DK803" s="196"/>
      <c r="DL803" s="196"/>
      <c r="DM803" s="196"/>
      <c r="DN803" s="196"/>
      <c r="DO803" s="196"/>
      <c r="DP803" s="196"/>
      <c r="DQ803" s="196"/>
      <c r="DR803" s="196"/>
      <c r="DS803" s="196"/>
      <c r="DT803" s="196"/>
    </row>
    <row r="804" spans="1:124" ht="16.5" thickTop="1" thickBot="1" x14ac:dyDescent="0.3">
      <c r="A804" s="495"/>
      <c r="B804" s="301">
        <v>1</v>
      </c>
      <c r="C804" s="374">
        <f>IF($AB$766=$AI$771,80%,IF($AB$766=$AI$772,80%,IF($AB$766=$AI$773,80%,80%)))</f>
        <v>0.8</v>
      </c>
      <c r="D804" s="374">
        <f>IF($AB$766=$AI$771,80%,IF($AB$766=$AI$772,70%,IF($AB$766=$AI$773,80%,80%)))</f>
        <v>0.8</v>
      </c>
      <c r="E804" s="302">
        <v>0.9</v>
      </c>
      <c r="F804" s="302">
        <v>0.8</v>
      </c>
      <c r="G804" s="302">
        <v>0.9</v>
      </c>
      <c r="H804" s="302">
        <v>0.95</v>
      </c>
      <c r="I804" s="302">
        <v>0.95</v>
      </c>
      <c r="J804" s="302">
        <v>0.95</v>
      </c>
      <c r="K804" s="300" t="s">
        <v>702</v>
      </c>
      <c r="L804" s="302">
        <v>0.8</v>
      </c>
      <c r="M804" s="302">
        <v>0.8</v>
      </c>
      <c r="N804" s="302">
        <v>0.8</v>
      </c>
      <c r="O804" s="302">
        <v>0.8</v>
      </c>
      <c r="P804" s="302">
        <v>0.9</v>
      </c>
      <c r="Q804" s="302">
        <v>0.8</v>
      </c>
      <c r="R804" s="302">
        <v>0.8</v>
      </c>
      <c r="S804" s="302">
        <v>0.8</v>
      </c>
      <c r="T804" s="302">
        <v>0.8</v>
      </c>
      <c r="U804" s="302">
        <v>0.8</v>
      </c>
      <c r="V804" s="302">
        <v>0.95</v>
      </c>
      <c r="W804" s="302">
        <v>0.7</v>
      </c>
      <c r="X804" s="302">
        <v>0.7</v>
      </c>
      <c r="Y804" s="302">
        <v>0.7</v>
      </c>
      <c r="Z804" s="302">
        <v>0.7</v>
      </c>
      <c r="AA804" s="302">
        <v>0.7</v>
      </c>
      <c r="AB804" s="302">
        <v>0.6</v>
      </c>
      <c r="AC804" s="302">
        <v>0.6</v>
      </c>
      <c r="AD804" s="302">
        <v>0.75</v>
      </c>
      <c r="AE804" s="302">
        <v>0.75</v>
      </c>
      <c r="AF804" s="302">
        <v>0.7</v>
      </c>
      <c r="AG804" s="302">
        <v>0.7</v>
      </c>
      <c r="AH804" s="302">
        <v>0.8</v>
      </c>
      <c r="AI804" s="302">
        <v>0.8</v>
      </c>
      <c r="AP804" s="196"/>
      <c r="AU804" s="336">
        <v>834</v>
      </c>
      <c r="AV804" s="336" t="s">
        <v>512</v>
      </c>
      <c r="AW804" s="336" t="s">
        <v>512</v>
      </c>
      <c r="BX804" s="196"/>
      <c r="BY804" s="196"/>
      <c r="BZ804" s="196"/>
      <c r="CA804" s="196"/>
      <c r="CB804" s="196"/>
      <c r="CC804" s="196"/>
      <c r="CD804" s="196"/>
      <c r="CE804" s="196"/>
      <c r="CF804" s="196"/>
      <c r="CG804" s="196"/>
      <c r="CH804" s="196"/>
      <c r="CI804" s="196"/>
      <c r="CJ804" s="196"/>
      <c r="CK804" s="196"/>
      <c r="CL804" s="196"/>
      <c r="CM804" s="196"/>
      <c r="CN804" s="196"/>
      <c r="CO804" s="196"/>
      <c r="CP804" s="196"/>
      <c r="CQ804" s="196"/>
      <c r="CR804" s="196"/>
      <c r="CS804" s="196"/>
      <c r="CT804" s="196"/>
      <c r="CU804" s="196"/>
      <c r="CV804" s="196"/>
      <c r="CW804" s="196"/>
      <c r="CX804" s="196"/>
      <c r="CY804" s="196"/>
      <c r="CZ804" s="196"/>
      <c r="DA804" s="196"/>
      <c r="DB804" s="196"/>
      <c r="DC804" s="196"/>
      <c r="DD804" s="196"/>
      <c r="DE804" s="196"/>
      <c r="DF804" s="196"/>
      <c r="DG804" s="196"/>
      <c r="DH804" s="196"/>
      <c r="DI804" s="196"/>
      <c r="DJ804" s="196"/>
      <c r="DK804" s="196"/>
      <c r="DL804" s="196"/>
      <c r="DM804" s="196"/>
      <c r="DN804" s="196"/>
      <c r="DO804" s="196"/>
      <c r="DP804" s="196"/>
      <c r="DQ804" s="196"/>
      <c r="DR804" s="196"/>
      <c r="DS804" s="196"/>
      <c r="DT804" s="196"/>
    </row>
    <row r="805" spans="1:124" ht="16.5" thickTop="1" thickBot="1" x14ac:dyDescent="0.3">
      <c r="A805" s="495"/>
      <c r="B805" s="301">
        <v>2</v>
      </c>
      <c r="C805" s="374">
        <f>IF($AB$766=$AI$771,80%,IF($AB$766=$AI$772,70%,IF($AB$766=$AI$773,80%,80%)))</f>
        <v>0.8</v>
      </c>
      <c r="D805" s="374">
        <f>IF($AB$766=$AI$771,80%,IF($AB$766=$AI$772,70%,IF($AB$766=$AI$773,80%,80%)))</f>
        <v>0.8</v>
      </c>
      <c r="E805" s="302">
        <v>0.9</v>
      </c>
      <c r="F805" s="302">
        <v>0.8</v>
      </c>
      <c r="G805" s="302">
        <v>0.9</v>
      </c>
      <c r="H805" s="302">
        <v>0.95</v>
      </c>
      <c r="I805" s="302">
        <v>0.95</v>
      </c>
      <c r="J805" s="302">
        <v>0.95</v>
      </c>
      <c r="K805" s="300" t="s">
        <v>702</v>
      </c>
      <c r="L805" s="302">
        <v>0.8</v>
      </c>
      <c r="M805" s="302">
        <v>0.8</v>
      </c>
      <c r="N805" s="302">
        <v>0.8</v>
      </c>
      <c r="O805" s="302">
        <v>0.8</v>
      </c>
      <c r="P805" s="302">
        <v>0.9</v>
      </c>
      <c r="Q805" s="302">
        <v>0.8</v>
      </c>
      <c r="R805" s="302">
        <v>0.8</v>
      </c>
      <c r="S805" s="302">
        <v>0.8</v>
      </c>
      <c r="T805" s="302">
        <v>0.8</v>
      </c>
      <c r="U805" s="302">
        <v>0.8</v>
      </c>
      <c r="V805" s="302">
        <v>0.95</v>
      </c>
      <c r="W805" s="302">
        <v>0.7</v>
      </c>
      <c r="X805" s="302">
        <v>0.7</v>
      </c>
      <c r="Y805" s="302">
        <v>0.7</v>
      </c>
      <c r="Z805" s="302">
        <v>0.7</v>
      </c>
      <c r="AA805" s="302">
        <v>0.7</v>
      </c>
      <c r="AB805" s="302">
        <v>0.6</v>
      </c>
      <c r="AC805" s="302">
        <v>0.6</v>
      </c>
      <c r="AD805" s="302">
        <v>0.75</v>
      </c>
      <c r="AE805" s="302">
        <v>0.75</v>
      </c>
      <c r="AF805" s="302">
        <v>0.7</v>
      </c>
      <c r="AG805" s="302">
        <v>0.7</v>
      </c>
      <c r="AH805" s="302">
        <v>0.8</v>
      </c>
      <c r="AI805" s="302">
        <v>0.8</v>
      </c>
      <c r="AP805" s="196"/>
      <c r="AU805" s="336">
        <v>855</v>
      </c>
      <c r="AV805" s="336" t="s">
        <v>511</v>
      </c>
      <c r="AW805" s="336" t="s">
        <v>511</v>
      </c>
      <c r="BX805" s="196"/>
      <c r="BY805" s="196"/>
      <c r="BZ805" s="196"/>
      <c r="CA805" s="196"/>
      <c r="CB805" s="196"/>
      <c r="CC805" s="196"/>
      <c r="CD805" s="196"/>
      <c r="CE805" s="196"/>
      <c r="CF805" s="196"/>
      <c r="CG805" s="196"/>
      <c r="CH805" s="196"/>
      <c r="CI805" s="196"/>
      <c r="CJ805" s="196"/>
      <c r="CK805" s="196"/>
      <c r="CL805" s="196"/>
      <c r="CM805" s="196"/>
      <c r="CN805" s="196"/>
      <c r="CO805" s="196"/>
      <c r="CP805" s="196"/>
      <c r="CQ805" s="196"/>
      <c r="CR805" s="196"/>
      <c r="CS805" s="196"/>
      <c r="CT805" s="196"/>
      <c r="CU805" s="196"/>
      <c r="CV805" s="196"/>
      <c r="CW805" s="196"/>
      <c r="CX805" s="196"/>
      <c r="CY805" s="196"/>
      <c r="CZ805" s="196"/>
      <c r="DA805" s="196"/>
      <c r="DB805" s="196"/>
      <c r="DC805" s="196"/>
      <c r="DD805" s="196"/>
      <c r="DE805" s="196"/>
      <c r="DF805" s="196"/>
      <c r="DG805" s="196"/>
      <c r="DH805" s="196"/>
      <c r="DI805" s="196"/>
      <c r="DJ805" s="196"/>
      <c r="DK805" s="196"/>
      <c r="DL805" s="196"/>
      <c r="DM805" s="196"/>
      <c r="DN805" s="196"/>
      <c r="DO805" s="196"/>
      <c r="DP805" s="196"/>
      <c r="DQ805" s="196"/>
      <c r="DR805" s="196"/>
      <c r="DS805" s="196"/>
      <c r="DT805" s="196"/>
    </row>
    <row r="806" spans="1:124" ht="16.5" thickTop="1" thickBot="1" x14ac:dyDescent="0.3">
      <c r="A806" s="495"/>
      <c r="B806" s="301">
        <v>3</v>
      </c>
      <c r="C806" s="300" t="s">
        <v>208</v>
      </c>
      <c r="D806" s="374">
        <f>IF($AB$766=$AI$771,80%,IF($AB$766=$AI$772,70%,IF($AB$766=$AI$773,80%,80%)))</f>
        <v>0.8</v>
      </c>
      <c r="E806" s="302">
        <v>0.9</v>
      </c>
      <c r="F806" s="302">
        <v>0.8</v>
      </c>
      <c r="G806" s="302">
        <v>0.9</v>
      </c>
      <c r="H806" s="302">
        <v>0.95</v>
      </c>
      <c r="I806" s="302">
        <v>0.95</v>
      </c>
      <c r="J806" s="302">
        <v>0.95</v>
      </c>
      <c r="K806" s="300" t="s">
        <v>702</v>
      </c>
      <c r="L806" s="300" t="s">
        <v>208</v>
      </c>
      <c r="M806" s="302">
        <v>0.8</v>
      </c>
      <c r="N806" s="302">
        <v>0.8</v>
      </c>
      <c r="O806" s="302">
        <v>0.8</v>
      </c>
      <c r="P806" s="302">
        <v>0.9</v>
      </c>
      <c r="Q806" s="300" t="s">
        <v>208</v>
      </c>
      <c r="R806" s="302">
        <v>0.8</v>
      </c>
      <c r="S806" s="302">
        <v>0.8</v>
      </c>
      <c r="T806" s="302">
        <v>0.8</v>
      </c>
      <c r="U806" s="302">
        <v>0.8</v>
      </c>
      <c r="V806" s="302">
        <v>0.95</v>
      </c>
      <c r="W806" s="302">
        <v>0.6</v>
      </c>
      <c r="X806" s="300" t="s">
        <v>208</v>
      </c>
      <c r="Y806" s="300" t="s">
        <v>208</v>
      </c>
      <c r="Z806" s="302">
        <v>0.6</v>
      </c>
      <c r="AA806" s="302">
        <v>0.6</v>
      </c>
      <c r="AB806" s="302">
        <v>0.6</v>
      </c>
      <c r="AC806" s="302">
        <v>0.6</v>
      </c>
      <c r="AD806" s="302">
        <v>0.7</v>
      </c>
      <c r="AE806" s="302">
        <v>0.75</v>
      </c>
      <c r="AF806" s="300" t="s">
        <v>208</v>
      </c>
      <c r="AG806" s="302">
        <v>0.6</v>
      </c>
      <c r="AH806" s="300" t="s">
        <v>208</v>
      </c>
      <c r="AI806" s="302">
        <v>0.8</v>
      </c>
      <c r="AP806" s="196"/>
      <c r="AU806" s="336">
        <v>855001</v>
      </c>
      <c r="AV806" s="336" t="s">
        <v>511</v>
      </c>
      <c r="AW806" s="336" t="s">
        <v>511</v>
      </c>
      <c r="BX806" s="196"/>
      <c r="BY806" s="196"/>
      <c r="BZ806" s="196"/>
      <c r="CA806" s="196"/>
      <c r="CB806" s="196"/>
      <c r="CC806" s="196"/>
      <c r="CD806" s="196"/>
      <c r="CE806" s="196"/>
      <c r="CF806" s="196"/>
      <c r="CG806" s="196"/>
      <c r="CH806" s="196"/>
      <c r="CI806" s="196"/>
      <c r="CJ806" s="196"/>
      <c r="CK806" s="196"/>
      <c r="CL806" s="196"/>
      <c r="CM806" s="196"/>
      <c r="CN806" s="196"/>
      <c r="CO806" s="196"/>
      <c r="CP806" s="196"/>
      <c r="CQ806" s="196"/>
      <c r="CR806" s="196"/>
      <c r="CS806" s="196"/>
      <c r="CT806" s="196"/>
      <c r="CU806" s="196"/>
      <c r="CV806" s="196"/>
      <c r="CW806" s="196"/>
      <c r="CX806" s="196"/>
      <c r="CY806" s="196"/>
      <c r="CZ806" s="196"/>
      <c r="DA806" s="196"/>
      <c r="DB806" s="196"/>
      <c r="DC806" s="196"/>
      <c r="DD806" s="196"/>
      <c r="DE806" s="196"/>
      <c r="DF806" s="196"/>
      <c r="DG806" s="196"/>
      <c r="DH806" s="196"/>
      <c r="DI806" s="196"/>
      <c r="DJ806" s="196"/>
      <c r="DK806" s="196"/>
      <c r="DL806" s="196"/>
      <c r="DM806" s="196"/>
      <c r="DN806" s="196"/>
      <c r="DO806" s="196"/>
      <c r="DP806" s="196"/>
      <c r="DQ806" s="196"/>
      <c r="DR806" s="196"/>
      <c r="DS806" s="196"/>
      <c r="DT806" s="196"/>
    </row>
    <row r="807" spans="1:124" ht="16.5" thickTop="1" thickBot="1" x14ac:dyDescent="0.3">
      <c r="A807" s="495"/>
      <c r="B807" s="301">
        <v>4</v>
      </c>
      <c r="C807" s="300" t="s">
        <v>208</v>
      </c>
      <c r="D807" s="374">
        <f>IF($AB$766=$AI$771,80%,IF($AB$766=$AI$772,70%,IF($AB$766=$AI$773,80%,80%)))</f>
        <v>0.8</v>
      </c>
      <c r="E807" s="302">
        <v>0.9</v>
      </c>
      <c r="F807" s="302">
        <v>0.8</v>
      </c>
      <c r="G807" s="302">
        <v>0.9</v>
      </c>
      <c r="H807" s="302">
        <v>0.95</v>
      </c>
      <c r="I807" s="302">
        <v>0.95</v>
      </c>
      <c r="J807" s="302">
        <v>0.95</v>
      </c>
      <c r="K807" s="300" t="s">
        <v>702</v>
      </c>
      <c r="L807" s="300" t="s">
        <v>208</v>
      </c>
      <c r="M807" s="302">
        <v>0.8</v>
      </c>
      <c r="N807" s="302">
        <v>0.8</v>
      </c>
      <c r="O807" s="302">
        <v>0.8</v>
      </c>
      <c r="P807" s="302">
        <v>0.9</v>
      </c>
      <c r="Q807" s="300" t="s">
        <v>208</v>
      </c>
      <c r="R807" s="302">
        <v>0.8</v>
      </c>
      <c r="S807" s="302">
        <v>0.8</v>
      </c>
      <c r="T807" s="302">
        <v>0.8</v>
      </c>
      <c r="U807" s="302">
        <v>0.8</v>
      </c>
      <c r="V807" s="302">
        <v>0.95</v>
      </c>
      <c r="W807" s="302">
        <v>0.4</v>
      </c>
      <c r="X807" s="300" t="s">
        <v>208</v>
      </c>
      <c r="Y807" s="300" t="s">
        <v>208</v>
      </c>
      <c r="Z807" s="302">
        <v>0.5</v>
      </c>
      <c r="AA807" s="302">
        <v>0.4</v>
      </c>
      <c r="AB807" s="300" t="s">
        <v>208</v>
      </c>
      <c r="AC807" s="302">
        <v>0.6</v>
      </c>
      <c r="AD807" s="300" t="s">
        <v>208</v>
      </c>
      <c r="AE807" s="302">
        <v>0.75</v>
      </c>
      <c r="AF807" s="300" t="s">
        <v>208</v>
      </c>
      <c r="AG807" s="302">
        <v>0.4</v>
      </c>
      <c r="AH807" s="300" t="s">
        <v>208</v>
      </c>
      <c r="AI807" s="302">
        <v>0.8</v>
      </c>
      <c r="AP807" s="196"/>
      <c r="AU807" s="336">
        <v>855002</v>
      </c>
      <c r="AV807" s="336" t="s">
        <v>511</v>
      </c>
      <c r="AW807" s="336" t="s">
        <v>511</v>
      </c>
      <c r="BX807" s="196"/>
      <c r="BY807" s="196"/>
      <c r="BZ807" s="196"/>
      <c r="CA807" s="196"/>
      <c r="CB807" s="196"/>
      <c r="CC807" s="196"/>
      <c r="CD807" s="196"/>
      <c r="CE807" s="196"/>
      <c r="CF807" s="196"/>
      <c r="CG807" s="196"/>
      <c r="CH807" s="196"/>
      <c r="CI807" s="196"/>
      <c r="CJ807" s="196"/>
      <c r="CK807" s="196"/>
      <c r="CL807" s="196"/>
      <c r="CM807" s="196"/>
      <c r="CN807" s="196"/>
      <c r="CO807" s="196"/>
      <c r="CP807" s="196"/>
      <c r="CQ807" s="196"/>
      <c r="CR807" s="196"/>
      <c r="CS807" s="196"/>
      <c r="CT807" s="196"/>
      <c r="CU807" s="196"/>
      <c r="CV807" s="196"/>
      <c r="CW807" s="196"/>
      <c r="CX807" s="196"/>
      <c r="CY807" s="196"/>
      <c r="CZ807" s="196"/>
      <c r="DA807" s="196"/>
      <c r="DB807" s="196"/>
      <c r="DC807" s="196"/>
      <c r="DD807" s="196"/>
      <c r="DE807" s="196"/>
      <c r="DF807" s="196"/>
      <c r="DG807" s="196"/>
      <c r="DH807" s="196"/>
      <c r="DI807" s="196"/>
      <c r="DJ807" s="196"/>
      <c r="DK807" s="196"/>
      <c r="DL807" s="196"/>
      <c r="DM807" s="196"/>
      <c r="DN807" s="196"/>
      <c r="DO807" s="196"/>
      <c r="DP807" s="196"/>
      <c r="DQ807" s="196"/>
      <c r="DR807" s="196"/>
      <c r="DS807" s="196"/>
      <c r="DT807" s="196"/>
    </row>
    <row r="808" spans="1:124" ht="16.5" thickTop="1" thickBot="1" x14ac:dyDescent="0.3">
      <c r="A808" s="495"/>
      <c r="B808" s="301">
        <v>5</v>
      </c>
      <c r="C808" s="300" t="s">
        <v>208</v>
      </c>
      <c r="D808" s="374">
        <f>IF($AB$766=$AI$771,80%,IF($AB$766=$AI$772,70%,IF($AB$766=$AI$773,80%,80%)))</f>
        <v>0.8</v>
      </c>
      <c r="E808" s="302">
        <v>0.9</v>
      </c>
      <c r="F808" s="302">
        <v>0.8</v>
      </c>
      <c r="G808" s="302">
        <v>0.9</v>
      </c>
      <c r="H808" s="302">
        <v>0.95</v>
      </c>
      <c r="I808" s="302">
        <v>0.95</v>
      </c>
      <c r="J808" s="302">
        <v>0.95</v>
      </c>
      <c r="K808" s="300" t="s">
        <v>702</v>
      </c>
      <c r="L808" s="300" t="s">
        <v>208</v>
      </c>
      <c r="M808" s="302">
        <v>0.8</v>
      </c>
      <c r="N808" s="302">
        <v>0.8</v>
      </c>
      <c r="O808" s="302">
        <v>0.8</v>
      </c>
      <c r="P808" s="302">
        <v>0.9</v>
      </c>
      <c r="Q808" s="300" t="s">
        <v>208</v>
      </c>
      <c r="R808" s="302">
        <v>0.8</v>
      </c>
      <c r="S808" s="302">
        <v>0.8</v>
      </c>
      <c r="T808" s="302">
        <v>0.8</v>
      </c>
      <c r="U808" s="302">
        <v>0.8</v>
      </c>
      <c r="V808" s="302">
        <v>0.95</v>
      </c>
      <c r="W808" s="300" t="s">
        <v>208</v>
      </c>
      <c r="X808" s="300" t="s">
        <v>208</v>
      </c>
      <c r="Y808" s="300" t="s">
        <v>208</v>
      </c>
      <c r="Z808" s="302">
        <v>0.5</v>
      </c>
      <c r="AA808" s="300" t="s">
        <v>208</v>
      </c>
      <c r="AB808" s="300" t="s">
        <v>208</v>
      </c>
      <c r="AC808" s="300" t="s">
        <v>208</v>
      </c>
      <c r="AD808" s="300" t="s">
        <v>208</v>
      </c>
      <c r="AE808" s="300" t="s">
        <v>208</v>
      </c>
      <c r="AF808" s="300" t="s">
        <v>208</v>
      </c>
      <c r="AG808" s="300" t="s">
        <v>208</v>
      </c>
      <c r="AH808" s="300" t="s">
        <v>208</v>
      </c>
      <c r="AI808" s="302">
        <v>0.8</v>
      </c>
      <c r="AP808" s="196"/>
      <c r="AU808" s="336">
        <v>876</v>
      </c>
      <c r="AV808" s="336" t="s">
        <v>510</v>
      </c>
      <c r="AW808" s="336" t="s">
        <v>510</v>
      </c>
      <c r="BX808" s="196"/>
      <c r="BY808" s="196"/>
      <c r="BZ808" s="196"/>
      <c r="CA808" s="196"/>
      <c r="CB808" s="196"/>
      <c r="CC808" s="196"/>
      <c r="CD808" s="196"/>
      <c r="CE808" s="196"/>
      <c r="CF808" s="196"/>
      <c r="CG808" s="196"/>
      <c r="CH808" s="196"/>
      <c r="CI808" s="196"/>
      <c r="CJ808" s="196"/>
      <c r="CK808" s="196"/>
      <c r="CL808" s="196"/>
      <c r="CM808" s="196"/>
      <c r="CN808" s="196"/>
      <c r="CO808" s="196"/>
      <c r="CP808" s="196"/>
      <c r="CQ808" s="196"/>
      <c r="CR808" s="196"/>
      <c r="CS808" s="196"/>
      <c r="CT808" s="196"/>
      <c r="CU808" s="196"/>
      <c r="CV808" s="196"/>
      <c r="CW808" s="196"/>
      <c r="CX808" s="196"/>
      <c r="CY808" s="196"/>
      <c r="CZ808" s="196"/>
      <c r="DA808" s="196"/>
      <c r="DB808" s="196"/>
      <c r="DC808" s="196"/>
      <c r="DD808" s="196"/>
      <c r="DE808" s="196"/>
      <c r="DF808" s="196"/>
      <c r="DG808" s="196"/>
      <c r="DH808" s="196"/>
      <c r="DI808" s="196"/>
      <c r="DJ808" s="196"/>
      <c r="DK808" s="196"/>
      <c r="DL808" s="196"/>
      <c r="DM808" s="196"/>
      <c r="DN808" s="196"/>
      <c r="DO808" s="196"/>
      <c r="DP808" s="196"/>
      <c r="DQ808" s="196"/>
      <c r="DR808" s="196"/>
      <c r="DS808" s="196"/>
      <c r="DT808" s="196"/>
    </row>
    <row r="809" spans="1:124" ht="16.5" thickTop="1" thickBot="1" x14ac:dyDescent="0.3">
      <c r="A809" s="495"/>
      <c r="B809" s="301">
        <v>6</v>
      </c>
      <c r="C809" s="300" t="s">
        <v>208</v>
      </c>
      <c r="D809" s="300" t="s">
        <v>208</v>
      </c>
      <c r="E809" s="300" t="s">
        <v>208</v>
      </c>
      <c r="F809" s="302">
        <v>0.8</v>
      </c>
      <c r="G809" s="302">
        <v>0.9</v>
      </c>
      <c r="H809" s="300" t="s">
        <v>208</v>
      </c>
      <c r="I809" s="302">
        <v>0.95</v>
      </c>
      <c r="J809" s="302">
        <v>0.95</v>
      </c>
      <c r="K809" s="300" t="s">
        <v>702</v>
      </c>
      <c r="L809" s="300" t="s">
        <v>208</v>
      </c>
      <c r="M809" s="300" t="s">
        <v>208</v>
      </c>
      <c r="N809" s="300" t="s">
        <v>208</v>
      </c>
      <c r="O809" s="302">
        <v>0.8</v>
      </c>
      <c r="P809" s="302">
        <v>0.9</v>
      </c>
      <c r="Q809" s="300" t="s">
        <v>208</v>
      </c>
      <c r="R809" s="300" t="s">
        <v>208</v>
      </c>
      <c r="S809" s="300" t="s">
        <v>208</v>
      </c>
      <c r="T809" s="302">
        <v>0.8</v>
      </c>
      <c r="U809" s="302">
        <v>0.8</v>
      </c>
      <c r="V809" s="302">
        <v>0.95</v>
      </c>
      <c r="W809" s="300" t="s">
        <v>208</v>
      </c>
      <c r="X809" s="300" t="s">
        <v>208</v>
      </c>
      <c r="Y809" s="300" t="s">
        <v>208</v>
      </c>
      <c r="Z809" s="302">
        <v>0.5</v>
      </c>
      <c r="AA809" s="300" t="s">
        <v>208</v>
      </c>
      <c r="AB809" s="300" t="s">
        <v>208</v>
      </c>
      <c r="AC809" s="300" t="s">
        <v>208</v>
      </c>
      <c r="AD809" s="300" t="s">
        <v>208</v>
      </c>
      <c r="AE809" s="300" t="s">
        <v>208</v>
      </c>
      <c r="AF809" s="300" t="s">
        <v>208</v>
      </c>
      <c r="AG809" s="300" t="s">
        <v>208</v>
      </c>
      <c r="AH809" s="300" t="s">
        <v>208</v>
      </c>
      <c r="AI809" s="300" t="s">
        <v>208</v>
      </c>
      <c r="AP809" s="196"/>
      <c r="AU809" s="336">
        <v>880</v>
      </c>
      <c r="AV809" s="336" t="s">
        <v>510</v>
      </c>
      <c r="AW809" s="336" t="s">
        <v>510</v>
      </c>
      <c r="BX809" s="196"/>
      <c r="BY809" s="196"/>
      <c r="BZ809" s="196"/>
      <c r="CA809" s="196"/>
      <c r="CB809" s="196"/>
      <c r="CC809" s="196"/>
      <c r="CD809" s="196"/>
      <c r="CE809" s="196"/>
      <c r="CF809" s="196"/>
      <c r="CG809" s="196"/>
      <c r="CH809" s="196"/>
      <c r="CI809" s="196"/>
      <c r="CJ809" s="196"/>
      <c r="CK809" s="196"/>
      <c r="CL809" s="196"/>
      <c r="CM809" s="196"/>
      <c r="CN809" s="196"/>
      <c r="CO809" s="196"/>
      <c r="CP809" s="196"/>
      <c r="CQ809" s="196"/>
      <c r="CR809" s="196"/>
      <c r="CS809" s="196"/>
      <c r="CT809" s="196"/>
      <c r="CU809" s="196"/>
      <c r="CV809" s="196"/>
      <c r="CW809" s="196"/>
      <c r="CX809" s="196"/>
      <c r="CY809" s="196"/>
      <c r="CZ809" s="196"/>
      <c r="DA809" s="196"/>
      <c r="DB809" s="196"/>
      <c r="DC809" s="196"/>
      <c r="DD809" s="196"/>
      <c r="DE809" s="196"/>
      <c r="DF809" s="196"/>
      <c r="DG809" s="196"/>
      <c r="DH809" s="196"/>
      <c r="DI809" s="196"/>
      <c r="DJ809" s="196"/>
      <c r="DK809" s="196"/>
      <c r="DL809" s="196"/>
      <c r="DM809" s="196"/>
      <c r="DN809" s="196"/>
      <c r="DO809" s="196"/>
      <c r="DP809" s="196"/>
      <c r="DQ809" s="196"/>
      <c r="DR809" s="196"/>
      <c r="DS809" s="196"/>
      <c r="DT809" s="196"/>
    </row>
    <row r="810" spans="1:124" ht="16.5" thickTop="1" thickBot="1" x14ac:dyDescent="0.3">
      <c r="A810" s="495"/>
      <c r="B810" s="445" t="s">
        <v>459</v>
      </c>
      <c r="C810" s="446"/>
      <c r="D810" s="446"/>
      <c r="E810" s="446"/>
      <c r="F810" s="446"/>
      <c r="G810" s="446"/>
      <c r="H810" s="446"/>
      <c r="I810" s="446"/>
      <c r="J810" s="446"/>
      <c r="K810" s="446"/>
      <c r="L810" s="446"/>
      <c r="M810" s="446"/>
      <c r="N810" s="446"/>
      <c r="O810" s="446"/>
      <c r="P810" s="446"/>
      <c r="Q810" s="446"/>
      <c r="R810" s="446"/>
      <c r="S810" s="446"/>
      <c r="T810" s="446"/>
      <c r="U810" s="446"/>
      <c r="V810" s="446"/>
      <c r="W810" s="446"/>
      <c r="X810" s="446"/>
      <c r="Y810" s="446"/>
      <c r="Z810" s="446"/>
      <c r="AA810" s="446"/>
      <c r="AB810" s="446"/>
      <c r="AC810" s="446"/>
      <c r="AD810" s="446"/>
      <c r="AE810" s="446"/>
      <c r="AF810" s="469"/>
      <c r="AG810" s="469"/>
      <c r="AH810" s="469"/>
      <c r="AI810" s="469"/>
      <c r="AP810" s="196"/>
      <c r="AU810" s="336">
        <v>882</v>
      </c>
      <c r="AV810" s="336" t="s">
        <v>511</v>
      </c>
      <c r="AW810" s="336" t="s">
        <v>511</v>
      </c>
      <c r="BX810" s="196"/>
      <c r="BY810" s="196"/>
      <c r="BZ810" s="196"/>
      <c r="CA810" s="196"/>
      <c r="CB810" s="196"/>
      <c r="CC810" s="196"/>
      <c r="CD810" s="196"/>
      <c r="CE810" s="196"/>
      <c r="CF810" s="196"/>
      <c r="CG810" s="196"/>
      <c r="CH810" s="196"/>
      <c r="CI810" s="196"/>
      <c r="CJ810" s="196"/>
      <c r="CK810" s="196"/>
      <c r="CL810" s="196"/>
      <c r="CM810" s="196"/>
      <c r="CN810" s="196"/>
      <c r="CO810" s="196"/>
      <c r="CP810" s="196"/>
      <c r="CQ810" s="196"/>
      <c r="CR810" s="196"/>
      <c r="CS810" s="196"/>
      <c r="CT810" s="196"/>
      <c r="CU810" s="196"/>
      <c r="CV810" s="196"/>
      <c r="CW810" s="196"/>
      <c r="CX810" s="196"/>
      <c r="CY810" s="196"/>
      <c r="CZ810" s="196"/>
      <c r="DA810" s="196"/>
      <c r="DB810" s="196"/>
      <c r="DC810" s="196"/>
      <c r="DD810" s="196"/>
      <c r="DE810" s="196"/>
      <c r="DF810" s="196"/>
      <c r="DG810" s="196"/>
      <c r="DH810" s="196"/>
      <c r="DI810" s="196"/>
      <c r="DJ810" s="196"/>
      <c r="DK810" s="196"/>
      <c r="DL810" s="196"/>
      <c r="DM810" s="196"/>
      <c r="DN810" s="196"/>
      <c r="DO810" s="196"/>
      <c r="DP810" s="196"/>
      <c r="DQ810" s="196"/>
      <c r="DR810" s="196"/>
      <c r="DS810" s="196"/>
      <c r="DT810" s="196"/>
    </row>
    <row r="811" spans="1:124" ht="16.5" thickTop="1" thickBot="1" x14ac:dyDescent="0.3">
      <c r="A811" s="495"/>
      <c r="B811" s="301">
        <v>1</v>
      </c>
      <c r="C811" s="492">
        <v>0.75</v>
      </c>
      <c r="D811" s="302">
        <v>0.8</v>
      </c>
      <c r="E811" s="302">
        <v>0.9</v>
      </c>
      <c r="F811" s="302">
        <v>0.8</v>
      </c>
      <c r="G811" s="302">
        <v>0.8</v>
      </c>
      <c r="H811" s="302">
        <v>0.95</v>
      </c>
      <c r="I811" s="302">
        <v>0.8</v>
      </c>
      <c r="J811" s="302">
        <v>0.8</v>
      </c>
      <c r="K811" s="300" t="s">
        <v>702</v>
      </c>
      <c r="L811" s="492">
        <v>0.75</v>
      </c>
      <c r="M811" s="302">
        <v>0.8</v>
      </c>
      <c r="N811" s="302">
        <v>0.8</v>
      </c>
      <c r="O811" s="302">
        <v>0.8</v>
      </c>
      <c r="P811" s="302">
        <v>0.8</v>
      </c>
      <c r="Q811" s="302">
        <v>0.5</v>
      </c>
      <c r="R811" s="302">
        <v>0.8</v>
      </c>
      <c r="S811" s="302">
        <v>0.8</v>
      </c>
      <c r="T811" s="302">
        <v>0.8</v>
      </c>
      <c r="U811" s="302">
        <v>0.8</v>
      </c>
      <c r="V811" s="439">
        <v>0.95</v>
      </c>
      <c r="W811" s="439">
        <v>0.7</v>
      </c>
      <c r="X811" s="492">
        <v>0.7</v>
      </c>
      <c r="Y811" s="492">
        <v>0.7</v>
      </c>
      <c r="Z811" s="302">
        <v>0.5</v>
      </c>
      <c r="AA811" s="302">
        <v>0.5</v>
      </c>
      <c r="AB811" s="302">
        <v>0.5</v>
      </c>
      <c r="AC811" s="302">
        <v>0.5</v>
      </c>
      <c r="AD811" s="492">
        <v>0.7</v>
      </c>
      <c r="AE811" s="302">
        <v>0.7</v>
      </c>
      <c r="AF811" s="492">
        <v>0.7</v>
      </c>
      <c r="AG811" s="302">
        <v>0.7</v>
      </c>
      <c r="AH811" s="302">
        <v>0.5</v>
      </c>
      <c r="AI811" s="302">
        <v>0.8</v>
      </c>
      <c r="AP811" s="196"/>
      <c r="AU811" s="336">
        <v>894</v>
      </c>
      <c r="AV811" s="336" t="s">
        <v>511</v>
      </c>
      <c r="AW811" s="336" t="s">
        <v>511</v>
      </c>
      <c r="BX811" s="196"/>
      <c r="BY811" s="196"/>
      <c r="BZ811" s="196"/>
      <c r="CA811" s="196"/>
      <c r="CB811" s="196"/>
      <c r="CC811" s="196"/>
      <c r="CD811" s="196"/>
      <c r="CE811" s="196"/>
      <c r="CF811" s="196"/>
      <c r="CG811" s="196"/>
      <c r="CH811" s="196"/>
      <c r="CI811" s="196"/>
      <c r="CJ811" s="196"/>
      <c r="CK811" s="196"/>
      <c r="CL811" s="196"/>
      <c r="CM811" s="196"/>
      <c r="CN811" s="196"/>
      <c r="CO811" s="196"/>
      <c r="CP811" s="196"/>
      <c r="CQ811" s="196"/>
      <c r="CR811" s="196"/>
      <c r="CS811" s="196"/>
      <c r="CT811" s="196"/>
      <c r="CU811" s="196"/>
      <c r="CV811" s="196"/>
      <c r="CW811" s="196"/>
      <c r="CX811" s="196"/>
      <c r="CY811" s="196"/>
      <c r="CZ811" s="196"/>
      <c r="DA811" s="196"/>
      <c r="DB811" s="196"/>
      <c r="DC811" s="196"/>
      <c r="DD811" s="196"/>
      <c r="DE811" s="196"/>
      <c r="DF811" s="196"/>
      <c r="DG811" s="196"/>
      <c r="DH811" s="196"/>
      <c r="DI811" s="196"/>
      <c r="DJ811" s="196"/>
      <c r="DK811" s="196"/>
      <c r="DL811" s="196"/>
      <c r="DM811" s="196"/>
      <c r="DN811" s="196"/>
      <c r="DO811" s="196"/>
      <c r="DP811" s="196"/>
      <c r="DQ811" s="196"/>
      <c r="DR811" s="196"/>
      <c r="DS811" s="196"/>
      <c r="DT811" s="196"/>
    </row>
    <row r="812" spans="1:124" ht="16.5" thickTop="1" thickBot="1" x14ac:dyDescent="0.3">
      <c r="A812" s="495"/>
      <c r="B812" s="301">
        <v>2</v>
      </c>
      <c r="C812" s="492">
        <v>0.7</v>
      </c>
      <c r="D812" s="302">
        <v>0.8</v>
      </c>
      <c r="E812" s="302">
        <v>0.9</v>
      </c>
      <c r="F812" s="302">
        <v>0.8</v>
      </c>
      <c r="G812" s="302">
        <v>0.8</v>
      </c>
      <c r="H812" s="302">
        <v>0.95</v>
      </c>
      <c r="I812" s="302">
        <v>0.8</v>
      </c>
      <c r="J812" s="302">
        <v>0.8</v>
      </c>
      <c r="K812" s="300" t="s">
        <v>702</v>
      </c>
      <c r="L812" s="492">
        <v>0.7</v>
      </c>
      <c r="M812" s="302">
        <v>0.8</v>
      </c>
      <c r="N812" s="302">
        <v>0.8</v>
      </c>
      <c r="O812" s="302">
        <v>0.8</v>
      </c>
      <c r="P812" s="302">
        <v>0.8</v>
      </c>
      <c r="Q812" s="302">
        <v>0.5</v>
      </c>
      <c r="R812" s="302">
        <v>0.8</v>
      </c>
      <c r="S812" s="302">
        <v>0.8</v>
      </c>
      <c r="T812" s="302">
        <v>0.8</v>
      </c>
      <c r="U812" s="302">
        <v>0.8</v>
      </c>
      <c r="V812" s="302">
        <v>0.95</v>
      </c>
      <c r="W812" s="302">
        <v>0.7</v>
      </c>
      <c r="X812" s="492">
        <v>0.7</v>
      </c>
      <c r="Y812" s="492">
        <v>0.7</v>
      </c>
      <c r="Z812" s="302">
        <v>0.5</v>
      </c>
      <c r="AA812" s="302">
        <v>0.5</v>
      </c>
      <c r="AB812" s="302">
        <v>0.5</v>
      </c>
      <c r="AC812" s="302">
        <v>0.5</v>
      </c>
      <c r="AD812" s="492">
        <v>0.7</v>
      </c>
      <c r="AE812" s="302">
        <v>0.7</v>
      </c>
      <c r="AF812" s="492">
        <v>0.7</v>
      </c>
      <c r="AG812" s="302">
        <v>0.7</v>
      </c>
      <c r="AH812" s="302">
        <v>0.5</v>
      </c>
      <c r="AI812" s="302">
        <v>0.8</v>
      </c>
      <c r="AU812" s="336">
        <v>957</v>
      </c>
      <c r="AV812" s="336" t="s">
        <v>511</v>
      </c>
      <c r="AW812" s="336" t="s">
        <v>511</v>
      </c>
      <c r="BX812" s="196"/>
      <c r="BY812" s="196"/>
      <c r="BZ812" s="196"/>
      <c r="CA812" s="196"/>
      <c r="CB812" s="196"/>
      <c r="CC812" s="196"/>
      <c r="CD812" s="196"/>
      <c r="CE812" s="196"/>
      <c r="CF812" s="196"/>
      <c r="CG812" s="196"/>
      <c r="CH812" s="196"/>
      <c r="CI812" s="196"/>
      <c r="CJ812" s="196"/>
      <c r="CK812" s="196"/>
      <c r="CL812" s="196"/>
      <c r="CM812" s="196"/>
      <c r="CN812" s="196"/>
      <c r="CO812" s="196"/>
      <c r="CP812" s="196"/>
      <c r="CQ812" s="196"/>
      <c r="CR812" s="196"/>
      <c r="CS812" s="196"/>
      <c r="CT812" s="196"/>
      <c r="CU812" s="196"/>
      <c r="CV812" s="196"/>
      <c r="CW812" s="196"/>
      <c r="CX812" s="196"/>
      <c r="CY812" s="196"/>
      <c r="CZ812" s="196"/>
      <c r="DA812" s="196"/>
      <c r="DB812" s="196"/>
      <c r="DC812" s="196"/>
      <c r="DD812" s="196"/>
      <c r="DE812" s="196"/>
      <c r="DF812" s="196"/>
      <c r="DG812" s="196"/>
      <c r="DH812" s="196"/>
      <c r="DI812" s="196"/>
      <c r="DJ812" s="196"/>
      <c r="DK812" s="196"/>
      <c r="DL812" s="196"/>
      <c r="DM812" s="196"/>
      <c r="DN812" s="196"/>
      <c r="DO812" s="196"/>
      <c r="DP812" s="196"/>
      <c r="DQ812" s="196"/>
      <c r="DR812" s="196"/>
      <c r="DS812" s="196"/>
      <c r="DT812" s="196"/>
    </row>
    <row r="813" spans="1:124" ht="16.5" thickTop="1" thickBot="1" x14ac:dyDescent="0.3">
      <c r="A813" s="495"/>
      <c r="B813" s="301">
        <v>3</v>
      </c>
      <c r="C813" s="300" t="s">
        <v>208</v>
      </c>
      <c r="D813" s="302">
        <v>0.7</v>
      </c>
      <c r="E813" s="302">
        <v>0.9</v>
      </c>
      <c r="F813" s="302">
        <v>0.7</v>
      </c>
      <c r="G813" s="302">
        <v>0.8</v>
      </c>
      <c r="H813" s="302">
        <v>0.95</v>
      </c>
      <c r="I813" s="302">
        <v>0.8</v>
      </c>
      <c r="J813" s="302">
        <v>0.8</v>
      </c>
      <c r="K813" s="300" t="s">
        <v>702</v>
      </c>
      <c r="L813" s="300" t="s">
        <v>208</v>
      </c>
      <c r="M813" s="302">
        <v>0.7</v>
      </c>
      <c r="N813" s="302">
        <v>0.8</v>
      </c>
      <c r="O813" s="302">
        <v>0.7</v>
      </c>
      <c r="P813" s="302">
        <v>0.8</v>
      </c>
      <c r="Q813" s="300" t="s">
        <v>208</v>
      </c>
      <c r="R813" s="302">
        <v>0.7</v>
      </c>
      <c r="S813" s="302">
        <v>0.7</v>
      </c>
      <c r="T813" s="302">
        <v>0.7</v>
      </c>
      <c r="U813" s="302">
        <v>0.7</v>
      </c>
      <c r="V813" s="302">
        <v>0.95</v>
      </c>
      <c r="W813" s="302">
        <v>0.6</v>
      </c>
      <c r="X813" s="300" t="s">
        <v>208</v>
      </c>
      <c r="Y813" s="300" t="s">
        <v>208</v>
      </c>
      <c r="Z813" s="302">
        <v>0.5</v>
      </c>
      <c r="AA813" s="302">
        <v>0.5</v>
      </c>
      <c r="AB813" s="302">
        <v>0.5</v>
      </c>
      <c r="AC813" s="302">
        <v>0.5</v>
      </c>
      <c r="AD813" s="302">
        <v>0.5</v>
      </c>
      <c r="AE813" s="302">
        <v>0.5</v>
      </c>
      <c r="AF813" s="300" t="s">
        <v>208</v>
      </c>
      <c r="AG813" s="302">
        <v>0.6</v>
      </c>
      <c r="AH813" s="300" t="s">
        <v>208</v>
      </c>
      <c r="AI813" s="302">
        <v>0.7</v>
      </c>
      <c r="AU813" s="336">
        <v>981</v>
      </c>
      <c r="AV813" s="336" t="s">
        <v>510</v>
      </c>
      <c r="AW813" s="336" t="s">
        <v>510</v>
      </c>
      <c r="BX813" s="196"/>
      <c r="BY813" s="196"/>
      <c r="BZ813" s="196"/>
      <c r="CA813" s="196"/>
      <c r="CB813" s="196"/>
      <c r="CC813" s="196"/>
      <c r="CD813" s="196"/>
      <c r="CE813" s="196"/>
      <c r="CF813" s="196"/>
      <c r="CG813" s="196"/>
      <c r="CH813" s="196"/>
      <c r="CI813" s="196"/>
      <c r="CJ813" s="196"/>
      <c r="CK813" s="196"/>
      <c r="CL813" s="196"/>
      <c r="CM813" s="196"/>
      <c r="CN813" s="196"/>
      <c r="CO813" s="196"/>
      <c r="CP813" s="196"/>
      <c r="CQ813" s="196"/>
      <c r="CR813" s="196"/>
      <c r="CS813" s="196"/>
      <c r="CT813" s="196"/>
      <c r="CU813" s="196"/>
      <c r="CV813" s="196"/>
      <c r="CW813" s="196"/>
      <c r="CX813" s="196"/>
      <c r="CY813" s="196"/>
      <c r="CZ813" s="196"/>
      <c r="DA813" s="196"/>
      <c r="DB813" s="196"/>
      <c r="DC813" s="196"/>
      <c r="DD813" s="196"/>
      <c r="DE813" s="196"/>
      <c r="DF813" s="196"/>
      <c r="DG813" s="196"/>
      <c r="DH813" s="196"/>
      <c r="DI813" s="196"/>
      <c r="DJ813" s="196"/>
      <c r="DK813" s="196"/>
      <c r="DL813" s="196"/>
      <c r="DM813" s="196"/>
      <c r="DN813" s="196"/>
      <c r="DO813" s="196"/>
      <c r="DP813" s="196"/>
      <c r="DQ813" s="196"/>
      <c r="DR813" s="196"/>
      <c r="DS813" s="196"/>
      <c r="DT813" s="196"/>
    </row>
    <row r="814" spans="1:124" ht="16.5" thickTop="1" thickBot="1" x14ac:dyDescent="0.3">
      <c r="A814" s="495"/>
      <c r="B814" s="301">
        <v>4</v>
      </c>
      <c r="C814" s="300" t="s">
        <v>208</v>
      </c>
      <c r="D814" s="302">
        <v>0.7</v>
      </c>
      <c r="E814" s="302">
        <v>0.9</v>
      </c>
      <c r="F814" s="302">
        <v>0.7</v>
      </c>
      <c r="G814" s="302">
        <v>0.8</v>
      </c>
      <c r="H814" s="302">
        <v>0.95</v>
      </c>
      <c r="I814" s="302">
        <v>0.8</v>
      </c>
      <c r="J814" s="302">
        <v>0.8</v>
      </c>
      <c r="K814" s="300" t="s">
        <v>702</v>
      </c>
      <c r="L814" s="300" t="s">
        <v>208</v>
      </c>
      <c r="M814" s="302">
        <v>0.7</v>
      </c>
      <c r="N814" s="302">
        <v>0.8</v>
      </c>
      <c r="O814" s="302">
        <v>0.7</v>
      </c>
      <c r="P814" s="302">
        <v>0.8</v>
      </c>
      <c r="Q814" s="300" t="s">
        <v>208</v>
      </c>
      <c r="R814" s="302">
        <v>0.7</v>
      </c>
      <c r="S814" s="302">
        <v>0.7</v>
      </c>
      <c r="T814" s="302">
        <v>0.7</v>
      </c>
      <c r="U814" s="302">
        <v>0.7</v>
      </c>
      <c r="V814" s="302">
        <v>0.95</v>
      </c>
      <c r="W814" s="302">
        <v>0.4</v>
      </c>
      <c r="X814" s="300" t="s">
        <v>208</v>
      </c>
      <c r="Y814" s="300" t="s">
        <v>208</v>
      </c>
      <c r="Z814" s="302">
        <v>0.5</v>
      </c>
      <c r="AA814" s="302">
        <v>0.4</v>
      </c>
      <c r="AB814" s="300" t="s">
        <v>208</v>
      </c>
      <c r="AC814" s="302">
        <v>0.5</v>
      </c>
      <c r="AD814" s="300" t="s">
        <v>208</v>
      </c>
      <c r="AE814" s="302">
        <v>0.5</v>
      </c>
      <c r="AF814" s="300" t="s">
        <v>208</v>
      </c>
      <c r="AG814" s="302">
        <v>0.4</v>
      </c>
      <c r="AH814" s="300" t="s">
        <v>208</v>
      </c>
      <c r="AI814" s="302">
        <v>0.7</v>
      </c>
      <c r="AU814" s="336">
        <v>1016</v>
      </c>
      <c r="AV814" s="336" t="s">
        <v>512</v>
      </c>
      <c r="AW814" s="336" t="s">
        <v>512</v>
      </c>
      <c r="BX814" s="196"/>
      <c r="BY814" s="196"/>
      <c r="BZ814" s="196"/>
      <c r="CA814" s="196"/>
      <c r="CB814" s="196"/>
      <c r="CC814" s="196"/>
      <c r="CD814" s="196"/>
      <c r="CE814" s="196"/>
      <c r="CF814" s="196"/>
      <c r="CG814" s="196"/>
      <c r="CH814" s="196"/>
      <c r="CI814" s="196"/>
      <c r="CJ814" s="196"/>
      <c r="CK814" s="196"/>
      <c r="CL814" s="196"/>
      <c r="CM814" s="196"/>
      <c r="CN814" s="196"/>
      <c r="CO814" s="196"/>
      <c r="CP814" s="196"/>
      <c r="CQ814" s="196"/>
      <c r="CR814" s="196"/>
      <c r="CS814" s="196"/>
      <c r="CT814" s="196"/>
      <c r="CU814" s="196"/>
      <c r="CV814" s="196"/>
      <c r="CW814" s="196"/>
      <c r="CX814" s="196"/>
      <c r="CY814" s="196"/>
      <c r="CZ814" s="196"/>
      <c r="DA814" s="196"/>
      <c r="DB814" s="196"/>
      <c r="DC814" s="196"/>
      <c r="DD814" s="196"/>
      <c r="DE814" s="196"/>
      <c r="DF814" s="196"/>
      <c r="DG814" s="196"/>
      <c r="DH814" s="196"/>
      <c r="DI814" s="196"/>
      <c r="DJ814" s="196"/>
      <c r="DK814" s="196"/>
      <c r="DL814" s="196"/>
      <c r="DM814" s="196"/>
      <c r="DN814" s="196"/>
      <c r="DO814" s="196"/>
      <c r="DP814" s="196"/>
      <c r="DQ814" s="196"/>
      <c r="DR814" s="196"/>
      <c r="DS814" s="196"/>
      <c r="DT814" s="196"/>
    </row>
    <row r="815" spans="1:124" ht="16.5" thickTop="1" thickBot="1" x14ac:dyDescent="0.3">
      <c r="A815" s="495"/>
      <c r="B815" s="301">
        <v>5</v>
      </c>
      <c r="C815" s="300" t="s">
        <v>208</v>
      </c>
      <c r="D815" s="302">
        <v>0.7</v>
      </c>
      <c r="E815" s="302">
        <v>0.9</v>
      </c>
      <c r="F815" s="302">
        <v>0.7</v>
      </c>
      <c r="G815" s="302">
        <v>0.8</v>
      </c>
      <c r="H815" s="302">
        <v>0.95</v>
      </c>
      <c r="I815" s="302">
        <v>0.8</v>
      </c>
      <c r="J815" s="302">
        <v>0.8</v>
      </c>
      <c r="K815" s="300" t="s">
        <v>702</v>
      </c>
      <c r="L815" s="300" t="s">
        <v>208</v>
      </c>
      <c r="M815" s="302">
        <v>0.7</v>
      </c>
      <c r="N815" s="302">
        <v>0.8</v>
      </c>
      <c r="O815" s="302">
        <v>0.7</v>
      </c>
      <c r="P815" s="302">
        <v>0.8</v>
      </c>
      <c r="Q815" s="300" t="s">
        <v>208</v>
      </c>
      <c r="R815" s="302">
        <v>0.7</v>
      </c>
      <c r="S815" s="302">
        <v>0.7</v>
      </c>
      <c r="T815" s="302">
        <v>0.7</v>
      </c>
      <c r="U815" s="302">
        <v>0.7</v>
      </c>
      <c r="V815" s="302">
        <v>0.95</v>
      </c>
      <c r="W815" s="300" t="s">
        <v>208</v>
      </c>
      <c r="X815" s="300" t="s">
        <v>208</v>
      </c>
      <c r="Y815" s="300" t="s">
        <v>208</v>
      </c>
      <c r="Z815" s="302">
        <v>0.5</v>
      </c>
      <c r="AA815" s="300" t="s">
        <v>208</v>
      </c>
      <c r="AB815" s="300" t="s">
        <v>208</v>
      </c>
      <c r="AC815" s="300" t="s">
        <v>208</v>
      </c>
      <c r="AD815" s="300" t="s">
        <v>208</v>
      </c>
      <c r="AE815" s="300" t="s">
        <v>208</v>
      </c>
      <c r="AF815" s="300" t="s">
        <v>208</v>
      </c>
      <c r="AG815" s="300" t="s">
        <v>208</v>
      </c>
      <c r="AH815" s="300" t="s">
        <v>208</v>
      </c>
      <c r="AI815" s="302">
        <v>0.7</v>
      </c>
      <c r="AU815" s="336">
        <v>1017</v>
      </c>
      <c r="AV815" s="336" t="s">
        <v>512</v>
      </c>
      <c r="AW815" s="336" t="s">
        <v>512</v>
      </c>
      <c r="BX815" s="196"/>
      <c r="BY815" s="196"/>
      <c r="BZ815" s="196"/>
      <c r="CA815" s="196"/>
      <c r="CB815" s="196"/>
      <c r="CC815" s="196"/>
      <c r="CD815" s="196"/>
      <c r="CE815" s="196"/>
      <c r="CF815" s="196"/>
      <c r="CG815" s="196"/>
      <c r="CH815" s="196"/>
      <c r="CI815" s="196"/>
      <c r="CJ815" s="196"/>
      <c r="CK815" s="196"/>
      <c r="CL815" s="196"/>
      <c r="CM815" s="196"/>
      <c r="CN815" s="196"/>
      <c r="CO815" s="196"/>
      <c r="CP815" s="196"/>
      <c r="CQ815" s="196"/>
      <c r="CR815" s="196"/>
      <c r="CS815" s="196"/>
      <c r="CT815" s="196"/>
      <c r="CU815" s="196"/>
      <c r="CV815" s="196"/>
      <c r="CW815" s="196"/>
      <c r="CX815" s="196"/>
      <c r="CY815" s="196"/>
      <c r="CZ815" s="196"/>
      <c r="DA815" s="196"/>
      <c r="DB815" s="196"/>
      <c r="DC815" s="196"/>
      <c r="DD815" s="196"/>
      <c r="DE815" s="196"/>
      <c r="DF815" s="196"/>
      <c r="DG815" s="196"/>
      <c r="DH815" s="196"/>
      <c r="DI815" s="196"/>
      <c r="DJ815" s="196"/>
      <c r="DK815" s="196"/>
      <c r="DL815" s="196"/>
      <c r="DM815" s="196"/>
      <c r="DN815" s="196"/>
      <c r="DO815" s="196"/>
      <c r="DP815" s="196"/>
      <c r="DQ815" s="196"/>
      <c r="DR815" s="196"/>
      <c r="DS815" s="196"/>
      <c r="DT815" s="196"/>
    </row>
    <row r="816" spans="1:124" ht="16.5" thickTop="1" thickBot="1" x14ac:dyDescent="0.3">
      <c r="A816" s="496"/>
      <c r="B816" s="308">
        <v>6</v>
      </c>
      <c r="C816" s="300" t="s">
        <v>208</v>
      </c>
      <c r="D816" s="300" t="s">
        <v>208</v>
      </c>
      <c r="E816" s="300" t="s">
        <v>208</v>
      </c>
      <c r="F816" s="302">
        <v>0.7</v>
      </c>
      <c r="G816" s="302">
        <v>0.8</v>
      </c>
      <c r="H816" s="300" t="s">
        <v>208</v>
      </c>
      <c r="I816" s="302">
        <v>0.8</v>
      </c>
      <c r="J816" s="302">
        <v>0.8</v>
      </c>
      <c r="K816" s="300" t="s">
        <v>702</v>
      </c>
      <c r="L816" s="300" t="s">
        <v>208</v>
      </c>
      <c r="M816" s="300" t="s">
        <v>208</v>
      </c>
      <c r="N816" s="300" t="s">
        <v>208</v>
      </c>
      <c r="O816" s="302">
        <v>0.7</v>
      </c>
      <c r="P816" s="302">
        <v>0.8</v>
      </c>
      <c r="Q816" s="300" t="s">
        <v>208</v>
      </c>
      <c r="R816" s="300" t="s">
        <v>208</v>
      </c>
      <c r="S816" s="300" t="s">
        <v>208</v>
      </c>
      <c r="T816" s="302">
        <v>0.7</v>
      </c>
      <c r="U816" s="302">
        <v>0.7</v>
      </c>
      <c r="V816" s="302">
        <v>0.95</v>
      </c>
      <c r="W816" s="300" t="s">
        <v>208</v>
      </c>
      <c r="X816" s="300" t="s">
        <v>208</v>
      </c>
      <c r="Y816" s="300" t="s">
        <v>208</v>
      </c>
      <c r="Z816" s="302">
        <v>0.5</v>
      </c>
      <c r="AA816" s="300" t="s">
        <v>208</v>
      </c>
      <c r="AB816" s="300" t="s">
        <v>208</v>
      </c>
      <c r="AC816" s="300" t="s">
        <v>208</v>
      </c>
      <c r="AD816" s="300" t="s">
        <v>208</v>
      </c>
      <c r="AE816" s="300" t="s">
        <v>208</v>
      </c>
      <c r="AF816" s="300" t="s">
        <v>208</v>
      </c>
      <c r="AG816" s="300" t="s">
        <v>208</v>
      </c>
      <c r="AH816" s="300" t="s">
        <v>208</v>
      </c>
      <c r="AI816" s="300" t="s">
        <v>208</v>
      </c>
      <c r="AU816" s="336">
        <v>1040</v>
      </c>
      <c r="AV816" s="336" t="s">
        <v>512</v>
      </c>
      <c r="AW816" s="336" t="s">
        <v>512</v>
      </c>
      <c r="BX816" s="196"/>
      <c r="BY816" s="196"/>
      <c r="BZ816" s="196"/>
      <c r="CA816" s="196"/>
      <c r="CB816" s="196"/>
      <c r="CC816" s="196"/>
      <c r="CD816" s="196"/>
      <c r="CE816" s="196"/>
      <c r="CF816" s="196"/>
      <c r="CG816" s="196"/>
      <c r="CH816" s="196"/>
      <c r="CI816" s="196"/>
      <c r="CJ816" s="196"/>
      <c r="CK816" s="196"/>
      <c r="CL816" s="196"/>
      <c r="CM816" s="196"/>
      <c r="CN816" s="196"/>
      <c r="CO816" s="196"/>
      <c r="CP816" s="196"/>
      <c r="CQ816" s="196"/>
      <c r="CR816" s="196"/>
      <c r="CS816" s="196"/>
      <c r="CT816" s="196"/>
      <c r="CU816" s="196"/>
      <c r="CV816" s="196"/>
      <c r="CW816" s="196"/>
      <c r="CX816" s="196"/>
      <c r="CY816" s="196"/>
      <c r="CZ816" s="196"/>
      <c r="DA816" s="196"/>
      <c r="DB816" s="196"/>
      <c r="DC816" s="196"/>
      <c r="DD816" s="196"/>
      <c r="DE816" s="196"/>
      <c r="DF816" s="196"/>
      <c r="DG816" s="196"/>
      <c r="DH816" s="196"/>
      <c r="DI816" s="196"/>
      <c r="DJ816" s="196"/>
      <c r="DK816" s="196"/>
      <c r="DL816" s="196"/>
      <c r="DM816" s="196"/>
      <c r="DN816" s="196"/>
      <c r="DO816" s="196"/>
      <c r="DP816" s="196"/>
      <c r="DQ816" s="196"/>
      <c r="DR816" s="196"/>
      <c r="DS816" s="196"/>
      <c r="DT816" s="196"/>
    </row>
    <row r="817" spans="1:124" ht="16.5" thickTop="1" thickBot="1" x14ac:dyDescent="0.3">
      <c r="A817" s="494" t="s">
        <v>502</v>
      </c>
      <c r="B817" s="445" t="s">
        <v>494</v>
      </c>
      <c r="C817" s="446"/>
      <c r="D817" s="446"/>
      <c r="E817" s="446"/>
      <c r="F817" s="446"/>
      <c r="G817" s="446"/>
      <c r="H817" s="446"/>
      <c r="I817" s="446"/>
      <c r="J817" s="446"/>
      <c r="K817" s="446"/>
      <c r="L817" s="446"/>
      <c r="M817" s="446"/>
      <c r="N817" s="446"/>
      <c r="O817" s="446"/>
      <c r="P817" s="446"/>
      <c r="Q817" s="446"/>
      <c r="R817" s="446"/>
      <c r="S817" s="446"/>
      <c r="T817" s="446"/>
      <c r="U817" s="446"/>
      <c r="V817" s="446"/>
      <c r="W817" s="446"/>
      <c r="X817" s="446"/>
      <c r="Y817" s="446"/>
      <c r="Z817" s="446"/>
      <c r="AA817" s="446"/>
      <c r="AB817" s="446"/>
      <c r="AC817" s="446"/>
      <c r="AD817" s="446"/>
      <c r="AE817" s="446"/>
      <c r="AF817" s="446"/>
      <c r="AG817" s="446"/>
      <c r="AH817" s="446"/>
      <c r="AI817" s="446"/>
      <c r="AU817" s="336">
        <v>1092</v>
      </c>
      <c r="AV817" s="336" t="s">
        <v>511</v>
      </c>
      <c r="AW817" s="336" t="s">
        <v>511</v>
      </c>
      <c r="BX817" s="196"/>
      <c r="BY817" s="196"/>
      <c r="BZ817" s="196"/>
      <c r="CA817" s="196"/>
      <c r="CB817" s="196"/>
      <c r="CC817" s="196"/>
      <c r="CD817" s="196"/>
      <c r="CE817" s="196"/>
      <c r="CF817" s="196"/>
      <c r="CG817" s="196"/>
      <c r="CH817" s="196"/>
      <c r="CI817" s="196"/>
      <c r="CJ817" s="196"/>
      <c r="CK817" s="196"/>
      <c r="CL817" s="196"/>
      <c r="CM817" s="196"/>
      <c r="CN817" s="196"/>
      <c r="CO817" s="196"/>
      <c r="CP817" s="196"/>
      <c r="CQ817" s="196"/>
      <c r="CR817" s="196"/>
      <c r="CS817" s="196"/>
      <c r="CT817" s="196"/>
      <c r="CU817" s="196"/>
      <c r="CV817" s="196"/>
      <c r="CW817" s="196"/>
      <c r="CX817" s="196"/>
      <c r="CY817" s="196"/>
      <c r="CZ817" s="196"/>
      <c r="DA817" s="196"/>
      <c r="DB817" s="196"/>
      <c r="DC817" s="196"/>
      <c r="DD817" s="196"/>
      <c r="DE817" s="196"/>
      <c r="DF817" s="196"/>
      <c r="DG817" s="196"/>
      <c r="DH817" s="196"/>
      <c r="DI817" s="196"/>
      <c r="DJ817" s="196"/>
      <c r="DK817" s="196"/>
      <c r="DL817" s="196"/>
      <c r="DM817" s="196"/>
      <c r="DN817" s="196"/>
      <c r="DO817" s="196"/>
      <c r="DP817" s="196"/>
      <c r="DQ817" s="196"/>
      <c r="DR817" s="196"/>
      <c r="DS817" s="196"/>
      <c r="DT817" s="196"/>
    </row>
    <row r="818" spans="1:124" ht="16.5" customHeight="1" thickTop="1" thickBot="1" x14ac:dyDescent="0.3">
      <c r="A818" s="495"/>
      <c r="B818" s="301">
        <v>1</v>
      </c>
      <c r="C818" s="302">
        <v>0.5</v>
      </c>
      <c r="D818" s="302">
        <v>0.5</v>
      </c>
      <c r="E818" s="302">
        <v>0.5</v>
      </c>
      <c r="F818" s="302">
        <v>0.5</v>
      </c>
      <c r="G818" s="302">
        <v>0.8</v>
      </c>
      <c r="H818" s="302">
        <v>0.5</v>
      </c>
      <c r="I818" s="302">
        <v>0.5</v>
      </c>
      <c r="J818" s="302">
        <v>0.8</v>
      </c>
      <c r="K818" s="300" t="s">
        <v>702</v>
      </c>
      <c r="L818" s="302">
        <v>0.5</v>
      </c>
      <c r="M818" s="302">
        <v>0.5</v>
      </c>
      <c r="N818" s="302">
        <v>0.5</v>
      </c>
      <c r="O818" s="302">
        <v>0.5</v>
      </c>
      <c r="P818" s="302">
        <v>0.8</v>
      </c>
      <c r="Q818" s="302">
        <v>0.5</v>
      </c>
      <c r="R818" s="302">
        <v>0.5</v>
      </c>
      <c r="S818" s="302">
        <v>0.5</v>
      </c>
      <c r="T818" s="302">
        <v>0.5</v>
      </c>
      <c r="U818" s="302">
        <v>0.5</v>
      </c>
      <c r="V818" s="302">
        <v>0.8</v>
      </c>
      <c r="W818" s="302">
        <v>0.5</v>
      </c>
      <c r="X818" s="302">
        <v>0.5</v>
      </c>
      <c r="Y818" s="302">
        <v>0.5</v>
      </c>
      <c r="Z818" s="302">
        <v>0.5</v>
      </c>
      <c r="AA818" s="302">
        <v>0.5</v>
      </c>
      <c r="AB818" s="302">
        <v>0.5</v>
      </c>
      <c r="AC818" s="302">
        <v>0.5</v>
      </c>
      <c r="AD818" s="302">
        <v>0.5</v>
      </c>
      <c r="AE818" s="302">
        <v>0.5</v>
      </c>
      <c r="AF818" s="302">
        <v>0.5</v>
      </c>
      <c r="AG818" s="302">
        <v>0.5</v>
      </c>
      <c r="AH818" s="302">
        <v>0.5</v>
      </c>
      <c r="AI818" s="302">
        <v>0.5</v>
      </c>
      <c r="AU818" s="336">
        <v>1120</v>
      </c>
      <c r="AV818" s="336" t="s">
        <v>512</v>
      </c>
      <c r="AW818" s="336" t="s">
        <v>512</v>
      </c>
      <c r="BX818" s="196"/>
      <c r="BY818" s="196"/>
      <c r="BZ818" s="196"/>
      <c r="CA818" s="196"/>
      <c r="CB818" s="196"/>
      <c r="CC818" s="196"/>
      <c r="CD818" s="196"/>
      <c r="CE818" s="196"/>
      <c r="CF818" s="196"/>
      <c r="CG818" s="196"/>
      <c r="CH818" s="196"/>
      <c r="CI818" s="196"/>
      <c r="CJ818" s="196"/>
      <c r="CK818" s="196"/>
      <c r="CL818" s="196"/>
      <c r="CM818" s="196"/>
      <c r="CN818" s="196"/>
      <c r="CO818" s="196"/>
      <c r="CP818" s="196"/>
      <c r="CQ818" s="196"/>
      <c r="CR818" s="196"/>
      <c r="CS818" s="196"/>
      <c r="CT818" s="196"/>
      <c r="CU818" s="196"/>
      <c r="CV818" s="196"/>
      <c r="CW818" s="196"/>
      <c r="CX818" s="196"/>
      <c r="CY818" s="196"/>
      <c r="CZ818" s="196"/>
      <c r="DA818" s="196"/>
      <c r="DB818" s="196"/>
      <c r="DC818" s="196"/>
      <c r="DD818" s="196"/>
      <c r="DE818" s="196"/>
      <c r="DF818" s="196"/>
      <c r="DG818" s="196"/>
      <c r="DH818" s="196"/>
      <c r="DI818" s="196"/>
      <c r="DJ818" s="196"/>
      <c r="DK818" s="196"/>
      <c r="DL818" s="196"/>
      <c r="DM818" s="196"/>
      <c r="DN818" s="196"/>
      <c r="DO818" s="196"/>
      <c r="DP818" s="196"/>
      <c r="DQ818" s="196"/>
      <c r="DR818" s="196"/>
      <c r="DS818" s="196"/>
      <c r="DT818" s="196"/>
    </row>
    <row r="819" spans="1:124" ht="16.5" thickTop="1" thickBot="1" x14ac:dyDescent="0.3">
      <c r="A819" s="495"/>
      <c r="B819" s="301">
        <v>2</v>
      </c>
      <c r="C819" s="302">
        <v>0.5</v>
      </c>
      <c r="D819" s="302">
        <v>0.5</v>
      </c>
      <c r="E819" s="302">
        <v>0.5</v>
      </c>
      <c r="F819" s="302">
        <v>0.5</v>
      </c>
      <c r="G819" s="302">
        <v>0.8</v>
      </c>
      <c r="H819" s="302">
        <v>0.5</v>
      </c>
      <c r="I819" s="302">
        <v>0.5</v>
      </c>
      <c r="J819" s="302">
        <v>0.8</v>
      </c>
      <c r="K819" s="300" t="s">
        <v>702</v>
      </c>
      <c r="L819" s="302">
        <v>0.5</v>
      </c>
      <c r="M819" s="302">
        <v>0.5</v>
      </c>
      <c r="N819" s="302">
        <v>0.5</v>
      </c>
      <c r="O819" s="302">
        <v>0.5</v>
      </c>
      <c r="P819" s="302">
        <v>0.8</v>
      </c>
      <c r="Q819" s="302">
        <v>0.5</v>
      </c>
      <c r="R819" s="302">
        <v>0.5</v>
      </c>
      <c r="S819" s="302">
        <v>0.5</v>
      </c>
      <c r="T819" s="302">
        <v>0.5</v>
      </c>
      <c r="U819" s="302">
        <v>0.5</v>
      </c>
      <c r="V819" s="302">
        <v>0.8</v>
      </c>
      <c r="W819" s="302">
        <v>0.5</v>
      </c>
      <c r="X819" s="302">
        <v>0.5</v>
      </c>
      <c r="Y819" s="302">
        <v>0.5</v>
      </c>
      <c r="Z819" s="302">
        <v>0.5</v>
      </c>
      <c r="AA819" s="302">
        <v>0.5</v>
      </c>
      <c r="AB819" s="302">
        <v>0.5</v>
      </c>
      <c r="AC819" s="302">
        <v>0.5</v>
      </c>
      <c r="AD819" s="302">
        <v>0.5</v>
      </c>
      <c r="AE819" s="302">
        <v>0.5</v>
      </c>
      <c r="AF819" s="302">
        <v>0.5</v>
      </c>
      <c r="AG819" s="302">
        <v>0.5</v>
      </c>
      <c r="AH819" s="302">
        <v>0.5</v>
      </c>
      <c r="AI819" s="302">
        <v>0.5</v>
      </c>
      <c r="AU819" s="336">
        <v>1134</v>
      </c>
      <c r="AV819" s="336" t="s">
        <v>512</v>
      </c>
      <c r="AW819" s="336" t="s">
        <v>512</v>
      </c>
      <c r="BX819" s="196"/>
      <c r="BY819" s="196"/>
      <c r="BZ819" s="196"/>
      <c r="CA819" s="196"/>
      <c r="CB819" s="196"/>
      <c r="CC819" s="196"/>
      <c r="CD819" s="196"/>
      <c r="CE819" s="196"/>
      <c r="CF819" s="196"/>
      <c r="CG819" s="196"/>
      <c r="CH819" s="196"/>
      <c r="CI819" s="196"/>
      <c r="CJ819" s="196"/>
      <c r="CK819" s="196"/>
      <c r="CL819" s="196"/>
      <c r="CM819" s="196"/>
      <c r="CN819" s="196"/>
      <c r="CO819" s="196"/>
      <c r="CP819" s="196"/>
      <c r="CQ819" s="196"/>
      <c r="CR819" s="196"/>
      <c r="CS819" s="196"/>
      <c r="CT819" s="196"/>
      <c r="CU819" s="196"/>
      <c r="CV819" s="196"/>
      <c r="CW819" s="196"/>
      <c r="CX819" s="196"/>
      <c r="CY819" s="196"/>
      <c r="CZ819" s="196"/>
      <c r="DA819" s="196"/>
      <c r="DB819" s="196"/>
      <c r="DC819" s="196"/>
      <c r="DD819" s="196"/>
      <c r="DE819" s="196"/>
      <c r="DF819" s="196"/>
      <c r="DG819" s="196"/>
      <c r="DH819" s="196"/>
      <c r="DI819" s="196"/>
      <c r="DJ819" s="196"/>
      <c r="DK819" s="196"/>
      <c r="DL819" s="196"/>
      <c r="DM819" s="196"/>
      <c r="DN819" s="196"/>
      <c r="DO819" s="196"/>
      <c r="DP819" s="196"/>
      <c r="DQ819" s="196"/>
      <c r="DR819" s="196"/>
      <c r="DS819" s="196"/>
      <c r="DT819" s="196"/>
    </row>
    <row r="820" spans="1:124" ht="16.5" thickTop="1" thickBot="1" x14ac:dyDescent="0.3">
      <c r="A820" s="495"/>
      <c r="B820" s="301">
        <v>3</v>
      </c>
      <c r="C820" s="300" t="s">
        <v>208</v>
      </c>
      <c r="D820" s="302">
        <v>0.5</v>
      </c>
      <c r="E820" s="302">
        <v>0.5</v>
      </c>
      <c r="F820" s="302">
        <v>0.5</v>
      </c>
      <c r="G820" s="302">
        <v>0.8</v>
      </c>
      <c r="H820" s="302">
        <v>0.5</v>
      </c>
      <c r="I820" s="302">
        <v>0.5</v>
      </c>
      <c r="J820" s="302">
        <v>0.8</v>
      </c>
      <c r="K820" s="300" t="s">
        <v>702</v>
      </c>
      <c r="L820" s="300" t="s">
        <v>208</v>
      </c>
      <c r="M820" s="302">
        <v>0.5</v>
      </c>
      <c r="N820" s="302">
        <v>0.5</v>
      </c>
      <c r="O820" s="302">
        <v>0.5</v>
      </c>
      <c r="P820" s="302">
        <v>0.8</v>
      </c>
      <c r="Q820" s="300" t="s">
        <v>208</v>
      </c>
      <c r="R820" s="302">
        <v>0.5</v>
      </c>
      <c r="S820" s="302">
        <v>0.5</v>
      </c>
      <c r="T820" s="302">
        <v>0.5</v>
      </c>
      <c r="U820" s="302">
        <v>0.5</v>
      </c>
      <c r="V820" s="302">
        <v>0.8</v>
      </c>
      <c r="W820" s="302">
        <v>0.5</v>
      </c>
      <c r="X820" s="300" t="s">
        <v>208</v>
      </c>
      <c r="Y820" s="300" t="s">
        <v>208</v>
      </c>
      <c r="Z820" s="302">
        <v>0.5</v>
      </c>
      <c r="AA820" s="302">
        <v>0.5</v>
      </c>
      <c r="AB820" s="302">
        <v>0.5</v>
      </c>
      <c r="AC820" s="302">
        <v>0.5</v>
      </c>
      <c r="AD820" s="302">
        <v>0.5</v>
      </c>
      <c r="AE820" s="302">
        <v>0.5</v>
      </c>
      <c r="AF820" s="300" t="s">
        <v>208</v>
      </c>
      <c r="AG820" s="302">
        <v>0.5</v>
      </c>
      <c r="AH820" s="300" t="s">
        <v>208</v>
      </c>
      <c r="AI820" s="302">
        <v>0.5</v>
      </c>
      <c r="AU820" s="336">
        <v>1154</v>
      </c>
      <c r="AV820" s="336" t="s">
        <v>512</v>
      </c>
      <c r="AW820" s="336" t="s">
        <v>512</v>
      </c>
      <c r="BX820" s="196"/>
      <c r="BY820" s="196"/>
      <c r="BZ820" s="196"/>
      <c r="CA820" s="196"/>
      <c r="CB820" s="196"/>
      <c r="CC820" s="196"/>
      <c r="CD820" s="196"/>
      <c r="CE820" s="196"/>
      <c r="CF820" s="196"/>
      <c r="CG820" s="196"/>
      <c r="CH820" s="196"/>
      <c r="CI820" s="196"/>
      <c r="CJ820" s="196"/>
      <c r="CK820" s="196"/>
      <c r="CL820" s="196"/>
      <c r="CM820" s="196"/>
      <c r="CN820" s="196"/>
      <c r="CO820" s="196"/>
      <c r="CP820" s="196"/>
      <c r="CQ820" s="196"/>
      <c r="CR820" s="196"/>
      <c r="CS820" s="196"/>
      <c r="CT820" s="196"/>
      <c r="CU820" s="196"/>
      <c r="CV820" s="196"/>
      <c r="CW820" s="196"/>
      <c r="CX820" s="196"/>
      <c r="CY820" s="196"/>
      <c r="CZ820" s="196"/>
      <c r="DA820" s="196"/>
      <c r="DB820" s="196"/>
      <c r="DC820" s="196"/>
      <c r="DD820" s="196"/>
      <c r="DE820" s="196"/>
      <c r="DF820" s="196"/>
      <c r="DG820" s="196"/>
      <c r="DH820" s="196"/>
      <c r="DI820" s="196"/>
      <c r="DJ820" s="196"/>
      <c r="DK820" s="196"/>
      <c r="DL820" s="196"/>
      <c r="DM820" s="196"/>
      <c r="DN820" s="196"/>
      <c r="DO820" s="196"/>
      <c r="DP820" s="196"/>
      <c r="DQ820" s="196"/>
      <c r="DR820" s="196"/>
      <c r="DS820" s="196"/>
      <c r="DT820" s="196"/>
    </row>
    <row r="821" spans="1:124" ht="16.5" thickTop="1" thickBot="1" x14ac:dyDescent="0.3">
      <c r="A821" s="495"/>
      <c r="B821" s="301">
        <v>4</v>
      </c>
      <c r="C821" s="300" t="s">
        <v>208</v>
      </c>
      <c r="D821" s="302">
        <v>0.5</v>
      </c>
      <c r="E821" s="302">
        <v>0.5</v>
      </c>
      <c r="F821" s="302">
        <v>0.5</v>
      </c>
      <c r="G821" s="302">
        <v>0.8</v>
      </c>
      <c r="H821" s="302">
        <v>0.5</v>
      </c>
      <c r="I821" s="302">
        <v>0.5</v>
      </c>
      <c r="J821" s="302">
        <v>0.8</v>
      </c>
      <c r="K821" s="300" t="s">
        <v>702</v>
      </c>
      <c r="L821" s="300" t="s">
        <v>208</v>
      </c>
      <c r="M821" s="302">
        <v>0.5</v>
      </c>
      <c r="N821" s="302">
        <v>0.5</v>
      </c>
      <c r="O821" s="302">
        <v>0.5</v>
      </c>
      <c r="P821" s="302">
        <v>0.8</v>
      </c>
      <c r="Q821" s="300" t="s">
        <v>208</v>
      </c>
      <c r="R821" s="302">
        <v>0.5</v>
      </c>
      <c r="S821" s="302">
        <v>0.5</v>
      </c>
      <c r="T821" s="302">
        <v>0.5</v>
      </c>
      <c r="U821" s="302">
        <v>0.5</v>
      </c>
      <c r="V821" s="302">
        <v>0.8</v>
      </c>
      <c r="W821" s="302">
        <v>0.4</v>
      </c>
      <c r="X821" s="300" t="s">
        <v>208</v>
      </c>
      <c r="Y821" s="300" t="s">
        <v>208</v>
      </c>
      <c r="Z821" s="302">
        <v>0.4</v>
      </c>
      <c r="AA821" s="302">
        <v>0.4</v>
      </c>
      <c r="AB821" s="300" t="s">
        <v>208</v>
      </c>
      <c r="AC821" s="302">
        <v>0.5</v>
      </c>
      <c r="AD821" s="300" t="s">
        <v>208</v>
      </c>
      <c r="AE821" s="302">
        <v>0.5</v>
      </c>
      <c r="AF821" s="300" t="s">
        <v>208</v>
      </c>
      <c r="AG821" s="302">
        <v>0.4</v>
      </c>
      <c r="AH821" s="300" t="s">
        <v>208</v>
      </c>
      <c r="AI821" s="302">
        <v>0.5</v>
      </c>
      <c r="AU821" s="336">
        <v>1173</v>
      </c>
      <c r="AV821" s="336" t="s">
        <v>511</v>
      </c>
      <c r="AW821" s="336" t="s">
        <v>511</v>
      </c>
      <c r="BX821" s="196"/>
      <c r="BY821" s="196"/>
      <c r="BZ821" s="196"/>
      <c r="CA821" s="196"/>
      <c r="CB821" s="196"/>
      <c r="CC821" s="196"/>
      <c r="CD821" s="196"/>
      <c r="CE821" s="196"/>
      <c r="CF821" s="196"/>
      <c r="CG821" s="196"/>
      <c r="CH821" s="196"/>
      <c r="CI821" s="196"/>
      <c r="CJ821" s="196"/>
      <c r="CK821" s="196"/>
      <c r="CL821" s="196"/>
      <c r="CM821" s="196"/>
      <c r="CN821" s="196"/>
      <c r="CO821" s="196"/>
      <c r="CP821" s="196"/>
      <c r="CQ821" s="196"/>
      <c r="CR821" s="196"/>
      <c r="CS821" s="196"/>
      <c r="CT821" s="196"/>
      <c r="CU821" s="196"/>
      <c r="CV821" s="196"/>
      <c r="CW821" s="196"/>
      <c r="CX821" s="196"/>
      <c r="CY821" s="196"/>
      <c r="CZ821" s="196"/>
      <c r="DA821" s="196"/>
      <c r="DB821" s="196"/>
      <c r="DC821" s="196"/>
      <c r="DD821" s="196"/>
      <c r="DE821" s="196"/>
      <c r="DF821" s="196"/>
      <c r="DG821" s="196"/>
      <c r="DH821" s="196"/>
      <c r="DI821" s="196"/>
      <c r="DJ821" s="196"/>
      <c r="DK821" s="196"/>
      <c r="DL821" s="196"/>
      <c r="DM821" s="196"/>
      <c r="DN821" s="196"/>
      <c r="DO821" s="196"/>
      <c r="DP821" s="196"/>
      <c r="DQ821" s="196"/>
      <c r="DR821" s="196"/>
      <c r="DS821" s="196"/>
      <c r="DT821" s="196"/>
    </row>
    <row r="822" spans="1:124" ht="16.5" thickTop="1" thickBot="1" x14ac:dyDescent="0.3">
      <c r="A822" s="495"/>
      <c r="B822" s="301">
        <v>5</v>
      </c>
      <c r="C822" s="300" t="s">
        <v>208</v>
      </c>
      <c r="D822" s="302">
        <v>0.5</v>
      </c>
      <c r="E822" s="302">
        <v>0.5</v>
      </c>
      <c r="F822" s="302">
        <v>0.5</v>
      </c>
      <c r="G822" s="302">
        <v>0.8</v>
      </c>
      <c r="H822" s="302">
        <v>0.5</v>
      </c>
      <c r="I822" s="302">
        <v>0.5</v>
      </c>
      <c r="J822" s="302">
        <v>0.8</v>
      </c>
      <c r="K822" s="300" t="s">
        <v>702</v>
      </c>
      <c r="L822" s="300" t="s">
        <v>208</v>
      </c>
      <c r="M822" s="302">
        <v>0.5</v>
      </c>
      <c r="N822" s="302">
        <v>0.5</v>
      </c>
      <c r="O822" s="302">
        <v>0.5</v>
      </c>
      <c r="P822" s="302">
        <v>0.8</v>
      </c>
      <c r="Q822" s="300" t="s">
        <v>208</v>
      </c>
      <c r="R822" s="302">
        <v>0.5</v>
      </c>
      <c r="S822" s="302">
        <v>0.5</v>
      </c>
      <c r="T822" s="302">
        <v>0.5</v>
      </c>
      <c r="U822" s="302">
        <v>0.5</v>
      </c>
      <c r="V822" s="302">
        <v>0.8</v>
      </c>
      <c r="W822" s="300" t="s">
        <v>208</v>
      </c>
      <c r="X822" s="300" t="s">
        <v>208</v>
      </c>
      <c r="Y822" s="300" t="s">
        <v>208</v>
      </c>
      <c r="Z822" s="302">
        <v>0.4</v>
      </c>
      <c r="AA822" s="300" t="s">
        <v>208</v>
      </c>
      <c r="AB822" s="300" t="s">
        <v>208</v>
      </c>
      <c r="AC822" s="300" t="s">
        <v>208</v>
      </c>
      <c r="AD822" s="300" t="s">
        <v>208</v>
      </c>
      <c r="AE822" s="300" t="s">
        <v>208</v>
      </c>
      <c r="AF822" s="300" t="s">
        <v>208</v>
      </c>
      <c r="AG822" s="300" t="s">
        <v>208</v>
      </c>
      <c r="AH822" s="300" t="s">
        <v>208</v>
      </c>
      <c r="AI822" s="302">
        <v>0.5</v>
      </c>
      <c r="AU822" s="336">
        <v>1218</v>
      </c>
      <c r="AV822" s="336" t="s">
        <v>510</v>
      </c>
      <c r="AW822" s="336" t="s">
        <v>510</v>
      </c>
      <c r="BX822" s="196"/>
      <c r="BY822" s="196"/>
      <c r="BZ822" s="196"/>
      <c r="CA822" s="196"/>
      <c r="CB822" s="196"/>
      <c r="CC822" s="196"/>
      <c r="CD822" s="196"/>
      <c r="CE822" s="196"/>
      <c r="CF822" s="196"/>
      <c r="CG822" s="196"/>
      <c r="CH822" s="196"/>
      <c r="CI822" s="196"/>
      <c r="CJ822" s="196"/>
      <c r="CK822" s="196"/>
      <c r="CL822" s="196"/>
      <c r="CM822" s="196"/>
      <c r="CN822" s="196"/>
      <c r="CO822" s="196"/>
      <c r="CP822" s="196"/>
      <c r="CQ822" s="196"/>
      <c r="CR822" s="196"/>
      <c r="CS822" s="196"/>
      <c r="CT822" s="196"/>
      <c r="CU822" s="196"/>
      <c r="CV822" s="196"/>
      <c r="CW822" s="196"/>
      <c r="CX822" s="196"/>
      <c r="CY822" s="196"/>
      <c r="CZ822" s="196"/>
      <c r="DA822" s="196"/>
      <c r="DB822" s="196"/>
      <c r="DC822" s="196"/>
      <c r="DD822" s="196"/>
      <c r="DE822" s="196"/>
      <c r="DF822" s="196"/>
      <c r="DG822" s="196"/>
      <c r="DH822" s="196"/>
      <c r="DI822" s="196"/>
      <c r="DJ822" s="196"/>
      <c r="DK822" s="196"/>
      <c r="DL822" s="196"/>
      <c r="DM822" s="196"/>
      <c r="DN822" s="196"/>
      <c r="DO822" s="196"/>
      <c r="DP822" s="196"/>
      <c r="DQ822" s="196"/>
      <c r="DR822" s="196"/>
      <c r="DS822" s="196"/>
      <c r="DT822" s="196"/>
    </row>
    <row r="823" spans="1:124" ht="16.5" thickTop="1" thickBot="1" x14ac:dyDescent="0.3">
      <c r="A823" s="496"/>
      <c r="B823" s="308">
        <v>6</v>
      </c>
      <c r="C823" s="300" t="s">
        <v>208</v>
      </c>
      <c r="D823" s="300" t="s">
        <v>208</v>
      </c>
      <c r="E823" s="300" t="s">
        <v>208</v>
      </c>
      <c r="F823" s="302">
        <v>0.5</v>
      </c>
      <c r="G823" s="302">
        <v>0.8</v>
      </c>
      <c r="H823" s="300" t="s">
        <v>208</v>
      </c>
      <c r="I823" s="302">
        <v>0.5</v>
      </c>
      <c r="J823" s="302">
        <v>0.8</v>
      </c>
      <c r="K823" s="300" t="s">
        <v>702</v>
      </c>
      <c r="L823" s="300" t="s">
        <v>208</v>
      </c>
      <c r="M823" s="300" t="s">
        <v>208</v>
      </c>
      <c r="N823" s="300" t="s">
        <v>208</v>
      </c>
      <c r="O823" s="302">
        <v>0.5</v>
      </c>
      <c r="P823" s="302">
        <v>0.8</v>
      </c>
      <c r="Q823" s="300" t="s">
        <v>208</v>
      </c>
      <c r="R823" s="300" t="s">
        <v>208</v>
      </c>
      <c r="S823" s="300" t="s">
        <v>208</v>
      </c>
      <c r="T823" s="302">
        <v>0.5</v>
      </c>
      <c r="U823" s="302">
        <v>0.5</v>
      </c>
      <c r="V823" s="302">
        <v>0.8</v>
      </c>
      <c r="W823" s="300" t="s">
        <v>208</v>
      </c>
      <c r="X823" s="300" t="s">
        <v>208</v>
      </c>
      <c r="Y823" s="300" t="s">
        <v>208</v>
      </c>
      <c r="Z823" s="302">
        <v>0.4</v>
      </c>
      <c r="AA823" s="300" t="s">
        <v>208</v>
      </c>
      <c r="AB823" s="300" t="s">
        <v>208</v>
      </c>
      <c r="AC823" s="300" t="s">
        <v>208</v>
      </c>
      <c r="AD823" s="300" t="s">
        <v>208</v>
      </c>
      <c r="AE823" s="300" t="s">
        <v>208</v>
      </c>
      <c r="AF823" s="300" t="s">
        <v>208</v>
      </c>
      <c r="AG823" s="300" t="s">
        <v>208</v>
      </c>
      <c r="AH823" s="300" t="s">
        <v>208</v>
      </c>
      <c r="AI823" s="300" t="s">
        <v>208</v>
      </c>
      <c r="AU823" s="336">
        <v>1243</v>
      </c>
      <c r="AV823" s="336" t="s">
        <v>512</v>
      </c>
      <c r="AW823" s="336" t="s">
        <v>512</v>
      </c>
      <c r="BX823" s="196"/>
      <c r="BY823" s="196"/>
      <c r="BZ823" s="196"/>
      <c r="CA823" s="196"/>
      <c r="CB823" s="196"/>
      <c r="CC823" s="196"/>
      <c r="CD823" s="196"/>
      <c r="CE823" s="196"/>
      <c r="CF823" s="196"/>
      <c r="CG823" s="196"/>
      <c r="CH823" s="196"/>
      <c r="CI823" s="196"/>
      <c r="CJ823" s="196"/>
      <c r="CK823" s="196"/>
      <c r="CL823" s="196"/>
      <c r="CM823" s="196"/>
      <c r="CN823" s="196"/>
      <c r="CO823" s="196"/>
      <c r="CP823" s="196"/>
      <c r="CQ823" s="196"/>
      <c r="CR823" s="196"/>
      <c r="CS823" s="196"/>
      <c r="CT823" s="196"/>
      <c r="CU823" s="196"/>
      <c r="CV823" s="196"/>
      <c r="CW823" s="196"/>
      <c r="CX823" s="196"/>
      <c r="CY823" s="196"/>
      <c r="CZ823" s="196"/>
      <c r="DA823" s="196"/>
      <c r="DB823" s="196"/>
      <c r="DC823" s="196"/>
      <c r="DD823" s="196"/>
      <c r="DE823" s="196"/>
      <c r="DF823" s="196"/>
      <c r="DG823" s="196"/>
      <c r="DH823" s="196"/>
      <c r="DI823" s="196"/>
      <c r="DJ823" s="196"/>
      <c r="DK823" s="196"/>
      <c r="DL823" s="196"/>
      <c r="DM823" s="196"/>
      <c r="DN823" s="196"/>
      <c r="DO823" s="196"/>
      <c r="DP823" s="196"/>
      <c r="DQ823" s="196"/>
      <c r="DR823" s="196"/>
      <c r="DS823" s="196"/>
      <c r="DT823" s="196"/>
    </row>
    <row r="824" spans="1:124" ht="15.75" thickBot="1" x14ac:dyDescent="0.3">
      <c r="G824" s="465"/>
      <c r="J824" s="465"/>
      <c r="N824" s="196"/>
      <c r="P824" s="465"/>
      <c r="Q824" s="196"/>
      <c r="R824" s="196"/>
      <c r="S824" s="196"/>
      <c r="T824" s="196"/>
      <c r="U824" s="465"/>
      <c r="AH824" s="465"/>
      <c r="AI824" s="465"/>
      <c r="AU824" s="336">
        <v>1438</v>
      </c>
      <c r="AV824" s="336" t="s">
        <v>512</v>
      </c>
      <c r="AW824" s="336" t="s">
        <v>512</v>
      </c>
      <c r="BX824" s="196"/>
      <c r="BY824" s="196"/>
      <c r="BZ824" s="196"/>
      <c r="CA824" s="196"/>
      <c r="CB824" s="196"/>
      <c r="CC824" s="196"/>
      <c r="CD824" s="196"/>
      <c r="CE824" s="196"/>
      <c r="CF824" s="196"/>
      <c r="CG824" s="196"/>
      <c r="CH824" s="196"/>
      <c r="CI824" s="196"/>
      <c r="CJ824" s="196"/>
      <c r="CK824" s="196"/>
      <c r="CL824" s="196"/>
      <c r="CM824" s="196"/>
      <c r="CN824" s="196"/>
      <c r="CO824" s="196"/>
      <c r="CP824" s="196"/>
      <c r="CQ824" s="196"/>
      <c r="CR824" s="196"/>
      <c r="CS824" s="196"/>
      <c r="CT824" s="196"/>
      <c r="CU824" s="196"/>
      <c r="CV824" s="196"/>
      <c r="CW824" s="196"/>
      <c r="CX824" s="196"/>
      <c r="CY824" s="196"/>
      <c r="CZ824" s="196"/>
      <c r="DA824" s="196"/>
      <c r="DB824" s="196"/>
      <c r="DC824" s="196"/>
      <c r="DD824" s="196"/>
      <c r="DE824" s="196"/>
      <c r="DF824" s="196"/>
      <c r="DG824" s="196"/>
      <c r="DH824" s="196"/>
      <c r="DI824" s="196"/>
      <c r="DJ824" s="196"/>
      <c r="DK824" s="196"/>
      <c r="DL824" s="196"/>
      <c r="DM824" s="196"/>
      <c r="DN824" s="196"/>
      <c r="DO824" s="196"/>
      <c r="DP824" s="196"/>
      <c r="DQ824" s="196"/>
      <c r="DR824" s="196"/>
      <c r="DS824" s="196"/>
      <c r="DT824" s="196"/>
    </row>
    <row r="825" spans="1:124" ht="16.5" thickTop="1" thickBot="1" x14ac:dyDescent="0.3">
      <c r="A825" s="389" t="s">
        <v>516</v>
      </c>
      <c r="C825" s="389" t="s">
        <v>517</v>
      </c>
      <c r="D825" s="389" t="s">
        <v>518</v>
      </c>
      <c r="E825" s="389" t="s">
        <v>518</v>
      </c>
      <c r="F825" s="389" t="s">
        <v>42</v>
      </c>
      <c r="G825" s="389" t="s">
        <v>518</v>
      </c>
      <c r="H825" s="389" t="s">
        <v>518</v>
      </c>
      <c r="I825" s="389" t="s">
        <v>42</v>
      </c>
      <c r="J825" s="389" t="s">
        <v>518</v>
      </c>
      <c r="K825" s="389" t="s">
        <v>206</v>
      </c>
      <c r="L825" s="389" t="s">
        <v>517</v>
      </c>
      <c r="M825" s="389" t="s">
        <v>518</v>
      </c>
      <c r="N825" s="389" t="s">
        <v>518</v>
      </c>
      <c r="O825" s="389" t="s">
        <v>42</v>
      </c>
      <c r="P825" s="389" t="s">
        <v>518</v>
      </c>
      <c r="Q825" s="389" t="s">
        <v>517</v>
      </c>
      <c r="R825" s="389" t="s">
        <v>518</v>
      </c>
      <c r="S825" s="389" t="s">
        <v>518</v>
      </c>
      <c r="T825" s="389" t="s">
        <v>42</v>
      </c>
      <c r="U825" s="389" t="s">
        <v>518</v>
      </c>
      <c r="V825" s="389" t="s">
        <v>518</v>
      </c>
      <c r="W825" s="389" t="s">
        <v>518</v>
      </c>
      <c r="X825" s="389" t="s">
        <v>254</v>
      </c>
      <c r="Y825" s="389" t="s">
        <v>489</v>
      </c>
      <c r="Z825" s="389" t="s">
        <v>42</v>
      </c>
      <c r="AA825" s="389" t="s">
        <v>518</v>
      </c>
      <c r="AB825" s="389" t="s">
        <v>517</v>
      </c>
      <c r="AC825" s="389" t="s">
        <v>518</v>
      </c>
      <c r="AD825" s="389" t="s">
        <v>517</v>
      </c>
      <c r="AE825" s="389" t="s">
        <v>518</v>
      </c>
      <c r="AF825" s="389" t="s">
        <v>517</v>
      </c>
      <c r="AG825" s="389" t="s">
        <v>518</v>
      </c>
      <c r="AH825" s="389" t="s">
        <v>517</v>
      </c>
      <c r="AI825" s="389" t="s">
        <v>518</v>
      </c>
      <c r="AU825" s="336">
        <v>1443</v>
      </c>
      <c r="AV825" s="336" t="s">
        <v>511</v>
      </c>
      <c r="AW825" s="336" t="s">
        <v>511</v>
      </c>
      <c r="BX825" s="196"/>
      <c r="BY825" s="196"/>
      <c r="BZ825" s="196"/>
      <c r="CA825" s="196"/>
      <c r="CB825" s="196"/>
      <c r="CC825" s="196"/>
      <c r="CD825" s="196"/>
      <c r="CE825" s="196"/>
      <c r="CF825" s="196"/>
      <c r="CG825" s="196"/>
      <c r="CH825" s="196"/>
      <c r="CI825" s="196"/>
      <c r="CJ825" s="196"/>
      <c r="CK825" s="196"/>
      <c r="CL825" s="196"/>
      <c r="CM825" s="196"/>
      <c r="CN825" s="196"/>
      <c r="CO825" s="196"/>
      <c r="CP825" s="196"/>
      <c r="CQ825" s="196"/>
      <c r="CR825" s="196"/>
      <c r="CS825" s="196"/>
      <c r="CT825" s="196"/>
      <c r="CU825" s="196"/>
      <c r="CV825" s="196"/>
      <c r="CW825" s="196"/>
      <c r="CX825" s="196"/>
      <c r="CY825" s="196"/>
      <c r="CZ825" s="196"/>
      <c r="DA825" s="196"/>
      <c r="DB825" s="196"/>
      <c r="DC825" s="196"/>
      <c r="DD825" s="196"/>
      <c r="DE825" s="196"/>
      <c r="DF825" s="196"/>
      <c r="DG825" s="196"/>
      <c r="DH825" s="196"/>
      <c r="DI825" s="196"/>
      <c r="DJ825" s="196"/>
      <c r="DK825" s="196"/>
      <c r="DL825" s="196"/>
      <c r="DM825" s="196"/>
      <c r="DN825" s="196"/>
      <c r="DO825" s="196"/>
      <c r="DP825" s="196"/>
      <c r="DQ825" s="196"/>
      <c r="DR825" s="196"/>
      <c r="DS825" s="196"/>
      <c r="DT825" s="196"/>
    </row>
    <row r="826" spans="1:124" ht="15.75" thickTop="1" x14ac:dyDescent="0.25">
      <c r="A826" s="196"/>
      <c r="B826" s="196"/>
      <c r="C826" s="196"/>
      <c r="D826" s="196"/>
      <c r="E826" s="196"/>
      <c r="F826" s="196"/>
      <c r="G826" s="196"/>
      <c r="H826" s="196"/>
      <c r="I826" s="196"/>
      <c r="J826" s="196"/>
      <c r="K826" s="196"/>
      <c r="L826" s="196"/>
      <c r="M826" s="196"/>
      <c r="N826" s="196"/>
      <c r="O826" s="196"/>
      <c r="P826" s="196"/>
      <c r="Q826" s="196"/>
      <c r="R826" s="196"/>
      <c r="S826" s="196"/>
      <c r="T826" s="196"/>
      <c r="U826" s="196"/>
      <c r="V826" s="196"/>
      <c r="W826" s="196"/>
      <c r="X826" s="196"/>
      <c r="Y826" s="196"/>
      <c r="Z826" s="196"/>
      <c r="AA826" s="196"/>
      <c r="AB826" s="196"/>
      <c r="AC826" s="196"/>
      <c r="AD826" s="196"/>
      <c r="AU826" s="336">
        <v>1559</v>
      </c>
      <c r="AV826" s="336" t="s">
        <v>512</v>
      </c>
      <c r="AW826" s="336" t="s">
        <v>512</v>
      </c>
      <c r="BX826" s="196"/>
      <c r="BY826" s="196"/>
      <c r="BZ826" s="196"/>
      <c r="CA826" s="196"/>
      <c r="CB826" s="196"/>
      <c r="CC826" s="196"/>
      <c r="CD826" s="196"/>
      <c r="CE826" s="196"/>
      <c r="CF826" s="196"/>
      <c r="CG826" s="196"/>
      <c r="CH826" s="196"/>
      <c r="CI826" s="196"/>
      <c r="CJ826" s="196"/>
      <c r="CK826" s="196"/>
      <c r="CL826" s="196"/>
      <c r="CM826" s="196"/>
      <c r="CN826" s="196"/>
      <c r="CO826" s="196"/>
      <c r="CP826" s="196"/>
      <c r="CQ826" s="196"/>
      <c r="CR826" s="196"/>
      <c r="CS826" s="196"/>
      <c r="CT826" s="196"/>
      <c r="CU826" s="196"/>
      <c r="CV826" s="196"/>
      <c r="CW826" s="196"/>
      <c r="CX826" s="196"/>
      <c r="CY826" s="196"/>
      <c r="CZ826" s="196"/>
      <c r="DA826" s="196"/>
      <c r="DB826" s="196"/>
      <c r="DC826" s="196"/>
      <c r="DD826" s="196"/>
      <c r="DE826" s="196"/>
      <c r="DF826" s="196"/>
      <c r="DG826" s="196"/>
      <c r="DH826" s="196"/>
      <c r="DI826" s="196"/>
      <c r="DJ826" s="196"/>
      <c r="DK826" s="196"/>
      <c r="DL826" s="196"/>
      <c r="DM826" s="196"/>
      <c r="DN826" s="196"/>
      <c r="DO826" s="196"/>
      <c r="DP826" s="196"/>
      <c r="DQ826" s="196"/>
      <c r="DR826" s="196"/>
      <c r="DS826" s="196"/>
      <c r="DT826" s="196"/>
    </row>
    <row r="827" spans="1:124" s="196" customFormat="1" x14ac:dyDescent="0.25">
      <c r="AU827" s="336">
        <v>1592</v>
      </c>
      <c r="AV827" s="336" t="s">
        <v>511</v>
      </c>
      <c r="AW827" s="336" t="s">
        <v>511</v>
      </c>
    </row>
    <row r="828" spans="1:124" x14ac:dyDescent="0.25">
      <c r="AU828" s="336">
        <v>1608</v>
      </c>
      <c r="AV828" s="336" t="s">
        <v>512</v>
      </c>
      <c r="AW828" s="336" t="s">
        <v>512</v>
      </c>
      <c r="BX828" s="196"/>
      <c r="BY828" s="196"/>
      <c r="BZ828" s="196"/>
      <c r="CA828" s="196"/>
      <c r="CB828" s="196"/>
      <c r="CC828" s="196"/>
      <c r="CD828" s="196"/>
      <c r="CE828" s="196"/>
      <c r="CF828" s="196"/>
      <c r="CG828" s="196"/>
      <c r="CH828" s="196"/>
      <c r="CI828" s="196"/>
      <c r="CJ828" s="196"/>
      <c r="CK828" s="196"/>
      <c r="CL828" s="196"/>
      <c r="CM828" s="196"/>
      <c r="CN828" s="196"/>
      <c r="CO828" s="196"/>
      <c r="CP828" s="196"/>
      <c r="CQ828" s="196"/>
      <c r="CR828" s="196"/>
      <c r="CS828" s="196"/>
      <c r="CT828" s="196"/>
      <c r="CU828" s="196"/>
      <c r="CV828" s="196"/>
      <c r="CW828" s="196"/>
      <c r="CX828" s="196"/>
      <c r="CY828" s="196"/>
      <c r="CZ828" s="196"/>
      <c r="DA828" s="196"/>
      <c r="DB828" s="196"/>
      <c r="DC828" s="196"/>
      <c r="DD828" s="196"/>
      <c r="DE828" s="196"/>
      <c r="DF828" s="196"/>
      <c r="DG828" s="196"/>
      <c r="DH828" s="196"/>
      <c r="DI828" s="196"/>
      <c r="DJ828" s="196"/>
      <c r="DK828" s="196"/>
      <c r="DL828" s="196"/>
      <c r="DM828" s="196"/>
      <c r="DN828" s="196"/>
      <c r="DO828" s="196"/>
      <c r="DP828" s="196"/>
      <c r="DQ828" s="196"/>
      <c r="DR828" s="196"/>
      <c r="DS828" s="196"/>
      <c r="DT828" s="196"/>
    </row>
    <row r="829" spans="1:124" x14ac:dyDescent="0.25">
      <c r="AU829" s="336">
        <v>1609</v>
      </c>
      <c r="AV829" s="336" t="s">
        <v>512</v>
      </c>
      <c r="AW829" s="336" t="s">
        <v>512</v>
      </c>
      <c r="BX829" s="196"/>
      <c r="BY829" s="196"/>
      <c r="BZ829" s="196"/>
      <c r="CA829" s="196"/>
      <c r="CB829" s="196"/>
      <c r="CC829" s="196"/>
      <c r="CD829" s="196"/>
      <c r="CE829" s="196"/>
      <c r="CF829" s="196"/>
      <c r="CG829" s="196"/>
      <c r="CH829" s="196"/>
      <c r="CI829" s="196"/>
      <c r="CJ829" s="196"/>
      <c r="CK829" s="196"/>
      <c r="CL829" s="196"/>
      <c r="CM829" s="196"/>
      <c r="CN829" s="196"/>
      <c r="CO829" s="196"/>
      <c r="CP829" s="196"/>
      <c r="CQ829" s="196"/>
      <c r="CR829" s="196"/>
      <c r="CS829" s="196"/>
      <c r="CT829" s="196"/>
      <c r="CU829" s="196"/>
      <c r="CV829" s="196"/>
      <c r="CW829" s="196"/>
      <c r="CX829" s="196"/>
      <c r="CY829" s="196"/>
      <c r="CZ829" s="196"/>
      <c r="DA829" s="196"/>
      <c r="DB829" s="196"/>
      <c r="DC829" s="196"/>
      <c r="DD829" s="196"/>
      <c r="DE829" s="196"/>
      <c r="DF829" s="196"/>
      <c r="DG829" s="196"/>
      <c r="DH829" s="196"/>
      <c r="DI829" s="196"/>
      <c r="DJ829" s="196"/>
      <c r="DK829" s="196"/>
      <c r="DL829" s="196"/>
      <c r="DM829" s="196"/>
      <c r="DN829" s="196"/>
      <c r="DO829" s="196"/>
      <c r="DP829" s="196"/>
      <c r="DQ829" s="196"/>
      <c r="DR829" s="196"/>
      <c r="DS829" s="196"/>
      <c r="DT829" s="196"/>
    </row>
    <row r="830" spans="1:124" ht="30.75" customHeight="1" x14ac:dyDescent="0.25">
      <c r="AU830" s="336">
        <v>3916</v>
      </c>
      <c r="AV830" s="336" t="s">
        <v>512</v>
      </c>
      <c r="AW830" s="336" t="s">
        <v>512</v>
      </c>
      <c r="BX830" s="196"/>
      <c r="BY830" s="196"/>
      <c r="BZ830" s="196"/>
      <c r="CA830" s="196"/>
      <c r="CB830" s="196"/>
      <c r="CC830" s="196"/>
      <c r="CD830" s="196"/>
      <c r="CE830" s="196"/>
      <c r="CF830" s="196"/>
      <c r="CG830" s="196"/>
      <c r="CH830" s="196"/>
      <c r="CI830" s="196"/>
      <c r="CJ830" s="196"/>
      <c r="CK830" s="196"/>
      <c r="CL830" s="196"/>
      <c r="CM830" s="196"/>
      <c r="CN830" s="196"/>
      <c r="CO830" s="196"/>
      <c r="CP830" s="196"/>
      <c r="CQ830" s="196"/>
      <c r="CR830" s="196"/>
      <c r="CS830" s="196"/>
      <c r="CT830" s="196"/>
      <c r="CU830" s="196"/>
      <c r="CV830" s="196"/>
      <c r="CW830" s="196"/>
      <c r="CX830" s="196"/>
      <c r="CY830" s="196"/>
      <c r="CZ830" s="196"/>
      <c r="DA830" s="196"/>
      <c r="DB830" s="196"/>
      <c r="DC830" s="196"/>
      <c r="DD830" s="196"/>
      <c r="DE830" s="196"/>
      <c r="DF830" s="196"/>
      <c r="DG830" s="196"/>
      <c r="DH830" s="196"/>
      <c r="DI830" s="196"/>
      <c r="DJ830" s="196"/>
      <c r="DK830" s="196"/>
      <c r="DL830" s="196"/>
      <c r="DM830" s="196"/>
      <c r="DN830" s="196"/>
      <c r="DO830" s="196"/>
      <c r="DP830" s="196"/>
      <c r="DQ830" s="196"/>
      <c r="DR830" s="196"/>
      <c r="DS830" s="196"/>
      <c r="DT830" s="196"/>
    </row>
    <row r="831" spans="1:124" x14ac:dyDescent="0.25">
      <c r="A831" s="465"/>
      <c r="AU831" s="336">
        <v>1665</v>
      </c>
      <c r="AV831" s="336" t="s">
        <v>511</v>
      </c>
      <c r="AW831" s="336" t="s">
        <v>511</v>
      </c>
      <c r="BX831" s="196"/>
      <c r="BY831" s="196"/>
      <c r="BZ831" s="196"/>
      <c r="CA831" s="196"/>
      <c r="CB831" s="196"/>
      <c r="CC831" s="196"/>
      <c r="CD831" s="196"/>
      <c r="CE831" s="196"/>
      <c r="CF831" s="196"/>
      <c r="CG831" s="196"/>
      <c r="CH831" s="196"/>
      <c r="CI831" s="196"/>
      <c r="CJ831" s="196"/>
      <c r="CK831" s="196"/>
      <c r="CL831" s="196"/>
      <c r="CM831" s="196"/>
      <c r="CN831" s="196"/>
      <c r="CO831" s="196"/>
      <c r="CP831" s="196"/>
      <c r="CQ831" s="196"/>
      <c r="CR831" s="196"/>
      <c r="CS831" s="196"/>
      <c r="CT831" s="196"/>
      <c r="CU831" s="196"/>
      <c r="CV831" s="196"/>
      <c r="CW831" s="196"/>
      <c r="CX831" s="196"/>
      <c r="CY831" s="196"/>
      <c r="CZ831" s="196"/>
      <c r="DA831" s="196"/>
      <c r="DB831" s="196"/>
      <c r="DC831" s="196"/>
      <c r="DD831" s="196"/>
      <c r="DE831" s="196"/>
      <c r="DF831" s="196"/>
      <c r="DG831" s="196"/>
      <c r="DH831" s="196"/>
      <c r="DI831" s="196"/>
      <c r="DJ831" s="196"/>
      <c r="DK831" s="196"/>
      <c r="DL831" s="196"/>
      <c r="DM831" s="196"/>
      <c r="DN831" s="196"/>
      <c r="DO831" s="196"/>
      <c r="DP831" s="196"/>
      <c r="DQ831" s="196"/>
      <c r="DR831" s="196"/>
      <c r="DS831" s="196"/>
      <c r="DT831" s="196"/>
    </row>
    <row r="832" spans="1:124" x14ac:dyDescent="0.25">
      <c r="A832" s="465"/>
      <c r="AU832" s="336">
        <v>1762</v>
      </c>
      <c r="AV832" s="336" t="s">
        <v>512</v>
      </c>
      <c r="AW832" s="336" t="s">
        <v>512</v>
      </c>
      <c r="BX832" s="196"/>
      <c r="BY832" s="196"/>
      <c r="BZ832" s="196"/>
      <c r="CA832" s="196"/>
      <c r="CB832" s="196"/>
      <c r="CC832" s="196"/>
      <c r="CD832" s="196"/>
      <c r="CE832" s="196"/>
      <c r="CF832" s="196"/>
      <c r="CG832" s="196"/>
      <c r="CH832" s="196"/>
      <c r="CI832" s="196"/>
      <c r="CJ832" s="196"/>
      <c r="CK832" s="196"/>
      <c r="CL832" s="196"/>
      <c r="CM832" s="196"/>
      <c r="CN832" s="196"/>
      <c r="CO832" s="196"/>
      <c r="CP832" s="196"/>
      <c r="CQ832" s="196"/>
      <c r="CR832" s="196"/>
      <c r="CS832" s="196"/>
      <c r="CT832" s="196"/>
      <c r="CU832" s="196"/>
      <c r="CV832" s="196"/>
      <c r="CW832" s="196"/>
      <c r="CX832" s="196"/>
      <c r="CY832" s="196"/>
      <c r="CZ832" s="196"/>
      <c r="DA832" s="196"/>
      <c r="DB832" s="196"/>
      <c r="DC832" s="196"/>
      <c r="DD832" s="196"/>
      <c r="DE832" s="196"/>
      <c r="DF832" s="196"/>
      <c r="DG832" s="196"/>
      <c r="DH832" s="196"/>
      <c r="DI832" s="196"/>
      <c r="DJ832" s="196"/>
      <c r="DK832" s="196"/>
      <c r="DL832" s="196"/>
      <c r="DM832" s="196"/>
      <c r="DN832" s="196"/>
      <c r="DO832" s="196"/>
      <c r="DP832" s="196"/>
      <c r="DQ832" s="196"/>
      <c r="DR832" s="196"/>
      <c r="DS832" s="196"/>
      <c r="DT832" s="196"/>
    </row>
    <row r="833" spans="1:124" x14ac:dyDescent="0.25">
      <c r="A833" s="465"/>
      <c r="AU833" s="336">
        <v>1763</v>
      </c>
      <c r="AV833" s="336" t="s">
        <v>512</v>
      </c>
      <c r="AW833" s="336" t="s">
        <v>512</v>
      </c>
      <c r="BX833" s="196"/>
      <c r="BY833" s="196"/>
      <c r="BZ833" s="196"/>
      <c r="CA833" s="196"/>
      <c r="CB833" s="196"/>
      <c r="CC833" s="196"/>
      <c r="CD833" s="196"/>
      <c r="CE833" s="196"/>
      <c r="CF833" s="196"/>
      <c r="CG833" s="196"/>
      <c r="CH833" s="196"/>
      <c r="CI833" s="196"/>
      <c r="CJ833" s="196"/>
      <c r="CK833" s="196"/>
      <c r="CL833" s="196"/>
      <c r="CM833" s="196"/>
      <c r="CN833" s="196"/>
      <c r="CO833" s="196"/>
      <c r="CP833" s="196"/>
      <c r="CQ833" s="196"/>
      <c r="CR833" s="196"/>
      <c r="CS833" s="196"/>
      <c r="CT833" s="196"/>
      <c r="CU833" s="196"/>
      <c r="CV833" s="196"/>
      <c r="CW833" s="196"/>
      <c r="CX833" s="196"/>
      <c r="CY833" s="196"/>
      <c r="CZ833" s="196"/>
      <c r="DA833" s="196"/>
      <c r="DB833" s="196"/>
      <c r="DC833" s="196"/>
      <c r="DD833" s="196"/>
      <c r="DE833" s="196"/>
      <c r="DF833" s="196"/>
      <c r="DG833" s="196"/>
      <c r="DH833" s="196"/>
      <c r="DI833" s="196"/>
      <c r="DJ833" s="196"/>
      <c r="DK833" s="196"/>
      <c r="DL833" s="196"/>
      <c r="DM833" s="196"/>
      <c r="DN833" s="196"/>
      <c r="DO833" s="196"/>
      <c r="DP833" s="196"/>
      <c r="DQ833" s="196"/>
      <c r="DR833" s="196"/>
      <c r="DS833" s="196"/>
      <c r="DT833" s="196"/>
    </row>
    <row r="834" spans="1:124" x14ac:dyDescent="0.25">
      <c r="A834" s="465"/>
      <c r="AU834" s="336">
        <v>1834</v>
      </c>
      <c r="AV834" s="336" t="s">
        <v>512</v>
      </c>
      <c r="AW834" s="336" t="s">
        <v>512</v>
      </c>
      <c r="BX834" s="196"/>
      <c r="BY834" s="196"/>
      <c r="BZ834" s="196"/>
      <c r="CA834" s="196"/>
      <c r="CB834" s="196"/>
      <c r="CC834" s="196"/>
      <c r="CD834" s="196"/>
      <c r="CE834" s="196"/>
      <c r="CF834" s="196"/>
      <c r="CG834" s="196"/>
      <c r="CH834" s="196"/>
      <c r="CI834" s="196"/>
      <c r="CJ834" s="196"/>
      <c r="CK834" s="196"/>
      <c r="CL834" s="196"/>
      <c r="CM834" s="196"/>
      <c r="CN834" s="196"/>
      <c r="CO834" s="196"/>
      <c r="CP834" s="196"/>
      <c r="CQ834" s="196"/>
      <c r="CR834" s="196"/>
      <c r="CS834" s="196"/>
      <c r="CT834" s="196"/>
      <c r="CU834" s="196"/>
      <c r="CV834" s="196"/>
      <c r="CW834" s="196"/>
      <c r="CX834" s="196"/>
      <c r="CY834" s="196"/>
      <c r="CZ834" s="196"/>
      <c r="DA834" s="196"/>
      <c r="DB834" s="196"/>
      <c r="DC834" s="196"/>
      <c r="DD834" s="196"/>
      <c r="DE834" s="196"/>
      <c r="DF834" s="196"/>
      <c r="DG834" s="196"/>
      <c r="DH834" s="196"/>
      <c r="DI834" s="196"/>
      <c r="DJ834" s="196"/>
      <c r="DK834" s="196"/>
      <c r="DL834" s="196"/>
      <c r="DM834" s="196"/>
      <c r="DN834" s="196"/>
      <c r="DO834" s="196"/>
      <c r="DP834" s="196"/>
      <c r="DQ834" s="196"/>
      <c r="DR834" s="196"/>
      <c r="DS834" s="196"/>
      <c r="DT834" s="196"/>
    </row>
    <row r="835" spans="1:124" x14ac:dyDescent="0.25">
      <c r="A835" s="465"/>
      <c r="AU835" s="336">
        <v>3989</v>
      </c>
      <c r="AV835" s="336" t="s">
        <v>512</v>
      </c>
      <c r="AW835" s="336" t="s">
        <v>512</v>
      </c>
      <c r="BX835" s="196"/>
      <c r="BY835" s="196"/>
      <c r="BZ835" s="196"/>
      <c r="CA835" s="196"/>
      <c r="CB835" s="196"/>
      <c r="CC835" s="196"/>
      <c r="CD835" s="196"/>
      <c r="CE835" s="196"/>
      <c r="CF835" s="196"/>
      <c r="CG835" s="196"/>
      <c r="CH835" s="196"/>
      <c r="CI835" s="196"/>
      <c r="CJ835" s="196"/>
      <c r="CK835" s="196"/>
      <c r="CL835" s="196"/>
      <c r="CM835" s="196"/>
      <c r="CN835" s="196"/>
      <c r="CO835" s="196"/>
      <c r="CP835" s="196"/>
      <c r="CQ835" s="196"/>
      <c r="CR835" s="196"/>
      <c r="CS835" s="196"/>
      <c r="CT835" s="196"/>
      <c r="CU835" s="196"/>
      <c r="CV835" s="196"/>
      <c r="CW835" s="196"/>
      <c r="CX835" s="196"/>
      <c r="CY835" s="196"/>
      <c r="CZ835" s="196"/>
      <c r="DA835" s="196"/>
      <c r="DB835" s="196"/>
      <c r="DC835" s="196"/>
      <c r="DD835" s="196"/>
      <c r="DE835" s="196"/>
      <c r="DF835" s="196"/>
      <c r="DG835" s="196"/>
      <c r="DH835" s="196"/>
      <c r="DI835" s="196"/>
      <c r="DJ835" s="196"/>
      <c r="DK835" s="196"/>
      <c r="DL835" s="196"/>
      <c r="DM835" s="196"/>
      <c r="DN835" s="196"/>
      <c r="DO835" s="196"/>
      <c r="DP835" s="196"/>
      <c r="DQ835" s="196"/>
      <c r="DR835" s="196"/>
      <c r="DS835" s="196"/>
      <c r="DT835" s="196"/>
    </row>
    <row r="836" spans="1:124" x14ac:dyDescent="0.25">
      <c r="A836" s="465"/>
      <c r="AU836" s="336">
        <v>1849</v>
      </c>
      <c r="AV836" s="336" t="s">
        <v>512</v>
      </c>
      <c r="AW836" s="336" t="s">
        <v>512</v>
      </c>
      <c r="BX836" s="196"/>
      <c r="BY836" s="196"/>
      <c r="BZ836" s="196"/>
      <c r="CA836" s="196"/>
      <c r="CB836" s="196"/>
      <c r="CC836" s="196"/>
      <c r="CD836" s="196"/>
      <c r="CE836" s="196"/>
      <c r="CF836" s="196"/>
      <c r="CG836" s="196"/>
      <c r="CH836" s="196"/>
      <c r="CI836" s="196"/>
      <c r="CJ836" s="196"/>
      <c r="CK836" s="196"/>
      <c r="CL836" s="196"/>
      <c r="CM836" s="196"/>
      <c r="CN836" s="196"/>
      <c r="CO836" s="196"/>
      <c r="CP836" s="196"/>
      <c r="CQ836" s="196"/>
      <c r="CR836" s="196"/>
      <c r="CS836" s="196"/>
      <c r="CT836" s="196"/>
      <c r="CU836" s="196"/>
      <c r="CV836" s="196"/>
      <c r="CW836" s="196"/>
      <c r="CX836" s="196"/>
      <c r="CY836" s="196"/>
      <c r="CZ836" s="196"/>
      <c r="DA836" s="196"/>
      <c r="DB836" s="196"/>
      <c r="DC836" s="196"/>
      <c r="DD836" s="196"/>
      <c r="DE836" s="196"/>
      <c r="DF836" s="196"/>
      <c r="DG836" s="196"/>
      <c r="DH836" s="196"/>
      <c r="DI836" s="196"/>
      <c r="DJ836" s="196"/>
      <c r="DK836" s="196"/>
      <c r="DL836" s="196"/>
      <c r="DM836" s="196"/>
      <c r="DN836" s="196"/>
      <c r="DO836" s="196"/>
      <c r="DP836" s="196"/>
      <c r="DQ836" s="196"/>
      <c r="DR836" s="196"/>
      <c r="DS836" s="196"/>
      <c r="DT836" s="196"/>
    </row>
    <row r="837" spans="1:124" x14ac:dyDescent="0.25">
      <c r="A837" s="465"/>
      <c r="AU837" s="336">
        <v>3093</v>
      </c>
      <c r="AV837" s="336" t="s">
        <v>512</v>
      </c>
      <c r="AW837" s="336" t="s">
        <v>512</v>
      </c>
      <c r="BX837" s="196"/>
      <c r="BY837" s="196"/>
      <c r="BZ837" s="196"/>
      <c r="CA837" s="196"/>
      <c r="CB837" s="196"/>
      <c r="CC837" s="196"/>
      <c r="CD837" s="196"/>
      <c r="CE837" s="196"/>
      <c r="CF837" s="196"/>
      <c r="CG837" s="196"/>
      <c r="CH837" s="196"/>
      <c r="CI837" s="196"/>
      <c r="CJ837" s="196"/>
      <c r="CK837" s="196"/>
      <c r="CL837" s="196"/>
      <c r="CM837" s="196"/>
      <c r="CN837" s="196"/>
      <c r="CO837" s="196"/>
      <c r="CP837" s="196"/>
      <c r="CQ837" s="196"/>
      <c r="CR837" s="196"/>
      <c r="CS837" s="196"/>
      <c r="CT837" s="196"/>
      <c r="CU837" s="196"/>
      <c r="CV837" s="196"/>
      <c r="CW837" s="196"/>
      <c r="CX837" s="196"/>
      <c r="CY837" s="196"/>
      <c r="CZ837" s="196"/>
      <c r="DA837" s="196"/>
      <c r="DB837" s="196"/>
      <c r="DC837" s="196"/>
      <c r="DD837" s="196"/>
      <c r="DE837" s="196"/>
      <c r="DF837" s="196"/>
      <c r="DG837" s="196"/>
      <c r="DH837" s="196"/>
      <c r="DI837" s="196"/>
      <c r="DJ837" s="196"/>
      <c r="DK837" s="196"/>
      <c r="DL837" s="196"/>
      <c r="DM837" s="196"/>
      <c r="DN837" s="196"/>
      <c r="DO837" s="196"/>
      <c r="DP837" s="196"/>
      <c r="DQ837" s="196"/>
      <c r="DR837" s="196"/>
      <c r="DS837" s="196"/>
      <c r="DT837" s="196"/>
    </row>
    <row r="838" spans="1:124" x14ac:dyDescent="0.25">
      <c r="A838" s="465"/>
      <c r="AU838" s="336">
        <v>1881</v>
      </c>
      <c r="AV838" s="336" t="s">
        <v>511</v>
      </c>
      <c r="AW838" s="336" t="s">
        <v>511</v>
      </c>
      <c r="BX838" s="196"/>
      <c r="BY838" s="196"/>
      <c r="BZ838" s="196"/>
      <c r="CA838" s="196"/>
      <c r="CB838" s="196"/>
      <c r="CC838" s="196"/>
      <c r="CD838" s="196"/>
      <c r="CE838" s="196"/>
      <c r="CF838" s="196"/>
      <c r="CG838" s="196"/>
      <c r="CH838" s="196"/>
      <c r="CI838" s="196"/>
      <c r="CJ838" s="196"/>
      <c r="CK838" s="196"/>
      <c r="CL838" s="196"/>
      <c r="CM838" s="196"/>
      <c r="CN838" s="196"/>
      <c r="CO838" s="196"/>
      <c r="CP838" s="196"/>
      <c r="CQ838" s="196"/>
      <c r="CR838" s="196"/>
      <c r="CS838" s="196"/>
      <c r="CT838" s="196"/>
      <c r="CU838" s="196"/>
      <c r="CV838" s="196"/>
      <c r="CW838" s="196"/>
      <c r="CX838" s="196"/>
      <c r="CY838" s="196"/>
      <c r="CZ838" s="196"/>
      <c r="DA838" s="196"/>
      <c r="DB838" s="196"/>
      <c r="DC838" s="196"/>
      <c r="DD838" s="196"/>
      <c r="DE838" s="196"/>
      <c r="DF838" s="196"/>
      <c r="DG838" s="196"/>
      <c r="DH838" s="196"/>
      <c r="DI838" s="196"/>
      <c r="DJ838" s="196"/>
      <c r="DK838" s="196"/>
      <c r="DL838" s="196"/>
      <c r="DM838" s="196"/>
      <c r="DN838" s="196"/>
      <c r="DO838" s="196"/>
      <c r="DP838" s="196"/>
      <c r="DQ838" s="196"/>
      <c r="DR838" s="196"/>
      <c r="DS838" s="196"/>
      <c r="DT838" s="196"/>
    </row>
    <row r="839" spans="1:124" x14ac:dyDescent="0.25">
      <c r="A839" s="465"/>
      <c r="AU839" s="336">
        <v>1888</v>
      </c>
      <c r="AV839" s="336" t="s">
        <v>512</v>
      </c>
      <c r="AW839" s="336" t="s">
        <v>512</v>
      </c>
      <c r="BX839" s="196"/>
      <c r="BY839" s="196"/>
      <c r="BZ839" s="196"/>
      <c r="CA839" s="196"/>
      <c r="CB839" s="196"/>
      <c r="CC839" s="196"/>
      <c r="CD839" s="196"/>
      <c r="CE839" s="196"/>
      <c r="CF839" s="196"/>
      <c r="CG839" s="196"/>
      <c r="CH839" s="196"/>
      <c r="CI839" s="196"/>
      <c r="CJ839" s="196"/>
      <c r="CK839" s="196"/>
      <c r="CL839" s="196"/>
      <c r="CM839" s="196"/>
      <c r="CN839" s="196"/>
      <c r="CO839" s="196"/>
      <c r="CP839" s="196"/>
      <c r="CQ839" s="196"/>
      <c r="CR839" s="196"/>
      <c r="CS839" s="196"/>
      <c r="CT839" s="196"/>
      <c r="CU839" s="196"/>
      <c r="CV839" s="196"/>
      <c r="CW839" s="196"/>
      <c r="CX839" s="196"/>
      <c r="CY839" s="196"/>
      <c r="CZ839" s="196"/>
      <c r="DA839" s="196"/>
      <c r="DB839" s="196"/>
      <c r="DC839" s="196"/>
      <c r="DD839" s="196"/>
      <c r="DE839" s="196"/>
      <c r="DF839" s="196"/>
      <c r="DG839" s="196"/>
      <c r="DH839" s="196"/>
      <c r="DI839" s="196"/>
      <c r="DJ839" s="196"/>
      <c r="DK839" s="196"/>
      <c r="DL839" s="196"/>
      <c r="DM839" s="196"/>
      <c r="DN839" s="196"/>
      <c r="DO839" s="196"/>
      <c r="DP839" s="196"/>
      <c r="DQ839" s="196"/>
      <c r="DR839" s="196"/>
      <c r="DS839" s="196"/>
      <c r="DT839" s="196"/>
    </row>
    <row r="840" spans="1:124" x14ac:dyDescent="0.25">
      <c r="A840" s="465"/>
      <c r="AU840" s="336">
        <v>1901</v>
      </c>
      <c r="AV840" s="336" t="s">
        <v>510</v>
      </c>
      <c r="AW840" s="336" t="s">
        <v>510</v>
      </c>
      <c r="BX840" s="196"/>
      <c r="BY840" s="196"/>
      <c r="BZ840" s="196"/>
      <c r="CA840" s="196"/>
      <c r="CB840" s="196"/>
      <c r="CC840" s="196"/>
      <c r="CD840" s="196"/>
      <c r="CE840" s="196"/>
      <c r="CF840" s="196"/>
      <c r="CG840" s="196"/>
      <c r="CH840" s="196"/>
      <c r="CI840" s="196"/>
      <c r="CJ840" s="196"/>
      <c r="CK840" s="196"/>
      <c r="CL840" s="196"/>
      <c r="CM840" s="196"/>
      <c r="CN840" s="196"/>
      <c r="CO840" s="196"/>
      <c r="CP840" s="196"/>
      <c r="CQ840" s="196"/>
      <c r="CR840" s="196"/>
      <c r="CS840" s="196"/>
      <c r="CT840" s="196"/>
      <c r="CU840" s="196"/>
      <c r="CV840" s="196"/>
      <c r="CW840" s="196"/>
      <c r="CX840" s="196"/>
      <c r="CY840" s="196"/>
      <c r="CZ840" s="196"/>
      <c r="DA840" s="196"/>
      <c r="DB840" s="196"/>
      <c r="DC840" s="196"/>
      <c r="DD840" s="196"/>
      <c r="DE840" s="196"/>
      <c r="DF840" s="196"/>
      <c r="DG840" s="196"/>
      <c r="DH840" s="196"/>
      <c r="DI840" s="196"/>
      <c r="DJ840" s="196"/>
      <c r="DK840" s="196"/>
      <c r="DL840" s="196"/>
      <c r="DM840" s="196"/>
      <c r="DN840" s="196"/>
      <c r="DO840" s="196"/>
      <c r="DP840" s="196"/>
      <c r="DQ840" s="196"/>
      <c r="DR840" s="196"/>
      <c r="DS840" s="196"/>
      <c r="DT840" s="196"/>
    </row>
    <row r="841" spans="1:124" x14ac:dyDescent="0.25">
      <c r="A841" s="465"/>
      <c r="AU841" s="336">
        <v>1901001</v>
      </c>
      <c r="AV841" s="336" t="s">
        <v>510</v>
      </c>
      <c r="AW841" s="336" t="s">
        <v>510</v>
      </c>
      <c r="BX841" s="196"/>
      <c r="BY841" s="196"/>
      <c r="BZ841" s="196"/>
      <c r="CA841" s="196"/>
      <c r="CB841" s="196"/>
      <c r="CC841" s="196"/>
      <c r="CD841" s="196"/>
      <c r="CE841" s="196"/>
      <c r="CF841" s="196"/>
      <c r="CG841" s="196"/>
      <c r="CH841" s="196"/>
      <c r="CI841" s="196"/>
      <c r="CJ841" s="196"/>
      <c r="CK841" s="196"/>
      <c r="CL841" s="196"/>
      <c r="CM841" s="196"/>
      <c r="CN841" s="196"/>
      <c r="CO841" s="196"/>
      <c r="CP841" s="196"/>
      <c r="CQ841" s="196"/>
      <c r="CR841" s="196"/>
      <c r="CS841" s="196"/>
      <c r="CT841" s="196"/>
      <c r="CU841" s="196"/>
      <c r="CV841" s="196"/>
      <c r="CW841" s="196"/>
      <c r="CX841" s="196"/>
      <c r="CY841" s="196"/>
      <c r="CZ841" s="196"/>
      <c r="DA841" s="196"/>
      <c r="DB841" s="196"/>
      <c r="DC841" s="196"/>
      <c r="DD841" s="196"/>
      <c r="DE841" s="196"/>
      <c r="DF841" s="196"/>
      <c r="DG841" s="196"/>
      <c r="DH841" s="196"/>
      <c r="DI841" s="196"/>
      <c r="DJ841" s="196"/>
      <c r="DK841" s="196"/>
      <c r="DL841" s="196"/>
      <c r="DM841" s="196"/>
      <c r="DN841" s="196"/>
      <c r="DO841" s="196"/>
      <c r="DP841" s="196"/>
      <c r="DQ841" s="196"/>
      <c r="DR841" s="196"/>
      <c r="DS841" s="196"/>
      <c r="DT841" s="196"/>
    </row>
    <row r="842" spans="1:124" x14ac:dyDescent="0.25">
      <c r="A842" s="465"/>
      <c r="AU842" s="336">
        <v>1914</v>
      </c>
      <c r="AV842" s="336" t="s">
        <v>512</v>
      </c>
      <c r="AW842" s="336" t="s">
        <v>512</v>
      </c>
      <c r="BX842" s="196"/>
      <c r="BY842" s="196"/>
      <c r="BZ842" s="196"/>
      <c r="CA842" s="196"/>
      <c r="CB842" s="196"/>
      <c r="CC842" s="196"/>
      <c r="CD842" s="196"/>
      <c r="CE842" s="196"/>
      <c r="CF842" s="196"/>
      <c r="CG842" s="196"/>
      <c r="CH842" s="196"/>
      <c r="CI842" s="196"/>
      <c r="CJ842" s="196"/>
      <c r="CK842" s="196"/>
      <c r="CL842" s="196"/>
      <c r="CM842" s="196"/>
      <c r="CN842" s="196"/>
      <c r="CO842" s="196"/>
      <c r="CP842" s="196"/>
      <c r="CQ842" s="196"/>
      <c r="CR842" s="196"/>
      <c r="CS842" s="196"/>
      <c r="CT842" s="196"/>
      <c r="CU842" s="196"/>
      <c r="CV842" s="196"/>
      <c r="CW842" s="196"/>
      <c r="CX842" s="196"/>
      <c r="CY842" s="196"/>
      <c r="CZ842" s="196"/>
      <c r="DA842" s="196"/>
      <c r="DB842" s="196"/>
      <c r="DC842" s="196"/>
      <c r="DD842" s="196"/>
      <c r="DE842" s="196"/>
      <c r="DF842" s="196"/>
      <c r="DG842" s="196"/>
      <c r="DH842" s="196"/>
      <c r="DI842" s="196"/>
      <c r="DJ842" s="196"/>
      <c r="DK842" s="196"/>
      <c r="DL842" s="196"/>
      <c r="DM842" s="196"/>
      <c r="DN842" s="196"/>
      <c r="DO842" s="196"/>
      <c r="DP842" s="196"/>
      <c r="DQ842" s="196"/>
      <c r="DR842" s="196"/>
      <c r="DS842" s="196"/>
      <c r="DT842" s="196"/>
    </row>
    <row r="843" spans="1:124" x14ac:dyDescent="0.25">
      <c r="A843" s="465"/>
      <c r="AU843" s="336">
        <v>1927</v>
      </c>
      <c r="AV843" s="336" t="s">
        <v>510</v>
      </c>
      <c r="AW843" s="336" t="s">
        <v>510</v>
      </c>
      <c r="BX843" s="196"/>
      <c r="BY843" s="196"/>
      <c r="BZ843" s="196"/>
      <c r="CA843" s="196"/>
      <c r="CB843" s="196"/>
      <c r="CC843" s="196"/>
      <c r="CD843" s="196"/>
      <c r="CE843" s="196"/>
      <c r="CF843" s="196"/>
      <c r="CG843" s="196"/>
      <c r="CH843" s="196"/>
      <c r="CI843" s="196"/>
      <c r="CJ843" s="196"/>
      <c r="CK843" s="196"/>
      <c r="CL843" s="196"/>
      <c r="CM843" s="196"/>
      <c r="CN843" s="196"/>
      <c r="CO843" s="196"/>
      <c r="CP843" s="196"/>
      <c r="CQ843" s="196"/>
      <c r="CR843" s="196"/>
      <c r="CS843" s="196"/>
      <c r="CT843" s="196"/>
      <c r="CU843" s="196"/>
      <c r="CV843" s="196"/>
      <c r="CW843" s="196"/>
      <c r="CX843" s="196"/>
      <c r="CY843" s="196"/>
      <c r="CZ843" s="196"/>
      <c r="DA843" s="196"/>
      <c r="DB843" s="196"/>
      <c r="DC843" s="196"/>
      <c r="DD843" s="196"/>
      <c r="DE843" s="196"/>
      <c r="DF843" s="196"/>
      <c r="DG843" s="196"/>
      <c r="DH843" s="196"/>
      <c r="DI843" s="196"/>
      <c r="DJ843" s="196"/>
      <c r="DK843" s="196"/>
      <c r="DL843" s="196"/>
      <c r="DM843" s="196"/>
      <c r="DN843" s="196"/>
      <c r="DO843" s="196"/>
      <c r="DP843" s="196"/>
      <c r="DQ843" s="196"/>
      <c r="DR843" s="196"/>
      <c r="DS843" s="196"/>
      <c r="DT843" s="196"/>
    </row>
    <row r="844" spans="1:124" x14ac:dyDescent="0.25">
      <c r="A844" s="465"/>
      <c r="AU844" s="336">
        <v>1979</v>
      </c>
      <c r="AV844" s="336" t="s">
        <v>511</v>
      </c>
      <c r="AW844" s="336" t="s">
        <v>511</v>
      </c>
      <c r="BX844" s="196"/>
      <c r="BY844" s="196"/>
      <c r="BZ844" s="196"/>
      <c r="CA844" s="196"/>
      <c r="CB844" s="196"/>
      <c r="CC844" s="196"/>
      <c r="CD844" s="196"/>
      <c r="CE844" s="196"/>
      <c r="CF844" s="196"/>
      <c r="CG844" s="196"/>
      <c r="CH844" s="196"/>
      <c r="CI844" s="196"/>
      <c r="CJ844" s="196"/>
      <c r="CK844" s="196"/>
      <c r="CL844" s="196"/>
      <c r="CM844" s="196"/>
      <c r="CN844" s="196"/>
      <c r="CO844" s="196"/>
      <c r="CP844" s="196"/>
      <c r="CQ844" s="196"/>
      <c r="CR844" s="196"/>
      <c r="CS844" s="196"/>
      <c r="CT844" s="196"/>
      <c r="CU844" s="196"/>
      <c r="CV844" s="196"/>
      <c r="CW844" s="196"/>
      <c r="CX844" s="196"/>
      <c r="CY844" s="196"/>
      <c r="CZ844" s="196"/>
      <c r="DA844" s="196"/>
      <c r="DB844" s="196"/>
      <c r="DC844" s="196"/>
      <c r="DD844" s="196"/>
      <c r="DE844" s="196"/>
      <c r="DF844" s="196"/>
      <c r="DG844" s="196"/>
      <c r="DH844" s="196"/>
      <c r="DI844" s="196"/>
      <c r="DJ844" s="196"/>
      <c r="DK844" s="196"/>
      <c r="DL844" s="196"/>
      <c r="DM844" s="196"/>
      <c r="DN844" s="196"/>
      <c r="DO844" s="196"/>
      <c r="DP844" s="196"/>
      <c r="DQ844" s="196"/>
      <c r="DR844" s="196"/>
      <c r="DS844" s="196"/>
      <c r="DT844" s="196"/>
    </row>
    <row r="845" spans="1:124" x14ac:dyDescent="0.25">
      <c r="A845" s="465"/>
      <c r="AU845" s="336">
        <v>3031</v>
      </c>
      <c r="AV845" s="336" t="s">
        <v>512</v>
      </c>
      <c r="AW845" s="336" t="s">
        <v>512</v>
      </c>
      <c r="BX845" s="196"/>
      <c r="BY845" s="196"/>
      <c r="BZ845" s="196"/>
      <c r="CA845" s="196"/>
      <c r="CB845" s="196"/>
      <c r="CC845" s="196"/>
      <c r="CD845" s="196"/>
      <c r="CE845" s="196"/>
      <c r="CF845" s="196"/>
      <c r="CG845" s="196"/>
      <c r="CH845" s="196"/>
      <c r="CI845" s="196"/>
      <c r="CJ845" s="196"/>
      <c r="CK845" s="196"/>
      <c r="CL845" s="196"/>
      <c r="CM845" s="196"/>
      <c r="CN845" s="196"/>
      <c r="CO845" s="196"/>
      <c r="CP845" s="196"/>
      <c r="CQ845" s="196"/>
      <c r="CR845" s="196"/>
      <c r="CS845" s="196"/>
      <c r="CT845" s="196"/>
      <c r="CU845" s="196"/>
      <c r="CV845" s="196"/>
      <c r="CW845" s="196"/>
      <c r="CX845" s="196"/>
      <c r="CY845" s="196"/>
      <c r="CZ845" s="196"/>
      <c r="DA845" s="196"/>
      <c r="DB845" s="196"/>
      <c r="DC845" s="196"/>
      <c r="DD845" s="196"/>
      <c r="DE845" s="196"/>
      <c r="DF845" s="196"/>
      <c r="DG845" s="196"/>
      <c r="DH845" s="196"/>
      <c r="DI845" s="196"/>
      <c r="DJ845" s="196"/>
      <c r="DK845" s="196"/>
      <c r="DL845" s="196"/>
      <c r="DM845" s="196"/>
      <c r="DN845" s="196"/>
      <c r="DO845" s="196"/>
      <c r="DP845" s="196"/>
      <c r="DQ845" s="196"/>
      <c r="DR845" s="196"/>
      <c r="DS845" s="196"/>
      <c r="DT845" s="196"/>
    </row>
    <row r="846" spans="1:124" x14ac:dyDescent="0.25">
      <c r="A846" s="465"/>
      <c r="AU846" s="336">
        <v>3077</v>
      </c>
      <c r="AV846" s="336" t="s">
        <v>510</v>
      </c>
      <c r="AW846" s="336" t="s">
        <v>510</v>
      </c>
      <c r="BX846" s="196"/>
      <c r="BY846" s="196"/>
      <c r="BZ846" s="196"/>
      <c r="CA846" s="196"/>
      <c r="CB846" s="196"/>
      <c r="CC846" s="196"/>
      <c r="CD846" s="196"/>
      <c r="CE846" s="196"/>
      <c r="CF846" s="196"/>
      <c r="CG846" s="196"/>
      <c r="CH846" s="196"/>
      <c r="CI846" s="196"/>
      <c r="CJ846" s="196"/>
      <c r="CK846" s="196"/>
      <c r="CL846" s="196"/>
      <c r="CM846" s="196"/>
      <c r="CN846" s="196"/>
      <c r="CO846" s="196"/>
      <c r="CP846" s="196"/>
      <c r="CQ846" s="196"/>
      <c r="CR846" s="196"/>
      <c r="CS846" s="196"/>
      <c r="CT846" s="196"/>
      <c r="CU846" s="196"/>
      <c r="CV846" s="196"/>
      <c r="CW846" s="196"/>
      <c r="CX846" s="196"/>
      <c r="CY846" s="196"/>
      <c r="CZ846" s="196"/>
      <c r="DA846" s="196"/>
      <c r="DB846" s="196"/>
      <c r="DC846" s="196"/>
      <c r="DD846" s="196"/>
      <c r="DE846" s="196"/>
      <c r="DF846" s="196"/>
      <c r="DG846" s="196"/>
      <c r="DH846" s="196"/>
      <c r="DI846" s="196"/>
      <c r="DJ846" s="196"/>
      <c r="DK846" s="196"/>
      <c r="DL846" s="196"/>
      <c r="DM846" s="196"/>
      <c r="DN846" s="196"/>
      <c r="DO846" s="196"/>
      <c r="DP846" s="196"/>
      <c r="DQ846" s="196"/>
      <c r="DR846" s="196"/>
      <c r="DS846" s="196"/>
      <c r="DT846" s="196"/>
    </row>
    <row r="847" spans="1:124" x14ac:dyDescent="0.25">
      <c r="A847" s="465"/>
      <c r="AU847" s="336">
        <v>3078</v>
      </c>
      <c r="AV847" s="336" t="s">
        <v>510</v>
      </c>
      <c r="AW847" s="336" t="s">
        <v>510</v>
      </c>
      <c r="BX847" s="196"/>
      <c r="BY847" s="196"/>
      <c r="BZ847" s="196"/>
      <c r="CA847" s="196"/>
      <c r="CB847" s="196"/>
      <c r="CC847" s="196"/>
      <c r="CD847" s="196"/>
      <c r="CE847" s="196"/>
      <c r="CF847" s="196"/>
      <c r="CG847" s="196"/>
      <c r="CH847" s="196"/>
      <c r="CI847" s="196"/>
      <c r="CJ847" s="196"/>
      <c r="CK847" s="196"/>
      <c r="CL847" s="196"/>
      <c r="CM847" s="196"/>
      <c r="CN847" s="196"/>
      <c r="CO847" s="196"/>
      <c r="CP847" s="196"/>
      <c r="CQ847" s="196"/>
      <c r="CR847" s="196"/>
      <c r="CS847" s="196"/>
      <c r="CT847" s="196"/>
      <c r="CU847" s="196"/>
      <c r="CV847" s="196"/>
      <c r="CW847" s="196"/>
      <c r="CX847" s="196"/>
      <c r="CY847" s="196"/>
      <c r="CZ847" s="196"/>
      <c r="DA847" s="196"/>
      <c r="DB847" s="196"/>
      <c r="DC847" s="196"/>
      <c r="DD847" s="196"/>
      <c r="DE847" s="196"/>
      <c r="DF847" s="196"/>
      <c r="DG847" s="196"/>
      <c r="DH847" s="196"/>
      <c r="DI847" s="196"/>
      <c r="DJ847" s="196"/>
      <c r="DK847" s="196"/>
      <c r="DL847" s="196"/>
      <c r="DM847" s="196"/>
      <c r="DN847" s="196"/>
      <c r="DO847" s="196"/>
      <c r="DP847" s="196"/>
      <c r="DQ847" s="196"/>
      <c r="DR847" s="196"/>
      <c r="DS847" s="196"/>
      <c r="DT847" s="196"/>
    </row>
    <row r="848" spans="1:124" x14ac:dyDescent="0.25">
      <c r="A848" s="465"/>
      <c r="AU848" s="336">
        <v>3079</v>
      </c>
      <c r="AV848" s="336" t="s">
        <v>512</v>
      </c>
      <c r="AW848" s="336" t="s">
        <v>512</v>
      </c>
      <c r="BX848" s="196"/>
      <c r="BY848" s="196"/>
      <c r="BZ848" s="196"/>
      <c r="CA848" s="196"/>
      <c r="CB848" s="196"/>
      <c r="CC848" s="196"/>
      <c r="CD848" s="196"/>
      <c r="CE848" s="196"/>
      <c r="CF848" s="196"/>
      <c r="CG848" s="196"/>
      <c r="CH848" s="196"/>
      <c r="CI848" s="196"/>
      <c r="CJ848" s="196"/>
      <c r="CK848" s="196"/>
      <c r="CL848" s="196"/>
      <c r="CM848" s="196"/>
      <c r="CN848" s="196"/>
      <c r="CO848" s="196"/>
      <c r="CP848" s="196"/>
      <c r="CQ848" s="196"/>
      <c r="CR848" s="196"/>
      <c r="CS848" s="196"/>
      <c r="CT848" s="196"/>
      <c r="CU848" s="196"/>
      <c r="CV848" s="196"/>
      <c r="CW848" s="196"/>
      <c r="CX848" s="196"/>
      <c r="CY848" s="196"/>
      <c r="CZ848" s="196"/>
      <c r="DA848" s="196"/>
      <c r="DB848" s="196"/>
      <c r="DC848" s="196"/>
      <c r="DD848" s="196"/>
      <c r="DE848" s="196"/>
      <c r="DF848" s="196"/>
      <c r="DG848" s="196"/>
      <c r="DH848" s="196"/>
      <c r="DI848" s="196"/>
      <c r="DJ848" s="196"/>
      <c r="DK848" s="196"/>
      <c r="DL848" s="196"/>
      <c r="DM848" s="196"/>
      <c r="DN848" s="196"/>
      <c r="DO848" s="196"/>
      <c r="DP848" s="196"/>
      <c r="DQ848" s="196"/>
      <c r="DR848" s="196"/>
      <c r="DS848" s="196"/>
      <c r="DT848" s="196"/>
    </row>
    <row r="849" spans="1:124" x14ac:dyDescent="0.25">
      <c r="A849" s="465"/>
      <c r="AU849" s="336">
        <v>3564</v>
      </c>
      <c r="AV849" s="336" t="s">
        <v>511</v>
      </c>
      <c r="AW849" s="336" t="s">
        <v>511</v>
      </c>
      <c r="BX849" s="196"/>
      <c r="BY849" s="196"/>
      <c r="BZ849" s="196"/>
      <c r="CA849" s="196"/>
      <c r="CB849" s="196"/>
      <c r="CC849" s="196"/>
      <c r="CD849" s="196"/>
      <c r="CE849" s="196"/>
      <c r="CF849" s="196"/>
      <c r="CG849" s="196"/>
      <c r="CH849" s="196"/>
      <c r="CI849" s="196"/>
      <c r="CJ849" s="196"/>
      <c r="CK849" s="196"/>
      <c r="CL849" s="196"/>
      <c r="CM849" s="196"/>
      <c r="CN849" s="196"/>
      <c r="CO849" s="196"/>
      <c r="CP849" s="196"/>
      <c r="CQ849" s="196"/>
      <c r="CR849" s="196"/>
      <c r="CS849" s="196"/>
      <c r="CT849" s="196"/>
      <c r="CU849" s="196"/>
      <c r="CV849" s="196"/>
      <c r="CW849" s="196"/>
      <c r="CX849" s="196"/>
      <c r="CY849" s="196"/>
      <c r="CZ849" s="196"/>
      <c r="DA849" s="196"/>
      <c r="DB849" s="196"/>
      <c r="DC849" s="196"/>
      <c r="DD849" s="196"/>
      <c r="DE849" s="196"/>
      <c r="DF849" s="196"/>
      <c r="DG849" s="196"/>
      <c r="DH849" s="196"/>
      <c r="DI849" s="196"/>
      <c r="DJ849" s="196"/>
      <c r="DK849" s="196"/>
      <c r="DL849" s="196"/>
      <c r="DM849" s="196"/>
      <c r="DN849" s="196"/>
      <c r="DO849" s="196"/>
      <c r="DP849" s="196"/>
      <c r="DQ849" s="196"/>
      <c r="DR849" s="196"/>
      <c r="DS849" s="196"/>
      <c r="DT849" s="196"/>
    </row>
    <row r="850" spans="1:124" x14ac:dyDescent="0.25">
      <c r="A850" s="465"/>
      <c r="AU850" s="336">
        <v>3702</v>
      </c>
      <c r="AV850" s="336" t="s">
        <v>511</v>
      </c>
      <c r="AW850" s="336" t="s">
        <v>511</v>
      </c>
      <c r="BX850" s="196"/>
      <c r="BY850" s="196"/>
      <c r="BZ850" s="196"/>
      <c r="CA850" s="196"/>
      <c r="CB850" s="196"/>
      <c r="CC850" s="196"/>
      <c r="CD850" s="196"/>
      <c r="CE850" s="196"/>
      <c r="CF850" s="196"/>
      <c r="CG850" s="196"/>
      <c r="CH850" s="196"/>
      <c r="CI850" s="196"/>
      <c r="CJ850" s="196"/>
      <c r="CK850" s="196"/>
      <c r="CL850" s="196"/>
      <c r="CM850" s="196"/>
      <c r="CN850" s="196"/>
      <c r="CO850" s="196"/>
      <c r="CP850" s="196"/>
      <c r="CQ850" s="196"/>
      <c r="CR850" s="196"/>
      <c r="CS850" s="196"/>
      <c r="CT850" s="196"/>
      <c r="CU850" s="196"/>
      <c r="CV850" s="196"/>
      <c r="CW850" s="196"/>
      <c r="CX850" s="196"/>
      <c r="CY850" s="196"/>
      <c r="CZ850" s="196"/>
      <c r="DA850" s="196"/>
      <c r="DB850" s="196"/>
      <c r="DC850" s="196"/>
      <c r="DD850" s="196"/>
      <c r="DE850" s="196"/>
      <c r="DF850" s="196"/>
      <c r="DG850" s="196"/>
      <c r="DH850" s="196"/>
      <c r="DI850" s="196"/>
      <c r="DJ850" s="196"/>
      <c r="DK850" s="196"/>
      <c r="DL850" s="196"/>
      <c r="DM850" s="196"/>
      <c r="DN850" s="196"/>
      <c r="DO850" s="196"/>
      <c r="DP850" s="196"/>
      <c r="DQ850" s="196"/>
      <c r="DR850" s="196"/>
      <c r="DS850" s="196"/>
      <c r="DT850" s="196"/>
    </row>
    <row r="851" spans="1:124" x14ac:dyDescent="0.25">
      <c r="A851" s="465"/>
      <c r="AU851" s="381">
        <v>101</v>
      </c>
      <c r="AV851" s="196" t="s">
        <v>635</v>
      </c>
      <c r="AW851" s="381" t="s">
        <v>636</v>
      </c>
      <c r="AX851" s="196"/>
      <c r="AY851" s="196"/>
      <c r="AZ851" s="196"/>
      <c r="BD851" s="196"/>
      <c r="BG851" s="196"/>
      <c r="BH851" s="196"/>
      <c r="BX851" s="196"/>
      <c r="BY851" s="196"/>
      <c r="BZ851" s="196"/>
      <c r="CA851" s="196"/>
      <c r="CB851" s="196"/>
      <c r="CC851" s="196"/>
      <c r="CD851" s="196"/>
      <c r="CE851" s="196"/>
      <c r="CF851" s="196"/>
      <c r="CG851" s="196"/>
      <c r="CH851" s="196"/>
      <c r="CI851" s="196"/>
      <c r="CJ851" s="196"/>
      <c r="CK851" s="196"/>
      <c r="CL851" s="196"/>
      <c r="CM851" s="196"/>
      <c r="CN851" s="196"/>
      <c r="CO851" s="196"/>
      <c r="CP851" s="196"/>
      <c r="CQ851" s="196"/>
      <c r="CR851" s="196"/>
      <c r="CS851" s="196"/>
      <c r="CT851" s="196"/>
      <c r="CU851" s="196"/>
      <c r="CV851" s="196"/>
      <c r="CW851" s="196"/>
      <c r="CX851" s="196"/>
      <c r="CY851" s="196"/>
      <c r="CZ851" s="196"/>
      <c r="DA851" s="196"/>
      <c r="DB851" s="196"/>
      <c r="DC851" s="196"/>
      <c r="DD851" s="196"/>
      <c r="DE851" s="196"/>
      <c r="DF851" s="196"/>
      <c r="DG851" s="196"/>
      <c r="DH851" s="196"/>
      <c r="DI851" s="196"/>
      <c r="DJ851" s="196"/>
      <c r="DK851" s="196"/>
      <c r="DL851" s="196"/>
      <c r="DM851" s="196"/>
      <c r="DN851" s="196"/>
      <c r="DO851" s="196"/>
      <c r="DP851" s="196"/>
      <c r="DQ851" s="196"/>
      <c r="DR851" s="196"/>
      <c r="DS851" s="196"/>
      <c r="DT851" s="196"/>
    </row>
    <row r="852" spans="1:124" x14ac:dyDescent="0.25">
      <c r="A852" s="465"/>
      <c r="AU852" s="381">
        <v>123</v>
      </c>
      <c r="AV852" s="196" t="s">
        <v>635</v>
      </c>
      <c r="AW852" s="381" t="s">
        <v>636</v>
      </c>
      <c r="AX852" s="196"/>
      <c r="AY852" s="196"/>
      <c r="AZ852" s="196"/>
      <c r="BD852" s="196"/>
      <c r="BG852" s="196"/>
      <c r="BH852" s="196"/>
      <c r="BX852" s="196"/>
      <c r="BY852" s="196"/>
      <c r="BZ852" s="196"/>
      <c r="CA852" s="196"/>
      <c r="CB852" s="196"/>
      <c r="CC852" s="196"/>
      <c r="CD852" s="196"/>
      <c r="CE852" s="196"/>
      <c r="CF852" s="196"/>
      <c r="CG852" s="196"/>
      <c r="CH852" s="196"/>
      <c r="CI852" s="196"/>
      <c r="CJ852" s="196"/>
      <c r="CK852" s="196"/>
      <c r="CL852" s="196"/>
      <c r="CM852" s="196"/>
      <c r="CN852" s="196"/>
      <c r="CO852" s="196"/>
      <c r="CP852" s="196"/>
      <c r="CQ852" s="196"/>
      <c r="CR852" s="196"/>
      <c r="CS852" s="196"/>
      <c r="CT852" s="196"/>
      <c r="CU852" s="196"/>
      <c r="CV852" s="196"/>
      <c r="CW852" s="196"/>
      <c r="CX852" s="196"/>
      <c r="CY852" s="196"/>
      <c r="CZ852" s="196"/>
      <c r="DA852" s="196"/>
      <c r="DB852" s="196"/>
      <c r="DC852" s="196"/>
      <c r="DD852" s="196"/>
      <c r="DE852" s="196"/>
      <c r="DF852" s="196"/>
      <c r="DG852" s="196"/>
      <c r="DH852" s="196"/>
      <c r="DI852" s="196"/>
      <c r="DJ852" s="196"/>
      <c r="DK852" s="196"/>
      <c r="DL852" s="196"/>
      <c r="DM852" s="196"/>
      <c r="DN852" s="196"/>
      <c r="DO852" s="196"/>
      <c r="DP852" s="196"/>
      <c r="DQ852" s="196"/>
      <c r="DR852" s="196"/>
      <c r="DS852" s="196"/>
      <c r="DT852" s="196"/>
    </row>
    <row r="853" spans="1:124" x14ac:dyDescent="0.25">
      <c r="A853" s="465"/>
      <c r="AU853" s="381">
        <v>127</v>
      </c>
      <c r="AV853" s="196" t="s">
        <v>635</v>
      </c>
      <c r="AW853" s="381" t="s">
        <v>636</v>
      </c>
      <c r="AX853" s="196"/>
      <c r="AY853" s="196"/>
      <c r="AZ853" s="196"/>
      <c r="BD853" s="196"/>
      <c r="BG853" s="196"/>
      <c r="BH853" s="196"/>
      <c r="BX853" s="196"/>
      <c r="BY853" s="196"/>
      <c r="BZ853" s="196"/>
      <c r="CA853" s="196"/>
      <c r="CB853" s="196"/>
      <c r="CC853" s="196"/>
      <c r="CD853" s="196"/>
      <c r="CE853" s="196"/>
      <c r="CF853" s="196"/>
      <c r="CG853" s="196"/>
      <c r="CH853" s="196"/>
      <c r="CI853" s="196"/>
      <c r="CJ853" s="196"/>
      <c r="CK853" s="196"/>
      <c r="CL853" s="196"/>
      <c r="CM853" s="196"/>
      <c r="CN853" s="196"/>
      <c r="CO853" s="196"/>
      <c r="CP853" s="196"/>
      <c r="CQ853" s="196"/>
      <c r="CR853" s="196"/>
      <c r="CS853" s="196"/>
      <c r="CT853" s="196"/>
      <c r="CU853" s="196"/>
      <c r="CV853" s="196"/>
      <c r="CW853" s="196"/>
      <c r="CX853" s="196"/>
      <c r="CY853" s="196"/>
      <c r="CZ853" s="196"/>
      <c r="DA853" s="196"/>
      <c r="DB853" s="196"/>
      <c r="DC853" s="196"/>
      <c r="DD853" s="196"/>
      <c r="DE853" s="196"/>
      <c r="DF853" s="196"/>
      <c r="DG853" s="196"/>
      <c r="DH853" s="196"/>
      <c r="DI853" s="196"/>
      <c r="DJ853" s="196"/>
      <c r="DK853" s="196"/>
      <c r="DL853" s="196"/>
      <c r="DM853" s="196"/>
      <c r="DN853" s="196"/>
      <c r="DO853" s="196"/>
      <c r="DP853" s="196"/>
      <c r="DQ853" s="196"/>
      <c r="DR853" s="196"/>
      <c r="DS853" s="196"/>
      <c r="DT853" s="196"/>
    </row>
    <row r="854" spans="1:124" x14ac:dyDescent="0.25">
      <c r="A854" s="465"/>
      <c r="AU854" s="381">
        <v>130</v>
      </c>
      <c r="AV854" s="196" t="s">
        <v>635</v>
      </c>
      <c r="AW854" s="381" t="s">
        <v>636</v>
      </c>
      <c r="AX854" s="196"/>
      <c r="AY854" s="196"/>
      <c r="AZ854" s="196"/>
      <c r="BD854" s="196"/>
      <c r="BG854" s="196"/>
      <c r="BH854" s="196"/>
      <c r="BX854" s="196"/>
      <c r="BY854" s="196"/>
      <c r="BZ854" s="196"/>
      <c r="CA854" s="196"/>
      <c r="CB854" s="196"/>
      <c r="CC854" s="196"/>
      <c r="CD854" s="196"/>
      <c r="CE854" s="196"/>
      <c r="CF854" s="196"/>
      <c r="CG854" s="196"/>
      <c r="CH854" s="196"/>
      <c r="CI854" s="196"/>
      <c r="CJ854" s="196"/>
      <c r="CK854" s="196"/>
      <c r="CL854" s="196"/>
      <c r="CM854" s="196"/>
      <c r="CN854" s="196"/>
      <c r="CO854" s="196"/>
      <c r="CP854" s="196"/>
      <c r="CQ854" s="196"/>
      <c r="CR854" s="196"/>
      <c r="CS854" s="196"/>
      <c r="CT854" s="196"/>
      <c r="CU854" s="196"/>
      <c r="CV854" s="196"/>
      <c r="CW854" s="196"/>
      <c r="CX854" s="196"/>
      <c r="CY854" s="196"/>
      <c r="CZ854" s="196"/>
      <c r="DA854" s="196"/>
      <c r="DB854" s="196"/>
      <c r="DC854" s="196"/>
      <c r="DD854" s="196"/>
      <c r="DE854" s="196"/>
      <c r="DF854" s="196"/>
      <c r="DG854" s="196"/>
      <c r="DH854" s="196"/>
      <c r="DI854" s="196"/>
      <c r="DJ854" s="196"/>
      <c r="DK854" s="196"/>
      <c r="DL854" s="196"/>
      <c r="DM854" s="196"/>
      <c r="DN854" s="196"/>
      <c r="DO854" s="196"/>
      <c r="DP854" s="196"/>
      <c r="DQ854" s="196"/>
      <c r="DR854" s="196"/>
      <c r="DS854" s="196"/>
      <c r="DT854" s="196"/>
    </row>
    <row r="855" spans="1:124" x14ac:dyDescent="0.25">
      <c r="A855" s="465"/>
      <c r="AU855" s="381">
        <v>131</v>
      </c>
      <c r="AV855" s="196" t="s">
        <v>635</v>
      </c>
      <c r="AW855" s="381" t="s">
        <v>636</v>
      </c>
      <c r="AX855" s="196"/>
      <c r="AY855" s="196"/>
      <c r="AZ855" s="196"/>
      <c r="BD855" s="196"/>
      <c r="BG855" s="196"/>
      <c r="BH855" s="196"/>
      <c r="BX855" s="196"/>
      <c r="BY855" s="196"/>
      <c r="BZ855" s="196"/>
      <c r="CA855" s="196"/>
      <c r="CB855" s="196"/>
      <c r="CC855" s="196"/>
      <c r="CD855" s="196"/>
      <c r="CE855" s="196"/>
      <c r="CF855" s="196"/>
      <c r="CG855" s="196"/>
      <c r="CH855" s="196"/>
      <c r="CI855" s="196"/>
      <c r="CJ855" s="196"/>
      <c r="CK855" s="196"/>
      <c r="CL855" s="196"/>
      <c r="CM855" s="196"/>
      <c r="CN855" s="196"/>
      <c r="CO855" s="196"/>
      <c r="CP855" s="196"/>
      <c r="CQ855" s="196"/>
      <c r="CR855" s="196"/>
      <c r="CS855" s="196"/>
      <c r="CT855" s="196"/>
      <c r="CU855" s="196"/>
      <c r="CV855" s="196"/>
      <c r="CW855" s="196"/>
      <c r="CX855" s="196"/>
      <c r="CY855" s="196"/>
      <c r="CZ855" s="196"/>
      <c r="DA855" s="196"/>
      <c r="DB855" s="196"/>
      <c r="DC855" s="196"/>
      <c r="DD855" s="196"/>
      <c r="DE855" s="196"/>
      <c r="DF855" s="196"/>
      <c r="DG855" s="196"/>
      <c r="DH855" s="196"/>
      <c r="DI855" s="196"/>
      <c r="DJ855" s="196"/>
      <c r="DK855" s="196"/>
      <c r="DL855" s="196"/>
      <c r="DM855" s="196"/>
      <c r="DN855" s="196"/>
      <c r="DO855" s="196"/>
      <c r="DP855" s="196"/>
      <c r="DQ855" s="196"/>
      <c r="DR855" s="196"/>
      <c r="DS855" s="196"/>
      <c r="DT855" s="196"/>
    </row>
    <row r="856" spans="1:124" x14ac:dyDescent="0.25">
      <c r="A856" s="465"/>
      <c r="AU856" s="381">
        <v>132</v>
      </c>
      <c r="AV856" s="196" t="s">
        <v>635</v>
      </c>
      <c r="AW856" s="381" t="s">
        <v>636</v>
      </c>
      <c r="AX856" s="196"/>
      <c r="AY856" s="196"/>
      <c r="AZ856" s="196"/>
      <c r="BD856" s="196"/>
      <c r="BG856" s="196"/>
      <c r="BH856" s="196"/>
      <c r="BX856" s="196"/>
      <c r="BY856" s="196"/>
      <c r="BZ856" s="196"/>
      <c r="CA856" s="196"/>
      <c r="CB856" s="196"/>
      <c r="CC856" s="196"/>
      <c r="CD856" s="196"/>
      <c r="CE856" s="196"/>
      <c r="CF856" s="196"/>
      <c r="CG856" s="196"/>
      <c r="CH856" s="196"/>
      <c r="CI856" s="196"/>
      <c r="CJ856" s="196"/>
      <c r="CK856" s="196"/>
      <c r="CL856" s="196"/>
      <c r="CM856" s="196"/>
      <c r="CN856" s="196"/>
      <c r="CO856" s="196"/>
      <c r="CP856" s="196"/>
      <c r="CQ856" s="196"/>
      <c r="CR856" s="196"/>
      <c r="CS856" s="196"/>
      <c r="CT856" s="196"/>
      <c r="CU856" s="196"/>
      <c r="CV856" s="196"/>
      <c r="CW856" s="196"/>
      <c r="CX856" s="196"/>
      <c r="CY856" s="196"/>
      <c r="CZ856" s="196"/>
      <c r="DA856" s="196"/>
      <c r="DB856" s="196"/>
      <c r="DC856" s="196"/>
      <c r="DD856" s="196"/>
      <c r="DE856" s="196"/>
      <c r="DF856" s="196"/>
      <c r="DG856" s="196"/>
      <c r="DH856" s="196"/>
      <c r="DI856" s="196"/>
      <c r="DJ856" s="196"/>
      <c r="DK856" s="196"/>
      <c r="DL856" s="196"/>
      <c r="DM856" s="196"/>
      <c r="DN856" s="196"/>
      <c r="DO856" s="196"/>
      <c r="DP856" s="196"/>
      <c r="DQ856" s="196"/>
      <c r="DR856" s="196"/>
      <c r="DS856" s="196"/>
      <c r="DT856" s="196"/>
    </row>
    <row r="857" spans="1:124" x14ac:dyDescent="0.25">
      <c r="A857" s="465"/>
      <c r="AU857" s="381">
        <v>133</v>
      </c>
      <c r="AV857" s="196" t="s">
        <v>635</v>
      </c>
      <c r="AW857" s="381" t="s">
        <v>636</v>
      </c>
      <c r="AX857" s="196"/>
      <c r="AY857" s="196"/>
      <c r="AZ857" s="196"/>
      <c r="BD857" s="196"/>
      <c r="BG857" s="196"/>
      <c r="BH857" s="196"/>
      <c r="BX857" s="196"/>
      <c r="BY857" s="196"/>
      <c r="BZ857" s="196"/>
      <c r="CA857" s="196"/>
      <c r="CB857" s="196"/>
      <c r="CC857" s="196"/>
      <c r="CD857" s="196"/>
      <c r="CE857" s="196"/>
      <c r="CF857" s="196"/>
      <c r="CG857" s="196"/>
      <c r="CH857" s="196"/>
      <c r="CI857" s="196"/>
      <c r="CJ857" s="196"/>
      <c r="CK857" s="196"/>
      <c r="CL857" s="196"/>
      <c r="CM857" s="196"/>
      <c r="CN857" s="196"/>
      <c r="CO857" s="196"/>
      <c r="CP857" s="196"/>
      <c r="CQ857" s="196"/>
      <c r="CR857" s="196"/>
      <c r="CS857" s="196"/>
      <c r="CT857" s="196"/>
      <c r="CU857" s="196"/>
      <c r="CV857" s="196"/>
      <c r="CW857" s="196"/>
      <c r="CX857" s="196"/>
      <c r="CY857" s="196"/>
      <c r="CZ857" s="196"/>
      <c r="DA857" s="196"/>
      <c r="DB857" s="196"/>
      <c r="DC857" s="196"/>
      <c r="DD857" s="196"/>
      <c r="DE857" s="196"/>
      <c r="DF857" s="196"/>
      <c r="DG857" s="196"/>
      <c r="DH857" s="196"/>
      <c r="DI857" s="196"/>
      <c r="DJ857" s="196"/>
      <c r="DK857" s="196"/>
      <c r="DL857" s="196"/>
      <c r="DM857" s="196"/>
      <c r="DN857" s="196"/>
      <c r="DO857" s="196"/>
      <c r="DP857" s="196"/>
      <c r="DQ857" s="196"/>
      <c r="DR857" s="196"/>
      <c r="DS857" s="196"/>
      <c r="DT857" s="196"/>
    </row>
    <row r="858" spans="1:124" x14ac:dyDescent="0.25">
      <c r="A858" s="465"/>
      <c r="AU858" s="381">
        <v>134</v>
      </c>
      <c r="AV858" s="196" t="s">
        <v>635</v>
      </c>
      <c r="AW858" s="381" t="s">
        <v>636</v>
      </c>
      <c r="AX858" s="196"/>
      <c r="AY858" s="196"/>
      <c r="AZ858" s="196"/>
      <c r="BD858" s="196"/>
      <c r="BG858" s="196"/>
      <c r="BH858" s="196"/>
      <c r="BX858" s="196"/>
      <c r="BY858" s="196"/>
      <c r="BZ858" s="196"/>
      <c r="CA858" s="196"/>
      <c r="CB858" s="196"/>
      <c r="CC858" s="196"/>
      <c r="CD858" s="196"/>
      <c r="CE858" s="196"/>
      <c r="CF858" s="196"/>
      <c r="CG858" s="196"/>
      <c r="CH858" s="196"/>
      <c r="CI858" s="196"/>
      <c r="CJ858" s="196"/>
      <c r="CK858" s="196"/>
      <c r="CL858" s="196"/>
      <c r="CM858" s="196"/>
      <c r="CN858" s="196"/>
      <c r="CO858" s="196"/>
      <c r="CP858" s="196"/>
      <c r="CQ858" s="196"/>
      <c r="CR858" s="196"/>
      <c r="CS858" s="196"/>
      <c r="CT858" s="196"/>
      <c r="CU858" s="196"/>
      <c r="CV858" s="196"/>
      <c r="CW858" s="196"/>
      <c r="CX858" s="196"/>
      <c r="CY858" s="196"/>
      <c r="CZ858" s="196"/>
      <c r="DA858" s="196"/>
      <c r="DB858" s="196"/>
      <c r="DC858" s="196"/>
      <c r="DD858" s="196"/>
      <c r="DE858" s="196"/>
      <c r="DF858" s="196"/>
      <c r="DG858" s="196"/>
      <c r="DH858" s="196"/>
      <c r="DI858" s="196"/>
      <c r="DJ858" s="196"/>
      <c r="DK858" s="196"/>
      <c r="DL858" s="196"/>
      <c r="DM858" s="196"/>
      <c r="DN858" s="196"/>
      <c r="DO858" s="196"/>
      <c r="DP858" s="196"/>
      <c r="DQ858" s="196"/>
      <c r="DR858" s="196"/>
      <c r="DS858" s="196"/>
      <c r="DT858" s="196"/>
    </row>
    <row r="859" spans="1:124" x14ac:dyDescent="0.25">
      <c r="A859" s="465"/>
      <c r="AU859" s="381">
        <v>135</v>
      </c>
      <c r="AV859" s="196" t="s">
        <v>635</v>
      </c>
      <c r="AW859" s="381" t="s">
        <v>636</v>
      </c>
      <c r="AX859" s="196"/>
      <c r="AY859" s="196"/>
      <c r="AZ859" s="196"/>
      <c r="BD859" s="196"/>
      <c r="BG859" s="196"/>
      <c r="BH859" s="196"/>
      <c r="BX859" s="196"/>
      <c r="BY859" s="196"/>
      <c r="BZ859" s="196"/>
      <c r="CA859" s="196"/>
      <c r="CB859" s="196"/>
      <c r="CC859" s="196"/>
      <c r="CD859" s="196"/>
      <c r="CE859" s="196"/>
      <c r="CF859" s="196"/>
      <c r="CG859" s="196"/>
      <c r="CH859" s="196"/>
      <c r="CI859" s="196"/>
      <c r="CJ859" s="196"/>
      <c r="CK859" s="196"/>
      <c r="CL859" s="196"/>
      <c r="CM859" s="196"/>
      <c r="CN859" s="196"/>
      <c r="CO859" s="196"/>
      <c r="CP859" s="196"/>
      <c r="CQ859" s="196"/>
      <c r="CR859" s="196"/>
      <c r="CS859" s="196"/>
      <c r="CT859" s="196"/>
      <c r="CU859" s="196"/>
      <c r="CV859" s="196"/>
      <c r="CW859" s="196"/>
      <c r="CX859" s="196"/>
      <c r="CY859" s="196"/>
      <c r="CZ859" s="196"/>
      <c r="DA859" s="196"/>
      <c r="DB859" s="196"/>
      <c r="DC859" s="196"/>
      <c r="DD859" s="196"/>
      <c r="DE859" s="196"/>
      <c r="DF859" s="196"/>
      <c r="DG859" s="196"/>
      <c r="DH859" s="196"/>
      <c r="DI859" s="196"/>
      <c r="DJ859" s="196"/>
      <c r="DK859" s="196"/>
      <c r="DL859" s="196"/>
      <c r="DM859" s="196"/>
      <c r="DN859" s="196"/>
      <c r="DO859" s="196"/>
      <c r="DP859" s="196"/>
      <c r="DQ859" s="196"/>
      <c r="DR859" s="196"/>
      <c r="DS859" s="196"/>
      <c r="DT859" s="196"/>
    </row>
    <row r="860" spans="1:124" x14ac:dyDescent="0.25">
      <c r="A860" s="465"/>
      <c r="AU860" s="381">
        <v>136</v>
      </c>
      <c r="AV860" s="196" t="s">
        <v>635</v>
      </c>
      <c r="AW860" s="381" t="s">
        <v>636</v>
      </c>
      <c r="AX860" s="196"/>
      <c r="AY860" s="196"/>
      <c r="AZ860" s="196"/>
      <c r="BD860" s="196"/>
      <c r="BG860" s="196"/>
      <c r="BH860" s="196"/>
      <c r="BX860" s="196"/>
      <c r="BY860" s="196"/>
      <c r="BZ860" s="196"/>
      <c r="CA860" s="196"/>
      <c r="CB860" s="196"/>
      <c r="CC860" s="196"/>
      <c r="CD860" s="196"/>
      <c r="CE860" s="196"/>
      <c r="CF860" s="196"/>
      <c r="CG860" s="196"/>
      <c r="CH860" s="196"/>
      <c r="CI860" s="196"/>
      <c r="CJ860" s="196"/>
      <c r="CK860" s="196"/>
      <c r="CL860" s="196"/>
      <c r="CM860" s="196"/>
      <c r="CN860" s="196"/>
      <c r="CO860" s="196"/>
      <c r="CP860" s="196"/>
      <c r="CQ860" s="196"/>
      <c r="CR860" s="196"/>
      <c r="CS860" s="196"/>
      <c r="CT860" s="196"/>
      <c r="CU860" s="196"/>
      <c r="CV860" s="196"/>
      <c r="CW860" s="196"/>
      <c r="CX860" s="196"/>
      <c r="CY860" s="196"/>
      <c r="CZ860" s="196"/>
      <c r="DA860" s="196"/>
      <c r="DB860" s="196"/>
      <c r="DC860" s="196"/>
      <c r="DD860" s="196"/>
      <c r="DE860" s="196"/>
      <c r="DF860" s="196"/>
      <c r="DG860" s="196"/>
      <c r="DH860" s="196"/>
      <c r="DI860" s="196"/>
      <c r="DJ860" s="196"/>
      <c r="DK860" s="196"/>
      <c r="DL860" s="196"/>
      <c r="DM860" s="196"/>
      <c r="DN860" s="196"/>
      <c r="DO860" s="196"/>
      <c r="DP860" s="196"/>
      <c r="DQ860" s="196"/>
      <c r="DR860" s="196"/>
      <c r="DS860" s="196"/>
      <c r="DT860" s="196"/>
    </row>
    <row r="861" spans="1:124" x14ac:dyDescent="0.25">
      <c r="A861" s="465"/>
      <c r="AU861" s="381">
        <v>137</v>
      </c>
      <c r="AV861" s="196" t="s">
        <v>635</v>
      </c>
      <c r="AW861" s="381" t="s">
        <v>636</v>
      </c>
      <c r="AX861" s="196"/>
      <c r="AY861" s="196"/>
      <c r="AZ861" s="196"/>
      <c r="BD861" s="196"/>
      <c r="BG861" s="196"/>
      <c r="BH861" s="196"/>
      <c r="BX861" s="196"/>
      <c r="BY861" s="196"/>
      <c r="BZ861" s="196"/>
      <c r="CA861" s="196"/>
      <c r="CB861" s="196"/>
      <c r="CC861" s="196"/>
      <c r="CD861" s="196"/>
      <c r="CE861" s="196"/>
      <c r="CF861" s="196"/>
      <c r="CG861" s="196"/>
      <c r="CH861" s="196"/>
      <c r="CI861" s="196"/>
      <c r="CJ861" s="196"/>
      <c r="CK861" s="196"/>
      <c r="CL861" s="196"/>
      <c r="CM861" s="196"/>
      <c r="CN861" s="196"/>
      <c r="CO861" s="196"/>
      <c r="CP861" s="196"/>
      <c r="CQ861" s="196"/>
      <c r="CR861" s="196"/>
      <c r="CS861" s="196"/>
      <c r="CT861" s="196"/>
      <c r="CU861" s="196"/>
      <c r="CV861" s="196"/>
      <c r="CW861" s="196"/>
      <c r="CX861" s="196"/>
      <c r="CY861" s="196"/>
      <c r="CZ861" s="196"/>
      <c r="DA861" s="196"/>
      <c r="DB861" s="196"/>
      <c r="DC861" s="196"/>
      <c r="DD861" s="196"/>
      <c r="DE861" s="196"/>
      <c r="DF861" s="196"/>
      <c r="DG861" s="196"/>
      <c r="DH861" s="196"/>
      <c r="DI861" s="196"/>
      <c r="DJ861" s="196"/>
      <c r="DK861" s="196"/>
      <c r="DL861" s="196"/>
      <c r="DM861" s="196"/>
      <c r="DN861" s="196"/>
      <c r="DO861" s="196"/>
      <c r="DP861" s="196"/>
      <c r="DQ861" s="196"/>
      <c r="DR861" s="196"/>
      <c r="DS861" s="196"/>
      <c r="DT861" s="196"/>
    </row>
    <row r="862" spans="1:124" x14ac:dyDescent="0.25">
      <c r="A862" s="465"/>
      <c r="AU862" s="381">
        <v>138</v>
      </c>
      <c r="AV862" s="196" t="s">
        <v>635</v>
      </c>
      <c r="AW862" s="381" t="s">
        <v>636</v>
      </c>
      <c r="AX862" s="196"/>
      <c r="AY862" s="196"/>
      <c r="AZ862" s="196"/>
      <c r="BD862" s="196"/>
      <c r="BG862" s="196"/>
      <c r="BH862" s="196"/>
      <c r="BX862" s="196"/>
      <c r="BY862" s="196"/>
      <c r="BZ862" s="196"/>
      <c r="CA862" s="196"/>
      <c r="CB862" s="196"/>
      <c r="CC862" s="196"/>
      <c r="CD862" s="196"/>
      <c r="CE862" s="196"/>
      <c r="CF862" s="196"/>
      <c r="CG862" s="196"/>
      <c r="CH862" s="196"/>
      <c r="CI862" s="196"/>
      <c r="CJ862" s="196"/>
      <c r="CK862" s="196"/>
      <c r="CL862" s="196"/>
      <c r="CM862" s="196"/>
      <c r="CN862" s="196"/>
      <c r="CO862" s="196"/>
      <c r="CP862" s="196"/>
      <c r="CQ862" s="196"/>
      <c r="CR862" s="196"/>
      <c r="CS862" s="196"/>
      <c r="CT862" s="196"/>
      <c r="CU862" s="196"/>
      <c r="CV862" s="196"/>
      <c r="CW862" s="196"/>
      <c r="CX862" s="196"/>
      <c r="CY862" s="196"/>
      <c r="CZ862" s="196"/>
      <c r="DA862" s="196"/>
      <c r="DB862" s="196"/>
      <c r="DC862" s="196"/>
      <c r="DD862" s="196"/>
      <c r="DE862" s="196"/>
      <c r="DF862" s="196"/>
      <c r="DG862" s="196"/>
      <c r="DH862" s="196"/>
      <c r="DI862" s="196"/>
      <c r="DJ862" s="196"/>
      <c r="DK862" s="196"/>
      <c r="DL862" s="196"/>
      <c r="DM862" s="196"/>
      <c r="DN862" s="196"/>
      <c r="DO862" s="196"/>
      <c r="DP862" s="196"/>
      <c r="DQ862" s="196"/>
      <c r="DR862" s="196"/>
      <c r="DS862" s="196"/>
      <c r="DT862" s="196"/>
    </row>
    <row r="863" spans="1:124" x14ac:dyDescent="0.25">
      <c r="A863" s="465"/>
      <c r="AU863" s="381">
        <v>139</v>
      </c>
      <c r="AV863" s="196" t="s">
        <v>635</v>
      </c>
      <c r="AW863" s="381" t="s">
        <v>636</v>
      </c>
      <c r="AX863" s="196"/>
      <c r="AY863" s="196"/>
      <c r="AZ863" s="196"/>
      <c r="BD863" s="196"/>
      <c r="BG863" s="196"/>
      <c r="BH863" s="196"/>
      <c r="BX863" s="196"/>
      <c r="BY863" s="196"/>
      <c r="BZ863" s="196"/>
      <c r="CA863" s="196"/>
      <c r="CB863" s="196"/>
      <c r="CC863" s="196"/>
      <c r="CD863" s="196"/>
      <c r="CE863" s="196"/>
      <c r="CF863" s="196"/>
      <c r="CG863" s="196"/>
      <c r="CH863" s="196"/>
      <c r="CI863" s="196"/>
      <c r="CJ863" s="196"/>
      <c r="CK863" s="196"/>
      <c r="CL863" s="196"/>
      <c r="CM863" s="196"/>
      <c r="CN863" s="196"/>
      <c r="CO863" s="196"/>
      <c r="CP863" s="196"/>
      <c r="CQ863" s="196"/>
      <c r="CR863" s="196"/>
      <c r="CS863" s="196"/>
      <c r="CT863" s="196"/>
      <c r="CU863" s="196"/>
      <c r="CV863" s="196"/>
      <c r="CW863" s="196"/>
      <c r="CX863" s="196"/>
      <c r="CY863" s="196"/>
      <c r="CZ863" s="196"/>
      <c r="DA863" s="196"/>
      <c r="DB863" s="196"/>
      <c r="DC863" s="196"/>
      <c r="DD863" s="196"/>
      <c r="DE863" s="196"/>
      <c r="DF863" s="196"/>
      <c r="DG863" s="196"/>
      <c r="DH863" s="196"/>
      <c r="DI863" s="196"/>
      <c r="DJ863" s="196"/>
      <c r="DK863" s="196"/>
      <c r="DL863" s="196"/>
      <c r="DM863" s="196"/>
      <c r="DN863" s="196"/>
      <c r="DO863" s="196"/>
      <c r="DP863" s="196"/>
      <c r="DQ863" s="196"/>
      <c r="DR863" s="196"/>
      <c r="DS863" s="196"/>
      <c r="DT863" s="196"/>
    </row>
    <row r="864" spans="1:124" x14ac:dyDescent="0.25">
      <c r="A864" s="465"/>
      <c r="AU864" s="381">
        <v>141</v>
      </c>
      <c r="AV864" s="196" t="s">
        <v>635</v>
      </c>
      <c r="AW864" s="381" t="s">
        <v>636</v>
      </c>
      <c r="AX864" s="196"/>
      <c r="AY864" s="196"/>
      <c r="AZ864" s="196"/>
      <c r="BA864" s="196"/>
      <c r="BB864" s="82"/>
      <c r="BC864" s="196"/>
      <c r="BD864" s="196"/>
      <c r="BG864" s="196"/>
      <c r="BH864" s="196"/>
      <c r="BX864" s="196"/>
      <c r="BY864" s="196"/>
      <c r="BZ864" s="196"/>
      <c r="CA864" s="196"/>
      <c r="CB864" s="196"/>
      <c r="CC864" s="196"/>
      <c r="CD864" s="196"/>
      <c r="CE864" s="196"/>
      <c r="CF864" s="196"/>
      <c r="CG864" s="196"/>
      <c r="CH864" s="196"/>
      <c r="CI864" s="196"/>
      <c r="CJ864" s="196"/>
      <c r="CK864" s="196"/>
      <c r="CL864" s="196"/>
      <c r="CM864" s="196"/>
      <c r="CN864" s="196"/>
      <c r="CO864" s="196"/>
      <c r="CP864" s="196"/>
      <c r="CQ864" s="196"/>
      <c r="CR864" s="196"/>
      <c r="CS864" s="196"/>
      <c r="CT864" s="196"/>
      <c r="CU864" s="196"/>
      <c r="CV864" s="196"/>
      <c r="CW864" s="196"/>
      <c r="CX864" s="196"/>
      <c r="CY864" s="196"/>
      <c r="CZ864" s="196"/>
      <c r="DA864" s="196"/>
      <c r="DB864" s="196"/>
      <c r="DC864" s="196"/>
      <c r="DD864" s="196"/>
      <c r="DE864" s="196"/>
      <c r="DF864" s="196"/>
      <c r="DG864" s="196"/>
      <c r="DH864" s="196"/>
      <c r="DI864" s="196"/>
      <c r="DJ864" s="196"/>
      <c r="DK864" s="196"/>
      <c r="DL864" s="196"/>
      <c r="DM864" s="196"/>
      <c r="DN864" s="196"/>
      <c r="DO864" s="196"/>
      <c r="DP864" s="196"/>
      <c r="DQ864" s="196"/>
      <c r="DR864" s="196"/>
      <c r="DS864" s="196"/>
      <c r="DT864" s="196"/>
    </row>
    <row r="865" spans="1:124" x14ac:dyDescent="0.25">
      <c r="A865" s="465"/>
      <c r="AU865" s="381">
        <v>144</v>
      </c>
      <c r="AV865" s="196" t="s">
        <v>635</v>
      </c>
      <c r="AW865" s="381" t="s">
        <v>636</v>
      </c>
      <c r="AX865" s="196"/>
      <c r="AY865" s="196"/>
      <c r="AZ865" s="196"/>
      <c r="BA865" s="196"/>
      <c r="BB865" s="196"/>
      <c r="BC865" s="196"/>
      <c r="BD865" s="196"/>
      <c r="BG865" s="196"/>
      <c r="BH865" s="196"/>
      <c r="BX865" s="196"/>
      <c r="BY865" s="196"/>
      <c r="BZ865" s="196"/>
      <c r="CA865" s="196"/>
      <c r="CB865" s="196"/>
      <c r="CC865" s="196"/>
      <c r="CD865" s="196"/>
      <c r="CE865" s="196"/>
      <c r="CF865" s="196"/>
      <c r="CG865" s="196"/>
      <c r="CH865" s="196"/>
      <c r="CI865" s="196"/>
      <c r="CJ865" s="196"/>
      <c r="CK865" s="196"/>
      <c r="CL865" s="196"/>
      <c r="CM865" s="196"/>
      <c r="CN865" s="196"/>
      <c r="CO865" s="196"/>
      <c r="CP865" s="196"/>
      <c r="CQ865" s="196"/>
      <c r="CR865" s="196"/>
      <c r="CS865" s="196"/>
      <c r="CT865" s="196"/>
      <c r="CU865" s="196"/>
      <c r="CV865" s="196"/>
      <c r="CW865" s="196"/>
      <c r="CX865" s="196"/>
      <c r="CY865" s="196"/>
      <c r="CZ865" s="196"/>
      <c r="DA865" s="196"/>
      <c r="DB865" s="196"/>
      <c r="DC865" s="196"/>
      <c r="DD865" s="196"/>
      <c r="DE865" s="196"/>
      <c r="DF865" s="196"/>
      <c r="DG865" s="196"/>
      <c r="DH865" s="196"/>
      <c r="DI865" s="196"/>
      <c r="DJ865" s="196"/>
      <c r="DK865" s="196"/>
      <c r="DL865" s="196"/>
      <c r="DM865" s="196"/>
      <c r="DN865" s="196"/>
      <c r="DO865" s="196"/>
      <c r="DP865" s="196"/>
      <c r="DQ865" s="196"/>
      <c r="DR865" s="196"/>
      <c r="DS865" s="196"/>
      <c r="DT865" s="196"/>
    </row>
    <row r="866" spans="1:124" x14ac:dyDescent="0.25">
      <c r="A866" s="465"/>
      <c r="AU866" s="381">
        <v>145</v>
      </c>
      <c r="AV866" s="196" t="s">
        <v>635</v>
      </c>
      <c r="AW866" s="381" t="s">
        <v>636</v>
      </c>
      <c r="AX866" s="196"/>
      <c r="AY866" s="196"/>
      <c r="AZ866" s="196"/>
      <c r="BA866" s="196"/>
      <c r="BB866" s="196"/>
      <c r="BC866" s="196"/>
      <c r="BD866" s="196"/>
      <c r="BG866" s="196"/>
      <c r="BH866" s="196"/>
      <c r="BX866" s="196"/>
      <c r="BY866" s="196"/>
      <c r="BZ866" s="196"/>
      <c r="CA866" s="196"/>
      <c r="CB866" s="196"/>
      <c r="CC866" s="196"/>
      <c r="CD866" s="196"/>
      <c r="CE866" s="196"/>
      <c r="CF866" s="196"/>
      <c r="CG866" s="196"/>
      <c r="CH866" s="196"/>
      <c r="CI866" s="196"/>
      <c r="CJ866" s="196"/>
      <c r="CK866" s="196"/>
      <c r="CL866" s="196"/>
      <c r="CM866" s="196"/>
      <c r="CN866" s="196"/>
      <c r="CO866" s="196"/>
      <c r="CP866" s="196"/>
      <c r="CQ866" s="196"/>
      <c r="CR866" s="196"/>
      <c r="CS866" s="196"/>
      <c r="CT866" s="196"/>
      <c r="CU866" s="196"/>
      <c r="CV866" s="196"/>
      <c r="CW866" s="196"/>
      <c r="CX866" s="196"/>
      <c r="CY866" s="196"/>
      <c r="CZ866" s="196"/>
      <c r="DA866" s="196"/>
      <c r="DB866" s="196"/>
      <c r="DC866" s="196"/>
      <c r="DD866" s="196"/>
      <c r="DE866" s="196"/>
      <c r="DF866" s="196"/>
      <c r="DG866" s="196"/>
      <c r="DH866" s="196"/>
      <c r="DI866" s="196"/>
      <c r="DJ866" s="196"/>
      <c r="DK866" s="196"/>
      <c r="DL866" s="196"/>
      <c r="DM866" s="196"/>
      <c r="DN866" s="196"/>
      <c r="DO866" s="196"/>
      <c r="DP866" s="196"/>
      <c r="DQ866" s="196"/>
      <c r="DR866" s="196"/>
      <c r="DS866" s="196"/>
      <c r="DT866" s="196"/>
    </row>
    <row r="867" spans="1:124" x14ac:dyDescent="0.25">
      <c r="A867" s="465"/>
      <c r="AU867" s="381">
        <v>146</v>
      </c>
      <c r="AV867" s="196" t="s">
        <v>635</v>
      </c>
      <c r="AW867" s="381" t="s">
        <v>636</v>
      </c>
      <c r="AX867" s="196"/>
      <c r="AY867" s="196"/>
      <c r="AZ867" s="196"/>
      <c r="BA867" s="196"/>
      <c r="BB867" s="196"/>
      <c r="BC867" s="196"/>
      <c r="BD867" s="196"/>
      <c r="BG867" s="196"/>
      <c r="BH867" s="196"/>
      <c r="BX867" s="196"/>
      <c r="BY867" s="196"/>
      <c r="BZ867" s="196"/>
      <c r="CA867" s="196"/>
      <c r="CB867" s="196"/>
      <c r="CC867" s="196"/>
      <c r="CD867" s="196"/>
      <c r="CE867" s="196"/>
      <c r="CF867" s="196"/>
      <c r="CG867" s="196"/>
      <c r="CH867" s="196"/>
      <c r="CI867" s="196"/>
      <c r="CJ867" s="196"/>
      <c r="CK867" s="196"/>
      <c r="CL867" s="196"/>
      <c r="CM867" s="196"/>
      <c r="CN867" s="196"/>
      <c r="CO867" s="196"/>
      <c r="CP867" s="196"/>
      <c r="CQ867" s="196"/>
      <c r="CR867" s="196"/>
      <c r="CS867" s="196"/>
      <c r="CT867" s="196"/>
      <c r="CU867" s="196"/>
      <c r="CV867" s="196"/>
      <c r="CW867" s="196"/>
      <c r="CX867" s="196"/>
      <c r="CY867" s="196"/>
      <c r="CZ867" s="196"/>
      <c r="DA867" s="196"/>
      <c r="DB867" s="196"/>
      <c r="DC867" s="196"/>
      <c r="DD867" s="196"/>
      <c r="DE867" s="196"/>
      <c r="DF867" s="196"/>
      <c r="DG867" s="196"/>
      <c r="DH867" s="196"/>
      <c r="DI867" s="196"/>
      <c r="DJ867" s="196"/>
      <c r="DK867" s="196"/>
      <c r="DL867" s="196"/>
      <c r="DM867" s="196"/>
      <c r="DN867" s="196"/>
      <c r="DO867" s="196"/>
      <c r="DP867" s="196"/>
      <c r="DQ867" s="196"/>
      <c r="DR867" s="196"/>
      <c r="DS867" s="196"/>
      <c r="DT867" s="196"/>
    </row>
    <row r="868" spans="1:124" x14ac:dyDescent="0.25">
      <c r="A868" s="465"/>
      <c r="AU868" s="381">
        <v>148</v>
      </c>
      <c r="AV868" s="196" t="s">
        <v>635</v>
      </c>
      <c r="AW868" s="381" t="s">
        <v>636</v>
      </c>
      <c r="AX868" s="196"/>
      <c r="AY868" s="196"/>
      <c r="AZ868" s="196"/>
      <c r="BA868" s="196"/>
      <c r="BB868" s="196"/>
      <c r="BC868" s="196"/>
      <c r="BD868" s="196"/>
      <c r="BG868" s="196"/>
      <c r="BH868" s="196"/>
      <c r="BX868" s="196"/>
      <c r="BY868" s="196"/>
      <c r="BZ868" s="196"/>
      <c r="CA868" s="196"/>
      <c r="CB868" s="196"/>
      <c r="CC868" s="196"/>
      <c r="CD868" s="196"/>
      <c r="CE868" s="196"/>
      <c r="CF868" s="196"/>
      <c r="CG868" s="196"/>
      <c r="CH868" s="196"/>
      <c r="CI868" s="196"/>
      <c r="CJ868" s="196"/>
      <c r="CK868" s="196"/>
      <c r="CL868" s="196"/>
      <c r="CM868" s="196"/>
      <c r="CN868" s="196"/>
      <c r="CO868" s="196"/>
      <c r="CP868" s="196"/>
      <c r="CQ868" s="196"/>
      <c r="CR868" s="196"/>
      <c r="CS868" s="196"/>
      <c r="CT868" s="196"/>
      <c r="CU868" s="196"/>
      <c r="CV868" s="196"/>
      <c r="CW868" s="196"/>
      <c r="CX868" s="196"/>
      <c r="CY868" s="196"/>
      <c r="CZ868" s="196"/>
      <c r="DA868" s="196"/>
      <c r="DB868" s="196"/>
      <c r="DC868" s="196"/>
      <c r="DD868" s="196"/>
      <c r="DE868" s="196"/>
      <c r="DF868" s="196"/>
      <c r="DG868" s="196"/>
      <c r="DH868" s="196"/>
      <c r="DI868" s="196"/>
      <c r="DJ868" s="196"/>
      <c r="DK868" s="196"/>
      <c r="DL868" s="196"/>
      <c r="DM868" s="196"/>
      <c r="DN868" s="196"/>
      <c r="DO868" s="196"/>
      <c r="DP868" s="196"/>
      <c r="DQ868" s="196"/>
      <c r="DR868" s="196"/>
      <c r="DS868" s="196"/>
      <c r="DT868" s="196"/>
    </row>
    <row r="869" spans="1:124" x14ac:dyDescent="0.25">
      <c r="A869" s="465"/>
      <c r="AU869" s="381">
        <v>149</v>
      </c>
      <c r="AV869" s="196" t="s">
        <v>635</v>
      </c>
      <c r="AW869" s="381" t="s">
        <v>636</v>
      </c>
      <c r="AX869" s="196"/>
      <c r="AY869" s="196"/>
      <c r="AZ869" s="196"/>
      <c r="BA869" s="196"/>
      <c r="BB869" s="196"/>
      <c r="BC869" s="196"/>
      <c r="BD869" s="196"/>
      <c r="BG869" s="196"/>
      <c r="BH869" s="196"/>
      <c r="BX869" s="196"/>
      <c r="BY869" s="196"/>
      <c r="BZ869" s="196"/>
      <c r="CA869" s="196"/>
      <c r="CB869" s="196"/>
      <c r="CC869" s="196"/>
      <c r="CD869" s="196"/>
      <c r="CE869" s="196"/>
      <c r="CF869" s="196"/>
      <c r="CG869" s="196"/>
      <c r="CH869" s="196"/>
      <c r="CI869" s="196"/>
      <c r="CJ869" s="196"/>
      <c r="CK869" s="196"/>
      <c r="CL869" s="196"/>
      <c r="CM869" s="196"/>
      <c r="CN869" s="196"/>
      <c r="CO869" s="196"/>
      <c r="CP869" s="196"/>
      <c r="CQ869" s="196"/>
      <c r="CR869" s="196"/>
      <c r="CS869" s="196"/>
      <c r="CT869" s="196"/>
      <c r="CU869" s="196"/>
      <c r="CV869" s="196"/>
      <c r="CW869" s="196"/>
      <c r="CX869" s="196"/>
      <c r="CY869" s="196"/>
      <c r="CZ869" s="196"/>
      <c r="DA869" s="196"/>
      <c r="DB869" s="196"/>
      <c r="DC869" s="196"/>
      <c r="DD869" s="196"/>
      <c r="DE869" s="196"/>
      <c r="DF869" s="196"/>
      <c r="DG869" s="196"/>
      <c r="DH869" s="196"/>
      <c r="DI869" s="196"/>
      <c r="DJ869" s="196"/>
      <c r="DK869" s="196"/>
      <c r="DL869" s="196"/>
      <c r="DM869" s="196"/>
      <c r="DN869" s="196"/>
      <c r="DO869" s="196"/>
      <c r="DP869" s="196"/>
      <c r="DQ869" s="196"/>
      <c r="DR869" s="196"/>
      <c r="DS869" s="196"/>
      <c r="DT869" s="196"/>
    </row>
    <row r="870" spans="1:124" x14ac:dyDescent="0.25">
      <c r="A870" s="465"/>
      <c r="AU870" s="381">
        <v>152</v>
      </c>
      <c r="AV870" s="196" t="s">
        <v>635</v>
      </c>
      <c r="AW870" s="381" t="s">
        <v>650</v>
      </c>
      <c r="AX870" s="196"/>
      <c r="AY870" s="196"/>
      <c r="AZ870" s="196"/>
      <c r="BA870" s="196"/>
      <c r="BB870" s="196"/>
      <c r="BC870" s="196"/>
      <c r="BD870" s="196"/>
      <c r="BG870" s="196"/>
      <c r="BH870" s="196"/>
      <c r="BX870" s="196"/>
      <c r="BY870" s="196"/>
      <c r="BZ870" s="196"/>
      <c r="CA870" s="196"/>
      <c r="CB870" s="196"/>
      <c r="CC870" s="196"/>
      <c r="CD870" s="196"/>
      <c r="CE870" s="196"/>
      <c r="CF870" s="196"/>
      <c r="CG870" s="196"/>
      <c r="CH870" s="196"/>
      <c r="CI870" s="196"/>
      <c r="CJ870" s="196"/>
      <c r="CK870" s="196"/>
      <c r="CL870" s="196"/>
      <c r="CM870" s="196"/>
      <c r="CN870" s="196"/>
      <c r="CO870" s="196"/>
      <c r="CP870" s="196"/>
      <c r="CQ870" s="196"/>
      <c r="CR870" s="196"/>
      <c r="CS870" s="196"/>
      <c r="CT870" s="196"/>
      <c r="CU870" s="196"/>
      <c r="CV870" s="196"/>
      <c r="CW870" s="196"/>
      <c r="CX870" s="196"/>
      <c r="CY870" s="196"/>
      <c r="CZ870" s="196"/>
      <c r="DA870" s="196"/>
      <c r="DB870" s="196"/>
      <c r="DC870" s="196"/>
      <c r="DD870" s="196"/>
      <c r="DE870" s="196"/>
      <c r="DF870" s="196"/>
      <c r="DG870" s="196"/>
      <c r="DH870" s="196"/>
      <c r="DI870" s="196"/>
      <c r="DJ870" s="196"/>
      <c r="DK870" s="196"/>
      <c r="DL870" s="196"/>
      <c r="DM870" s="196"/>
      <c r="DN870" s="196"/>
      <c r="DO870" s="196"/>
      <c r="DP870" s="196"/>
      <c r="DQ870" s="196"/>
      <c r="DR870" s="196"/>
      <c r="DS870" s="196"/>
      <c r="DT870" s="196"/>
    </row>
    <row r="871" spans="1:124" x14ac:dyDescent="0.25">
      <c r="A871" s="465"/>
      <c r="AU871" s="381">
        <v>172</v>
      </c>
      <c r="AV871" s="196" t="s">
        <v>635</v>
      </c>
      <c r="AW871" s="381" t="s">
        <v>650</v>
      </c>
      <c r="AX871" s="196"/>
      <c r="AY871" s="196"/>
      <c r="AZ871" s="196"/>
      <c r="BA871" s="196"/>
      <c r="BB871" s="196"/>
      <c r="BC871" s="196"/>
      <c r="BD871" s="196"/>
      <c r="BG871" s="196"/>
      <c r="BH871" s="196"/>
      <c r="BX871" s="196"/>
      <c r="BY871" s="196"/>
      <c r="BZ871" s="196"/>
      <c r="CA871" s="196"/>
      <c r="CB871" s="196"/>
      <c r="CC871" s="196"/>
      <c r="CD871" s="196"/>
      <c r="CE871" s="196"/>
      <c r="CF871" s="196"/>
      <c r="CG871" s="196"/>
      <c r="CH871" s="196"/>
      <c r="CI871" s="196"/>
      <c r="CJ871" s="196"/>
      <c r="CK871" s="196"/>
      <c r="CL871" s="196"/>
      <c r="CM871" s="196"/>
      <c r="CN871" s="196"/>
      <c r="CO871" s="196"/>
      <c r="CP871" s="196"/>
      <c r="CQ871" s="196"/>
      <c r="CR871" s="196"/>
      <c r="CS871" s="196"/>
      <c r="CT871" s="196"/>
      <c r="CU871" s="196"/>
      <c r="CV871" s="196"/>
      <c r="CW871" s="196"/>
      <c r="CX871" s="196"/>
      <c r="CY871" s="196"/>
      <c r="CZ871" s="196"/>
      <c r="DA871" s="196"/>
      <c r="DB871" s="196"/>
      <c r="DC871" s="196"/>
      <c r="DD871" s="196"/>
      <c r="DE871" s="196"/>
      <c r="DF871" s="196"/>
      <c r="DG871" s="196"/>
      <c r="DH871" s="196"/>
      <c r="DI871" s="196"/>
      <c r="DJ871" s="196"/>
      <c r="DK871" s="196"/>
      <c r="DL871" s="196"/>
      <c r="DM871" s="196"/>
      <c r="DN871" s="196"/>
      <c r="DO871" s="196"/>
      <c r="DP871" s="196"/>
      <c r="DQ871" s="196"/>
      <c r="DR871" s="196"/>
      <c r="DS871" s="196"/>
      <c r="DT871" s="196"/>
    </row>
    <row r="872" spans="1:124" x14ac:dyDescent="0.25">
      <c r="A872" s="465"/>
      <c r="AU872" s="381">
        <v>184</v>
      </c>
      <c r="AV872" s="196" t="s">
        <v>635</v>
      </c>
      <c r="AW872" s="381" t="s">
        <v>650</v>
      </c>
      <c r="AX872" s="196"/>
      <c r="AY872" s="196"/>
      <c r="AZ872" s="196"/>
      <c r="BA872" s="196"/>
      <c r="BB872" s="196"/>
      <c r="BC872" s="196"/>
      <c r="BD872" s="196"/>
      <c r="BG872" s="196"/>
      <c r="BH872" s="196"/>
      <c r="BX872" s="196"/>
      <c r="BY872" s="196"/>
      <c r="BZ872" s="196"/>
      <c r="CA872" s="196"/>
      <c r="CB872" s="196"/>
      <c r="CC872" s="196"/>
      <c r="CD872" s="196"/>
      <c r="CE872" s="196"/>
      <c r="CF872" s="196"/>
      <c r="CG872" s="196"/>
      <c r="CH872" s="196"/>
      <c r="CI872" s="196"/>
      <c r="CJ872" s="196"/>
      <c r="CK872" s="196"/>
      <c r="CL872" s="196"/>
      <c r="CM872" s="196"/>
      <c r="CN872" s="196"/>
      <c r="CO872" s="196"/>
      <c r="CP872" s="196"/>
      <c r="CQ872" s="196"/>
      <c r="CR872" s="196"/>
      <c r="CS872" s="196"/>
      <c r="CT872" s="196"/>
      <c r="CU872" s="196"/>
      <c r="CV872" s="196"/>
      <c r="CW872" s="196"/>
      <c r="CX872" s="196"/>
      <c r="CY872" s="196"/>
      <c r="CZ872" s="196"/>
      <c r="DA872" s="196"/>
      <c r="DB872" s="196"/>
      <c r="DC872" s="196"/>
      <c r="DD872" s="196"/>
      <c r="DE872" s="196"/>
      <c r="DF872" s="196"/>
      <c r="DG872" s="196"/>
      <c r="DH872" s="196"/>
      <c r="DI872" s="196"/>
      <c r="DJ872" s="196"/>
      <c r="DK872" s="196"/>
      <c r="DL872" s="196"/>
      <c r="DM872" s="196"/>
      <c r="DN872" s="196"/>
      <c r="DO872" s="196"/>
      <c r="DP872" s="196"/>
      <c r="DQ872" s="196"/>
      <c r="DR872" s="196"/>
      <c r="DS872" s="196"/>
      <c r="DT872" s="196"/>
    </row>
    <row r="873" spans="1:124" x14ac:dyDescent="0.25">
      <c r="A873" s="465"/>
      <c r="AU873" s="381">
        <v>188</v>
      </c>
      <c r="AV873" s="196" t="s">
        <v>635</v>
      </c>
      <c r="AW873" s="381" t="s">
        <v>650</v>
      </c>
      <c r="AX873" s="196"/>
      <c r="AY873" s="196"/>
      <c r="AZ873" s="196"/>
      <c r="BA873" s="196"/>
      <c r="BB873" s="196"/>
      <c r="BC873" s="196"/>
      <c r="BD873" s="196"/>
      <c r="BE873" s="196"/>
      <c r="BF873" s="196"/>
      <c r="BG873" s="196"/>
      <c r="BH873" s="196"/>
      <c r="BX873" s="196"/>
      <c r="BY873" s="196"/>
      <c r="BZ873" s="196"/>
      <c r="CA873" s="196"/>
      <c r="CB873" s="196"/>
      <c r="CC873" s="196"/>
      <c r="CD873" s="196"/>
      <c r="CE873" s="196"/>
      <c r="CF873" s="196"/>
      <c r="CG873" s="196"/>
      <c r="CH873" s="196"/>
      <c r="CI873" s="196"/>
      <c r="CJ873" s="196"/>
      <c r="CK873" s="196"/>
      <c r="CL873" s="196"/>
      <c r="CM873" s="196"/>
      <c r="CN873" s="196"/>
      <c r="CO873" s="196"/>
      <c r="CP873" s="196"/>
      <c r="CQ873" s="196"/>
      <c r="CR873" s="196"/>
      <c r="CS873" s="196"/>
      <c r="CT873" s="196"/>
      <c r="CU873" s="196"/>
      <c r="CV873" s="196"/>
      <c r="CW873" s="196"/>
      <c r="CX873" s="196"/>
      <c r="CY873" s="196"/>
      <c r="CZ873" s="196"/>
      <c r="DA873" s="196"/>
      <c r="DB873" s="196"/>
      <c r="DC873" s="196"/>
      <c r="DD873" s="196"/>
      <c r="DE873" s="196"/>
      <c r="DF873" s="196"/>
      <c r="DG873" s="196"/>
      <c r="DH873" s="196"/>
      <c r="DI873" s="196"/>
      <c r="DJ873" s="196"/>
      <c r="DK873" s="196"/>
      <c r="DL873" s="196"/>
      <c r="DM873" s="196"/>
      <c r="DN873" s="196"/>
      <c r="DO873" s="196"/>
      <c r="DP873" s="196"/>
      <c r="DQ873" s="196"/>
      <c r="DR873" s="196"/>
      <c r="DS873" s="196"/>
      <c r="DT873" s="196"/>
    </row>
    <row r="874" spans="1:124" x14ac:dyDescent="0.25">
      <c r="A874" s="465"/>
      <c r="AU874" s="381">
        <v>274</v>
      </c>
      <c r="AV874" s="196" t="s">
        <v>635</v>
      </c>
      <c r="AW874" s="381" t="s">
        <v>651</v>
      </c>
      <c r="AX874" s="196"/>
      <c r="AY874" s="196"/>
      <c r="AZ874" s="196"/>
      <c r="BA874" s="196"/>
      <c r="BB874" s="196"/>
      <c r="BC874" s="196"/>
      <c r="BD874" s="196"/>
      <c r="BE874" s="196"/>
      <c r="BF874" s="196"/>
      <c r="BG874" s="196"/>
      <c r="BH874" s="196"/>
      <c r="BX874" s="196"/>
      <c r="BY874" s="196"/>
      <c r="BZ874" s="196"/>
      <c r="CA874" s="196"/>
      <c r="CB874" s="196"/>
      <c r="CC874" s="196"/>
      <c r="CD874" s="196"/>
      <c r="CE874" s="196"/>
      <c r="CF874" s="196"/>
      <c r="CG874" s="196"/>
      <c r="CH874" s="196"/>
      <c r="CI874" s="196"/>
      <c r="CJ874" s="196"/>
      <c r="CK874" s="196"/>
      <c r="CL874" s="196"/>
      <c r="CM874" s="196"/>
      <c r="CN874" s="196"/>
      <c r="CO874" s="196"/>
      <c r="CP874" s="196"/>
      <c r="CQ874" s="196"/>
      <c r="CR874" s="196"/>
      <c r="CS874" s="196"/>
      <c r="CT874" s="196"/>
      <c r="CU874" s="196"/>
      <c r="CV874" s="196"/>
      <c r="CW874" s="196"/>
      <c r="CX874" s="196"/>
      <c r="CY874" s="196"/>
      <c r="CZ874" s="196"/>
      <c r="DA874" s="196"/>
      <c r="DB874" s="196"/>
      <c r="DC874" s="196"/>
      <c r="DD874" s="196"/>
      <c r="DE874" s="196"/>
      <c r="DF874" s="196"/>
      <c r="DG874" s="196"/>
      <c r="DH874" s="196"/>
      <c r="DI874" s="196"/>
      <c r="DJ874" s="196"/>
      <c r="DK874" s="196"/>
      <c r="DL874" s="196"/>
      <c r="DM874" s="196"/>
      <c r="DN874" s="196"/>
      <c r="DO874" s="196"/>
      <c r="DP874" s="196"/>
      <c r="DQ874" s="196"/>
      <c r="DR874" s="196"/>
      <c r="DS874" s="196"/>
      <c r="DT874" s="196"/>
    </row>
    <row r="875" spans="1:124" x14ac:dyDescent="0.25">
      <c r="A875" s="465"/>
      <c r="AU875" s="381">
        <v>275</v>
      </c>
      <c r="AV875" s="196" t="s">
        <v>635</v>
      </c>
      <c r="AW875" s="381" t="s">
        <v>651</v>
      </c>
      <c r="AX875" s="196"/>
      <c r="AY875" s="196"/>
      <c r="AZ875" s="196"/>
      <c r="BA875" s="196"/>
      <c r="BB875" s="196"/>
      <c r="BC875" s="196"/>
      <c r="BD875" s="196"/>
      <c r="BE875" s="196"/>
      <c r="BF875" s="196"/>
      <c r="BG875" s="196"/>
      <c r="BH875" s="196"/>
      <c r="BX875" s="196"/>
      <c r="BY875" s="196"/>
      <c r="BZ875" s="196"/>
      <c r="CA875" s="196"/>
      <c r="CB875" s="196"/>
      <c r="CC875" s="196"/>
      <c r="CD875" s="196"/>
      <c r="CE875" s="196"/>
      <c r="CF875" s="196"/>
      <c r="CG875" s="196"/>
      <c r="CH875" s="196"/>
      <c r="CI875" s="196"/>
      <c r="CJ875" s="196"/>
      <c r="CK875" s="196"/>
      <c r="CL875" s="196"/>
      <c r="CM875" s="196"/>
      <c r="CN875" s="196"/>
      <c r="CO875" s="196"/>
      <c r="CP875" s="196"/>
      <c r="CQ875" s="196"/>
      <c r="CR875" s="196"/>
      <c r="CS875" s="196"/>
      <c r="CT875" s="196"/>
      <c r="CU875" s="196"/>
      <c r="CV875" s="196"/>
      <c r="CW875" s="196"/>
      <c r="CX875" s="196"/>
      <c r="CY875" s="196"/>
      <c r="CZ875" s="196"/>
      <c r="DA875" s="196"/>
      <c r="DB875" s="196"/>
      <c r="DC875" s="196"/>
      <c r="DD875" s="196"/>
      <c r="DE875" s="196"/>
      <c r="DF875" s="196"/>
      <c r="DG875" s="196"/>
      <c r="DH875" s="196"/>
      <c r="DI875" s="196"/>
      <c r="DJ875" s="196"/>
      <c r="DK875" s="196"/>
      <c r="DL875" s="196"/>
      <c r="DM875" s="196"/>
      <c r="DN875" s="196"/>
      <c r="DO875" s="196"/>
      <c r="DP875" s="196"/>
      <c r="DQ875" s="196"/>
      <c r="DR875" s="196"/>
      <c r="DS875" s="196"/>
      <c r="DT875" s="196"/>
    </row>
    <row r="876" spans="1:124" x14ac:dyDescent="0.25">
      <c r="A876" s="465"/>
      <c r="AU876" s="381">
        <v>276</v>
      </c>
      <c r="AV876" s="196" t="s">
        <v>635</v>
      </c>
      <c r="AW876" s="381" t="s">
        <v>651</v>
      </c>
      <c r="AX876" s="196"/>
      <c r="AY876" s="196"/>
      <c r="AZ876" s="196"/>
      <c r="BA876" s="196"/>
      <c r="BB876" s="196"/>
      <c r="BC876" s="196"/>
      <c r="BD876" s="196"/>
      <c r="BE876" s="196"/>
      <c r="BF876" s="196"/>
      <c r="BG876" s="196"/>
      <c r="BH876" s="196"/>
      <c r="BX876" s="196"/>
      <c r="BY876" s="196"/>
      <c r="BZ876" s="196"/>
      <c r="CA876" s="196"/>
      <c r="CB876" s="196"/>
      <c r="CC876" s="196"/>
      <c r="CD876" s="196"/>
      <c r="CE876" s="196"/>
      <c r="CF876" s="196"/>
      <c r="CG876" s="196"/>
      <c r="CH876" s="196"/>
      <c r="CI876" s="196"/>
      <c r="CJ876" s="196"/>
      <c r="CK876" s="196"/>
      <c r="CL876" s="196"/>
      <c r="CM876" s="196"/>
      <c r="CN876" s="196"/>
      <c r="CO876" s="196"/>
      <c r="CP876" s="196"/>
      <c r="CQ876" s="196"/>
      <c r="CR876" s="196"/>
      <c r="CS876" s="196"/>
      <c r="CT876" s="196"/>
      <c r="CU876" s="196"/>
      <c r="CV876" s="196"/>
      <c r="CW876" s="196"/>
      <c r="CX876" s="196"/>
      <c r="CY876" s="196"/>
      <c r="CZ876" s="196"/>
      <c r="DA876" s="196"/>
      <c r="DB876" s="196"/>
      <c r="DC876" s="196"/>
      <c r="DD876" s="196"/>
      <c r="DE876" s="196"/>
      <c r="DF876" s="196"/>
      <c r="DG876" s="196"/>
      <c r="DH876" s="196"/>
      <c r="DI876" s="196"/>
      <c r="DJ876" s="196"/>
      <c r="DK876" s="196"/>
      <c r="DL876" s="196"/>
      <c r="DM876" s="196"/>
      <c r="DN876" s="196"/>
      <c r="DO876" s="196"/>
      <c r="DP876" s="196"/>
      <c r="DQ876" s="196"/>
      <c r="DR876" s="196"/>
      <c r="DS876" s="196"/>
      <c r="DT876" s="196"/>
    </row>
    <row r="877" spans="1:124" x14ac:dyDescent="0.25">
      <c r="A877" s="465"/>
      <c r="AU877" s="381">
        <v>277</v>
      </c>
      <c r="AV877" s="196" t="s">
        <v>635</v>
      </c>
      <c r="AW877" s="381" t="s">
        <v>651</v>
      </c>
      <c r="AX877" s="196"/>
      <c r="AY877" s="196"/>
      <c r="AZ877" s="196"/>
      <c r="BA877" s="196"/>
      <c r="BB877" s="196"/>
      <c r="BC877" s="196"/>
      <c r="BD877" s="196"/>
      <c r="BE877" s="196"/>
      <c r="BF877" s="196"/>
      <c r="BG877" s="196"/>
      <c r="BH877" s="196"/>
      <c r="BX877" s="196"/>
      <c r="BY877" s="196"/>
      <c r="BZ877" s="196"/>
      <c r="CA877" s="196"/>
      <c r="CB877" s="196"/>
      <c r="CC877" s="196"/>
      <c r="CD877" s="196"/>
      <c r="CE877" s="196"/>
      <c r="CF877" s="196"/>
      <c r="CG877" s="196"/>
      <c r="CH877" s="196"/>
      <c r="CI877" s="196"/>
      <c r="CJ877" s="196"/>
      <c r="CK877" s="196"/>
      <c r="CL877" s="196"/>
      <c r="CM877" s="196"/>
      <c r="CN877" s="196"/>
      <c r="CO877" s="196"/>
      <c r="CP877" s="196"/>
      <c r="CQ877" s="196"/>
      <c r="CR877" s="196"/>
      <c r="CS877" s="196"/>
      <c r="CT877" s="196"/>
      <c r="CU877" s="196"/>
      <c r="CV877" s="196"/>
      <c r="CW877" s="196"/>
      <c r="CX877" s="196"/>
      <c r="CY877" s="196"/>
      <c r="CZ877" s="196"/>
      <c r="DA877" s="196"/>
      <c r="DB877" s="196"/>
      <c r="DC877" s="196"/>
      <c r="DD877" s="196"/>
      <c r="DE877" s="196"/>
      <c r="DF877" s="196"/>
      <c r="DG877" s="196"/>
      <c r="DH877" s="196"/>
      <c r="DI877" s="196"/>
      <c r="DJ877" s="196"/>
      <c r="DK877" s="196"/>
      <c r="DL877" s="196"/>
      <c r="DM877" s="196"/>
      <c r="DN877" s="196"/>
      <c r="DO877" s="196"/>
      <c r="DP877" s="196"/>
      <c r="DQ877" s="196"/>
      <c r="DR877" s="196"/>
      <c r="DS877" s="196"/>
      <c r="DT877" s="196"/>
    </row>
    <row r="878" spans="1:124" x14ac:dyDescent="0.25">
      <c r="A878" s="465"/>
      <c r="AU878" s="381">
        <v>278</v>
      </c>
      <c r="AV878" s="196" t="s">
        <v>635</v>
      </c>
      <c r="AW878" s="381" t="s">
        <v>651</v>
      </c>
      <c r="AX878" s="196"/>
      <c r="AY878" s="196"/>
      <c r="AZ878" s="196"/>
      <c r="BA878" s="196"/>
      <c r="BB878" s="196"/>
      <c r="BC878" s="196"/>
      <c r="BD878" s="196"/>
      <c r="BE878" s="196"/>
      <c r="BF878" s="196"/>
      <c r="BG878" s="196"/>
      <c r="BH878" s="196"/>
      <c r="BX878" s="196"/>
      <c r="BY878" s="196"/>
      <c r="BZ878" s="196"/>
      <c r="CA878" s="196"/>
      <c r="CB878" s="196"/>
      <c r="CC878" s="196"/>
      <c r="CD878" s="196"/>
      <c r="CE878" s="196"/>
      <c r="CF878" s="196"/>
      <c r="CG878" s="196"/>
      <c r="CH878" s="196"/>
      <c r="CI878" s="196"/>
      <c r="CJ878" s="196"/>
      <c r="CK878" s="196"/>
      <c r="CL878" s="196"/>
      <c r="CM878" s="196"/>
      <c r="CN878" s="196"/>
      <c r="CO878" s="196"/>
      <c r="CP878" s="196"/>
      <c r="CQ878" s="196"/>
      <c r="CR878" s="196"/>
      <c r="CS878" s="196"/>
      <c r="CT878" s="196"/>
      <c r="CU878" s="196"/>
      <c r="CV878" s="196"/>
      <c r="CW878" s="196"/>
      <c r="CX878" s="196"/>
      <c r="CY878" s="196"/>
      <c r="CZ878" s="196"/>
      <c r="DA878" s="196"/>
      <c r="DB878" s="196"/>
      <c r="DC878" s="196"/>
      <c r="DD878" s="196"/>
      <c r="DE878" s="196"/>
      <c r="DF878" s="196"/>
      <c r="DG878" s="196"/>
      <c r="DH878" s="196"/>
      <c r="DI878" s="196"/>
      <c r="DJ878" s="196"/>
      <c r="DK878" s="196"/>
      <c r="DL878" s="196"/>
      <c r="DM878" s="196"/>
      <c r="DN878" s="196"/>
      <c r="DO878" s="196"/>
      <c r="DP878" s="196"/>
      <c r="DQ878" s="196"/>
      <c r="DR878" s="196"/>
      <c r="DS878" s="196"/>
      <c r="DT878" s="196"/>
    </row>
    <row r="879" spans="1:124" x14ac:dyDescent="0.25">
      <c r="A879" s="465"/>
      <c r="AU879" s="381">
        <v>279</v>
      </c>
      <c r="AV879" s="196" t="s">
        <v>635</v>
      </c>
      <c r="AW879" s="381" t="s">
        <v>651</v>
      </c>
      <c r="AX879" s="196"/>
      <c r="AY879" s="196"/>
      <c r="AZ879" s="196"/>
      <c r="BA879" s="196"/>
      <c r="BB879" s="196"/>
      <c r="BC879" s="196"/>
      <c r="BD879" s="196"/>
      <c r="BE879" s="196"/>
      <c r="BF879" s="196"/>
      <c r="BG879" s="196"/>
      <c r="BH879" s="196"/>
      <c r="BX879" s="196"/>
      <c r="BY879" s="196"/>
      <c r="BZ879" s="196"/>
      <c r="CA879" s="196"/>
      <c r="CB879" s="196"/>
      <c r="CC879" s="196"/>
      <c r="CD879" s="196"/>
      <c r="CE879" s="196"/>
      <c r="CF879" s="196"/>
      <c r="CG879" s="196"/>
      <c r="CH879" s="196"/>
      <c r="CI879" s="196"/>
      <c r="CJ879" s="196"/>
      <c r="CK879" s="196"/>
      <c r="CL879" s="196"/>
      <c r="CM879" s="196"/>
      <c r="CN879" s="196"/>
      <c r="CO879" s="196"/>
      <c r="CP879" s="196"/>
      <c r="CQ879" s="196"/>
      <c r="CR879" s="196"/>
      <c r="CS879" s="196"/>
      <c r="CT879" s="196"/>
      <c r="CU879" s="196"/>
      <c r="CV879" s="196"/>
      <c r="CW879" s="196"/>
      <c r="CX879" s="196"/>
      <c r="CY879" s="196"/>
      <c r="CZ879" s="196"/>
      <c r="DA879" s="196"/>
      <c r="DB879" s="196"/>
      <c r="DC879" s="196"/>
      <c r="DD879" s="196"/>
      <c r="DE879" s="196"/>
      <c r="DF879" s="196"/>
      <c r="DG879" s="196"/>
      <c r="DH879" s="196"/>
      <c r="DI879" s="196"/>
      <c r="DJ879" s="196"/>
      <c r="DK879" s="196"/>
      <c r="DL879" s="196"/>
      <c r="DM879" s="196"/>
      <c r="DN879" s="196"/>
      <c r="DO879" s="196"/>
      <c r="DP879" s="196"/>
      <c r="DQ879" s="196"/>
      <c r="DR879" s="196"/>
      <c r="DS879" s="196"/>
      <c r="DT879" s="196"/>
    </row>
    <row r="880" spans="1:124" x14ac:dyDescent="0.25">
      <c r="A880" s="465"/>
      <c r="AU880" s="381">
        <v>280</v>
      </c>
      <c r="AV880" s="196" t="s">
        <v>635</v>
      </c>
      <c r="AW880" s="381" t="s">
        <v>651</v>
      </c>
      <c r="AX880" s="196"/>
      <c r="AY880" s="196"/>
      <c r="AZ880" s="196"/>
      <c r="BA880" s="196"/>
      <c r="BB880" s="196"/>
      <c r="BC880" s="196"/>
      <c r="BD880" s="196"/>
      <c r="BE880" s="196"/>
      <c r="BF880" s="196"/>
      <c r="BG880" s="196"/>
      <c r="BH880" s="196"/>
      <c r="BX880" s="196"/>
      <c r="BY880" s="196"/>
      <c r="BZ880" s="196"/>
      <c r="CA880" s="196"/>
      <c r="CB880" s="196"/>
      <c r="CC880" s="196"/>
      <c r="CD880" s="196"/>
      <c r="CE880" s="196"/>
      <c r="CF880" s="196"/>
      <c r="CG880" s="196"/>
      <c r="CH880" s="196"/>
      <c r="CI880" s="196"/>
      <c r="CJ880" s="196"/>
      <c r="CK880" s="196"/>
      <c r="CL880" s="196"/>
      <c r="CM880" s="196"/>
      <c r="CN880" s="196"/>
      <c r="CO880" s="196"/>
      <c r="CP880" s="196"/>
      <c r="CQ880" s="196"/>
      <c r="CR880" s="196"/>
      <c r="CS880" s="196"/>
      <c r="CT880" s="196"/>
      <c r="CU880" s="196"/>
      <c r="CV880" s="196"/>
      <c r="CW880" s="196"/>
      <c r="CX880" s="196"/>
      <c r="CY880" s="196"/>
      <c r="CZ880" s="196"/>
      <c r="DA880" s="196"/>
      <c r="DB880" s="196"/>
      <c r="DC880" s="196"/>
      <c r="DD880" s="196"/>
      <c r="DE880" s="196"/>
      <c r="DF880" s="196"/>
      <c r="DG880" s="196"/>
      <c r="DH880" s="196"/>
      <c r="DI880" s="196"/>
      <c r="DJ880" s="196"/>
      <c r="DK880" s="196"/>
      <c r="DL880" s="196"/>
      <c r="DM880" s="196"/>
      <c r="DN880" s="196"/>
      <c r="DO880" s="196"/>
      <c r="DP880" s="196"/>
      <c r="DQ880" s="196"/>
      <c r="DR880" s="196"/>
      <c r="DS880" s="196"/>
      <c r="DT880" s="196"/>
    </row>
    <row r="881" spans="1:124" x14ac:dyDescent="0.25">
      <c r="A881" s="465"/>
      <c r="AU881" s="381">
        <v>281</v>
      </c>
      <c r="AV881" s="196" t="s">
        <v>635</v>
      </c>
      <c r="AW881" s="381" t="s">
        <v>651</v>
      </c>
      <c r="AX881" s="196"/>
      <c r="AY881" s="196"/>
      <c r="AZ881" s="196"/>
      <c r="BA881" s="196"/>
      <c r="BB881" s="196"/>
      <c r="BC881" s="196"/>
      <c r="BD881" s="196"/>
      <c r="BE881" s="196"/>
      <c r="BF881" s="196"/>
      <c r="BG881" s="196"/>
      <c r="BH881" s="196"/>
      <c r="BX881" s="196"/>
      <c r="BY881" s="196"/>
      <c r="BZ881" s="196"/>
      <c r="CA881" s="196"/>
      <c r="CB881" s="196"/>
      <c r="CC881" s="196"/>
      <c r="CD881" s="196"/>
      <c r="CE881" s="196"/>
      <c r="CF881" s="196"/>
      <c r="CG881" s="196"/>
      <c r="CH881" s="196"/>
      <c r="CI881" s="196"/>
      <c r="CJ881" s="196"/>
      <c r="CK881" s="196"/>
      <c r="CL881" s="196"/>
      <c r="CM881" s="196"/>
      <c r="CN881" s="196"/>
      <c r="CO881" s="196"/>
      <c r="CP881" s="196"/>
      <c r="CQ881" s="196"/>
      <c r="CR881" s="196"/>
      <c r="CS881" s="196"/>
      <c r="CT881" s="196"/>
      <c r="CU881" s="196"/>
      <c r="CV881" s="196"/>
      <c r="CW881" s="196"/>
      <c r="CX881" s="196"/>
      <c r="CY881" s="196"/>
      <c r="CZ881" s="196"/>
      <c r="DA881" s="196"/>
      <c r="DB881" s="196"/>
      <c r="DC881" s="196"/>
      <c r="DD881" s="196"/>
      <c r="DE881" s="196"/>
      <c r="DF881" s="196"/>
      <c r="DG881" s="196"/>
      <c r="DH881" s="196"/>
      <c r="DI881" s="196"/>
      <c r="DJ881" s="196"/>
      <c r="DK881" s="196"/>
      <c r="DL881" s="196"/>
      <c r="DM881" s="196"/>
      <c r="DN881" s="196"/>
      <c r="DO881" s="196"/>
      <c r="DP881" s="196"/>
      <c r="DQ881" s="196"/>
      <c r="DR881" s="196"/>
      <c r="DS881" s="196"/>
      <c r="DT881" s="196"/>
    </row>
    <row r="882" spans="1:124" x14ac:dyDescent="0.25">
      <c r="A882" s="465"/>
      <c r="AU882" s="381">
        <v>282</v>
      </c>
      <c r="AV882" s="196" t="s">
        <v>635</v>
      </c>
      <c r="AW882" s="381" t="s">
        <v>651</v>
      </c>
      <c r="AX882" s="196"/>
      <c r="AY882" s="196"/>
      <c r="AZ882" s="196"/>
      <c r="BA882" s="196"/>
      <c r="BB882" s="196"/>
      <c r="BC882" s="196"/>
      <c r="BD882" s="196"/>
      <c r="BE882" s="196"/>
      <c r="BF882" s="196"/>
      <c r="BG882" s="196"/>
      <c r="BH882" s="196"/>
      <c r="BX882" s="196"/>
      <c r="BY882" s="196"/>
      <c r="BZ882" s="196"/>
      <c r="CA882" s="196"/>
      <c r="CB882" s="196"/>
      <c r="CC882" s="196"/>
      <c r="CD882" s="196"/>
      <c r="CE882" s="196"/>
      <c r="CF882" s="196"/>
      <c r="CG882" s="196"/>
      <c r="CH882" s="196"/>
      <c r="CI882" s="196"/>
      <c r="CJ882" s="196"/>
      <c r="CK882" s="196"/>
      <c r="CL882" s="196"/>
      <c r="CM882" s="196"/>
      <c r="CN882" s="196"/>
      <c r="CO882" s="196"/>
      <c r="CP882" s="196"/>
      <c r="CQ882" s="196"/>
      <c r="CR882" s="196"/>
      <c r="CS882" s="196"/>
      <c r="CT882" s="196"/>
      <c r="CU882" s="196"/>
      <c r="CV882" s="196"/>
      <c r="CW882" s="196"/>
      <c r="CX882" s="196"/>
      <c r="CY882" s="196"/>
      <c r="CZ882" s="196"/>
      <c r="DA882" s="196"/>
      <c r="DB882" s="196"/>
      <c r="DC882" s="196"/>
      <c r="DD882" s="196"/>
      <c r="DE882" s="196"/>
      <c r="DF882" s="196"/>
      <c r="DG882" s="196"/>
      <c r="DH882" s="196"/>
      <c r="DI882" s="196"/>
      <c r="DJ882" s="196"/>
      <c r="DK882" s="196"/>
      <c r="DL882" s="196"/>
      <c r="DM882" s="196"/>
      <c r="DN882" s="196"/>
      <c r="DO882" s="196"/>
      <c r="DP882" s="196"/>
      <c r="DQ882" s="196"/>
      <c r="DR882" s="196"/>
      <c r="DS882" s="196"/>
      <c r="DT882" s="196"/>
    </row>
    <row r="883" spans="1:124" x14ac:dyDescent="0.25">
      <c r="A883" s="465"/>
      <c r="AU883" s="381">
        <v>302</v>
      </c>
      <c r="AV883" s="196" t="s">
        <v>635</v>
      </c>
      <c r="AW883" s="381" t="s">
        <v>651</v>
      </c>
      <c r="AX883" s="196"/>
      <c r="AY883" s="196"/>
      <c r="AZ883" s="196"/>
      <c r="BA883" s="196"/>
      <c r="BB883" s="196"/>
      <c r="BC883" s="196"/>
      <c r="BD883" s="196"/>
      <c r="BE883" s="196"/>
      <c r="BF883" s="196"/>
      <c r="BG883" s="196"/>
      <c r="BH883" s="196"/>
      <c r="BX883" s="196"/>
      <c r="BY883" s="196"/>
      <c r="BZ883" s="196"/>
      <c r="CA883" s="196"/>
      <c r="CB883" s="196"/>
      <c r="CC883" s="196"/>
      <c r="CD883" s="196"/>
      <c r="CE883" s="196"/>
      <c r="CF883" s="196"/>
      <c r="CG883" s="196"/>
      <c r="CH883" s="196"/>
      <c r="CI883" s="196"/>
      <c r="CJ883" s="196"/>
      <c r="CK883" s="196"/>
      <c r="CL883" s="196"/>
      <c r="CM883" s="196"/>
      <c r="CN883" s="196"/>
      <c r="CO883" s="196"/>
      <c r="CP883" s="196"/>
      <c r="CQ883" s="196"/>
      <c r="CR883" s="196"/>
      <c r="CS883" s="196"/>
      <c r="CT883" s="196"/>
      <c r="CU883" s="196"/>
      <c r="CV883" s="196"/>
      <c r="CW883" s="196"/>
      <c r="CX883" s="196"/>
      <c r="CY883" s="196"/>
      <c r="CZ883" s="196"/>
      <c r="DA883" s="196"/>
      <c r="DB883" s="196"/>
      <c r="DC883" s="196"/>
      <c r="DD883" s="196"/>
      <c r="DE883" s="196"/>
      <c r="DF883" s="196"/>
      <c r="DG883" s="196"/>
      <c r="DH883" s="196"/>
      <c r="DI883" s="196"/>
      <c r="DJ883" s="196"/>
      <c r="DK883" s="196"/>
      <c r="DL883" s="196"/>
      <c r="DM883" s="196"/>
      <c r="DN883" s="196"/>
      <c r="DO883" s="196"/>
      <c r="DP883" s="196"/>
      <c r="DQ883" s="196"/>
      <c r="DR883" s="196"/>
      <c r="DS883" s="196"/>
      <c r="DT883" s="196"/>
    </row>
    <row r="884" spans="1:124" x14ac:dyDescent="0.25">
      <c r="A884" s="465"/>
      <c r="AU884" s="381">
        <v>304</v>
      </c>
      <c r="AV884" s="196" t="s">
        <v>635</v>
      </c>
      <c r="AW884" s="381" t="s">
        <v>651</v>
      </c>
      <c r="AX884" s="196"/>
      <c r="AY884" s="196"/>
      <c r="AZ884" s="196"/>
      <c r="BA884" s="196"/>
      <c r="BB884" s="196"/>
      <c r="BC884" s="196"/>
      <c r="BD884" s="196"/>
      <c r="BE884" s="196"/>
      <c r="BF884" s="196"/>
      <c r="BG884" s="196"/>
      <c r="BH884" s="196"/>
      <c r="BX884" s="196"/>
      <c r="BY884" s="196"/>
      <c r="BZ884" s="196"/>
      <c r="CA884" s="196"/>
      <c r="CB884" s="196"/>
      <c r="CC884" s="196"/>
      <c r="CD884" s="196"/>
      <c r="CE884" s="196"/>
      <c r="CF884" s="196"/>
      <c r="CG884" s="196"/>
      <c r="CH884" s="196"/>
      <c r="CI884" s="196"/>
      <c r="CJ884" s="196"/>
      <c r="CK884" s="196"/>
      <c r="CL884" s="196"/>
      <c r="CM884" s="196"/>
      <c r="CN884" s="196"/>
      <c r="CO884" s="196"/>
      <c r="CP884" s="196"/>
      <c r="CQ884" s="196"/>
      <c r="CR884" s="196"/>
      <c r="CS884" s="196"/>
      <c r="CT884" s="196"/>
      <c r="CU884" s="196"/>
      <c r="CV884" s="196"/>
      <c r="CW884" s="196"/>
      <c r="CX884" s="196"/>
      <c r="CY884" s="196"/>
      <c r="CZ884" s="196"/>
      <c r="DA884" s="196"/>
      <c r="DB884" s="196"/>
      <c r="DC884" s="196"/>
      <c r="DD884" s="196"/>
      <c r="DE884" s="196"/>
      <c r="DF884" s="196"/>
      <c r="DG884" s="196"/>
      <c r="DH884" s="196"/>
      <c r="DI884" s="196"/>
      <c r="DJ884" s="196"/>
      <c r="DK884" s="196"/>
      <c r="DL884" s="196"/>
      <c r="DM884" s="196"/>
      <c r="DN884" s="196"/>
      <c r="DO884" s="196"/>
      <c r="DP884" s="196"/>
      <c r="DQ884" s="196"/>
      <c r="DR884" s="196"/>
      <c r="DS884" s="196"/>
      <c r="DT884" s="196"/>
    </row>
    <row r="885" spans="1:124" x14ac:dyDescent="0.25">
      <c r="A885" s="465"/>
      <c r="AU885" s="381">
        <v>392</v>
      </c>
      <c r="AV885" s="196" t="s">
        <v>635</v>
      </c>
      <c r="AW885" s="381" t="s">
        <v>651</v>
      </c>
      <c r="AX885" s="196"/>
      <c r="AY885" s="196"/>
      <c r="AZ885" s="196"/>
      <c r="BA885" s="196"/>
      <c r="BB885" s="196"/>
      <c r="BC885" s="196"/>
      <c r="BD885" s="196"/>
      <c r="BE885" s="196"/>
      <c r="BF885" s="196"/>
      <c r="BG885" s="196"/>
      <c r="BH885" s="196"/>
      <c r="BX885" s="196"/>
      <c r="BY885" s="196"/>
      <c r="BZ885" s="196"/>
      <c r="CA885" s="196"/>
      <c r="CB885" s="196"/>
      <c r="CC885" s="196"/>
      <c r="CD885" s="196"/>
      <c r="CE885" s="196"/>
      <c r="CF885" s="196"/>
      <c r="CG885" s="196"/>
      <c r="CH885" s="196"/>
      <c r="CI885" s="196"/>
      <c r="CJ885" s="196"/>
      <c r="CK885" s="196"/>
      <c r="CL885" s="196"/>
      <c r="CM885" s="196"/>
      <c r="CN885" s="196"/>
      <c r="CO885" s="196"/>
      <c r="CP885" s="196"/>
      <c r="CQ885" s="196"/>
      <c r="CR885" s="196"/>
      <c r="CS885" s="196"/>
      <c r="CT885" s="196"/>
      <c r="CU885" s="196"/>
      <c r="CV885" s="196"/>
      <c r="CW885" s="196"/>
      <c r="CX885" s="196"/>
      <c r="CY885" s="196"/>
      <c r="CZ885" s="196"/>
      <c r="DA885" s="196"/>
      <c r="DB885" s="196"/>
      <c r="DC885" s="196"/>
      <c r="DD885" s="196"/>
      <c r="DE885" s="196"/>
      <c r="DF885" s="196"/>
      <c r="DG885" s="196"/>
      <c r="DH885" s="196"/>
      <c r="DI885" s="196"/>
      <c r="DJ885" s="196"/>
      <c r="DK885" s="196"/>
      <c r="DL885" s="196"/>
      <c r="DM885" s="196"/>
      <c r="DN885" s="196"/>
      <c r="DO885" s="196"/>
      <c r="DP885" s="196"/>
      <c r="DQ885" s="196"/>
      <c r="DR885" s="196"/>
      <c r="DS885" s="196"/>
      <c r="DT885" s="196"/>
    </row>
    <row r="886" spans="1:124" x14ac:dyDescent="0.25">
      <c r="A886" s="465"/>
      <c r="AU886" s="381">
        <v>396</v>
      </c>
      <c r="AV886" s="196" t="s">
        <v>635</v>
      </c>
      <c r="AW886" s="381" t="s">
        <v>636</v>
      </c>
      <c r="AX886" s="196"/>
      <c r="AY886" s="196"/>
      <c r="AZ886" s="196"/>
      <c r="BA886" s="196"/>
      <c r="BB886" s="196"/>
      <c r="BC886" s="196"/>
      <c r="BD886" s="196"/>
      <c r="BE886" s="196"/>
      <c r="BF886" s="196"/>
      <c r="BG886" s="196"/>
      <c r="BH886" s="196"/>
      <c r="BX886" s="196"/>
      <c r="BY886" s="196"/>
      <c r="BZ886" s="196"/>
      <c r="CA886" s="196"/>
      <c r="CB886" s="196"/>
      <c r="CC886" s="196"/>
      <c r="CD886" s="196"/>
      <c r="CE886" s="196"/>
      <c r="CF886" s="196"/>
      <c r="CG886" s="196"/>
      <c r="CH886" s="196"/>
      <c r="CI886" s="196"/>
      <c r="CJ886" s="196"/>
      <c r="CK886" s="196"/>
      <c r="CL886" s="196"/>
      <c r="CM886" s="196"/>
      <c r="CN886" s="196"/>
      <c r="CO886" s="196"/>
      <c r="CP886" s="196"/>
      <c r="CQ886" s="196"/>
      <c r="CR886" s="196"/>
      <c r="CS886" s="196"/>
      <c r="CT886" s="196"/>
      <c r="CU886" s="196"/>
      <c r="CV886" s="196"/>
      <c r="CW886" s="196"/>
      <c r="CX886" s="196"/>
      <c r="CY886" s="196"/>
      <c r="CZ886" s="196"/>
      <c r="DA886" s="196"/>
      <c r="DB886" s="196"/>
      <c r="DC886" s="196"/>
      <c r="DD886" s="196"/>
      <c r="DE886" s="196"/>
      <c r="DF886" s="196"/>
      <c r="DG886" s="196"/>
      <c r="DH886" s="196"/>
      <c r="DI886" s="196"/>
      <c r="DJ886" s="196"/>
      <c r="DK886" s="196"/>
      <c r="DL886" s="196"/>
      <c r="DM886" s="196"/>
      <c r="DN886" s="196"/>
      <c r="DO886" s="196"/>
      <c r="DP886" s="196"/>
      <c r="DQ886" s="196"/>
      <c r="DR886" s="196"/>
      <c r="DS886" s="196"/>
      <c r="DT886" s="196"/>
    </row>
    <row r="887" spans="1:124" x14ac:dyDescent="0.25">
      <c r="A887" s="465"/>
      <c r="AU887" s="381">
        <v>405</v>
      </c>
      <c r="AV887" s="196" t="s">
        <v>635</v>
      </c>
      <c r="AW887" s="381" t="s">
        <v>636</v>
      </c>
      <c r="AX887" s="196"/>
      <c r="AY887" s="196"/>
      <c r="AZ887" s="196"/>
      <c r="BA887" s="196"/>
      <c r="BB887" s="196"/>
      <c r="BC887" s="196"/>
      <c r="BD887" s="196"/>
      <c r="BE887" s="196"/>
      <c r="BF887" s="196"/>
      <c r="BG887" s="196"/>
      <c r="BH887" s="196"/>
      <c r="BX887" s="196"/>
      <c r="BY887" s="196"/>
      <c r="BZ887" s="196"/>
      <c r="CA887" s="196"/>
      <c r="CB887" s="196"/>
      <c r="CC887" s="196"/>
      <c r="CD887" s="196"/>
      <c r="CE887" s="196"/>
      <c r="CF887" s="196"/>
      <c r="CG887" s="196"/>
      <c r="CH887" s="196"/>
      <c r="CI887" s="196"/>
      <c r="CJ887" s="196"/>
      <c r="CK887" s="196"/>
      <c r="CL887" s="196"/>
      <c r="CM887" s="196"/>
      <c r="CN887" s="196"/>
      <c r="CO887" s="196"/>
      <c r="CP887" s="196"/>
      <c r="CQ887" s="196"/>
      <c r="CR887" s="196"/>
      <c r="CS887" s="196"/>
      <c r="CT887" s="196"/>
      <c r="CU887" s="196"/>
      <c r="CV887" s="196"/>
      <c r="CW887" s="196"/>
      <c r="CX887" s="196"/>
      <c r="CY887" s="196"/>
      <c r="CZ887" s="196"/>
      <c r="DA887" s="196"/>
      <c r="DB887" s="196"/>
      <c r="DC887" s="196"/>
      <c r="DD887" s="196"/>
      <c r="DE887" s="196"/>
      <c r="DF887" s="196"/>
      <c r="DG887" s="196"/>
      <c r="DH887" s="196"/>
      <c r="DI887" s="196"/>
      <c r="DJ887" s="196"/>
      <c r="DK887" s="196"/>
      <c r="DL887" s="196"/>
      <c r="DM887" s="196"/>
      <c r="DN887" s="196"/>
      <c r="DO887" s="196"/>
      <c r="DP887" s="196"/>
      <c r="DQ887" s="196"/>
      <c r="DR887" s="196"/>
      <c r="DS887" s="196"/>
      <c r="DT887" s="196"/>
    </row>
    <row r="888" spans="1:124" x14ac:dyDescent="0.25">
      <c r="A888" s="465"/>
      <c r="AU888" s="381">
        <v>411</v>
      </c>
      <c r="AV888" s="196" t="s">
        <v>635</v>
      </c>
      <c r="AW888" s="381" t="s">
        <v>651</v>
      </c>
      <c r="AX888" s="196"/>
      <c r="AY888" s="196"/>
      <c r="AZ888" s="196"/>
      <c r="BA888" s="196"/>
      <c r="BB888" s="196"/>
      <c r="BC888" s="196"/>
      <c r="BD888" s="196"/>
      <c r="BE888" s="196"/>
      <c r="BF888" s="196"/>
      <c r="BG888" s="196"/>
      <c r="BH888" s="196"/>
      <c r="BX888" s="196"/>
      <c r="BY888" s="196"/>
      <c r="BZ888" s="196"/>
      <c r="CA888" s="196"/>
      <c r="CB888" s="196"/>
      <c r="CC888" s="196"/>
      <c r="CD888" s="196"/>
      <c r="CE888" s="196"/>
      <c r="CF888" s="196"/>
      <c r="CG888" s="196"/>
      <c r="CH888" s="196"/>
      <c r="CI888" s="196"/>
      <c r="CJ888" s="196"/>
      <c r="CK888" s="196"/>
      <c r="CL888" s="196"/>
      <c r="CM888" s="196"/>
      <c r="CN888" s="196"/>
      <c r="CO888" s="196"/>
      <c r="CP888" s="196"/>
      <c r="CQ888" s="196"/>
      <c r="CR888" s="196"/>
      <c r="CS888" s="196"/>
      <c r="CT888" s="196"/>
      <c r="CU888" s="196"/>
      <c r="CV888" s="196"/>
      <c r="CW888" s="196"/>
      <c r="CX888" s="196"/>
      <c r="CY888" s="196"/>
      <c r="CZ888" s="196"/>
      <c r="DA888" s="196"/>
      <c r="DB888" s="196"/>
      <c r="DC888" s="196"/>
      <c r="DD888" s="196"/>
      <c r="DE888" s="196"/>
      <c r="DF888" s="196"/>
      <c r="DG888" s="196"/>
      <c r="DH888" s="196"/>
      <c r="DI888" s="196"/>
      <c r="DJ888" s="196"/>
      <c r="DK888" s="196"/>
      <c r="DL888" s="196"/>
      <c r="DM888" s="196"/>
      <c r="DN888" s="196"/>
      <c r="DO888" s="196"/>
      <c r="DP888" s="196"/>
      <c r="DQ888" s="196"/>
      <c r="DR888" s="196"/>
      <c r="DS888" s="196"/>
      <c r="DT888" s="196"/>
    </row>
    <row r="889" spans="1:124" x14ac:dyDescent="0.25">
      <c r="A889" s="465"/>
      <c r="AU889" s="381">
        <v>414</v>
      </c>
      <c r="AV889" s="196" t="s">
        <v>635</v>
      </c>
      <c r="AW889" s="381" t="s">
        <v>651</v>
      </c>
      <c r="AX889" s="196"/>
      <c r="AY889" s="196"/>
      <c r="AZ889" s="196"/>
      <c r="BA889" s="196"/>
      <c r="BB889" s="196"/>
      <c r="BC889" s="196"/>
      <c r="BD889" s="196"/>
      <c r="BE889" s="196"/>
      <c r="BF889" s="196"/>
      <c r="BG889" s="196"/>
      <c r="BH889" s="196"/>
      <c r="BX889" s="196"/>
      <c r="BY889" s="196"/>
      <c r="BZ889" s="196"/>
      <c r="CA889" s="196"/>
      <c r="CB889" s="196"/>
      <c r="CC889" s="196"/>
      <c r="CD889" s="196"/>
      <c r="CE889" s="196"/>
      <c r="CF889" s="196"/>
      <c r="CG889" s="196"/>
      <c r="CH889" s="196"/>
      <c r="CI889" s="196"/>
      <c r="CJ889" s="196"/>
      <c r="CK889" s="196"/>
      <c r="CL889" s="196"/>
      <c r="CM889" s="196"/>
      <c r="CN889" s="196"/>
      <c r="CO889" s="196"/>
      <c r="CP889" s="196"/>
      <c r="CQ889" s="196"/>
      <c r="CR889" s="196"/>
      <c r="CS889" s="196"/>
      <c r="CT889" s="196"/>
      <c r="CU889" s="196"/>
      <c r="CV889" s="196"/>
      <c r="CW889" s="196"/>
      <c r="CX889" s="196"/>
      <c r="CY889" s="196"/>
      <c r="CZ889" s="196"/>
      <c r="DA889" s="196"/>
      <c r="DB889" s="196"/>
      <c r="DC889" s="196"/>
      <c r="DD889" s="196"/>
      <c r="DE889" s="196"/>
      <c r="DF889" s="196"/>
      <c r="DG889" s="196"/>
      <c r="DH889" s="196"/>
      <c r="DI889" s="196"/>
      <c r="DJ889" s="196"/>
      <c r="DK889" s="196"/>
      <c r="DL889" s="196"/>
      <c r="DM889" s="196"/>
      <c r="DN889" s="196"/>
      <c r="DO889" s="196"/>
      <c r="DP889" s="196"/>
      <c r="DQ889" s="196"/>
      <c r="DR889" s="196"/>
      <c r="DS889" s="196"/>
      <c r="DT889" s="196"/>
    </row>
    <row r="890" spans="1:124" x14ac:dyDescent="0.25">
      <c r="A890" s="465"/>
      <c r="AU890" s="381">
        <v>452</v>
      </c>
      <c r="AV890" s="196" t="s">
        <v>635</v>
      </c>
      <c r="AW890" s="381" t="s">
        <v>636</v>
      </c>
      <c r="AX890" s="196"/>
      <c r="AY890" s="196"/>
      <c r="AZ890" s="196"/>
      <c r="BA890" s="196"/>
      <c r="BB890" s="196"/>
      <c r="BC890" s="196"/>
      <c r="BD890" s="196"/>
      <c r="BE890" s="196"/>
      <c r="BF890" s="196"/>
      <c r="BG890" s="196"/>
      <c r="BH890" s="196"/>
      <c r="BX890" s="196"/>
      <c r="BY890" s="196"/>
      <c r="BZ890" s="196"/>
      <c r="CA890" s="196"/>
      <c r="CB890" s="196"/>
      <c r="CC890" s="196"/>
      <c r="CD890" s="196"/>
      <c r="CE890" s="196"/>
      <c r="CF890" s="196"/>
      <c r="CG890" s="196"/>
      <c r="CH890" s="196"/>
      <c r="CI890" s="196"/>
      <c r="CJ890" s="196"/>
      <c r="CK890" s="196"/>
      <c r="CL890" s="196"/>
      <c r="CM890" s="196"/>
      <c r="CN890" s="196"/>
      <c r="CO890" s="196"/>
      <c r="CP890" s="196"/>
      <c r="CQ890" s="196"/>
      <c r="CR890" s="196"/>
      <c r="CS890" s="196"/>
      <c r="CT890" s="196"/>
      <c r="CU890" s="196"/>
      <c r="CV890" s="196"/>
      <c r="CW890" s="196"/>
      <c r="CX890" s="196"/>
      <c r="CY890" s="196"/>
      <c r="CZ890" s="196"/>
      <c r="DA890" s="196"/>
      <c r="DB890" s="196"/>
      <c r="DC890" s="196"/>
      <c r="DD890" s="196"/>
      <c r="DE890" s="196"/>
      <c r="DF890" s="196"/>
      <c r="DG890" s="196"/>
      <c r="DH890" s="196"/>
      <c r="DI890" s="196"/>
      <c r="DJ890" s="196"/>
      <c r="DK890" s="196"/>
      <c r="DL890" s="196"/>
      <c r="DM890" s="196"/>
      <c r="DN890" s="196"/>
      <c r="DO890" s="196"/>
      <c r="DP890" s="196"/>
      <c r="DQ890" s="196"/>
      <c r="DR890" s="196"/>
      <c r="DS890" s="196"/>
      <c r="DT890" s="196"/>
    </row>
    <row r="891" spans="1:124" x14ac:dyDescent="0.25">
      <c r="A891" s="465"/>
      <c r="AU891" s="381">
        <v>471</v>
      </c>
      <c r="AV891" s="196" t="s">
        <v>635</v>
      </c>
      <c r="AW891" s="381" t="s">
        <v>651</v>
      </c>
      <c r="AX891" s="196"/>
      <c r="AY891" s="196"/>
      <c r="AZ891" s="196"/>
      <c r="BA891" s="196"/>
      <c r="BB891" s="196"/>
      <c r="BC891" s="196"/>
      <c r="BD891" s="196"/>
      <c r="BE891" s="196"/>
      <c r="BF891" s="196"/>
      <c r="BG891" s="196"/>
      <c r="BH891" s="196"/>
      <c r="BX891" s="196"/>
      <c r="BY891" s="196"/>
      <c r="BZ891" s="196"/>
      <c r="CA891" s="196"/>
      <c r="CB891" s="196"/>
      <c r="CC891" s="196"/>
      <c r="CD891" s="196"/>
      <c r="CE891" s="196"/>
      <c r="CF891" s="196"/>
      <c r="CG891" s="196"/>
      <c r="CH891" s="196"/>
      <c r="CI891" s="196"/>
      <c r="CJ891" s="196"/>
      <c r="CK891" s="196"/>
      <c r="CL891" s="196"/>
      <c r="CM891" s="196"/>
      <c r="CN891" s="196"/>
      <c r="CO891" s="196"/>
      <c r="CP891" s="196"/>
      <c r="CQ891" s="196"/>
      <c r="CR891" s="196"/>
      <c r="CS891" s="196"/>
      <c r="CT891" s="196"/>
      <c r="CU891" s="196"/>
      <c r="CV891" s="196"/>
      <c r="CW891" s="196"/>
      <c r="CX891" s="196"/>
      <c r="CY891" s="196"/>
      <c r="CZ891" s="196"/>
      <c r="DA891" s="196"/>
      <c r="DB891" s="196"/>
      <c r="DC891" s="196"/>
      <c r="DD891" s="196"/>
      <c r="DE891" s="196"/>
      <c r="DF891" s="196"/>
      <c r="DG891" s="196"/>
      <c r="DH891" s="196"/>
      <c r="DI891" s="196"/>
      <c r="DJ891" s="196"/>
      <c r="DK891" s="196"/>
      <c r="DL891" s="196"/>
      <c r="DM891" s="196"/>
      <c r="DN891" s="196"/>
      <c r="DO891" s="196"/>
      <c r="DP891" s="196"/>
      <c r="DQ891" s="196"/>
      <c r="DR891" s="196"/>
      <c r="DS891" s="196"/>
      <c r="DT891" s="196"/>
    </row>
    <row r="892" spans="1:124" x14ac:dyDescent="0.25">
      <c r="A892" s="465"/>
      <c r="AU892" s="381">
        <v>478</v>
      </c>
      <c r="AV892" s="196" t="s">
        <v>635</v>
      </c>
      <c r="AW892" s="381" t="s">
        <v>651</v>
      </c>
      <c r="AX892" s="196"/>
      <c r="AY892" s="196"/>
      <c r="AZ892" s="196"/>
      <c r="BA892" s="196"/>
      <c r="BB892" s="196"/>
      <c r="BC892" s="196"/>
      <c r="BD892" s="196"/>
      <c r="BE892" s="196"/>
      <c r="BF892" s="196"/>
      <c r="BG892" s="196"/>
      <c r="BH892" s="196"/>
      <c r="BX892" s="196"/>
      <c r="BY892" s="196"/>
      <c r="BZ892" s="196"/>
      <c r="CA892" s="196"/>
      <c r="CB892" s="196"/>
      <c r="CC892" s="196"/>
      <c r="CD892" s="196"/>
      <c r="CE892" s="196"/>
      <c r="CF892" s="196"/>
      <c r="CG892" s="196"/>
      <c r="CH892" s="196"/>
      <c r="CI892" s="196"/>
      <c r="CJ892" s="196"/>
      <c r="CK892" s="196"/>
      <c r="CL892" s="196"/>
      <c r="CM892" s="196"/>
      <c r="CN892" s="196"/>
      <c r="CO892" s="196"/>
      <c r="CP892" s="196"/>
      <c r="CQ892" s="196"/>
      <c r="CR892" s="196"/>
      <c r="CS892" s="196"/>
      <c r="CT892" s="196"/>
      <c r="CU892" s="196"/>
      <c r="CV892" s="196"/>
      <c r="CW892" s="196"/>
      <c r="CX892" s="196"/>
      <c r="CY892" s="196"/>
      <c r="CZ892" s="196"/>
      <c r="DA892" s="196"/>
      <c r="DB892" s="196"/>
      <c r="DC892" s="196"/>
      <c r="DD892" s="196"/>
      <c r="DE892" s="196"/>
      <c r="DF892" s="196"/>
      <c r="DG892" s="196"/>
      <c r="DH892" s="196"/>
      <c r="DI892" s="196"/>
      <c r="DJ892" s="196"/>
      <c r="DK892" s="196"/>
      <c r="DL892" s="196"/>
      <c r="DM892" s="196"/>
      <c r="DN892" s="196"/>
      <c r="DO892" s="196"/>
      <c r="DP892" s="196"/>
      <c r="DQ892" s="196"/>
      <c r="DR892" s="196"/>
      <c r="DS892" s="196"/>
      <c r="DT892" s="196"/>
    </row>
    <row r="893" spans="1:124" x14ac:dyDescent="0.25">
      <c r="A893" s="465"/>
      <c r="AU893" s="381">
        <v>500</v>
      </c>
      <c r="AV893" s="196" t="s">
        <v>635</v>
      </c>
      <c r="AW893" s="381" t="s">
        <v>636</v>
      </c>
      <c r="AX893" s="196"/>
      <c r="AY893" s="196"/>
      <c r="AZ893" s="196"/>
      <c r="BA893" s="196"/>
      <c r="BB893" s="196"/>
      <c r="BC893" s="196"/>
      <c r="BD893" s="196"/>
      <c r="BE893" s="196"/>
      <c r="BF893" s="196"/>
      <c r="BG893" s="196"/>
      <c r="BH893" s="196"/>
      <c r="BX893" s="196"/>
      <c r="BY893" s="196"/>
      <c r="BZ893" s="196"/>
      <c r="CA893" s="196"/>
      <c r="CB893" s="196"/>
      <c r="CC893" s="196"/>
      <c r="CD893" s="196"/>
      <c r="CE893" s="196"/>
      <c r="CF893" s="196"/>
      <c r="CG893" s="196"/>
      <c r="CH893" s="196"/>
      <c r="CI893" s="196"/>
      <c r="CJ893" s="196"/>
      <c r="CK893" s="196"/>
      <c r="CL893" s="196"/>
      <c r="CM893" s="196"/>
      <c r="CN893" s="196"/>
      <c r="CO893" s="196"/>
      <c r="CP893" s="196"/>
      <c r="CQ893" s="196"/>
      <c r="CR893" s="196"/>
      <c r="CS893" s="196"/>
      <c r="CT893" s="196"/>
      <c r="CU893" s="196"/>
      <c r="CV893" s="196"/>
      <c r="CW893" s="196"/>
      <c r="CX893" s="196"/>
      <c r="CY893" s="196"/>
      <c r="CZ893" s="196"/>
      <c r="DA893" s="196"/>
      <c r="DB893" s="196"/>
      <c r="DC893" s="196"/>
      <c r="DD893" s="196"/>
      <c r="DE893" s="196"/>
      <c r="DF893" s="196"/>
      <c r="DG893" s="196"/>
      <c r="DH893" s="196"/>
      <c r="DI893" s="196"/>
      <c r="DJ893" s="196"/>
      <c r="DK893" s="196"/>
      <c r="DL893" s="196"/>
      <c r="DM893" s="196"/>
      <c r="DN893" s="196"/>
      <c r="DO893" s="196"/>
      <c r="DP893" s="196"/>
      <c r="DQ893" s="196"/>
      <c r="DR893" s="196"/>
      <c r="DS893" s="196"/>
      <c r="DT893" s="196"/>
    </row>
    <row r="894" spans="1:124" x14ac:dyDescent="0.25">
      <c r="A894" s="465"/>
      <c r="AU894" s="381">
        <v>658</v>
      </c>
      <c r="AV894" s="196" t="s">
        <v>635</v>
      </c>
      <c r="AW894" s="381" t="s">
        <v>636</v>
      </c>
      <c r="AX894" s="196"/>
      <c r="AY894" s="196"/>
      <c r="AZ894" s="196"/>
      <c r="BA894" s="196"/>
      <c r="BB894" s="196"/>
      <c r="BC894" s="196"/>
      <c r="BD894" s="196"/>
      <c r="BE894" s="196"/>
      <c r="BF894" s="196"/>
      <c r="BG894" s="196"/>
      <c r="BH894" s="196"/>
      <c r="BX894" s="196"/>
      <c r="BY894" s="196"/>
      <c r="BZ894" s="196"/>
      <c r="CA894" s="196"/>
      <c r="CB894" s="196"/>
      <c r="CC894" s="196"/>
      <c r="CD894" s="196"/>
      <c r="CE894" s="196"/>
      <c r="CF894" s="196"/>
      <c r="CG894" s="196"/>
      <c r="CH894" s="196"/>
      <c r="CI894" s="196"/>
      <c r="CJ894" s="196"/>
      <c r="CK894" s="196"/>
      <c r="CL894" s="196"/>
      <c r="CM894" s="196"/>
      <c r="CN894" s="196"/>
      <c r="CO894" s="196"/>
      <c r="CP894" s="196"/>
      <c r="CQ894" s="196"/>
      <c r="CR894" s="196"/>
      <c r="CS894" s="196"/>
      <c r="CT894" s="196"/>
      <c r="CU894" s="196"/>
      <c r="CV894" s="196"/>
      <c r="CW894" s="196"/>
      <c r="CX894" s="196"/>
      <c r="CY894" s="196"/>
      <c r="CZ894" s="196"/>
      <c r="DA894" s="196"/>
      <c r="DB894" s="196"/>
      <c r="DC894" s="196"/>
      <c r="DD894" s="196"/>
      <c r="DE894" s="196"/>
      <c r="DF894" s="196"/>
      <c r="DG894" s="196"/>
      <c r="DH894" s="196"/>
      <c r="DI894" s="196"/>
      <c r="DJ894" s="196"/>
      <c r="DK894" s="196"/>
      <c r="DL894" s="196"/>
      <c r="DM894" s="196"/>
      <c r="DN894" s="196"/>
      <c r="DO894" s="196"/>
      <c r="DP894" s="196"/>
      <c r="DQ894" s="196"/>
      <c r="DR894" s="196"/>
      <c r="DS894" s="196"/>
      <c r="DT894" s="196"/>
    </row>
    <row r="895" spans="1:124" x14ac:dyDescent="0.25">
      <c r="A895" s="465"/>
      <c r="AU895" s="381">
        <v>659</v>
      </c>
      <c r="AV895" s="196" t="s">
        <v>635</v>
      </c>
      <c r="AW895" s="381" t="s">
        <v>636</v>
      </c>
      <c r="AX895" s="196"/>
      <c r="AY895" s="196"/>
      <c r="AZ895" s="196"/>
      <c r="BA895" s="196"/>
      <c r="BB895" s="196"/>
      <c r="BC895" s="196"/>
      <c r="BD895" s="196"/>
      <c r="BE895" s="196"/>
      <c r="BF895" s="196"/>
      <c r="BG895" s="196"/>
      <c r="BH895" s="196"/>
      <c r="BX895" s="196"/>
      <c r="BY895" s="196"/>
      <c r="BZ895" s="196"/>
      <c r="CA895" s="196"/>
      <c r="CB895" s="196"/>
      <c r="CC895" s="196"/>
      <c r="CD895" s="196"/>
      <c r="CE895" s="196"/>
      <c r="CF895" s="196"/>
      <c r="CG895" s="196"/>
      <c r="CH895" s="196"/>
      <c r="CI895" s="196"/>
      <c r="CJ895" s="196"/>
      <c r="CK895" s="196"/>
      <c r="CL895" s="196"/>
      <c r="CM895" s="196"/>
      <c r="CN895" s="196"/>
      <c r="CO895" s="196"/>
      <c r="CP895" s="196"/>
      <c r="CQ895" s="196"/>
      <c r="CR895" s="196"/>
      <c r="CS895" s="196"/>
      <c r="CT895" s="196"/>
      <c r="CU895" s="196"/>
      <c r="CV895" s="196"/>
      <c r="CW895" s="196"/>
      <c r="CX895" s="196"/>
      <c r="CY895" s="196"/>
      <c r="CZ895" s="196"/>
      <c r="DA895" s="196"/>
      <c r="DB895" s="196"/>
      <c r="DC895" s="196"/>
      <c r="DD895" s="196"/>
      <c r="DE895" s="196"/>
      <c r="DF895" s="196"/>
      <c r="DG895" s="196"/>
      <c r="DH895" s="196"/>
      <c r="DI895" s="196"/>
      <c r="DJ895" s="196"/>
      <c r="DK895" s="196"/>
      <c r="DL895" s="196"/>
      <c r="DM895" s="196"/>
      <c r="DN895" s="196"/>
      <c r="DO895" s="196"/>
      <c r="DP895" s="196"/>
      <c r="DQ895" s="196"/>
      <c r="DR895" s="196"/>
      <c r="DS895" s="196"/>
      <c r="DT895" s="196"/>
    </row>
    <row r="896" spans="1:124" x14ac:dyDescent="0.25">
      <c r="A896" s="465"/>
      <c r="AU896" s="381">
        <v>661</v>
      </c>
      <c r="AV896" s="196" t="s">
        <v>635</v>
      </c>
      <c r="AW896" s="381" t="s">
        <v>636</v>
      </c>
      <c r="AX896" s="196"/>
      <c r="AY896" s="196"/>
      <c r="AZ896" s="196"/>
      <c r="BA896" s="196"/>
      <c r="BB896" s="196"/>
      <c r="BC896" s="196"/>
      <c r="BD896" s="196"/>
      <c r="BE896" s="196"/>
      <c r="BF896" s="196"/>
      <c r="BG896" s="196"/>
      <c r="BH896" s="196"/>
      <c r="BX896" s="196"/>
      <c r="BY896" s="196"/>
      <c r="BZ896" s="196"/>
      <c r="CA896" s="196"/>
      <c r="CB896" s="196"/>
      <c r="CC896" s="196"/>
      <c r="CD896" s="196"/>
      <c r="CE896" s="196"/>
      <c r="CF896" s="196"/>
      <c r="CG896" s="196"/>
      <c r="CH896" s="196"/>
      <c r="CI896" s="196"/>
      <c r="CJ896" s="196"/>
      <c r="CK896" s="196"/>
      <c r="CL896" s="196"/>
      <c r="CM896" s="196"/>
      <c r="CN896" s="196"/>
      <c r="CO896" s="196"/>
      <c r="CP896" s="196"/>
      <c r="CQ896" s="196"/>
      <c r="CR896" s="196"/>
      <c r="CS896" s="196"/>
      <c r="CT896" s="196"/>
      <c r="CU896" s="196"/>
      <c r="CV896" s="196"/>
      <c r="CW896" s="196"/>
      <c r="CX896" s="196"/>
      <c r="CY896" s="196"/>
      <c r="CZ896" s="196"/>
      <c r="DA896" s="196"/>
      <c r="DB896" s="196"/>
      <c r="DC896" s="196"/>
      <c r="DD896" s="196"/>
      <c r="DE896" s="196"/>
      <c r="DF896" s="196"/>
      <c r="DG896" s="196"/>
      <c r="DH896" s="196"/>
      <c r="DI896" s="196"/>
      <c r="DJ896" s="196"/>
      <c r="DK896" s="196"/>
      <c r="DL896" s="196"/>
      <c r="DM896" s="196"/>
      <c r="DN896" s="196"/>
      <c r="DO896" s="196"/>
      <c r="DP896" s="196"/>
      <c r="DQ896" s="196"/>
      <c r="DR896" s="196"/>
      <c r="DS896" s="196"/>
      <c r="DT896" s="196"/>
    </row>
    <row r="897" spans="1:124" x14ac:dyDescent="0.25">
      <c r="A897" s="465"/>
      <c r="AU897" s="381">
        <v>662</v>
      </c>
      <c r="AV897" s="196" t="s">
        <v>635</v>
      </c>
      <c r="AW897" s="381" t="s">
        <v>636</v>
      </c>
      <c r="AX897" s="196"/>
      <c r="AY897" s="196"/>
      <c r="AZ897" s="196"/>
      <c r="BA897" s="196"/>
      <c r="BB897" s="196"/>
      <c r="BC897" s="196"/>
      <c r="BD897" s="196"/>
      <c r="BE897" s="196"/>
      <c r="BF897" s="196"/>
      <c r="BG897" s="196"/>
      <c r="BH897" s="196"/>
      <c r="BX897" s="196"/>
      <c r="BY897" s="196"/>
      <c r="BZ897" s="196"/>
      <c r="CA897" s="196"/>
      <c r="CB897" s="196"/>
      <c r="CC897" s="196"/>
      <c r="CD897" s="196"/>
      <c r="CE897" s="196"/>
      <c r="CF897" s="196"/>
      <c r="CG897" s="196"/>
      <c r="CH897" s="196"/>
      <c r="CI897" s="196"/>
      <c r="CJ897" s="196"/>
      <c r="CK897" s="196"/>
      <c r="CL897" s="196"/>
      <c r="CM897" s="196"/>
      <c r="CN897" s="196"/>
      <c r="CO897" s="196"/>
      <c r="CP897" s="196"/>
      <c r="CQ897" s="196"/>
      <c r="CR897" s="196"/>
      <c r="CS897" s="196"/>
      <c r="CT897" s="196"/>
      <c r="CU897" s="196"/>
      <c r="CV897" s="196"/>
      <c r="CW897" s="196"/>
      <c r="CX897" s="196"/>
      <c r="CY897" s="196"/>
      <c r="CZ897" s="196"/>
      <c r="DA897" s="196"/>
      <c r="DB897" s="196"/>
      <c r="DC897" s="196"/>
      <c r="DD897" s="196"/>
      <c r="DE897" s="196"/>
      <c r="DF897" s="196"/>
      <c r="DG897" s="196"/>
      <c r="DH897" s="196"/>
      <c r="DI897" s="196"/>
      <c r="DJ897" s="196"/>
      <c r="DK897" s="196"/>
      <c r="DL897" s="196"/>
      <c r="DM897" s="196"/>
      <c r="DN897" s="196"/>
      <c r="DO897" s="196"/>
      <c r="DP897" s="196"/>
      <c r="DQ897" s="196"/>
      <c r="DR897" s="196"/>
      <c r="DS897" s="196"/>
      <c r="DT897" s="196"/>
    </row>
    <row r="898" spans="1:124" x14ac:dyDescent="0.25">
      <c r="A898" s="465"/>
      <c r="AU898" s="381">
        <v>822</v>
      </c>
      <c r="AV898" s="196" t="s">
        <v>635</v>
      </c>
      <c r="AW898" s="381" t="s">
        <v>650</v>
      </c>
      <c r="AX898" s="196"/>
      <c r="AY898" s="196"/>
      <c r="AZ898" s="196"/>
      <c r="BA898" s="196"/>
      <c r="BB898" s="196"/>
      <c r="BC898" s="196"/>
      <c r="BD898" s="196"/>
      <c r="BE898" s="196"/>
      <c r="BF898" s="196"/>
      <c r="BG898" s="196"/>
      <c r="BH898" s="196"/>
      <c r="BX898" s="196"/>
      <c r="BY898" s="196"/>
      <c r="BZ898" s="196"/>
      <c r="CA898" s="196"/>
      <c r="CB898" s="196"/>
      <c r="CC898" s="196"/>
      <c r="CD898" s="196"/>
      <c r="CE898" s="196"/>
      <c r="CF898" s="196"/>
      <c r="CG898" s="196"/>
      <c r="CH898" s="196"/>
      <c r="CI898" s="196"/>
      <c r="CJ898" s="196"/>
      <c r="CK898" s="196"/>
      <c r="CL898" s="196"/>
      <c r="CM898" s="196"/>
      <c r="CN898" s="196"/>
      <c r="CO898" s="196"/>
      <c r="CP898" s="196"/>
      <c r="CQ898" s="196"/>
      <c r="CR898" s="196"/>
      <c r="CS898" s="196"/>
      <c r="CT898" s="196"/>
      <c r="CU898" s="196"/>
      <c r="CV898" s="196"/>
      <c r="CW898" s="196"/>
      <c r="CX898" s="196"/>
      <c r="CY898" s="196"/>
      <c r="CZ898" s="196"/>
      <c r="DA898" s="196"/>
      <c r="DB898" s="196"/>
      <c r="DC898" s="196"/>
      <c r="DD898" s="196"/>
      <c r="DE898" s="196"/>
      <c r="DF898" s="196"/>
      <c r="DG898" s="196"/>
      <c r="DH898" s="196"/>
      <c r="DI898" s="196"/>
      <c r="DJ898" s="196"/>
      <c r="DK898" s="196"/>
      <c r="DL898" s="196"/>
      <c r="DM898" s="196"/>
      <c r="DN898" s="196"/>
      <c r="DO898" s="196"/>
      <c r="DP898" s="196"/>
      <c r="DQ898" s="196"/>
      <c r="DR898" s="196"/>
      <c r="DS898" s="196"/>
      <c r="DT898" s="196"/>
    </row>
    <row r="899" spans="1:124" ht="15.75" thickBot="1" x14ac:dyDescent="0.3">
      <c r="A899" s="465"/>
      <c r="AU899" s="381">
        <v>825</v>
      </c>
      <c r="AV899" s="196" t="s">
        <v>635</v>
      </c>
      <c r="AW899" s="381" t="s">
        <v>651</v>
      </c>
      <c r="AX899" s="196"/>
      <c r="AY899" s="196"/>
      <c r="AZ899" s="196"/>
      <c r="BA899" s="196"/>
      <c r="BB899" s="196"/>
      <c r="BC899" s="196"/>
      <c r="BD899" s="196"/>
      <c r="BE899" s="196"/>
      <c r="BF899" s="196"/>
      <c r="BG899" s="196"/>
      <c r="BH899" s="196"/>
      <c r="BX899" s="196"/>
      <c r="BY899" s="196"/>
      <c r="BZ899" s="196"/>
      <c r="CA899" s="196"/>
      <c r="CB899" s="196"/>
      <c r="CC899" s="196"/>
      <c r="CD899" s="196"/>
      <c r="CE899" s="196"/>
      <c r="CF899" s="196"/>
      <c r="CG899" s="196"/>
      <c r="CH899" s="196"/>
      <c r="CI899" s="196"/>
      <c r="CJ899" s="196"/>
      <c r="CK899" s="196"/>
      <c r="CL899" s="196"/>
      <c r="CM899" s="196"/>
      <c r="CN899" s="196"/>
      <c r="CO899" s="196"/>
      <c r="CP899" s="196"/>
      <c r="CQ899" s="196"/>
      <c r="CR899" s="196"/>
      <c r="CS899" s="196"/>
      <c r="CT899" s="196"/>
      <c r="CU899" s="196"/>
      <c r="CV899" s="196"/>
      <c r="CW899" s="196"/>
      <c r="CX899" s="196"/>
      <c r="CY899" s="196"/>
      <c r="CZ899" s="196"/>
      <c r="DA899" s="196"/>
      <c r="DB899" s="196"/>
      <c r="DC899" s="196"/>
      <c r="DD899" s="196"/>
      <c r="DE899" s="196"/>
      <c r="DF899" s="196"/>
      <c r="DG899" s="196"/>
      <c r="DH899" s="196"/>
      <c r="DI899" s="196"/>
      <c r="DJ899" s="196"/>
      <c r="DK899" s="196"/>
      <c r="DL899" s="196"/>
      <c r="DM899" s="196"/>
      <c r="DN899" s="196"/>
      <c r="DO899" s="196"/>
      <c r="DP899" s="196"/>
      <c r="DQ899" s="196"/>
      <c r="DR899" s="196"/>
      <c r="DS899" s="196"/>
      <c r="DT899" s="196"/>
    </row>
    <row r="900" spans="1:124" ht="16.5" thickTop="1" thickBot="1" x14ac:dyDescent="0.3">
      <c r="A900" s="465"/>
      <c r="Y900" s="196"/>
      <c r="Z900" s="196"/>
      <c r="AA900" s="559" t="s">
        <v>560</v>
      </c>
      <c r="AB900" s="560"/>
      <c r="AC900" s="560"/>
      <c r="AD900" s="560"/>
      <c r="AE900" s="560"/>
      <c r="AF900" s="560"/>
      <c r="AG900" s="561"/>
      <c r="AH900" s="44">
        <f>$AH$905</f>
        <v>0</v>
      </c>
      <c r="AI900" s="196"/>
      <c r="AJ900" s="196"/>
      <c r="AK900" s="340" t="s">
        <v>561</v>
      </c>
      <c r="AL900" s="196"/>
      <c r="AM900" s="196"/>
      <c r="AN900" s="196"/>
      <c r="AU900" s="381">
        <v>827</v>
      </c>
      <c r="AV900" s="196" t="s">
        <v>635</v>
      </c>
      <c r="AW900" s="381" t="s">
        <v>651</v>
      </c>
      <c r="BA900" s="559" t="s">
        <v>560</v>
      </c>
      <c r="BB900" s="560"/>
      <c r="BC900" s="560"/>
      <c r="BD900" s="560"/>
      <c r="BE900" s="560"/>
      <c r="BF900" s="560"/>
      <c r="BG900" s="561"/>
      <c r="BH900" s="44">
        <f>$BH$905</f>
        <v>0</v>
      </c>
      <c r="BX900" s="196"/>
      <c r="BY900" s="196"/>
      <c r="BZ900" s="196"/>
      <c r="CA900" s="196"/>
      <c r="CB900" s="196"/>
      <c r="CC900" s="196"/>
      <c r="CD900" s="196"/>
      <c r="CE900" s="196"/>
      <c r="CF900" s="196"/>
      <c r="CG900" s="196"/>
      <c r="CH900" s="196"/>
      <c r="CI900" s="196"/>
      <c r="CJ900" s="196"/>
      <c r="CK900" s="196"/>
      <c r="CL900" s="196"/>
      <c r="CM900" s="196"/>
      <c r="CN900" s="196"/>
      <c r="CO900" s="196"/>
      <c r="CP900" s="196"/>
      <c r="CQ900" s="196"/>
      <c r="CR900" s="196"/>
      <c r="CS900" s="196"/>
      <c r="CT900" s="196"/>
      <c r="CU900" s="196"/>
      <c r="CV900" s="196"/>
      <c r="CW900" s="196"/>
      <c r="CX900" s="196"/>
      <c r="CY900" s="196"/>
      <c r="CZ900" s="196"/>
      <c r="DA900" s="196"/>
      <c r="DB900" s="196"/>
      <c r="DC900" s="196"/>
      <c r="DD900" s="196"/>
      <c r="DE900" s="196"/>
      <c r="DF900" s="196"/>
      <c r="DG900" s="196"/>
      <c r="DH900" s="196"/>
      <c r="DI900" s="196"/>
      <c r="DJ900" s="196"/>
      <c r="DK900" s="196"/>
      <c r="DL900" s="196"/>
      <c r="DM900" s="196"/>
      <c r="DN900" s="196"/>
      <c r="DO900" s="196"/>
      <c r="DP900" s="196"/>
      <c r="DQ900" s="196"/>
      <c r="DR900" s="196"/>
      <c r="DS900" s="196"/>
      <c r="DT900" s="196"/>
    </row>
    <row r="901" spans="1:124" ht="16.5" thickTop="1" thickBot="1" x14ac:dyDescent="0.3">
      <c r="A901" s="465"/>
      <c r="Y901" s="196"/>
      <c r="Z901" s="196"/>
      <c r="AA901" s="88" t="s">
        <v>55</v>
      </c>
      <c r="AB901" s="89">
        <f>IF($AA$907="","",$AB$919)</f>
        <v>0</v>
      </c>
      <c r="AC901" s="196"/>
      <c r="AD901" s="196"/>
      <c r="AE901" s="196"/>
      <c r="AF901" s="196"/>
      <c r="AG901" s="196"/>
      <c r="AH901" s="196"/>
      <c r="AI901" s="196"/>
      <c r="AJ901" s="196"/>
      <c r="AK901" s="340" t="s">
        <v>562</v>
      </c>
      <c r="AL901" s="196"/>
      <c r="AM901" s="196"/>
      <c r="AN901" s="196"/>
      <c r="AU901" s="381">
        <v>866</v>
      </c>
      <c r="AV901" s="196" t="s">
        <v>635</v>
      </c>
      <c r="AW901" s="381" t="s">
        <v>651</v>
      </c>
      <c r="BA901" s="88" t="s">
        <v>55</v>
      </c>
      <c r="BB901" s="89">
        <f>IF($BA$907="","",$BB$919)</f>
        <v>0</v>
      </c>
      <c r="BC901" s="196"/>
      <c r="BD901" s="196"/>
      <c r="BE901" s="196"/>
      <c r="BF901" s="196"/>
      <c r="BG901" s="196"/>
      <c r="BH901" s="196"/>
      <c r="BX901" s="196"/>
      <c r="BY901" s="196"/>
      <c r="BZ901" s="196"/>
      <c r="CA901" s="196"/>
      <c r="CB901" s="196"/>
      <c r="CC901" s="196"/>
      <c r="CD901" s="196"/>
      <c r="CE901" s="196"/>
      <c r="CF901" s="196"/>
      <c r="CG901" s="196"/>
      <c r="CH901" s="196"/>
      <c r="CI901" s="196"/>
      <c r="CJ901" s="196"/>
      <c r="CK901" s="196"/>
      <c r="CL901" s="196"/>
      <c r="CM901" s="196"/>
      <c r="CN901" s="196"/>
      <c r="CO901" s="196"/>
      <c r="CP901" s="196"/>
      <c r="CQ901" s="196"/>
      <c r="CR901" s="196"/>
      <c r="CS901" s="196"/>
      <c r="CT901" s="196"/>
      <c r="CU901" s="196"/>
      <c r="CV901" s="196"/>
      <c r="CW901" s="196"/>
      <c r="CX901" s="196"/>
      <c r="CY901" s="196"/>
      <c r="CZ901" s="196"/>
      <c r="DA901" s="196"/>
      <c r="DB901" s="196"/>
      <c r="DC901" s="196"/>
      <c r="DD901" s="196"/>
      <c r="DE901" s="196"/>
      <c r="DF901" s="196"/>
      <c r="DG901" s="196"/>
      <c r="DH901" s="196"/>
      <c r="DI901" s="196"/>
      <c r="DJ901" s="196"/>
      <c r="DK901" s="196"/>
      <c r="DL901" s="196"/>
      <c r="DM901" s="196"/>
      <c r="DN901" s="196"/>
      <c r="DO901" s="196"/>
      <c r="DP901" s="196"/>
      <c r="DQ901" s="196"/>
      <c r="DR901" s="196"/>
      <c r="DS901" s="196"/>
      <c r="DT901" s="196"/>
    </row>
    <row r="902" spans="1:124" ht="16.5" thickTop="1" thickBot="1" x14ac:dyDescent="0.3">
      <c r="A902" s="465"/>
      <c r="Y902" s="196"/>
      <c r="Z902" s="196"/>
      <c r="AA902" s="339" t="s">
        <v>56</v>
      </c>
      <c r="AB902" s="5"/>
      <c r="AC902" s="196"/>
      <c r="AD902" s="341" t="s">
        <v>563</v>
      </c>
      <c r="AE902" s="196"/>
      <c r="AF902" s="196"/>
      <c r="AG902" s="196"/>
      <c r="AH902" s="196"/>
      <c r="AI902" s="196"/>
      <c r="AJ902" s="196"/>
      <c r="AK902" s="340" t="s">
        <v>564</v>
      </c>
      <c r="AL902" s="196"/>
      <c r="AM902" s="196"/>
      <c r="AN902" s="196"/>
      <c r="AU902" s="381">
        <v>869</v>
      </c>
      <c r="AV902" s="196" t="s">
        <v>635</v>
      </c>
      <c r="AW902" s="381" t="s">
        <v>651</v>
      </c>
      <c r="BA902" s="377" t="s">
        <v>56</v>
      </c>
      <c r="BB902" s="5"/>
      <c r="BC902" s="196"/>
      <c r="BD902" s="341" t="s">
        <v>563</v>
      </c>
      <c r="BE902" s="196"/>
      <c r="BF902" s="196"/>
      <c r="BG902" s="196"/>
      <c r="BH902" s="196"/>
      <c r="BX902" s="196"/>
      <c r="BY902" s="196"/>
      <c r="BZ902" s="196"/>
      <c r="CA902" s="196"/>
      <c r="CB902" s="196"/>
      <c r="CC902" s="196"/>
      <c r="CD902" s="196"/>
      <c r="CE902" s="196"/>
      <c r="CF902" s="196"/>
      <c r="CG902" s="196"/>
      <c r="CH902" s="196"/>
      <c r="CI902" s="196"/>
      <c r="CJ902" s="196"/>
      <c r="CK902" s="196"/>
      <c r="CL902" s="196"/>
      <c r="CM902" s="196"/>
      <c r="CN902" s="196"/>
      <c r="CO902" s="196"/>
      <c r="CP902" s="196"/>
      <c r="CQ902" s="196"/>
      <c r="CR902" s="196"/>
      <c r="CS902" s="196"/>
      <c r="CT902" s="196"/>
      <c r="CU902" s="196"/>
      <c r="CV902" s="196"/>
      <c r="CW902" s="196"/>
      <c r="CX902" s="196"/>
      <c r="CY902" s="196"/>
      <c r="CZ902" s="196"/>
      <c r="DA902" s="196"/>
      <c r="DB902" s="196"/>
      <c r="DC902" s="196"/>
      <c r="DD902" s="196"/>
      <c r="DE902" s="196"/>
      <c r="DF902" s="196"/>
      <c r="DG902" s="196"/>
      <c r="DH902" s="196"/>
      <c r="DI902" s="196"/>
      <c r="DJ902" s="196"/>
      <c r="DK902" s="196"/>
      <c r="DL902" s="196"/>
      <c r="DM902" s="196"/>
      <c r="DN902" s="196"/>
      <c r="DO902" s="196"/>
      <c r="DP902" s="196"/>
      <c r="DQ902" s="196"/>
      <c r="DR902" s="196"/>
      <c r="DS902" s="196"/>
      <c r="DT902" s="196"/>
    </row>
    <row r="903" spans="1:124" ht="16.5" thickTop="1" thickBot="1" x14ac:dyDescent="0.3">
      <c r="A903" s="465"/>
      <c r="Y903" s="196"/>
      <c r="Z903" s="196"/>
      <c r="AA903" s="339" t="s">
        <v>57</v>
      </c>
      <c r="AB903" s="5"/>
      <c r="AC903" s="196"/>
      <c r="AD903" s="341" t="s">
        <v>565</v>
      </c>
      <c r="AE903" s="196"/>
      <c r="AF903" s="196"/>
      <c r="AG903" s="196"/>
      <c r="AH903" s="196"/>
      <c r="AI903" s="196"/>
      <c r="AJ903" s="196"/>
      <c r="AK903" s="340" t="s">
        <v>566</v>
      </c>
      <c r="AL903" s="196"/>
      <c r="AM903" s="196"/>
      <c r="AN903" s="196"/>
      <c r="AU903" s="381">
        <v>875</v>
      </c>
      <c r="AV903" s="196" t="s">
        <v>635</v>
      </c>
      <c r="AW903" s="381" t="s">
        <v>636</v>
      </c>
      <c r="BA903" s="377" t="s">
        <v>57</v>
      </c>
      <c r="BB903" s="5"/>
      <c r="BC903" s="196"/>
      <c r="BD903" s="341" t="s">
        <v>565</v>
      </c>
      <c r="BE903" s="196"/>
      <c r="BF903" s="196"/>
      <c r="BG903" s="196"/>
      <c r="BH903" s="196"/>
      <c r="BX903" s="196"/>
      <c r="BY903" s="196"/>
      <c r="BZ903" s="196"/>
      <c r="CA903" s="196"/>
      <c r="CB903" s="196"/>
      <c r="CC903" s="196"/>
      <c r="CD903" s="196"/>
      <c r="CE903" s="196"/>
      <c r="CF903" s="196"/>
      <c r="CG903" s="196"/>
      <c r="CH903" s="196"/>
      <c r="CI903" s="196"/>
      <c r="CJ903" s="196"/>
      <c r="CK903" s="196"/>
      <c r="CL903" s="196"/>
      <c r="CM903" s="196"/>
      <c r="CN903" s="196"/>
      <c r="CO903" s="196"/>
      <c r="CP903" s="196"/>
      <c r="CQ903" s="196"/>
      <c r="CR903" s="196"/>
      <c r="CS903" s="196"/>
      <c r="CT903" s="196"/>
      <c r="CU903" s="196"/>
      <c r="CV903" s="196"/>
      <c r="CW903" s="196"/>
      <c r="CX903" s="196"/>
      <c r="CY903" s="196"/>
      <c r="CZ903" s="196"/>
      <c r="DA903" s="196"/>
      <c r="DB903" s="196"/>
      <c r="DC903" s="196"/>
      <c r="DD903" s="196"/>
      <c r="DE903" s="196"/>
      <c r="DF903" s="196"/>
      <c r="DG903" s="196"/>
      <c r="DH903" s="196"/>
      <c r="DI903" s="196"/>
      <c r="DJ903" s="196"/>
      <c r="DK903" s="196"/>
      <c r="DL903" s="196"/>
      <c r="DM903" s="196"/>
      <c r="DN903" s="196"/>
      <c r="DO903" s="196"/>
      <c r="DP903" s="196"/>
      <c r="DQ903" s="196"/>
      <c r="DR903" s="196"/>
      <c r="DS903" s="196"/>
      <c r="DT903" s="196"/>
    </row>
    <row r="904" spans="1:124" ht="16.5" thickTop="1" thickBot="1" x14ac:dyDescent="0.3">
      <c r="A904" s="465"/>
      <c r="Y904" s="196"/>
      <c r="Z904" s="196"/>
      <c r="AA904" s="339" t="s">
        <v>58</v>
      </c>
      <c r="AB904" s="5"/>
      <c r="AC904" s="196"/>
      <c r="AD904" s="196"/>
      <c r="AE904" s="196"/>
      <c r="AF904" s="196"/>
      <c r="AG904" s="196"/>
      <c r="AH904" s="149" t="str">
        <f>IF($AH$905&lt;=$AH$900,"","")</f>
        <v/>
      </c>
      <c r="AI904" s="196"/>
      <c r="AJ904" s="196"/>
      <c r="AK904" s="340" t="s">
        <v>567</v>
      </c>
      <c r="AL904" s="196"/>
      <c r="AM904" s="196"/>
      <c r="AN904" s="196"/>
      <c r="AU904" s="381">
        <v>886</v>
      </c>
      <c r="AV904" s="196" t="s">
        <v>635</v>
      </c>
      <c r="AW904" s="381" t="s">
        <v>651</v>
      </c>
      <c r="BA904" s="377" t="s">
        <v>58</v>
      </c>
      <c r="BB904" s="5"/>
      <c r="BC904" s="196"/>
      <c r="BD904" s="196"/>
      <c r="BE904" s="196"/>
      <c r="BF904" s="196"/>
      <c r="BG904" s="196"/>
      <c r="BH904" s="149" t="str">
        <f>IF($BH$905&lt;=$BH$900,"","")</f>
        <v/>
      </c>
      <c r="BX904" s="196"/>
      <c r="BY904" s="196"/>
      <c r="BZ904" s="196"/>
      <c r="CA904" s="196"/>
      <c r="CB904" s="196"/>
      <c r="CC904" s="196"/>
      <c r="CD904" s="196"/>
      <c r="CE904" s="196"/>
      <c r="CF904" s="196"/>
      <c r="CG904" s="196"/>
      <c r="CH904" s="196"/>
      <c r="CI904" s="196"/>
      <c r="CJ904" s="196"/>
      <c r="CK904" s="196"/>
      <c r="CL904" s="196"/>
      <c r="CM904" s="196"/>
      <c r="CN904" s="196"/>
      <c r="CO904" s="196"/>
      <c r="CP904" s="196"/>
      <c r="CQ904" s="196"/>
      <c r="CR904" s="196"/>
      <c r="CS904" s="196"/>
      <c r="CT904" s="196"/>
      <c r="CU904" s="196"/>
      <c r="CV904" s="196"/>
      <c r="CW904" s="196"/>
      <c r="CX904" s="196"/>
      <c r="CY904" s="196"/>
      <c r="CZ904" s="196"/>
      <c r="DA904" s="196"/>
      <c r="DB904" s="196"/>
      <c r="DC904" s="196"/>
      <c r="DD904" s="196"/>
      <c r="DE904" s="196"/>
      <c r="DF904" s="196"/>
      <c r="DG904" s="196"/>
      <c r="DH904" s="196"/>
      <c r="DI904" s="196"/>
      <c r="DJ904" s="196"/>
      <c r="DK904" s="196"/>
      <c r="DL904" s="196"/>
      <c r="DM904" s="196"/>
      <c r="DN904" s="196"/>
      <c r="DO904" s="196"/>
      <c r="DP904" s="196"/>
      <c r="DQ904" s="196"/>
      <c r="DR904" s="196"/>
      <c r="DS904" s="196"/>
      <c r="DT904" s="196"/>
    </row>
    <row r="905" spans="1:124" ht="16.5" thickTop="1" thickBot="1" x14ac:dyDescent="0.3">
      <c r="A905" s="465"/>
      <c r="Y905" s="196"/>
      <c r="Z905" s="196"/>
      <c r="AA905" s="339" t="s">
        <v>59</v>
      </c>
      <c r="AB905" s="5"/>
      <c r="AC905" s="196"/>
      <c r="AD905" s="196"/>
      <c r="AE905" s="196"/>
      <c r="AF905" s="502" t="s">
        <v>11</v>
      </c>
      <c r="AG905" s="503"/>
      <c r="AH905" s="5">
        <f>SUM($AB$901:$AB$905)</f>
        <v>0</v>
      </c>
      <c r="AI905" s="196"/>
      <c r="AJ905" s="196"/>
      <c r="AK905" s="340" t="s">
        <v>568</v>
      </c>
      <c r="AL905" s="196"/>
      <c r="AM905" s="196"/>
      <c r="AN905" s="196"/>
      <c r="AU905" s="381">
        <v>896</v>
      </c>
      <c r="AV905" s="196" t="s">
        <v>635</v>
      </c>
      <c r="AW905" s="381" t="s">
        <v>636</v>
      </c>
      <c r="BA905" s="377" t="s">
        <v>59</v>
      </c>
      <c r="BB905" s="5"/>
      <c r="BC905" s="196"/>
      <c r="BD905" s="196"/>
      <c r="BE905" s="196"/>
      <c r="BF905" s="502" t="s">
        <v>11</v>
      </c>
      <c r="BG905" s="503"/>
      <c r="BH905" s="5">
        <f>SUM($BB$901:$BB$905)</f>
        <v>0</v>
      </c>
      <c r="BX905" s="196"/>
      <c r="BY905" s="196"/>
      <c r="BZ905" s="196"/>
      <c r="CA905" s="196"/>
      <c r="CB905" s="196"/>
      <c r="CC905" s="196"/>
      <c r="CD905" s="196"/>
      <c r="CE905" s="196"/>
      <c r="CF905" s="196"/>
      <c r="CG905" s="196"/>
      <c r="CH905" s="196"/>
      <c r="CI905" s="196"/>
      <c r="CJ905" s="196"/>
      <c r="CK905" s="196"/>
      <c r="CL905" s="196"/>
      <c r="CM905" s="196"/>
      <c r="CN905" s="196"/>
      <c r="CO905" s="196"/>
      <c r="CP905" s="196"/>
      <c r="CQ905" s="196"/>
      <c r="CR905" s="196"/>
      <c r="CS905" s="196"/>
      <c r="CT905" s="196"/>
      <c r="CU905" s="196"/>
      <c r="CV905" s="196"/>
      <c r="CW905" s="196"/>
      <c r="CX905" s="196"/>
      <c r="CY905" s="196"/>
      <c r="CZ905" s="196"/>
      <c r="DA905" s="196"/>
      <c r="DB905" s="196"/>
      <c r="DC905" s="196"/>
      <c r="DD905" s="196"/>
      <c r="DE905" s="196"/>
      <c r="DF905" s="196"/>
      <c r="DG905" s="196"/>
      <c r="DH905" s="196"/>
      <c r="DI905" s="196"/>
      <c r="DJ905" s="196"/>
      <c r="DK905" s="196"/>
      <c r="DL905" s="196"/>
      <c r="DM905" s="196"/>
      <c r="DN905" s="196"/>
      <c r="DO905" s="196"/>
      <c r="DP905" s="196"/>
      <c r="DQ905" s="196"/>
      <c r="DR905" s="196"/>
      <c r="DS905" s="196"/>
      <c r="DT905" s="196"/>
    </row>
    <row r="906" spans="1:124" ht="16.5" thickTop="1" thickBot="1" x14ac:dyDescent="0.3">
      <c r="A906" s="465"/>
      <c r="Y906" s="196"/>
      <c r="Z906" s="196"/>
      <c r="AA906" s="196"/>
      <c r="AB906" s="196"/>
      <c r="AC906" s="196"/>
      <c r="AD906" s="196"/>
      <c r="AE906" s="196"/>
      <c r="AF906" s="196"/>
      <c r="AG906" s="196"/>
      <c r="AH906" s="196"/>
      <c r="AI906" s="196"/>
      <c r="AJ906" s="196"/>
      <c r="AK906" s="340" t="s">
        <v>569</v>
      </c>
      <c r="AL906" s="196"/>
      <c r="AM906" s="196"/>
      <c r="AN906" s="196"/>
      <c r="AU906" s="381">
        <v>924</v>
      </c>
      <c r="AV906" s="196" t="s">
        <v>635</v>
      </c>
      <c r="AW906" s="381" t="s">
        <v>651</v>
      </c>
      <c r="BA906" s="196"/>
      <c r="BB906" s="196"/>
      <c r="BC906" s="196"/>
      <c r="BD906" s="196"/>
      <c r="BE906" s="196"/>
      <c r="BF906" s="196"/>
      <c r="BG906" s="196"/>
      <c r="BH906" s="196"/>
      <c r="BX906" s="196"/>
      <c r="BY906" s="196"/>
      <c r="BZ906" s="196"/>
      <c r="CA906" s="196"/>
      <c r="CB906" s="196"/>
      <c r="CC906" s="196"/>
      <c r="CD906" s="196"/>
      <c r="CE906" s="196"/>
      <c r="CF906" s="196"/>
      <c r="CG906" s="196"/>
      <c r="CH906" s="196"/>
      <c r="CI906" s="196"/>
      <c r="CJ906" s="196"/>
      <c r="CK906" s="196"/>
      <c r="CL906" s="196"/>
      <c r="CM906" s="196"/>
      <c r="CN906" s="196"/>
      <c r="CO906" s="196"/>
      <c r="CP906" s="196"/>
      <c r="CQ906" s="196"/>
      <c r="CR906" s="196"/>
      <c r="CS906" s="196"/>
      <c r="CT906" s="196"/>
      <c r="CU906" s="196"/>
      <c r="CV906" s="196"/>
      <c r="CW906" s="196"/>
      <c r="CX906" s="196"/>
      <c r="CY906" s="196"/>
      <c r="CZ906" s="196"/>
      <c r="DA906" s="196"/>
      <c r="DB906" s="196"/>
      <c r="DC906" s="196"/>
      <c r="DD906" s="196"/>
      <c r="DE906" s="196"/>
      <c r="DF906" s="196"/>
      <c r="DG906" s="196"/>
      <c r="DH906" s="196"/>
      <c r="DI906" s="196"/>
      <c r="DJ906" s="196"/>
      <c r="DK906" s="196"/>
      <c r="DL906" s="196"/>
      <c r="DM906" s="196"/>
      <c r="DN906" s="196"/>
      <c r="DO906" s="196"/>
      <c r="DP906" s="196"/>
      <c r="DQ906" s="196"/>
      <c r="DR906" s="196"/>
      <c r="DS906" s="196"/>
      <c r="DT906" s="196"/>
    </row>
    <row r="907" spans="1:124" ht="15.75" thickBot="1" x14ac:dyDescent="0.3">
      <c r="A907" s="465"/>
      <c r="E907" s="413"/>
      <c r="Y907" s="196"/>
      <c r="Z907" s="196"/>
      <c r="AA907" s="342" t="s">
        <v>587</v>
      </c>
      <c r="AB907" s="49"/>
      <c r="AC907" s="50">
        <f>IF($AA$908=$AG$907,$AC$917,IF($AA$908=$AH$907,$AC$909,""))</f>
        <v>0</v>
      </c>
      <c r="AD907" s="50">
        <f>IF($AA$908=$AG$907,$AD$917,IF($AA$908=$AH$907,$AD$909,""))</f>
        <v>0</v>
      </c>
      <c r="AE907" s="49"/>
      <c r="AF907" s="343" t="s">
        <v>570</v>
      </c>
      <c r="AG907" s="343" t="s">
        <v>571</v>
      </c>
      <c r="AH907" s="344" t="s">
        <v>572</v>
      </c>
      <c r="AI907" s="196"/>
      <c r="AJ907" s="140" t="s">
        <v>572</v>
      </c>
      <c r="AK907" s="340" t="s">
        <v>573</v>
      </c>
      <c r="AL907" s="196"/>
      <c r="AM907" s="196"/>
      <c r="AN907" s="196"/>
      <c r="AU907" s="381">
        <v>972</v>
      </c>
      <c r="AV907" s="196" t="s">
        <v>635</v>
      </c>
      <c r="AW907" s="381" t="s">
        <v>651</v>
      </c>
      <c r="BA907" s="342" t="s">
        <v>587</v>
      </c>
      <c r="BB907" s="49"/>
      <c r="BC907" s="50">
        <f>IF($BA$908=$BG$907,$BC$917,IF($BA$908=$BH$907,$BC$909,""))</f>
        <v>0</v>
      </c>
      <c r="BD907" s="50">
        <f>IF($BA$908=$BG$907,$BD$917,IF($BA$908=$BH$907,$BD$909,""))</f>
        <v>0</v>
      </c>
      <c r="BE907" s="49"/>
      <c r="BF907" s="343" t="s">
        <v>570</v>
      </c>
      <c r="BG907" s="343" t="s">
        <v>571</v>
      </c>
      <c r="BH907" s="344" t="s">
        <v>572</v>
      </c>
      <c r="BI907" s="196"/>
      <c r="BJ907" s="140" t="s">
        <v>632</v>
      </c>
    </row>
    <row r="908" spans="1:124" ht="16.5" thickTop="1" thickBot="1" x14ac:dyDescent="0.3">
      <c r="A908" s="465"/>
      <c r="E908" s="413"/>
      <c r="Y908" s="196"/>
      <c r="Z908" s="196"/>
      <c r="AA908" s="345" t="str">
        <f>IFERROR(VLOOKUP($AA$907,$AF$908:$AH$915,2,0),"")</f>
        <v>BAU Policy</v>
      </c>
      <c r="AB908" s="26"/>
      <c r="AC908" s="26"/>
      <c r="AD908" s="26"/>
      <c r="AE908" s="26"/>
      <c r="AF908" s="218" t="s">
        <v>574</v>
      </c>
      <c r="AG908" s="46" t="s">
        <v>572</v>
      </c>
      <c r="AH908" s="346">
        <v>0.13</v>
      </c>
      <c r="AI908" s="252" t="s">
        <v>537</v>
      </c>
      <c r="AJ908" s="18">
        <v>0</v>
      </c>
      <c r="AK908" s="340" t="s">
        <v>575</v>
      </c>
      <c r="AL908" s="196"/>
      <c r="AM908" s="196"/>
      <c r="AN908" s="196"/>
      <c r="AU908" s="381">
        <v>1019</v>
      </c>
      <c r="AV908" s="196" t="s">
        <v>635</v>
      </c>
      <c r="AW908" s="381" t="s">
        <v>651</v>
      </c>
      <c r="BA908" s="345" t="str">
        <f>IFERROR(VLOOKUP($BA$907,$BF$908:$BH$915,2,0),"")</f>
        <v>BAU Policy</v>
      </c>
      <c r="BB908" s="26"/>
      <c r="BC908" s="26"/>
      <c r="BD908" s="26"/>
      <c r="BE908" s="26"/>
      <c r="BF908" s="218" t="s">
        <v>574</v>
      </c>
      <c r="BG908" s="46" t="s">
        <v>572</v>
      </c>
      <c r="BH908" s="346">
        <v>0.13</v>
      </c>
      <c r="BI908" s="252" t="s">
        <v>537</v>
      </c>
      <c r="BJ908" s="18">
        <v>0</v>
      </c>
    </row>
    <row r="909" spans="1:124" ht="16.5" thickTop="1" thickBot="1" x14ac:dyDescent="0.3">
      <c r="A909" s="465"/>
      <c r="Y909" s="196"/>
      <c r="Z909" s="196"/>
      <c r="AA909" s="345">
        <f>IFERROR(VLOOKUP($AA$907,$AF$908:$AH$915,3,0),"0")</f>
        <v>1</v>
      </c>
      <c r="AB909" s="347" t="str">
        <f>IF($AA$909=$AH$913,$AG$907,$AA$909*100)</f>
        <v>BAU Policy</v>
      </c>
      <c r="AC909" s="61">
        <f>($AC$910*(1-$AA$909))-$AC$911</f>
        <v>0</v>
      </c>
      <c r="AD909" s="61">
        <f>($AD$910*(1-$AA$909))-$AD$911</f>
        <v>0</v>
      </c>
      <c r="AE909" s="26"/>
      <c r="AF909" s="218" t="s">
        <v>576</v>
      </c>
      <c r="AG909" s="46" t="s">
        <v>572</v>
      </c>
      <c r="AH909" s="346">
        <v>0.13</v>
      </c>
      <c r="AI909" s="252" t="s">
        <v>538</v>
      </c>
      <c r="AJ909" s="18">
        <v>0</v>
      </c>
      <c r="AK909" s="340" t="s">
        <v>577</v>
      </c>
      <c r="AL909" s="196"/>
      <c r="AM909" s="196"/>
      <c r="AN909" s="196"/>
      <c r="AU909" s="381">
        <v>1049</v>
      </c>
      <c r="AV909" s="196" t="s">
        <v>635</v>
      </c>
      <c r="AW909" s="381" t="s">
        <v>650</v>
      </c>
      <c r="BA909" s="345">
        <f>IFERROR(VLOOKUP($BA$907,$BF$908:$BH$915,3,0),"0")</f>
        <v>1</v>
      </c>
      <c r="BB909" s="347" t="str">
        <f>IF($BA$909=$BH$913,$BG$907,$BA$909*100)</f>
        <v>BAU Policy</v>
      </c>
      <c r="BC909" s="61">
        <f>($BC$910*(1-$BA$909))-$BC$911</f>
        <v>0</v>
      </c>
      <c r="BD909" s="61">
        <f>($BD$910*(1-$BA$909))-$BD$911</f>
        <v>0</v>
      </c>
      <c r="BE909" s="26"/>
      <c r="BF909" s="218" t="s">
        <v>576</v>
      </c>
      <c r="BG909" s="46" t="s">
        <v>572</v>
      </c>
      <c r="BH909" s="346">
        <v>0.13</v>
      </c>
      <c r="BI909" s="252" t="s">
        <v>538</v>
      </c>
      <c r="BJ909" s="18">
        <v>0</v>
      </c>
    </row>
    <row r="910" spans="1:124" ht="16.5" thickTop="1" thickBot="1" x14ac:dyDescent="0.3">
      <c r="A910" s="465"/>
      <c r="Y910" s="196"/>
      <c r="Z910" s="196"/>
      <c r="AA910" s="228" t="str">
        <f>IF($AA$908=$AG$907,"Aplicar Política Actual",IF($AA$908=$AH$907,"Se aplica el factor del "&amp;$AB$909&amp;"% ",""))</f>
        <v>Aplicar Política Actual</v>
      </c>
      <c r="AB910" s="26"/>
      <c r="AC910" s="18">
        <v>0</v>
      </c>
      <c r="AD910" s="18">
        <v>0</v>
      </c>
      <c r="AE910" s="26"/>
      <c r="AF910" s="218" t="s">
        <v>578</v>
      </c>
      <c r="AG910" s="46" t="s">
        <v>572</v>
      </c>
      <c r="AH910" s="346">
        <v>0.13</v>
      </c>
      <c r="AI910" s="252" t="s">
        <v>542</v>
      </c>
      <c r="AJ910" s="324">
        <f>IFERROR($AJ$908-$AJ$911-$AJ$912-$AJ$913,"")</f>
        <v>0</v>
      </c>
      <c r="AK910" s="340" t="s">
        <v>579</v>
      </c>
      <c r="AL910" s="196"/>
      <c r="AM910" s="196"/>
      <c r="AN910" s="196"/>
      <c r="AU910" s="381">
        <v>1189</v>
      </c>
      <c r="AV910" s="196" t="s">
        <v>635</v>
      </c>
      <c r="AW910" s="381" t="s">
        <v>636</v>
      </c>
      <c r="BA910" s="228" t="str">
        <f>IF($BA$908=$BG$907,"Aplicar Política Actual",IF($BA$908=$BH$907,"Se aplica el factor del "&amp;$BB$909&amp;"% ",""))</f>
        <v>Aplicar Política Actual</v>
      </c>
      <c r="BB910" s="26"/>
      <c r="BC910" s="18">
        <v>0</v>
      </c>
      <c r="BD910" s="18">
        <v>0</v>
      </c>
      <c r="BE910" s="26"/>
      <c r="BF910" s="218" t="s">
        <v>578</v>
      </c>
      <c r="BG910" s="46" t="s">
        <v>572</v>
      </c>
      <c r="BH910" s="346">
        <v>0.13</v>
      </c>
      <c r="BI910" s="252" t="s">
        <v>542</v>
      </c>
      <c r="BJ910" s="324">
        <f>IFERROR($BJ$908-$BJ$911-$BJ$912-$BJ$913,"")</f>
        <v>0</v>
      </c>
    </row>
    <row r="911" spans="1:124" ht="16.5" thickTop="1" thickBot="1" x14ac:dyDescent="0.3">
      <c r="A911" s="465"/>
      <c r="Y911" s="196"/>
      <c r="Z911" s="196"/>
      <c r="AA911" s="37"/>
      <c r="AB911" s="26"/>
      <c r="AC911" s="18">
        <v>0</v>
      </c>
      <c r="AD911" s="18">
        <v>0</v>
      </c>
      <c r="AE911" s="26"/>
      <c r="AF911" s="218" t="s">
        <v>580</v>
      </c>
      <c r="AG911" s="46" t="s">
        <v>572</v>
      </c>
      <c r="AH911" s="346">
        <v>0.08</v>
      </c>
      <c r="AI911" s="252" t="s">
        <v>541</v>
      </c>
      <c r="AJ911" s="18">
        <v>0</v>
      </c>
      <c r="AK911" s="340" t="s">
        <v>581</v>
      </c>
      <c r="AL911" s="196"/>
      <c r="AM911" s="196"/>
      <c r="AN911" s="196"/>
      <c r="AU911" s="381">
        <v>1221</v>
      </c>
      <c r="AV911" s="196" t="s">
        <v>635</v>
      </c>
      <c r="AW911" s="381" t="s">
        <v>651</v>
      </c>
      <c r="BA911" s="37"/>
      <c r="BB911" s="26"/>
      <c r="BC911" s="18">
        <v>0</v>
      </c>
      <c r="BD911" s="18">
        <v>0</v>
      </c>
      <c r="BE911" s="26"/>
      <c r="BF911" s="218" t="s">
        <v>580</v>
      </c>
      <c r="BG911" s="46" t="s">
        <v>572</v>
      </c>
      <c r="BH911" s="346">
        <v>0.08</v>
      </c>
      <c r="BI911" s="252" t="s">
        <v>541</v>
      </c>
      <c r="BJ911" s="18">
        <v>0</v>
      </c>
    </row>
    <row r="912" spans="1:124" ht="16.5" thickTop="1" thickBot="1" x14ac:dyDescent="0.3">
      <c r="A912" s="465"/>
      <c r="Y912" s="196"/>
      <c r="Z912" s="196"/>
      <c r="AA912" s="348" t="s">
        <v>476</v>
      </c>
      <c r="AB912" s="349">
        <f>(($AC$910*(1-$AA$909))-$AC$911)+(($AD$910*(1-$AA$909))-$AD$911)</f>
        <v>0</v>
      </c>
      <c r="AC912" s="26"/>
      <c r="AD912" s="26"/>
      <c r="AE912" s="26"/>
      <c r="AF912" s="218" t="s">
        <v>582</v>
      </c>
      <c r="AG912" s="46" t="s">
        <v>572</v>
      </c>
      <c r="AH912" s="346">
        <v>0.2</v>
      </c>
      <c r="AI912" s="252" t="s">
        <v>540</v>
      </c>
      <c r="AJ912" s="18">
        <v>0</v>
      </c>
      <c r="AK912" s="340" t="s">
        <v>583</v>
      </c>
      <c r="AL912" s="196"/>
      <c r="AM912" s="196"/>
      <c r="AN912" s="196"/>
      <c r="AU912" s="381">
        <v>1222</v>
      </c>
      <c r="AV912" s="196" t="s">
        <v>635</v>
      </c>
      <c r="AW912" s="381" t="s">
        <v>651</v>
      </c>
      <c r="BA912" s="348" t="s">
        <v>476</v>
      </c>
      <c r="BB912" s="349">
        <f>(($BC$910*(1-$BA$909))-$BC$911)+(($BD$910*(1-$BA$909))-$BD$911)</f>
        <v>0</v>
      </c>
      <c r="BC912" s="26"/>
      <c r="BD912" s="26"/>
      <c r="BE912" s="26"/>
      <c r="BF912" s="218" t="s">
        <v>582</v>
      </c>
      <c r="BG912" s="46" t="s">
        <v>572</v>
      </c>
      <c r="BH912" s="346">
        <v>0.2</v>
      </c>
      <c r="BI912" s="252" t="s">
        <v>540</v>
      </c>
      <c r="BJ912" s="18">
        <v>0</v>
      </c>
    </row>
    <row r="913" spans="1:62" ht="16.5" thickTop="1" thickBot="1" x14ac:dyDescent="0.3">
      <c r="A913" s="465"/>
      <c r="Y913" s="196"/>
      <c r="Z913" s="196"/>
      <c r="AA913" s="25" t="s">
        <v>31</v>
      </c>
      <c r="AB913" s="26">
        <f>AVERAGE($AC$913:$AD$913)</f>
        <v>0</v>
      </c>
      <c r="AC913" s="35">
        <f>$AC$910+$AC$911+$AD$910+$AD$911</f>
        <v>0</v>
      </c>
      <c r="AD913" s="35">
        <f>$AC$913</f>
        <v>0</v>
      </c>
      <c r="AE913" s="26"/>
      <c r="AF913" s="218" t="s">
        <v>584</v>
      </c>
      <c r="AG913" s="46" t="s">
        <v>571</v>
      </c>
      <c r="AH913" s="346">
        <v>1</v>
      </c>
      <c r="AI913" s="252" t="s">
        <v>539</v>
      </c>
      <c r="AJ913" s="18">
        <v>0</v>
      </c>
      <c r="AK913" s="340" t="s">
        <v>585</v>
      </c>
      <c r="AL913" s="196"/>
      <c r="AM913" s="196"/>
      <c r="AN913" s="196"/>
      <c r="AU913" s="381">
        <v>1242</v>
      </c>
      <c r="AV913" s="196" t="s">
        <v>635</v>
      </c>
      <c r="AW913" s="381" t="s">
        <v>636</v>
      </c>
      <c r="BA913" s="25" t="s">
        <v>31</v>
      </c>
      <c r="BB913" s="26">
        <f>AVERAGE($BC$913:$BD$913)</f>
        <v>0</v>
      </c>
      <c r="BC913" s="35">
        <f>$BC$910+$BC$911+$BD$910+$BD$911</f>
        <v>0</v>
      </c>
      <c r="BD913" s="35">
        <f>$BC$913</f>
        <v>0</v>
      </c>
      <c r="BE913" s="26"/>
      <c r="BF913" s="218" t="s">
        <v>584</v>
      </c>
      <c r="BG913" s="46" t="s">
        <v>571</v>
      </c>
      <c r="BH913" s="346">
        <v>1</v>
      </c>
      <c r="BI913" s="252" t="s">
        <v>539</v>
      </c>
      <c r="BJ913" s="18">
        <v>0</v>
      </c>
    </row>
    <row r="914" spans="1:62" ht="16.5" thickTop="1" thickBot="1" x14ac:dyDescent="0.3">
      <c r="A914" s="465"/>
      <c r="Y914" s="196"/>
      <c r="Z914" s="196"/>
      <c r="AA914" s="27">
        <f>$B$29</f>
        <v>0.3</v>
      </c>
      <c r="AB914" s="26">
        <f>($AB$913*$AA$914)+$AB$913</f>
        <v>0</v>
      </c>
      <c r="AC914" s="26"/>
      <c r="AD914" s="26"/>
      <c r="AE914" s="26"/>
      <c r="AF914" s="218" t="s">
        <v>586</v>
      </c>
      <c r="AG914" s="46" t="s">
        <v>571</v>
      </c>
      <c r="AH914" s="346">
        <v>1</v>
      </c>
      <c r="AI914" s="325" t="s">
        <v>543</v>
      </c>
      <c r="AJ914" s="287" t="str">
        <f>IFERROR($AJ$910-$AJ$909*$AJ$910/$AJ$908,"")</f>
        <v/>
      </c>
      <c r="AK914" s="340" t="s">
        <v>580</v>
      </c>
      <c r="AL914" s="196"/>
      <c r="AM914" s="196"/>
      <c r="AN914" s="196"/>
      <c r="AU914" s="381">
        <v>1433</v>
      </c>
      <c r="AV914" s="196" t="s">
        <v>635</v>
      </c>
      <c r="AW914" s="381" t="s">
        <v>651</v>
      </c>
      <c r="BA914" s="27">
        <f>$B$29</f>
        <v>0.3</v>
      </c>
      <c r="BB914" s="26">
        <f>($BB$913*$BA$914)+$BB$913</f>
        <v>0</v>
      </c>
      <c r="BC914" s="26"/>
      <c r="BD914" s="26"/>
      <c r="BE914" s="26"/>
      <c r="BF914" s="218" t="s">
        <v>586</v>
      </c>
      <c r="BG914" s="46" t="s">
        <v>571</v>
      </c>
      <c r="BH914" s="346">
        <v>1</v>
      </c>
      <c r="BI914" s="325" t="s">
        <v>543</v>
      </c>
      <c r="BJ914" s="287" t="str">
        <f>IFERROR($BJ$910-$BJ$909*$BJ$910/$BJ$908,"")</f>
        <v/>
      </c>
    </row>
    <row r="915" spans="1:62" ht="16.5" thickTop="1" thickBot="1" x14ac:dyDescent="0.3">
      <c r="A915" s="465"/>
      <c r="Y915" s="196"/>
      <c r="Z915" s="196"/>
      <c r="AA915" s="25" t="s">
        <v>32</v>
      </c>
      <c r="AB915" s="26">
        <f>IF($AC$913&lt;$AB$914,$AC$913,$AB$914)</f>
        <v>0</v>
      </c>
      <c r="AC915" s="26"/>
      <c r="AD915" s="26"/>
      <c r="AE915" s="26"/>
      <c r="AF915" s="218" t="s">
        <v>587</v>
      </c>
      <c r="AG915" s="46" t="s">
        <v>571</v>
      </c>
      <c r="AH915" s="346">
        <v>1</v>
      </c>
      <c r="AI915" s="325" t="s">
        <v>536</v>
      </c>
      <c r="AJ915" s="287" t="str">
        <f>IFERROR((($AJ$911-$AJ$909*$AJ$911/$AJ$908)+($AJ$912-$AJ$909*$AJ$912/$AJ$908))/12,"")</f>
        <v/>
      </c>
      <c r="AK915" s="340" t="s">
        <v>588</v>
      </c>
      <c r="AL915" s="196"/>
      <c r="AM915" s="196"/>
      <c r="AN915" s="196"/>
      <c r="AU915" s="381">
        <v>1661</v>
      </c>
      <c r="AV915" s="196" t="s">
        <v>635</v>
      </c>
      <c r="AW915" s="381" t="s">
        <v>636</v>
      </c>
      <c r="BA915" s="25" t="s">
        <v>32</v>
      </c>
      <c r="BB915" s="26">
        <f>IF($BC$913&lt;$BB$914,$BC$913,$BB$914)</f>
        <v>0</v>
      </c>
      <c r="BC915" s="26"/>
      <c r="BD915" s="26"/>
      <c r="BE915" s="26"/>
      <c r="BF915" s="218" t="s">
        <v>587</v>
      </c>
      <c r="BG915" s="46" t="s">
        <v>571</v>
      </c>
      <c r="BH915" s="346">
        <v>1</v>
      </c>
      <c r="BJ915" s="287" t="str">
        <f>IFERROR((($BJ$911-$BJ$909*$BJ$911/$BJ$908)+($BJ$912-$BJ$909*$BJ$912/$BJ$908))/12,"")</f>
        <v/>
      </c>
    </row>
    <row r="916" spans="1:62" ht="16.5" thickTop="1" thickBot="1" x14ac:dyDescent="0.3">
      <c r="A916" s="465"/>
      <c r="Y916" s="196"/>
      <c r="Z916" s="196"/>
      <c r="AA916" s="25" t="s">
        <v>34</v>
      </c>
      <c r="AB916" s="26">
        <f>IF($AD$913&lt;$AB$914,$AD$913,$AB$914)</f>
        <v>0</v>
      </c>
      <c r="AC916" s="26"/>
      <c r="AD916" s="26"/>
      <c r="AE916" s="26"/>
      <c r="AF916" s="26"/>
      <c r="AG916" s="46"/>
      <c r="AH916" s="346"/>
      <c r="AI916" s="196"/>
      <c r="AJ916" s="196"/>
      <c r="AK916" s="340" t="s">
        <v>589</v>
      </c>
      <c r="AL916" s="196"/>
      <c r="AM916" s="196"/>
      <c r="AN916" s="196"/>
      <c r="AU916" s="381">
        <v>1732</v>
      </c>
      <c r="AV916" s="196" t="s">
        <v>635</v>
      </c>
      <c r="AW916" s="381" t="s">
        <v>651</v>
      </c>
      <c r="BA916" s="25" t="s">
        <v>34</v>
      </c>
      <c r="BB916" s="26">
        <f>IF($BD$913&lt;$BB$914,$BD$913,$BB$914)</f>
        <v>0</v>
      </c>
      <c r="BC916" s="26"/>
      <c r="BD916" s="26"/>
      <c r="BE916" s="26"/>
      <c r="BF916" s="26"/>
      <c r="BG916" s="46"/>
      <c r="BH916" s="346"/>
    </row>
    <row r="917" spans="1:62" ht="16.5" thickTop="1" thickBot="1" x14ac:dyDescent="0.3">
      <c r="A917" s="465"/>
      <c r="Y917" s="196"/>
      <c r="Z917" s="196"/>
      <c r="AA917" s="25" t="s">
        <v>60</v>
      </c>
      <c r="AB917" s="35">
        <f>IF($AB$915&amp;$AB$916="","0",AVERAGE($AB$915:$AB$916))</f>
        <v>0</v>
      </c>
      <c r="AC917" s="61">
        <f>$AC$910+$AC$911</f>
        <v>0</v>
      </c>
      <c r="AD917" s="61">
        <f>$AD$910+$AD$911</f>
        <v>0</v>
      </c>
      <c r="AE917" s="26"/>
      <c r="AF917" s="26"/>
      <c r="AG917" s="46"/>
      <c r="AH917" s="346"/>
      <c r="AI917" s="196"/>
      <c r="AJ917" s="196"/>
      <c r="AK917" s="340" t="s">
        <v>590</v>
      </c>
      <c r="AL917" s="196"/>
      <c r="AM917" s="196"/>
      <c r="AN917" s="196"/>
      <c r="AU917" s="381">
        <v>1892</v>
      </c>
      <c r="AV917" s="196" t="s">
        <v>635</v>
      </c>
      <c r="AW917" s="381" t="s">
        <v>651</v>
      </c>
      <c r="BA917" s="25" t="s">
        <v>60</v>
      </c>
      <c r="BB917" s="35">
        <f>IF($BB$915&amp;$BB$916="","0",AVERAGE($BB$915:$BB$916))</f>
        <v>0</v>
      </c>
      <c r="BC917" s="61">
        <f>$BC$910+$BC$911</f>
        <v>0</v>
      </c>
      <c r="BD917" s="61">
        <f>$BD$910+$BD$911</f>
        <v>0</v>
      </c>
      <c r="BE917" s="26"/>
      <c r="BF917" s="26"/>
      <c r="BG917" s="46"/>
      <c r="BH917" s="346"/>
    </row>
    <row r="918" spans="1:62" ht="16.5" thickTop="1" thickBot="1" x14ac:dyDescent="0.3">
      <c r="A918" s="465"/>
      <c r="Y918" s="196"/>
      <c r="Z918" s="196"/>
      <c r="AA918" s="25" t="s">
        <v>536</v>
      </c>
      <c r="AB918" s="26" t="str">
        <f>IF($AJ$915="","0",$AJ$915)</f>
        <v>0</v>
      </c>
      <c r="AC918" s="26"/>
      <c r="AD918" s="26"/>
      <c r="AE918" s="26"/>
      <c r="AF918" s="26"/>
      <c r="AG918" s="46"/>
      <c r="AH918" s="346"/>
      <c r="AI918" s="196"/>
      <c r="AJ918" s="196"/>
      <c r="AK918" s="340" t="s">
        <v>591</v>
      </c>
      <c r="AL918" s="196"/>
      <c r="AM918" s="196"/>
      <c r="AN918" s="196"/>
      <c r="AU918" s="381">
        <v>1961</v>
      </c>
      <c r="AV918" s="196" t="s">
        <v>635</v>
      </c>
      <c r="AW918" s="381" t="s">
        <v>650</v>
      </c>
      <c r="BA918" s="25" t="s">
        <v>536</v>
      </c>
      <c r="BB918" s="26" t="str">
        <f>IF($BJ$915="","0",$BJ$915)</f>
        <v>0</v>
      </c>
      <c r="BC918" s="26"/>
      <c r="BD918" s="26"/>
      <c r="BE918" s="26"/>
      <c r="BF918" s="26"/>
      <c r="BG918" s="46"/>
      <c r="BH918" s="346"/>
    </row>
    <row r="919" spans="1:62" ht="16.5" thickTop="1" thickBot="1" x14ac:dyDescent="0.3">
      <c r="A919" s="465"/>
      <c r="Y919" s="196"/>
      <c r="Z919" s="196"/>
      <c r="AA919" s="350" t="s">
        <v>476</v>
      </c>
      <c r="AB919" s="351">
        <f>IF($AA$908=$AG$907,$AB$917+$AB$918+$AE$919,$AB$912)</f>
        <v>0</v>
      </c>
      <c r="AC919" s="107"/>
      <c r="AD919" s="306" t="s">
        <v>426</v>
      </c>
      <c r="AE919" s="107">
        <f>IF($AD$919=$A$31,$AB$917*0.25,0)</f>
        <v>0</v>
      </c>
      <c r="AF919" s="31"/>
      <c r="AG919" s="31"/>
      <c r="AH919" s="43"/>
      <c r="AI919" s="196"/>
      <c r="AJ919" s="196"/>
      <c r="AK919" s="340" t="s">
        <v>592</v>
      </c>
      <c r="AL919" s="196"/>
      <c r="AM919" s="196"/>
      <c r="AN919" s="196"/>
      <c r="AU919" s="381">
        <v>1973</v>
      </c>
      <c r="AV919" s="196" t="s">
        <v>635</v>
      </c>
      <c r="AW919" s="381" t="s">
        <v>636</v>
      </c>
      <c r="BA919" s="350" t="s">
        <v>476</v>
      </c>
      <c r="BB919" s="351">
        <f>IF($BA$908=$BG$907,$BB$917+$BB$918+$BE$919,$BB$912)</f>
        <v>0</v>
      </c>
      <c r="BC919" s="31"/>
      <c r="BD919" s="306" t="s">
        <v>426</v>
      </c>
      <c r="BE919" s="107">
        <f>IF($BD$919=$A$31,$BB$917*0.25,0)</f>
        <v>0</v>
      </c>
      <c r="BF919" s="31"/>
      <c r="BG919" s="31"/>
      <c r="BH919" s="43"/>
    </row>
    <row r="920" spans="1:62" ht="15.75" thickBot="1" x14ac:dyDescent="0.3">
      <c r="A920" s="465"/>
      <c r="Y920" s="196"/>
      <c r="Z920" s="196"/>
      <c r="AA920" s="196"/>
      <c r="AB920" s="196"/>
      <c r="AC920" s="196"/>
      <c r="AD920" s="196"/>
      <c r="AE920" s="196"/>
      <c r="AF920" s="196"/>
      <c r="AG920" s="196"/>
      <c r="AH920" s="196"/>
      <c r="AI920" s="196"/>
      <c r="AJ920" s="196"/>
      <c r="AK920" s="340" t="s">
        <v>593</v>
      </c>
      <c r="AL920" s="196"/>
      <c r="AM920" s="196"/>
      <c r="AN920" s="196"/>
      <c r="AU920" s="381">
        <v>3047</v>
      </c>
      <c r="AV920" s="196" t="s">
        <v>635</v>
      </c>
      <c r="AW920" s="381" t="s">
        <v>651</v>
      </c>
    </row>
    <row r="921" spans="1:62" ht="16.5" thickTop="1" thickBot="1" x14ac:dyDescent="0.3">
      <c r="A921" s="465"/>
      <c r="Y921" s="196"/>
      <c r="Z921" s="196"/>
      <c r="AA921" s="352" t="s">
        <v>594</v>
      </c>
      <c r="AB921" s="306">
        <v>0</v>
      </c>
      <c r="AC921" s="49"/>
      <c r="AD921" s="49"/>
      <c r="AE921" s="49"/>
      <c r="AF921" s="49"/>
      <c r="AG921" s="353"/>
      <c r="AH921" s="354">
        <f>(IF($AB$921="",0,1)*(IF($AB$922="",0,1)*(IF($AB$923="",0,1)*(IF($AC$923="",0,1)*(IF($AC$926="",0,1)*(IF($AB$928="",0,1)*(IF($AC$928="",0,1)*(IF($AC$930="",0,1)))))))))</f>
        <v>0</v>
      </c>
      <c r="AI921" s="196"/>
      <c r="AJ921" s="196"/>
      <c r="AK921" s="340" t="s">
        <v>595</v>
      </c>
      <c r="AL921" s="196"/>
      <c r="AM921" s="196"/>
      <c r="AN921" s="196"/>
      <c r="AU921" s="381">
        <v>3067</v>
      </c>
      <c r="AV921" s="196" t="s">
        <v>635</v>
      </c>
      <c r="AW921" s="381" t="s">
        <v>636</v>
      </c>
    </row>
    <row r="922" spans="1:62" ht="16.5" thickTop="1" thickBot="1" x14ac:dyDescent="0.3">
      <c r="A922" s="465"/>
      <c r="Y922" s="196"/>
      <c r="Z922" s="196"/>
      <c r="AA922" s="27" t="s">
        <v>596</v>
      </c>
      <c r="AB922" s="306">
        <v>0</v>
      </c>
      <c r="AC922" s="26"/>
      <c r="AD922" s="26"/>
      <c r="AE922" s="26"/>
      <c r="AF922" s="26"/>
      <c r="AG922" s="46"/>
      <c r="AH922" s="346"/>
      <c r="AI922" s="196"/>
      <c r="AJ922" s="196"/>
      <c r="AK922" s="340" t="s">
        <v>597</v>
      </c>
      <c r="AL922" s="196"/>
      <c r="AM922" s="196"/>
      <c r="AN922" s="196"/>
      <c r="AU922" s="381">
        <v>3097</v>
      </c>
      <c r="AV922" s="196" t="s">
        <v>635</v>
      </c>
      <c r="AW922" s="381" t="s">
        <v>636</v>
      </c>
    </row>
    <row r="923" spans="1:62" ht="16.5" thickTop="1" thickBot="1" x14ac:dyDescent="0.3">
      <c r="A923" s="465"/>
      <c r="Y923" s="196"/>
      <c r="Z923" s="196"/>
      <c r="AA923" s="27" t="s">
        <v>441</v>
      </c>
      <c r="AB923" s="306">
        <v>0</v>
      </c>
      <c r="AC923" s="306">
        <v>0</v>
      </c>
      <c r="AD923" s="26"/>
      <c r="AE923" s="26"/>
      <c r="AF923" s="26"/>
      <c r="AG923" s="46"/>
      <c r="AH923" s="346"/>
      <c r="AI923" s="196"/>
      <c r="AJ923" s="196"/>
      <c r="AK923" s="340" t="s">
        <v>598</v>
      </c>
      <c r="AL923" s="196"/>
      <c r="AM923" s="196"/>
      <c r="AN923" s="196"/>
      <c r="AU923" s="381">
        <v>3614</v>
      </c>
      <c r="AV923" s="196" t="s">
        <v>635</v>
      </c>
      <c r="AW923" s="381" t="s">
        <v>636</v>
      </c>
    </row>
    <row r="924" spans="1:62" ht="16.5" thickTop="1" thickBot="1" x14ac:dyDescent="0.3">
      <c r="A924" s="465"/>
      <c r="Y924" s="196"/>
      <c r="Z924" s="196"/>
      <c r="AA924" s="41" t="s">
        <v>599</v>
      </c>
      <c r="AB924" s="355" t="str">
        <f>IFERROR($AD$924*100,"")</f>
        <v/>
      </c>
      <c r="AC924" s="355" t="str">
        <f>IFERROR($AE$924*100,"")</f>
        <v/>
      </c>
      <c r="AD924" s="356" t="e">
        <f>($AB$923/($AB$923+$AC$923))</f>
        <v>#DIV/0!</v>
      </c>
      <c r="AE924" s="356" t="e">
        <f>1-$AD$924</f>
        <v>#DIV/0!</v>
      </c>
      <c r="AF924" s="26"/>
      <c r="AG924" s="463">
        <v>1</v>
      </c>
      <c r="AH924" s="346"/>
      <c r="AI924" s="196"/>
      <c r="AJ924" s="196"/>
      <c r="AK924" s="340" t="s">
        <v>600</v>
      </c>
      <c r="AL924" s="196"/>
      <c r="AM924" s="196"/>
      <c r="AN924" s="196"/>
      <c r="AU924" s="381">
        <v>3999</v>
      </c>
      <c r="AV924" s="196" t="s">
        <v>635</v>
      </c>
      <c r="AW924" s="381" t="s">
        <v>651</v>
      </c>
    </row>
    <row r="925" spans="1:62" ht="16.5" thickTop="1" thickBot="1" x14ac:dyDescent="0.3">
      <c r="A925" s="465"/>
      <c r="Y925" s="196"/>
      <c r="Z925" s="196"/>
      <c r="AA925" s="25" t="s">
        <v>164</v>
      </c>
      <c r="AB925" s="357" t="str">
        <f>IFERROR($AB$922*$AD$924,"")</f>
        <v/>
      </c>
      <c r="AC925" s="357" t="str">
        <f>IFERROR($AB$922*$AE$924,"")</f>
        <v/>
      </c>
      <c r="AD925" s="26"/>
      <c r="AE925" s="372"/>
      <c r="AF925" s="26"/>
      <c r="AG925" s="460">
        <f>IFERROR($AB$922*$AG$924,"")</f>
        <v>0</v>
      </c>
      <c r="AH925" s="346"/>
      <c r="AI925" s="196"/>
      <c r="AJ925" s="196"/>
      <c r="AK925" s="340" t="s">
        <v>601</v>
      </c>
      <c r="AL925" s="196"/>
      <c r="AM925" s="196"/>
      <c r="AN925" s="196"/>
      <c r="AU925" s="381">
        <v>186</v>
      </c>
      <c r="AV925" s="196" t="s">
        <v>635</v>
      </c>
      <c r="AW925" s="381" t="s">
        <v>653</v>
      </c>
    </row>
    <row r="926" spans="1:62" ht="16.5" thickTop="1" thickBot="1" x14ac:dyDescent="0.3">
      <c r="A926" s="465"/>
      <c r="Y926" s="196"/>
      <c r="Z926" s="196"/>
      <c r="AA926" s="41" t="s">
        <v>602</v>
      </c>
      <c r="AB926" s="358">
        <v>0.73</v>
      </c>
      <c r="AC926" s="359" t="str">
        <f>IF($AE$925="",$AD$926,($AE$926/100))</f>
        <v/>
      </c>
      <c r="AD926" s="26" t="str">
        <f>IF($AB$764="","",VLOOKUP($AB$764,$AA$616:$AF$623,5,0))</f>
        <v/>
      </c>
      <c r="AE926" s="306">
        <v>0</v>
      </c>
      <c r="AF926" s="355" t="str">
        <f>IFERROR($AC$926*100,"")</f>
        <v/>
      </c>
      <c r="AG926" s="463">
        <v>0.73</v>
      </c>
      <c r="AH926" s="346"/>
      <c r="AI926" s="196"/>
      <c r="AJ926" s="196"/>
      <c r="AK926" s="340" t="s">
        <v>603</v>
      </c>
      <c r="AL926" s="196"/>
      <c r="AM926" s="196"/>
      <c r="AN926" s="196"/>
      <c r="AU926" s="381">
        <v>197</v>
      </c>
      <c r="AV926" s="196" t="s">
        <v>635</v>
      </c>
      <c r="AW926" s="381" t="s">
        <v>657</v>
      </c>
    </row>
    <row r="927" spans="1:62" ht="16.5" thickTop="1" thickBot="1" x14ac:dyDescent="0.3">
      <c r="A927" s="465"/>
      <c r="Y927" s="196"/>
      <c r="Z927" s="196"/>
      <c r="AA927" s="25" t="s">
        <v>604</v>
      </c>
      <c r="AB927" s="357" t="str">
        <f>IFERROR(($AB$923*$AB$926)-$AB$925,"")</f>
        <v/>
      </c>
      <c r="AC927" s="357" t="str">
        <f>IFERROR(($AC$923*$AC$926)-$AC$925,"")</f>
        <v/>
      </c>
      <c r="AD927" s="26"/>
      <c r="AE927" s="26"/>
      <c r="AF927" s="26"/>
      <c r="AG927" s="460">
        <f>IFERROR(($AB$923*$AG$926)-$AG$925,"")</f>
        <v>0</v>
      </c>
      <c r="AH927" s="346"/>
      <c r="AI927" s="196"/>
      <c r="AJ927" s="196"/>
      <c r="AK927" s="340" t="s">
        <v>605</v>
      </c>
      <c r="AL927" s="196"/>
      <c r="AM927" s="196"/>
      <c r="AN927" s="196"/>
      <c r="AU927" s="381">
        <v>198</v>
      </c>
      <c r="AV927" s="196" t="s">
        <v>635</v>
      </c>
      <c r="AW927" s="381" t="s">
        <v>657</v>
      </c>
    </row>
    <row r="928" spans="1:62" ht="16.5" thickTop="1" thickBot="1" x14ac:dyDescent="0.3">
      <c r="A928" s="465"/>
      <c r="Y928" s="196"/>
      <c r="Z928" s="196"/>
      <c r="AA928" s="25" t="s">
        <v>606</v>
      </c>
      <c r="AB928" s="306">
        <v>0</v>
      </c>
      <c r="AC928" s="306">
        <v>0</v>
      </c>
      <c r="AD928" s="26"/>
      <c r="AE928" s="26"/>
      <c r="AF928" s="26"/>
      <c r="AG928" s="461">
        <f>$AB$928</f>
        <v>0</v>
      </c>
      <c r="AH928" s="346"/>
      <c r="AI928" s="196"/>
      <c r="AJ928" s="196"/>
      <c r="AK928" s="340" t="s">
        <v>607</v>
      </c>
      <c r="AL928" s="196"/>
      <c r="AM928" s="196"/>
      <c r="AN928" s="196"/>
      <c r="AU928" s="381">
        <v>199</v>
      </c>
      <c r="AV928" s="196" t="s">
        <v>635</v>
      </c>
      <c r="AW928" s="381" t="s">
        <v>657</v>
      </c>
    </row>
    <row r="929" spans="1:49" ht="16.5" thickTop="1" thickBot="1" x14ac:dyDescent="0.3">
      <c r="A929" s="465"/>
      <c r="Y929" s="196"/>
      <c r="Z929" s="196"/>
      <c r="AA929" s="25" t="s">
        <v>608</v>
      </c>
      <c r="AB929" s="357" t="str">
        <f>IFERROR(ROUND(IF($AB$927=0,0,($AB$927/$AB$928)*1000),2),"")</f>
        <v/>
      </c>
      <c r="AC929" s="357" t="str">
        <f>IFERROR(ROUND(IF($AC$927=0,0,($AC$927/$AC$928)*1000),2),"")</f>
        <v/>
      </c>
      <c r="AD929" s="26"/>
      <c r="AE929" s="26"/>
      <c r="AF929" s="26"/>
      <c r="AG929" s="460">
        <f>IFERROR(ROUND(IF($AG$927=0,0,($AG$927/$AG$928)*1000),2),"")</f>
        <v>0</v>
      </c>
      <c r="AH929" s="346"/>
      <c r="AI929" s="196"/>
      <c r="AJ929" s="196"/>
      <c r="AK929" s="340" t="s">
        <v>609</v>
      </c>
      <c r="AL929" s="196"/>
      <c r="AM929" s="196"/>
      <c r="AN929" s="196"/>
      <c r="AU929" s="381">
        <v>203</v>
      </c>
      <c r="AV929" s="196" t="s">
        <v>635</v>
      </c>
      <c r="AW929" s="381" t="s">
        <v>657</v>
      </c>
    </row>
    <row r="930" spans="1:49" ht="16.5" thickTop="1" thickBot="1" x14ac:dyDescent="0.3">
      <c r="A930" s="465"/>
      <c r="Y930" s="196"/>
      <c r="Z930" s="196"/>
      <c r="AA930" s="41" t="s">
        <v>610</v>
      </c>
      <c r="AB930" s="355">
        <f>IFERROR($AE$930*100,"")</f>
        <v>95</v>
      </c>
      <c r="AC930" s="359" t="str">
        <f>IF($AP$772="",$AE$768,$AP$772)</f>
        <v/>
      </c>
      <c r="AD930" s="26"/>
      <c r="AE930" s="416">
        <f>IF($AB$765="SI",$V$811,IF($AB$768=$C$783,$V$790,IF($AB$768=$D$783,$V$804,IF($AB$768=$E$783,$V$818))))</f>
        <v>0.95</v>
      </c>
      <c r="AF930" s="26"/>
      <c r="AG930" s="462"/>
      <c r="AH930" s="346"/>
      <c r="AI930" s="196"/>
      <c r="AJ930" s="196"/>
      <c r="AK930" s="340" t="s">
        <v>611</v>
      </c>
      <c r="AL930" s="196"/>
      <c r="AM930" s="196"/>
      <c r="AN930" s="196"/>
      <c r="AU930" s="381">
        <v>204</v>
      </c>
      <c r="AV930" s="196" t="s">
        <v>635</v>
      </c>
      <c r="AW930" s="381" t="s">
        <v>657</v>
      </c>
    </row>
    <row r="931" spans="1:49" ht="16.5" thickTop="1" thickBot="1" x14ac:dyDescent="0.3">
      <c r="A931" s="465"/>
      <c r="Y931" s="196"/>
      <c r="Z931" s="196"/>
      <c r="AA931" s="25" t="s">
        <v>612</v>
      </c>
      <c r="AB931" s="357">
        <f>IFERROR($AB$921*$AE$930,"")</f>
        <v>0</v>
      </c>
      <c r="AC931" s="357" t="str">
        <f>IFERROR($AB$921*$AC$930,"")</f>
        <v/>
      </c>
      <c r="AD931" s="26"/>
      <c r="AE931" s="26"/>
      <c r="AF931" s="26"/>
      <c r="AG931" s="460">
        <f>IFERROR($AB$921*$AE$930,"")</f>
        <v>0</v>
      </c>
      <c r="AH931" s="346"/>
      <c r="AI931" s="196"/>
      <c r="AJ931" s="196"/>
      <c r="AK931" s="340" t="s">
        <v>613</v>
      </c>
      <c r="AL931" s="196"/>
      <c r="AM931" s="196"/>
      <c r="AN931" s="196"/>
      <c r="AU931" s="381">
        <v>284</v>
      </c>
      <c r="AV931" s="196" t="s">
        <v>635</v>
      </c>
      <c r="AW931" s="381" t="s">
        <v>643</v>
      </c>
    </row>
    <row r="932" spans="1:49" ht="16.5" thickTop="1" thickBot="1" x14ac:dyDescent="0.3">
      <c r="A932" s="465"/>
      <c r="Y932" s="196"/>
      <c r="Z932" s="196"/>
      <c r="AA932" s="25" t="s">
        <v>614</v>
      </c>
      <c r="AB932" s="357">
        <f>IFERROR(MIN($AB$929,$AB$931),"")</f>
        <v>0</v>
      </c>
      <c r="AC932" s="357">
        <f>IFERROR(MIN($AC$929,$AC$931),"")</f>
        <v>0</v>
      </c>
      <c r="AD932" s="355" t="str">
        <f>IFERROR($AE$932*100,"")</f>
        <v/>
      </c>
      <c r="AE932" s="133" t="str">
        <f>IFERROR($AB$932/$AB$921,"")</f>
        <v/>
      </c>
      <c r="AF932" s="31" t="e">
        <f>$AD$932/100</f>
        <v>#VALUE!</v>
      </c>
      <c r="AG932" s="460">
        <f>IFERROR(MIN($AG$929,$AG$931),"")</f>
        <v>0</v>
      </c>
      <c r="AH932" s="459">
        <v>0</v>
      </c>
      <c r="AI932" s="196"/>
      <c r="AJ932" s="196"/>
      <c r="AK932" s="340" t="s">
        <v>615</v>
      </c>
      <c r="AL932" s="196"/>
      <c r="AM932" s="196"/>
      <c r="AN932" s="196"/>
      <c r="AU932" s="381">
        <v>286</v>
      </c>
      <c r="AV932" s="196" t="s">
        <v>635</v>
      </c>
      <c r="AW932" s="381" t="s">
        <v>643</v>
      </c>
    </row>
    <row r="933" spans="1:49" ht="16.5" thickTop="1" thickBot="1" x14ac:dyDescent="0.3">
      <c r="A933" s="465"/>
      <c r="Y933" s="196"/>
      <c r="Z933" s="196"/>
      <c r="AA933" s="378" t="s">
        <v>616</v>
      </c>
      <c r="AB933" s="491" t="str">
        <f>IF($AB$932&lt;100000,"",IF($AC$932&lt;200000,"",IFERROR($AC$933*100,"")))</f>
        <v/>
      </c>
      <c r="AC933" s="464" t="str">
        <f>IFERROR(($AE$930*$AB$927+$AC$930*$AC$927)/($AB$927+$AC$927),"")</f>
        <v/>
      </c>
      <c r="AD933" s="379" t="e">
        <f>$AB$933/100</f>
        <v>#VALUE!</v>
      </c>
      <c r="AE933" s="26"/>
      <c r="AF933" s="26"/>
      <c r="AG933" s="462"/>
      <c r="AH933" s="346"/>
      <c r="AI933" s="196"/>
      <c r="AJ933" s="196"/>
      <c r="AK933" s="340" t="s">
        <v>617</v>
      </c>
      <c r="AL933" s="196"/>
      <c r="AM933" s="196"/>
      <c r="AN933" s="196"/>
      <c r="AU933" s="381">
        <v>291</v>
      </c>
      <c r="AV933" s="196" t="s">
        <v>635</v>
      </c>
      <c r="AW933" s="381" t="s">
        <v>653</v>
      </c>
    </row>
    <row r="934" spans="1:49" ht="16.5" thickTop="1" thickBot="1" x14ac:dyDescent="0.3">
      <c r="A934" s="465"/>
      <c r="Y934" s="196"/>
      <c r="Z934" s="196"/>
      <c r="AA934" s="37" t="s">
        <v>618</v>
      </c>
      <c r="AB934" s="357" t="str">
        <f>IFERROR($AB$921*$AC$933,"")</f>
        <v/>
      </c>
      <c r="AC934" s="26"/>
      <c r="AD934" s="355"/>
      <c r="AE934" s="26"/>
      <c r="AF934" s="26"/>
      <c r="AG934" s="460">
        <f>IFERROR($AB$921*$AE$930,"")</f>
        <v>0</v>
      </c>
      <c r="AH934" s="346"/>
      <c r="AI934" s="196"/>
      <c r="AJ934" s="196"/>
      <c r="AK934" s="340" t="s">
        <v>619</v>
      </c>
      <c r="AL934" s="196"/>
      <c r="AM934" s="196"/>
      <c r="AN934" s="196"/>
      <c r="AU934" s="381">
        <v>292</v>
      </c>
      <c r="AV934" s="196" t="s">
        <v>635</v>
      </c>
      <c r="AW934" s="381" t="s">
        <v>653</v>
      </c>
    </row>
    <row r="935" spans="1:49" ht="16.5" thickTop="1" thickBot="1" x14ac:dyDescent="0.3">
      <c r="A935" s="465"/>
      <c r="Y935" s="196"/>
      <c r="Z935" s="196"/>
      <c r="AA935" s="37" t="s">
        <v>620</v>
      </c>
      <c r="AB935" s="357" t="str">
        <f>IFERROR(IF($AB$932&lt;$AB$934,MIN($AC$932,($AB$934-$AB$932)),0),"")</f>
        <v/>
      </c>
      <c r="AC935" s="26"/>
      <c r="AD935" s="355" t="str">
        <f>IFERROR($AE$935*100,"")</f>
        <v/>
      </c>
      <c r="AE935" s="133" t="str">
        <f>IFERROR($AB$935/$AB$921,"")</f>
        <v/>
      </c>
      <c r="AF935" s="31" t="e">
        <f>$AD$935/100</f>
        <v>#VALUE!</v>
      </c>
      <c r="AG935" s="460">
        <f>IFERROR(IF($AG$932&lt;$AG$934,MIN($AH$932,($AG$934-$AG$932)),0),"")</f>
        <v>0</v>
      </c>
      <c r="AH935" s="346"/>
      <c r="AI935" s="196"/>
      <c r="AJ935" s="196"/>
      <c r="AK935" s="340" t="s">
        <v>621</v>
      </c>
      <c r="AL935" s="196"/>
      <c r="AM935" s="196"/>
      <c r="AN935" s="196"/>
      <c r="AU935" s="381">
        <v>293</v>
      </c>
      <c r="AV935" s="196" t="s">
        <v>635</v>
      </c>
      <c r="AW935" s="381" t="s">
        <v>653</v>
      </c>
    </row>
    <row r="936" spans="1:49" ht="16.5" thickTop="1" thickBot="1" x14ac:dyDescent="0.3">
      <c r="A936" s="465"/>
      <c r="Y936" s="196"/>
      <c r="Z936" s="196"/>
      <c r="AA936" s="41" t="s">
        <v>622</v>
      </c>
      <c r="AB936" s="42" t="str">
        <f>IFERROR($AB$932+$AB$935,"")</f>
        <v/>
      </c>
      <c r="AC936" s="26"/>
      <c r="AD936" s="26"/>
      <c r="AE936" s="26"/>
      <c r="AF936" s="26"/>
      <c r="AG936" s="42">
        <f>IFERROR($AG$932+$AG$935,"")</f>
        <v>0</v>
      </c>
      <c r="AH936" s="346"/>
      <c r="AI936" s="196"/>
      <c r="AJ936" s="196"/>
      <c r="AK936" s="340" t="s">
        <v>582</v>
      </c>
      <c r="AL936" s="196"/>
      <c r="AM936" s="196"/>
      <c r="AN936" s="196"/>
      <c r="AU936" s="381">
        <v>294</v>
      </c>
      <c r="AV936" s="196" t="s">
        <v>635</v>
      </c>
      <c r="AW936" s="381" t="s">
        <v>653</v>
      </c>
    </row>
    <row r="937" spans="1:49" ht="16.5" thickTop="1" thickBot="1" x14ac:dyDescent="0.3">
      <c r="A937" s="465"/>
      <c r="Y937" s="196"/>
      <c r="Z937" s="196"/>
      <c r="AA937" s="37" t="s">
        <v>623</v>
      </c>
      <c r="AB937" s="37"/>
      <c r="AC937" s="26"/>
      <c r="AD937" s="26"/>
      <c r="AE937" s="26"/>
      <c r="AF937" s="26"/>
      <c r="AG937" s="46"/>
      <c r="AH937" s="346"/>
      <c r="AI937" s="196"/>
      <c r="AJ937" s="196"/>
      <c r="AK937" s="340" t="s">
        <v>624</v>
      </c>
      <c r="AL937" s="196"/>
      <c r="AM937" s="196"/>
      <c r="AN937" s="196"/>
      <c r="AU937" s="381">
        <v>296</v>
      </c>
      <c r="AV937" s="196" t="s">
        <v>635</v>
      </c>
      <c r="AW937" s="381" t="s">
        <v>653</v>
      </c>
    </row>
    <row r="938" spans="1:49" ht="16.5" thickTop="1" thickBot="1" x14ac:dyDescent="0.3">
      <c r="A938" s="465"/>
      <c r="Y938" s="196"/>
      <c r="Z938" s="196"/>
      <c r="AA938" s="37" t="s">
        <v>604</v>
      </c>
      <c r="AB938" s="360">
        <f>IFERROR($AB$923*0.85-$AB$922,"")</f>
        <v>0</v>
      </c>
      <c r="AC938" s="26"/>
      <c r="AD938" s="26"/>
      <c r="AE938" s="26"/>
      <c r="AF938" s="26"/>
      <c r="AG938" s="46"/>
      <c r="AH938" s="346"/>
      <c r="AI938" s="196"/>
      <c r="AJ938" s="196"/>
      <c r="AK938" s="340" t="s">
        <v>625</v>
      </c>
      <c r="AL938" s="196"/>
      <c r="AM938" s="196"/>
      <c r="AN938" s="196"/>
      <c r="AU938" s="381">
        <v>297</v>
      </c>
      <c r="AV938" s="196" t="s">
        <v>635</v>
      </c>
      <c r="AW938" s="381" t="s">
        <v>653</v>
      </c>
    </row>
    <row r="939" spans="1:49" ht="16.5" thickTop="1" thickBot="1" x14ac:dyDescent="0.3">
      <c r="A939" s="465"/>
      <c r="Y939" s="196"/>
      <c r="Z939" s="196"/>
      <c r="AA939" s="37" t="s">
        <v>608</v>
      </c>
      <c r="AB939" s="361">
        <f>IFERROR(ROUND(IF($AB$938=0,0,($AB$938/$AB$928)*1000),2),"")</f>
        <v>0</v>
      </c>
      <c r="AC939" s="26"/>
      <c r="AD939" s="26"/>
      <c r="AE939" s="26"/>
      <c r="AF939" s="26"/>
      <c r="AG939" s="46"/>
      <c r="AH939" s="346"/>
      <c r="AI939" s="196"/>
      <c r="AJ939" s="196"/>
      <c r="AK939" s="196"/>
      <c r="AL939" s="196"/>
      <c r="AM939" s="196"/>
      <c r="AN939" s="196"/>
      <c r="AU939" s="381">
        <v>298</v>
      </c>
      <c r="AV939" s="196" t="s">
        <v>635</v>
      </c>
      <c r="AW939" s="381" t="s">
        <v>653</v>
      </c>
    </row>
    <row r="940" spans="1:49" ht="16.5" thickTop="1" thickBot="1" x14ac:dyDescent="0.3">
      <c r="A940" s="465"/>
      <c r="Y940" s="196"/>
      <c r="Z940" s="196"/>
      <c r="AA940" s="41" t="s">
        <v>626</v>
      </c>
      <c r="AB940" s="42">
        <f>IFERROR(MIN($AB$939,$AB$931),"")</f>
        <v>0</v>
      </c>
      <c r="AC940" s="26"/>
      <c r="AD940" s="26"/>
      <c r="AE940" s="26"/>
      <c r="AF940" s="26"/>
      <c r="AG940" s="46"/>
      <c r="AH940" s="346"/>
      <c r="AI940" s="196"/>
      <c r="AJ940" s="196"/>
      <c r="AK940" s="196"/>
      <c r="AL940" s="196"/>
      <c r="AM940" s="196"/>
      <c r="AN940" s="196"/>
      <c r="AU940" s="381">
        <v>300</v>
      </c>
      <c r="AV940" s="196" t="s">
        <v>635</v>
      </c>
      <c r="AW940" s="381" t="s">
        <v>653</v>
      </c>
    </row>
    <row r="941" spans="1:49" ht="16.5" thickTop="1" thickBot="1" x14ac:dyDescent="0.3">
      <c r="A941" s="465"/>
      <c r="Y941" s="196"/>
      <c r="Z941" s="196"/>
      <c r="AA941" s="362" t="s">
        <v>627</v>
      </c>
      <c r="AB941" s="363" t="str">
        <f>IF($AC$932&lt;200000,$AC$942,IF(AB935&gt;0,$AC$941&amp;"1",$AC$941))</f>
        <v>Linea de Credito Final</v>
      </c>
      <c r="AC941" s="37" t="s">
        <v>628</v>
      </c>
      <c r="AD941" s="26"/>
      <c r="AE941" s="26"/>
      <c r="AF941" s="26"/>
      <c r="AG941" s="46"/>
      <c r="AH941" s="346"/>
      <c r="AI941" s="196"/>
      <c r="AJ941" s="196"/>
      <c r="AK941" s="196"/>
      <c r="AL941" s="196"/>
      <c r="AM941" s="196"/>
      <c r="AN941" s="196"/>
      <c r="AU941" s="381">
        <v>301</v>
      </c>
      <c r="AV941" s="196" t="s">
        <v>635</v>
      </c>
      <c r="AW941" s="381" t="s">
        <v>653</v>
      </c>
    </row>
    <row r="942" spans="1:49" ht="16.5" thickTop="1" thickBot="1" x14ac:dyDescent="0.3">
      <c r="A942" s="465"/>
      <c r="Y942" s="196"/>
      <c r="Z942" s="418"/>
      <c r="AA942" s="364" t="str">
        <f>IFERROR(IF($AB$942=0,"",IF($AB$932&lt;100000,"Cliente no es sujeto del esquema FPT + Mercado abierto.",IF($AC$930=$AE$761,$AE$761&amp;" por Políticas de Crédito ",IF($AB$941=$AC$942,"No es sujeto del el esquema de FPT + Ingresos Adicionales, Linea de Credito Final por "&amp;TEXT($AB$942,"$ #,##0.00")&amp;", LTV de "&amp;TEXT($AD$943,"0%")&amp;" (Línea MA menor de $ 200,000.00) ",IF($AB$941=$AC$941&amp;"1","Linea de Credito Final por "&amp;TEXT($AB$942,"$ #,##0.00")&amp;", LTV de "&amp;TEXT($AD$943,"0%. ")&amp;"Línea FPT por "&amp;TEXT($AB$932,"$ #,##0.00")&amp;" LTV de "&amp;TEXT($AF$932,"0%. ")&amp;"Línea MA por "&amp;TEXT($AB$935,"$ #,##0.00")&amp;" LTV de "&amp;TEXT($AF$935,"0%. ")&amp;" (LTV ponderado máximo "&amp;TEXT($AD$933,"0%"&amp;")"),IF($AB$941=$AC$941,"Linea de Credito Final por "&amp;TEXT($AB$942,"$ #,##0.00")&amp;", LTV de "&amp;TEXT($AD$943,"0%. ")&amp;" (LTV ponderado máximo "&amp;TEXT($AD$933,"0%"&amp;")."))))))),"")</f>
        <v/>
      </c>
      <c r="AB942" s="273">
        <f>IFERROR(IF($AB$941=$AC$942,$AG$936,IF($AB$941=$AC$941,$AB$936,IF($AB$941=$AC$941&amp;"1",$AB$936,""))),"")</f>
        <v>0</v>
      </c>
      <c r="AC942" s="37" t="s">
        <v>674</v>
      </c>
      <c r="AD942" s="26"/>
      <c r="AE942" s="26">
        <f>$AB$942-200000</f>
        <v>-200000</v>
      </c>
      <c r="AF942" s="26"/>
      <c r="AG942" s="46"/>
      <c r="AH942" s="346"/>
      <c r="AI942" s="196"/>
      <c r="AJ942" s="196"/>
      <c r="AK942" s="196"/>
      <c r="AL942" s="196"/>
      <c r="AM942" s="196"/>
      <c r="AN942" s="196"/>
      <c r="AU942" s="381">
        <v>389</v>
      </c>
      <c r="AV942" s="196" t="s">
        <v>635</v>
      </c>
      <c r="AW942" s="381" t="s">
        <v>657</v>
      </c>
    </row>
    <row r="943" spans="1:49" ht="16.5" thickTop="1" thickBot="1" x14ac:dyDescent="0.3">
      <c r="A943" s="465"/>
      <c r="Y943" s="196"/>
      <c r="Z943" s="196"/>
      <c r="AA943" s="365" t="s">
        <v>629</v>
      </c>
      <c r="AB943" s="355" t="str">
        <f>IFERROR($AC$943*100,"")</f>
        <v/>
      </c>
      <c r="AC943" s="133" t="str">
        <f>IFERROR($AB$942/$AB$921,"")</f>
        <v/>
      </c>
      <c r="AD943" s="31" t="e">
        <f>$AB$943/100</f>
        <v>#VALUE!</v>
      </c>
      <c r="AE943" s="31"/>
      <c r="AF943" s="31"/>
      <c r="AG943" s="366"/>
      <c r="AH943" s="367"/>
      <c r="AI943" s="196"/>
      <c r="AJ943" s="196"/>
      <c r="AK943" s="196"/>
      <c r="AL943" s="196"/>
      <c r="AM943" s="196"/>
      <c r="AN943" s="196"/>
      <c r="AU943" s="381">
        <v>417</v>
      </c>
      <c r="AV943" s="196" t="s">
        <v>635</v>
      </c>
      <c r="AW943" s="381" t="s">
        <v>643</v>
      </c>
    </row>
    <row r="944" spans="1:49" x14ac:dyDescent="0.25">
      <c r="A944" s="465"/>
      <c r="Y944" s="196"/>
      <c r="Z944" s="196"/>
      <c r="AA944" s="368"/>
      <c r="AB944" s="252"/>
      <c r="AC944" s="252"/>
      <c r="AD944" s="196"/>
      <c r="AE944" s="196"/>
      <c r="AF944" s="196"/>
      <c r="AG944" s="196"/>
      <c r="AH944" s="196"/>
      <c r="AI944" s="196"/>
      <c r="AJ944" s="196"/>
      <c r="AK944" s="196"/>
      <c r="AL944" s="196"/>
      <c r="AM944" s="196"/>
      <c r="AN944" s="196"/>
      <c r="AU944" s="381">
        <v>485</v>
      </c>
      <c r="AV944" s="196" t="s">
        <v>635</v>
      </c>
      <c r="AW944" s="381" t="s">
        <v>653</v>
      </c>
    </row>
    <row r="945" spans="1:49" ht="15.75" thickBot="1" x14ac:dyDescent="0.3">
      <c r="A945" s="465"/>
      <c r="Y945" s="196"/>
      <c r="Z945" s="196"/>
      <c r="AA945" s="196"/>
      <c r="AB945" s="196"/>
      <c r="AC945" s="369"/>
      <c r="AD945" s="196"/>
      <c r="AE945" s="196"/>
      <c r="AF945" s="196"/>
      <c r="AG945" s="196"/>
      <c r="AH945" s="196"/>
      <c r="AI945" s="196"/>
      <c r="AJ945" s="196"/>
      <c r="AK945" s="196"/>
      <c r="AL945" s="196"/>
      <c r="AM945" s="196"/>
      <c r="AN945" s="196"/>
      <c r="AU945" s="381">
        <v>681</v>
      </c>
      <c r="AV945" s="196" t="s">
        <v>635</v>
      </c>
      <c r="AW945" s="381" t="s">
        <v>657</v>
      </c>
    </row>
    <row r="946" spans="1:49" ht="16.5" thickTop="1" thickBot="1" x14ac:dyDescent="0.3">
      <c r="A946" s="465"/>
      <c r="Y946" s="196"/>
      <c r="Z946" s="493" t="s">
        <v>734</v>
      </c>
      <c r="AA946" s="352" t="s">
        <v>594</v>
      </c>
      <c r="AB946" s="306">
        <v>0</v>
      </c>
      <c r="AC946" s="49"/>
      <c r="AD946" s="49"/>
      <c r="AE946" s="49"/>
      <c r="AF946" s="49"/>
      <c r="AG946" s="353"/>
      <c r="AH946" s="354">
        <f>(IF($AB$946="",0,1)*(IF($AB$947="",0,1)*(IF($AB$948="",0,1)*(IF($AC$948="",0,1)*(IF($AC$951="",0,1)*(IF($AB$953="",0,1)*(IF($AC$953="",0,1)*(IF($AC$955="",0,1)))))))))</f>
        <v>0</v>
      </c>
      <c r="AI946" s="196"/>
      <c r="AJ946" s="196"/>
      <c r="AK946" s="196"/>
      <c r="AL946" s="196"/>
      <c r="AM946" s="196"/>
      <c r="AN946" s="196"/>
      <c r="AU946" s="381">
        <v>702</v>
      </c>
      <c r="AV946" s="196" t="s">
        <v>635</v>
      </c>
      <c r="AW946" s="381" t="s">
        <v>653</v>
      </c>
    </row>
    <row r="947" spans="1:49" ht="16.5" thickTop="1" thickBot="1" x14ac:dyDescent="0.3">
      <c r="A947" s="465"/>
      <c r="Y947" s="196"/>
      <c r="Z947" s="493"/>
      <c r="AA947" s="27" t="s">
        <v>596</v>
      </c>
      <c r="AB947" s="26">
        <v>0</v>
      </c>
      <c r="AC947" s="26"/>
      <c r="AD947" s="26"/>
      <c r="AE947" s="26"/>
      <c r="AF947" s="26"/>
      <c r="AG947" s="46"/>
      <c r="AH947" s="346"/>
      <c r="AI947" s="196"/>
      <c r="AJ947" s="196"/>
      <c r="AK947" s="196"/>
      <c r="AL947" s="196"/>
      <c r="AM947" s="196"/>
      <c r="AN947" s="196"/>
      <c r="AU947" s="381">
        <v>703</v>
      </c>
      <c r="AV947" s="196" t="s">
        <v>635</v>
      </c>
      <c r="AW947" s="381" t="s">
        <v>653</v>
      </c>
    </row>
    <row r="948" spans="1:49" ht="16.5" thickTop="1" thickBot="1" x14ac:dyDescent="0.3">
      <c r="A948" s="465"/>
      <c r="Y948" s="196"/>
      <c r="Z948" s="493"/>
      <c r="AA948" s="27" t="s">
        <v>441</v>
      </c>
      <c r="AB948" s="306">
        <v>0</v>
      </c>
      <c r="AC948" s="306">
        <v>0</v>
      </c>
      <c r="AD948" s="26"/>
      <c r="AE948" s="26"/>
      <c r="AF948" s="26"/>
      <c r="AG948" s="46"/>
      <c r="AH948" s="346"/>
      <c r="AI948" s="196"/>
      <c r="AJ948" s="196"/>
      <c r="AK948" s="196"/>
      <c r="AL948" s="196"/>
      <c r="AM948" s="196"/>
      <c r="AN948" s="196"/>
      <c r="AU948" s="381">
        <v>704</v>
      </c>
      <c r="AV948" s="196" t="s">
        <v>635</v>
      </c>
      <c r="AW948" s="381" t="s">
        <v>653</v>
      </c>
    </row>
    <row r="949" spans="1:49" ht="16.5" thickTop="1" thickBot="1" x14ac:dyDescent="0.3">
      <c r="A949" s="465"/>
      <c r="Y949" s="196"/>
      <c r="Z949" s="493"/>
      <c r="AA949" s="41" t="s">
        <v>599</v>
      </c>
      <c r="AB949" s="355" t="str">
        <f>IFERROR($AD$949*100,"")</f>
        <v/>
      </c>
      <c r="AC949" s="355" t="str">
        <f>IFERROR($AE$949*100,"")</f>
        <v/>
      </c>
      <c r="AD949" s="356" t="e">
        <f>($AB$948/($AB$948+$AC$948))</f>
        <v>#DIV/0!</v>
      </c>
      <c r="AE949" s="356" t="e">
        <f>1-$AD$949</f>
        <v>#DIV/0!</v>
      </c>
      <c r="AF949" s="26"/>
      <c r="AG949" s="463">
        <v>1</v>
      </c>
      <c r="AH949" s="346"/>
      <c r="AI949" s="196"/>
      <c r="AJ949" s="196"/>
      <c r="AK949" s="196"/>
      <c r="AL949" s="196"/>
      <c r="AM949" s="196"/>
      <c r="AN949" s="196"/>
      <c r="AU949" s="381">
        <v>705</v>
      </c>
      <c r="AV949" s="196" t="s">
        <v>635</v>
      </c>
      <c r="AW949" s="381" t="s">
        <v>643</v>
      </c>
    </row>
    <row r="950" spans="1:49" ht="16.5" thickTop="1" thickBot="1" x14ac:dyDescent="0.3">
      <c r="A950" s="465"/>
      <c r="Y950" s="196"/>
      <c r="Z950" s="493"/>
      <c r="AA950" s="25" t="s">
        <v>164</v>
      </c>
      <c r="AB950" s="306">
        <v>0</v>
      </c>
      <c r="AC950" s="306">
        <v>0</v>
      </c>
      <c r="AD950" s="26"/>
      <c r="AE950" s="480" t="str">
        <f>IF($AE$925="","",$AE$925)</f>
        <v/>
      </c>
      <c r="AF950" s="26"/>
      <c r="AG950" s="460">
        <f>IFERROR($AB$950*$AG$949,"")</f>
        <v>0</v>
      </c>
      <c r="AH950" s="346"/>
      <c r="AI950" s="196"/>
      <c r="AJ950" s="196"/>
      <c r="AK950" s="196"/>
      <c r="AL950" s="196"/>
      <c r="AM950" s="196"/>
      <c r="AN950" s="196"/>
      <c r="AU950" s="381">
        <v>707</v>
      </c>
      <c r="AV950" s="196" t="s">
        <v>635</v>
      </c>
      <c r="AW950" s="381" t="s">
        <v>643</v>
      </c>
    </row>
    <row r="951" spans="1:49" ht="16.5" thickTop="1" thickBot="1" x14ac:dyDescent="0.3">
      <c r="A951" s="465"/>
      <c r="Y951" s="196"/>
      <c r="Z951" s="493"/>
      <c r="AA951" s="41" t="s">
        <v>602</v>
      </c>
      <c r="AB951" s="358">
        <v>0.73</v>
      </c>
      <c r="AC951" s="359" t="str">
        <f>IF($AE$950="",$AD$951,($AE$951/100))</f>
        <v/>
      </c>
      <c r="AD951" s="26" t="str">
        <f>IF($AB$764="","",VLOOKUP($AB$764,$AA$616:$AF$623,5,0))</f>
        <v/>
      </c>
      <c r="AE951" s="479">
        <f>$AE$926</f>
        <v>0</v>
      </c>
      <c r="AF951" s="355" t="str">
        <f>IFERROR($AC$951*100,"")</f>
        <v/>
      </c>
      <c r="AG951" s="463">
        <v>0.73</v>
      </c>
      <c r="AH951" s="346"/>
      <c r="AI951" s="465"/>
      <c r="AJ951" s="196"/>
      <c r="AK951" s="196"/>
      <c r="AL951" s="196"/>
      <c r="AM951" s="196"/>
      <c r="AN951" s="196"/>
      <c r="AU951" s="381">
        <v>708</v>
      </c>
      <c r="AV951" s="196" t="s">
        <v>635</v>
      </c>
      <c r="AW951" s="381" t="s">
        <v>643</v>
      </c>
    </row>
    <row r="952" spans="1:49" ht="16.5" thickTop="1" thickBot="1" x14ac:dyDescent="0.3">
      <c r="A952" s="465"/>
      <c r="Y952" s="196"/>
      <c r="Z952" s="493"/>
      <c r="AA952" s="25" t="s">
        <v>604</v>
      </c>
      <c r="AB952" s="357">
        <f>IFERROR(($AB$948*$AB$951)-$AB$950,"")</f>
        <v>0</v>
      </c>
      <c r="AC952" s="357" t="str">
        <f>IFERROR(($AC$948*$AC$951)-$AC$950,"")</f>
        <v/>
      </c>
      <c r="AD952" s="26"/>
      <c r="AE952" s="26"/>
      <c r="AF952" s="26"/>
      <c r="AG952" s="460">
        <f>IFERROR(($AB$948*$AG$951)-$AG$950,"")</f>
        <v>0</v>
      </c>
      <c r="AH952" s="346"/>
      <c r="AI952" s="465"/>
      <c r="AJ952" s="196"/>
      <c r="AK952" s="196"/>
      <c r="AL952" s="196"/>
      <c r="AM952" s="196"/>
      <c r="AN952" s="196"/>
      <c r="AU952" s="381">
        <v>709</v>
      </c>
      <c r="AV952" s="196" t="s">
        <v>635</v>
      </c>
      <c r="AW952" s="381" t="s">
        <v>643</v>
      </c>
    </row>
    <row r="953" spans="1:49" ht="16.5" thickTop="1" thickBot="1" x14ac:dyDescent="0.3">
      <c r="A953" s="465"/>
      <c r="Y953" s="196"/>
      <c r="Z953" s="493"/>
      <c r="AA953" s="25" t="s">
        <v>606</v>
      </c>
      <c r="AB953" s="479">
        <f>$AB$928</f>
        <v>0</v>
      </c>
      <c r="AC953" s="479">
        <f>$AC$928</f>
        <v>0</v>
      </c>
      <c r="AD953" s="26"/>
      <c r="AE953" s="26"/>
      <c r="AF953" s="26"/>
      <c r="AG953" s="461">
        <f>$AB$953</f>
        <v>0</v>
      </c>
      <c r="AH953" s="346"/>
      <c r="AI953" s="465"/>
      <c r="AJ953" s="196"/>
      <c r="AK953" s="196"/>
      <c r="AL953" s="196"/>
      <c r="AM953" s="196"/>
      <c r="AN953" s="196"/>
      <c r="AU953" s="381">
        <v>710</v>
      </c>
      <c r="AV953" s="196" t="s">
        <v>635</v>
      </c>
      <c r="AW953" s="381" t="s">
        <v>643</v>
      </c>
    </row>
    <row r="954" spans="1:49" ht="16.5" thickTop="1" thickBot="1" x14ac:dyDescent="0.3">
      <c r="A954" s="465"/>
      <c r="Y954" s="196"/>
      <c r="Z954" s="493"/>
      <c r="AA954" s="25" t="s">
        <v>608</v>
      </c>
      <c r="AB954" s="357">
        <f>IFERROR(ROUND(IF($AB$952=0,0,($AB$952/$AB$953)*1000),2),"")</f>
        <v>0</v>
      </c>
      <c r="AC954" s="357" t="str">
        <f>IFERROR(ROUND(IF($AC$952=0,0,($AC$952/$AC$953)*1000),2),"")</f>
        <v/>
      </c>
      <c r="AD954" s="26"/>
      <c r="AE954" s="26"/>
      <c r="AF954" s="26"/>
      <c r="AG954" s="460">
        <f>IFERROR(ROUND(IF($AG$952=0,0,($AG$952/$AG$953)*1000),2),"")</f>
        <v>0</v>
      </c>
      <c r="AH954" s="346"/>
      <c r="AI954" s="465"/>
      <c r="AJ954" s="196"/>
      <c r="AK954" s="196"/>
      <c r="AL954" s="196"/>
      <c r="AM954" s="196"/>
      <c r="AN954" s="196"/>
      <c r="AU954" s="381">
        <v>716</v>
      </c>
      <c r="AV954" s="196" t="s">
        <v>635</v>
      </c>
      <c r="AW954" s="381" t="s">
        <v>657</v>
      </c>
    </row>
    <row r="955" spans="1:49" ht="16.5" thickTop="1" thickBot="1" x14ac:dyDescent="0.3">
      <c r="A955" s="465"/>
      <c r="Y955" s="196"/>
      <c r="Z955" s="493"/>
      <c r="AA955" s="41" t="s">
        <v>610</v>
      </c>
      <c r="AB955" s="355">
        <f>IFERROR($AE$955*100,"")</f>
        <v>95</v>
      </c>
      <c r="AC955" s="359" t="str">
        <f>IF($AP$772="",$AE$768,$AP$772)</f>
        <v/>
      </c>
      <c r="AD955" s="26"/>
      <c r="AE955" s="416">
        <f>IF($AB$765="SI",$V$811,IF($AB$768=$C$783,$V$790,IF($AB$768=$D$783,$V$804,IF($AB$768=$E$783,$V$818))))</f>
        <v>0.95</v>
      </c>
      <c r="AF955" s="26"/>
      <c r="AG955" s="462"/>
      <c r="AH955" s="346"/>
      <c r="AI955" s="465"/>
      <c r="AJ955" s="196"/>
      <c r="AK955" s="196"/>
      <c r="AL955" s="196"/>
      <c r="AM955" s="196"/>
      <c r="AN955" s="196"/>
      <c r="AU955" s="381">
        <v>742</v>
      </c>
      <c r="AV955" s="196" t="s">
        <v>635</v>
      </c>
      <c r="AW955" s="381" t="s">
        <v>653</v>
      </c>
    </row>
    <row r="956" spans="1:49" ht="16.5" thickTop="1" thickBot="1" x14ac:dyDescent="0.3">
      <c r="A956" s="465"/>
      <c r="Y956" s="196"/>
      <c r="Z956" s="493"/>
      <c r="AA956" s="25" t="s">
        <v>612</v>
      </c>
      <c r="AB956" s="357">
        <f>IFERROR($AB$946*$AE$955,"")</f>
        <v>0</v>
      </c>
      <c r="AC956" s="357" t="str">
        <f>IFERROR($AB$946*$AC$955,"")</f>
        <v/>
      </c>
      <c r="AD956" s="26"/>
      <c r="AE956" s="26"/>
      <c r="AF956" s="26"/>
      <c r="AG956" s="460">
        <f>IFERROR($AB$946*$AE$955,"")</f>
        <v>0</v>
      </c>
      <c r="AH956" s="346"/>
      <c r="AI956" s="465"/>
      <c r="AJ956" s="196"/>
      <c r="AK956" s="196"/>
      <c r="AL956" s="196"/>
      <c r="AM956" s="196"/>
      <c r="AN956" s="196"/>
      <c r="AU956" s="381">
        <v>813</v>
      </c>
      <c r="AV956" s="196" t="s">
        <v>635</v>
      </c>
      <c r="AW956" s="381" t="s">
        <v>653</v>
      </c>
    </row>
    <row r="957" spans="1:49" ht="16.5" thickTop="1" thickBot="1" x14ac:dyDescent="0.3">
      <c r="A957" s="465"/>
      <c r="Y957" s="196"/>
      <c r="Z957" s="493"/>
      <c r="AA957" s="25" t="s">
        <v>614</v>
      </c>
      <c r="AB957" s="357">
        <f>IFERROR(MIN($AB$954,$AB$956),"")</f>
        <v>0</v>
      </c>
      <c r="AC957" s="357">
        <f>IFERROR(MIN($AC$954,$AC$956),"")</f>
        <v>0</v>
      </c>
      <c r="AD957" s="355" t="str">
        <f>IFERROR($AE$957*100,"")</f>
        <v/>
      </c>
      <c r="AE957" s="133" t="str">
        <f>IFERROR($AB$957/$AB$946,"")</f>
        <v/>
      </c>
      <c r="AF957" s="31" t="e">
        <f>$AD$957/100</f>
        <v>#VALUE!</v>
      </c>
      <c r="AG957" s="460">
        <f>IFERROR(MIN($AG$954,$AG$956),"")</f>
        <v>0</v>
      </c>
      <c r="AH957" s="459">
        <v>0</v>
      </c>
      <c r="AI957" s="465"/>
      <c r="AJ957" s="196"/>
      <c r="AK957" s="196"/>
      <c r="AL957" s="196"/>
      <c r="AM957" s="196"/>
      <c r="AN957" s="196"/>
      <c r="AU957" s="381">
        <v>823</v>
      </c>
      <c r="AV957" s="196" t="s">
        <v>635</v>
      </c>
      <c r="AW957" s="381" t="s">
        <v>653</v>
      </c>
    </row>
    <row r="958" spans="1:49" ht="16.5" thickTop="1" thickBot="1" x14ac:dyDescent="0.3">
      <c r="A958" s="465"/>
      <c r="Y958" s="196"/>
      <c r="Z958" s="493"/>
      <c r="AA958" s="378" t="s">
        <v>616</v>
      </c>
      <c r="AB958" s="491" t="str">
        <f>IF($AB$957&lt;100000,"",IF($AC$957&lt;200000,"",IFERROR($AC$958*100,"")))</f>
        <v/>
      </c>
      <c r="AC958" s="464" t="str">
        <f>IFERROR(($AE$955*$AB$952+$AC$955*$AC$952)/($AB$952+$AC$952),"")</f>
        <v/>
      </c>
      <c r="AD958" s="379" t="e">
        <f>$AB$958/100</f>
        <v>#VALUE!</v>
      </c>
      <c r="AE958" s="26"/>
      <c r="AF958" s="26"/>
      <c r="AG958" s="462"/>
      <c r="AH958" s="346"/>
      <c r="AI958" s="465"/>
      <c r="AJ958" s="196"/>
      <c r="AK958" s="196"/>
      <c r="AL958" s="196"/>
      <c r="AM958" s="196"/>
      <c r="AN958" s="196"/>
      <c r="AU958" s="381">
        <v>871</v>
      </c>
      <c r="AV958" s="196" t="s">
        <v>635</v>
      </c>
      <c r="AW958" s="381" t="s">
        <v>657</v>
      </c>
    </row>
    <row r="959" spans="1:49" ht="16.5" thickTop="1" thickBot="1" x14ac:dyDescent="0.3">
      <c r="A959" s="465"/>
      <c r="Z959" s="493"/>
      <c r="AA959" s="37" t="s">
        <v>618</v>
      </c>
      <c r="AB959" s="357" t="str">
        <f>IFERROR($AB$946*$AC$958,"")</f>
        <v/>
      </c>
      <c r="AC959" s="26"/>
      <c r="AD959" s="355"/>
      <c r="AE959" s="26"/>
      <c r="AF959" s="26"/>
      <c r="AG959" s="460">
        <f>IFERROR($AB$946*$AE$955,"")</f>
        <v>0</v>
      </c>
      <c r="AH959" s="346"/>
      <c r="AI959" s="465"/>
      <c r="AU959" s="381">
        <v>879</v>
      </c>
      <c r="AV959" s="196" t="s">
        <v>635</v>
      </c>
      <c r="AW959" s="381" t="s">
        <v>653</v>
      </c>
    </row>
    <row r="960" spans="1:49" ht="16.5" thickTop="1" thickBot="1" x14ac:dyDescent="0.3">
      <c r="A960" s="465"/>
      <c r="Z960" s="493"/>
      <c r="AA960" s="37" t="s">
        <v>620</v>
      </c>
      <c r="AB960" s="357" t="str">
        <f>IFERROR(IF($AB$957&lt;$AB$959,MIN($AC$957,($AB$959-$AB$957)),0),"")</f>
        <v/>
      </c>
      <c r="AC960" s="26"/>
      <c r="AD960" s="355" t="str">
        <f>IFERROR($AE$960*100,"")</f>
        <v/>
      </c>
      <c r="AE960" s="133" t="str">
        <f>IFERROR($AB$960/$AB$946,"")</f>
        <v/>
      </c>
      <c r="AF960" s="31" t="e">
        <f>$AD$960/100</f>
        <v>#VALUE!</v>
      </c>
      <c r="AG960" s="460">
        <f>IFERROR(IF($AG$957&lt;$AG$959,MIN($AH$957,($AG$959-$AG$957)),0),"")</f>
        <v>0</v>
      </c>
      <c r="AH960" s="346"/>
      <c r="AI960" s="465"/>
      <c r="AU960" s="381">
        <v>889</v>
      </c>
      <c r="AV960" s="196" t="s">
        <v>635</v>
      </c>
      <c r="AW960" s="381" t="s">
        <v>657</v>
      </c>
    </row>
    <row r="961" spans="1:49" ht="16.5" thickTop="1" thickBot="1" x14ac:dyDescent="0.3">
      <c r="A961" s="465"/>
      <c r="Z961" s="493"/>
      <c r="AA961" s="41" t="s">
        <v>622</v>
      </c>
      <c r="AB961" s="42" t="str">
        <f>IFERROR($AB$957+$AB$960,"")</f>
        <v/>
      </c>
      <c r="AC961" s="26"/>
      <c r="AD961" s="26"/>
      <c r="AE961" s="26"/>
      <c r="AF961" s="26"/>
      <c r="AG961" s="42">
        <f>IFERROR($AG$957+$AG$960,"")</f>
        <v>0</v>
      </c>
      <c r="AH961" s="346"/>
      <c r="AI961" s="465"/>
      <c r="AU961" s="381">
        <v>923</v>
      </c>
      <c r="AV961" s="196" t="s">
        <v>635</v>
      </c>
      <c r="AW961" s="381" t="s">
        <v>653</v>
      </c>
    </row>
    <row r="962" spans="1:49" ht="16.5" thickTop="1" thickBot="1" x14ac:dyDescent="0.3">
      <c r="A962" s="465"/>
      <c r="Z962" s="493"/>
      <c r="AA962" s="481" t="s">
        <v>623</v>
      </c>
      <c r="AB962" s="37"/>
      <c r="AC962" s="26"/>
      <c r="AD962" s="26"/>
      <c r="AE962" s="26"/>
      <c r="AF962" s="26"/>
      <c r="AG962" s="46"/>
      <c r="AH962" s="346"/>
      <c r="AI962" s="465"/>
      <c r="AU962" s="381">
        <v>955</v>
      </c>
      <c r="AV962" s="196" t="s">
        <v>635</v>
      </c>
      <c r="AW962" s="381" t="s">
        <v>657</v>
      </c>
    </row>
    <row r="963" spans="1:49" ht="16.5" thickTop="1" thickBot="1" x14ac:dyDescent="0.3">
      <c r="A963" s="465"/>
      <c r="Z963" s="493"/>
      <c r="AA963" s="481" t="s">
        <v>604</v>
      </c>
      <c r="AB963" s="482">
        <v>0</v>
      </c>
      <c r="AC963" s="26">
        <f>IFERROR($AB$948*0.85-$AB$950,"")</f>
        <v>0</v>
      </c>
      <c r="AD963" s="26"/>
      <c r="AE963" s="26"/>
      <c r="AF963" s="26"/>
      <c r="AG963" s="46"/>
      <c r="AH963" s="346"/>
      <c r="AU963" s="381">
        <v>1038</v>
      </c>
      <c r="AV963" s="196" t="s">
        <v>635</v>
      </c>
      <c r="AW963" s="381" t="s">
        <v>653</v>
      </c>
    </row>
    <row r="964" spans="1:49" ht="16.5" thickTop="1" thickBot="1" x14ac:dyDescent="0.3">
      <c r="A964" s="465"/>
      <c r="Z964" s="493"/>
      <c r="AA964" s="37" t="s">
        <v>608</v>
      </c>
      <c r="AB964" s="361">
        <f>IFERROR(ROUND(IF($AB$963=0,0,($AB$963/$AB$953)*1000),2),"")</f>
        <v>0</v>
      </c>
      <c r="AC964" s="26"/>
      <c r="AD964" s="26"/>
      <c r="AE964" s="26"/>
      <c r="AF964" s="26"/>
      <c r="AG964" s="46"/>
      <c r="AH964" s="346"/>
      <c r="AU964" s="381">
        <v>1039</v>
      </c>
      <c r="AV964" s="196" t="s">
        <v>635</v>
      </c>
      <c r="AW964" s="381" t="s">
        <v>653</v>
      </c>
    </row>
    <row r="965" spans="1:49" ht="16.5" thickTop="1" thickBot="1" x14ac:dyDescent="0.3">
      <c r="A965" s="465"/>
      <c r="Z965" s="493"/>
      <c r="AA965" s="483" t="s">
        <v>626</v>
      </c>
      <c r="AB965" s="484">
        <f>IFERROR(MIN($AB$964,$AB$956),"")</f>
        <v>0</v>
      </c>
      <c r="AC965" s="26"/>
      <c r="AD965" s="26"/>
      <c r="AE965" s="26"/>
      <c r="AF965" s="26"/>
      <c r="AG965" s="46"/>
      <c r="AH965" s="346"/>
      <c r="AU965" s="381">
        <v>1051</v>
      </c>
      <c r="AV965" s="196" t="s">
        <v>635</v>
      </c>
      <c r="AW965" s="381" t="s">
        <v>653</v>
      </c>
    </row>
    <row r="966" spans="1:49" ht="16.5" thickTop="1" thickBot="1" x14ac:dyDescent="0.3">
      <c r="A966" s="465"/>
      <c r="Z966" s="493"/>
      <c r="AA966" s="362" t="s">
        <v>627</v>
      </c>
      <c r="AB966" s="363" t="str">
        <f>IF($AC$957&lt;200000,$AC$967,IF($AB$960&gt;0,$AC$966&amp;"1",$AC$966))</f>
        <v>Linea de Credito Final</v>
      </c>
      <c r="AC966" s="37" t="s">
        <v>628</v>
      </c>
      <c r="AD966" s="26"/>
      <c r="AE966" s="26"/>
      <c r="AF966" s="26"/>
      <c r="AG966" s="46"/>
      <c r="AH966" s="346"/>
      <c r="AU966" s="381">
        <v>1216</v>
      </c>
      <c r="AV966" s="196" t="s">
        <v>635</v>
      </c>
      <c r="AW966" s="381" t="s">
        <v>657</v>
      </c>
    </row>
    <row r="967" spans="1:49" ht="16.5" thickTop="1" thickBot="1" x14ac:dyDescent="0.3">
      <c r="A967" s="465"/>
      <c r="Z967" s="493"/>
      <c r="AA967" s="364" t="str">
        <f>IFERROR(IF($AB$967=0,"",IF($AB$957&lt;100000,"Cliente no es sujeto del esquema FPT + Mercado abierto.",IF($AC$955=$AE$761,$AE$761&amp;" por Políticas de Crédito ",IF($AB$966=$AC$967,"No es sujeto del el esquema de FPT + Ingresos Adicionales, Linea de Credito Final por "&amp;TEXT($AB$967,"$ #,##0.00")&amp;", LTV de "&amp;TEXT($AD$968,"0%")&amp;" (Línea MA menor de $ 200,000.00) ",IF($AB$966=$AC$966&amp;"1","Linea de Credito Final por "&amp;TEXT($AB$967,"$ #,##0.00")&amp;", LTV de "&amp;TEXT($AD$968,"0%. ")&amp;"Línea FPT por "&amp;TEXT($AB$957,"$ #,##0.00")&amp;" LTV de "&amp;TEXT($AF$957,"0%. ")&amp;"Línea MA por "&amp;TEXT($AB$960,"$ #,##0.00")&amp;" LTV de "&amp;TEXT($AF$960,"0%. ")&amp;" (LTV ponderado máximo "&amp;TEXT($AD$958,"0%"&amp;")"),IF($AB$966=$AC$966,"Linea de Credito Final por "&amp;TEXT($AB$967,"$ #,##0.00")&amp;", LTV de "&amp;TEXT($AD$968,"0%. ")&amp;" (LTV ponderado máximo "&amp;TEXT($AD$958,"0%"&amp;")."))))))),"")</f>
        <v/>
      </c>
      <c r="AB967" s="273">
        <f>IFERROR(IF($AB$966=$AC$967,$AG$961,IF($AB$966=$AC$966,$AB$961,IF($AB$966=$AC$966&amp;"1",$AB$961,""))),"")</f>
        <v>0</v>
      </c>
      <c r="AC967" s="37" t="s">
        <v>674</v>
      </c>
      <c r="AD967" s="26"/>
      <c r="AE967" s="26">
        <f>$AB$967-200000</f>
        <v>-200000</v>
      </c>
      <c r="AF967" s="26"/>
      <c r="AG967" s="46"/>
      <c r="AH967" s="346"/>
      <c r="AU967" s="381">
        <v>1249</v>
      </c>
      <c r="AV967" s="196" t="s">
        <v>635</v>
      </c>
      <c r="AW967" s="381" t="s">
        <v>653</v>
      </c>
    </row>
    <row r="968" spans="1:49" ht="16.5" thickTop="1" thickBot="1" x14ac:dyDescent="0.3">
      <c r="A968" s="465"/>
      <c r="Z968" s="493"/>
      <c r="AA968" s="365" t="s">
        <v>629</v>
      </c>
      <c r="AB968" s="355" t="str">
        <f>IFERROR($AC$968*100,"")</f>
        <v/>
      </c>
      <c r="AC968" s="133" t="str">
        <f>IFERROR($AB$967/$AB$946,"")</f>
        <v/>
      </c>
      <c r="AD968" s="31" t="e">
        <f>$AB$968/100</f>
        <v>#VALUE!</v>
      </c>
      <c r="AE968" s="31"/>
      <c r="AF968" s="31"/>
      <c r="AG968" s="366"/>
      <c r="AH968" s="367"/>
      <c r="AU968" s="381">
        <v>1987</v>
      </c>
      <c r="AV968" s="196" t="s">
        <v>635</v>
      </c>
      <c r="AW968" s="381" t="s">
        <v>657</v>
      </c>
    </row>
    <row r="969" spans="1:49" x14ac:dyDescent="0.25">
      <c r="A969" s="465"/>
      <c r="AU969" s="381">
        <v>3048</v>
      </c>
      <c r="AV969" s="196" t="s">
        <v>635</v>
      </c>
      <c r="AW969" s="381" t="s">
        <v>653</v>
      </c>
    </row>
    <row r="970" spans="1:49" x14ac:dyDescent="0.25">
      <c r="A970" s="465"/>
      <c r="AA970" s="364" t="str">
        <f>IFERROR(IF($AB$967=0,"",IF($AB$957&lt;100000,"Cliente no es sujeto del esquema FPT + Mercado abierto.",IF($AC$955=$AE$761,$AE$761&amp;" por Políticas de Crédito ",IF($AB$966=$AC$967,"No es sujeto del el esquema de FPT + Ingresos Adicionales, Linea de Credito Final por "&amp;TEXT($AB$967,"$ #,##0.00")&amp;", LTV de "&amp;TEXT($AD$968,"0%")&amp;" (Línea MA menor de $ 200,000.00) ",IF($AB$966=$AC$966&amp;"1","Linea de Credito Final por "&amp;TEXT($AB$967,"$ #,##0.00")&amp;", LTV de "&amp;TEXT($AD$968,"0%. ")&amp;"Línea FPT por "&amp;TEXT($AB$957,"$ #,##0.00")&amp;" LTV de "&amp;TEXT($AF$957,"0%. ")&amp;"Línea MA por "&amp;TEXT($AB$960,"$ #,##0.00")&amp;" LTV de "&amp;TEXT($AF$960,"0%. ")&amp;" (LTV ponderado máximo "&amp;TEXT($AD$958,"0%"&amp;")"),IF($AB$966=$AC$966,"Linea de Credito Final por "&amp;TEXT($AB$967,"$ #,##0.00")&amp;", LTV de "&amp;TEXT($AD$968,"0%. ")&amp;" (LTV ponderado máximo "&amp;TEXT($AD$958,"0%"&amp;")."))))))),"")</f>
        <v/>
      </c>
      <c r="AU970" s="381">
        <v>3071</v>
      </c>
      <c r="AV970" s="196" t="s">
        <v>635</v>
      </c>
      <c r="AW970" s="381" t="s">
        <v>643</v>
      </c>
    </row>
    <row r="971" spans="1:49" x14ac:dyDescent="0.25">
      <c r="A971" s="465"/>
      <c r="AU971" s="381">
        <v>3622</v>
      </c>
      <c r="AV971" s="196" t="s">
        <v>635</v>
      </c>
      <c r="AW971" s="381" t="s">
        <v>657</v>
      </c>
    </row>
    <row r="972" spans="1:49" x14ac:dyDescent="0.25">
      <c r="A972" s="465"/>
      <c r="AA972" t="s">
        <v>735</v>
      </c>
      <c r="AB972" s="485" t="e">
        <f>AB961*1.91</f>
        <v>#VALUE!</v>
      </c>
      <c r="AU972" s="381">
        <v>3976</v>
      </c>
      <c r="AV972" s="196" t="s">
        <v>635</v>
      </c>
      <c r="AW972" s="381" t="s">
        <v>657</v>
      </c>
    </row>
    <row r="973" spans="1:49" x14ac:dyDescent="0.25">
      <c r="A973" s="465"/>
      <c r="AA973" s="465" t="s">
        <v>736</v>
      </c>
      <c r="AU973" s="381">
        <v>3987</v>
      </c>
      <c r="AV973" s="196" t="s">
        <v>635</v>
      </c>
      <c r="AW973" s="381" t="s">
        <v>657</v>
      </c>
    </row>
    <row r="974" spans="1:49" x14ac:dyDescent="0.25">
      <c r="A974" s="465"/>
      <c r="AA974" s="489" t="str">
        <f>IFERROR($AC$933*100,"")</f>
        <v/>
      </c>
      <c r="AU974" s="381">
        <v>3995</v>
      </c>
      <c r="AV974" s="196" t="s">
        <v>635</v>
      </c>
      <c r="AW974" s="381" t="s">
        <v>657</v>
      </c>
    </row>
    <row r="975" spans="1:49" x14ac:dyDescent="0.25">
      <c r="A975" s="465"/>
      <c r="AA975" s="489" t="str">
        <f>IFERROR($AC$958*100,"")</f>
        <v/>
      </c>
      <c r="AU975" s="381">
        <v>3998</v>
      </c>
      <c r="AV975" s="196" t="s">
        <v>635</v>
      </c>
      <c r="AW975" s="381" t="s">
        <v>657</v>
      </c>
    </row>
    <row r="976" spans="1:49" x14ac:dyDescent="0.25">
      <c r="A976" s="465"/>
      <c r="AA976" s="490"/>
      <c r="AU976" s="381">
        <v>171</v>
      </c>
      <c r="AV976" s="196" t="s">
        <v>635</v>
      </c>
      <c r="AW976" s="381" t="s">
        <v>654</v>
      </c>
    </row>
    <row r="977" spans="1:49" x14ac:dyDescent="0.25">
      <c r="A977" s="465"/>
      <c r="AU977" s="381">
        <v>306</v>
      </c>
      <c r="AV977" s="196" t="s">
        <v>635</v>
      </c>
      <c r="AW977" s="381" t="s">
        <v>646</v>
      </c>
    </row>
    <row r="978" spans="1:49" x14ac:dyDescent="0.25">
      <c r="A978" s="465"/>
      <c r="AU978" s="381">
        <v>359</v>
      </c>
      <c r="AV978" s="196" t="s">
        <v>635</v>
      </c>
      <c r="AW978" s="381" t="s">
        <v>647</v>
      </c>
    </row>
    <row r="979" spans="1:49" x14ac:dyDescent="0.25">
      <c r="A979" s="465"/>
      <c r="AU979" s="381">
        <v>360</v>
      </c>
      <c r="AV979" s="196" t="s">
        <v>635</v>
      </c>
      <c r="AW979" s="381" t="s">
        <v>647</v>
      </c>
    </row>
    <row r="980" spans="1:49" x14ac:dyDescent="0.25">
      <c r="A980" s="465"/>
      <c r="AU980" s="381">
        <v>365</v>
      </c>
      <c r="AV980" s="196" t="s">
        <v>635</v>
      </c>
      <c r="AW980" s="381" t="s">
        <v>647</v>
      </c>
    </row>
    <row r="981" spans="1:49" x14ac:dyDescent="0.25">
      <c r="A981" s="465"/>
      <c r="AU981" s="381">
        <v>366</v>
      </c>
      <c r="AV981" s="196" t="s">
        <v>635</v>
      </c>
      <c r="AW981" s="381" t="s">
        <v>647</v>
      </c>
    </row>
    <row r="982" spans="1:49" x14ac:dyDescent="0.25">
      <c r="A982" s="465"/>
      <c r="AU982" s="381">
        <v>367</v>
      </c>
      <c r="AV982" s="196" t="s">
        <v>635</v>
      </c>
      <c r="AW982" s="381" t="s">
        <v>647</v>
      </c>
    </row>
    <row r="983" spans="1:49" x14ac:dyDescent="0.25">
      <c r="A983" s="465"/>
      <c r="AU983" s="381">
        <v>369</v>
      </c>
      <c r="AV983" s="196" t="s">
        <v>635</v>
      </c>
      <c r="AW983" s="381" t="s">
        <v>646</v>
      </c>
    </row>
    <row r="984" spans="1:49" x14ac:dyDescent="0.25">
      <c r="A984" s="465"/>
      <c r="AU984" s="381">
        <v>401</v>
      </c>
      <c r="AV984" s="196" t="s">
        <v>635</v>
      </c>
      <c r="AW984" s="381" t="s">
        <v>647</v>
      </c>
    </row>
    <row r="985" spans="1:49" x14ac:dyDescent="0.25">
      <c r="A985" s="465"/>
      <c r="AU985" s="381">
        <v>458</v>
      </c>
      <c r="AV985" s="196" t="s">
        <v>635</v>
      </c>
      <c r="AW985" s="381" t="s">
        <v>654</v>
      </c>
    </row>
    <row r="986" spans="1:49" x14ac:dyDescent="0.25">
      <c r="A986" s="465"/>
      <c r="AU986" s="381">
        <v>805</v>
      </c>
      <c r="AV986" s="196" t="s">
        <v>635</v>
      </c>
      <c r="AW986" s="381" t="s">
        <v>646</v>
      </c>
    </row>
    <row r="987" spans="1:49" x14ac:dyDescent="0.25">
      <c r="A987" s="465"/>
      <c r="AU987" s="381">
        <v>821</v>
      </c>
      <c r="AV987" s="196" t="s">
        <v>635</v>
      </c>
      <c r="AW987" s="381" t="s">
        <v>654</v>
      </c>
    </row>
    <row r="988" spans="1:49" x14ac:dyDescent="0.25">
      <c r="A988" s="465"/>
      <c r="AU988" s="381">
        <v>852</v>
      </c>
      <c r="AV988" s="196" t="s">
        <v>635</v>
      </c>
      <c r="AW988" s="381" t="s">
        <v>647</v>
      </c>
    </row>
    <row r="989" spans="1:49" x14ac:dyDescent="0.25">
      <c r="A989" s="465"/>
      <c r="AU989" s="381">
        <v>853</v>
      </c>
      <c r="AV989" s="196" t="s">
        <v>635</v>
      </c>
      <c r="AW989" s="381" t="s">
        <v>647</v>
      </c>
    </row>
    <row r="990" spans="1:49" x14ac:dyDescent="0.25">
      <c r="A990" s="465"/>
      <c r="AU990" s="381">
        <v>863</v>
      </c>
      <c r="AV990" s="196" t="s">
        <v>635</v>
      </c>
      <c r="AW990" s="381" t="s">
        <v>654</v>
      </c>
    </row>
    <row r="991" spans="1:49" x14ac:dyDescent="0.25">
      <c r="A991" s="465"/>
      <c r="AU991" s="381">
        <v>1081</v>
      </c>
      <c r="AV991" s="196" t="s">
        <v>635</v>
      </c>
      <c r="AW991" s="381" t="s">
        <v>647</v>
      </c>
    </row>
    <row r="992" spans="1:49" x14ac:dyDescent="0.25">
      <c r="A992" s="465"/>
      <c r="AU992" s="381">
        <v>1244</v>
      </c>
      <c r="AV992" s="196" t="s">
        <v>635</v>
      </c>
      <c r="AW992" s="381" t="s">
        <v>654</v>
      </c>
    </row>
    <row r="993" spans="1:59" x14ac:dyDescent="0.25">
      <c r="A993" s="465"/>
      <c r="AU993" s="381">
        <v>1441</v>
      </c>
      <c r="AV993" s="196" t="s">
        <v>635</v>
      </c>
      <c r="AW993" s="381" t="s">
        <v>647</v>
      </c>
    </row>
    <row r="994" spans="1:59" x14ac:dyDescent="0.25">
      <c r="A994" s="465"/>
      <c r="AU994" s="381">
        <v>1671</v>
      </c>
      <c r="AV994" s="196" t="s">
        <v>635</v>
      </c>
      <c r="AW994" s="381" t="s">
        <v>647</v>
      </c>
    </row>
    <row r="995" spans="1:59" x14ac:dyDescent="0.25">
      <c r="A995" s="465"/>
      <c r="AU995" s="381">
        <v>1862</v>
      </c>
      <c r="AV995" s="196" t="s">
        <v>635</v>
      </c>
      <c r="AW995" s="381" t="s">
        <v>647</v>
      </c>
    </row>
    <row r="996" spans="1:59" x14ac:dyDescent="0.25">
      <c r="A996" s="465"/>
      <c r="AU996" s="381">
        <v>1865</v>
      </c>
      <c r="AV996" s="196" t="s">
        <v>635</v>
      </c>
      <c r="AW996" s="381" t="s">
        <v>646</v>
      </c>
    </row>
    <row r="997" spans="1:59" x14ac:dyDescent="0.25">
      <c r="A997" s="465"/>
      <c r="AU997" s="381">
        <v>1894</v>
      </c>
      <c r="AV997" s="196" t="s">
        <v>635</v>
      </c>
      <c r="AW997" s="381" t="s">
        <v>647</v>
      </c>
    </row>
    <row r="998" spans="1:59" x14ac:dyDescent="0.25">
      <c r="A998" s="465"/>
      <c r="AU998" s="381">
        <v>1932</v>
      </c>
      <c r="AV998" s="196" t="s">
        <v>635</v>
      </c>
      <c r="AW998" s="381" t="s">
        <v>654</v>
      </c>
    </row>
    <row r="999" spans="1:59" ht="15.75" thickBot="1" x14ac:dyDescent="0.3">
      <c r="A999" s="465"/>
      <c r="AU999" s="381">
        <v>3042</v>
      </c>
      <c r="AV999" s="196" t="s">
        <v>635</v>
      </c>
      <c r="AW999" s="381" t="s">
        <v>646</v>
      </c>
    </row>
    <row r="1000" spans="1:59" ht="15.75" thickBot="1" x14ac:dyDescent="0.3">
      <c r="A1000" s="465"/>
      <c r="AA1000" s="497" t="s">
        <v>722</v>
      </c>
      <c r="AB1000" s="498"/>
      <c r="AC1000" s="498"/>
      <c r="AD1000" s="498"/>
      <c r="AE1000" s="498"/>
      <c r="AF1000" s="498"/>
      <c r="AG1000" s="499"/>
      <c r="AU1000" s="381">
        <v>3566</v>
      </c>
      <c r="AV1000" s="196" t="s">
        <v>635</v>
      </c>
      <c r="AW1000" s="381" t="s">
        <v>647</v>
      </c>
      <c r="BA1000" s="497" t="s">
        <v>714</v>
      </c>
      <c r="BB1000" s="498"/>
      <c r="BC1000" s="498"/>
      <c r="BD1000" s="498"/>
      <c r="BE1000" s="498"/>
      <c r="BF1000" s="498"/>
      <c r="BG1000" s="499"/>
    </row>
    <row r="1001" spans="1:59" ht="16.5" thickTop="1" thickBot="1" x14ac:dyDescent="0.3">
      <c r="A1001" s="465"/>
      <c r="AA1001" s="390" t="s">
        <v>663</v>
      </c>
      <c r="AB1001" s="18">
        <v>0</v>
      </c>
      <c r="AC1001" s="454"/>
      <c r="AU1001" s="381">
        <v>3728</v>
      </c>
      <c r="AV1001" s="196" t="s">
        <v>635</v>
      </c>
      <c r="AW1001" s="381" t="s">
        <v>646</v>
      </c>
      <c r="BA1001" s="390" t="s">
        <v>663</v>
      </c>
      <c r="BB1001" s="18">
        <v>0</v>
      </c>
      <c r="BC1001" s="196"/>
      <c r="BD1001" s="196"/>
      <c r="BE1001" s="196"/>
      <c r="BF1001" s="196"/>
      <c r="BG1001" s="196"/>
    </row>
    <row r="1002" spans="1:59" ht="16.5" thickTop="1" thickBot="1" x14ac:dyDescent="0.3">
      <c r="A1002" s="465"/>
      <c r="AA1002" s="390" t="s">
        <v>664</v>
      </c>
      <c r="AB1002" s="18">
        <v>0</v>
      </c>
      <c r="AU1002" s="381">
        <v>285</v>
      </c>
      <c r="AV1002" s="196" t="s">
        <v>635</v>
      </c>
      <c r="AW1002" s="381" t="s">
        <v>658</v>
      </c>
      <c r="BA1002" s="390" t="s">
        <v>718</v>
      </c>
      <c r="BB1002" s="349">
        <f>$BB$1003+$BB$1004</f>
        <v>0</v>
      </c>
      <c r="BC1002" s="196"/>
      <c r="BD1002" s="196"/>
      <c r="BE1002" s="196"/>
      <c r="BF1002" s="196"/>
      <c r="BG1002" s="196"/>
    </row>
    <row r="1003" spans="1:59" ht="16.5" thickTop="1" thickBot="1" x14ac:dyDescent="0.3">
      <c r="A1003" s="465"/>
      <c r="AA1003" s="390" t="s">
        <v>441</v>
      </c>
      <c r="AB1003" s="18">
        <v>0</v>
      </c>
      <c r="AU1003" s="381">
        <v>321</v>
      </c>
      <c r="AV1003" s="196" t="s">
        <v>635</v>
      </c>
      <c r="AW1003" s="381" t="s">
        <v>655</v>
      </c>
      <c r="BA1003" s="390" t="s">
        <v>715</v>
      </c>
      <c r="BB1003" s="18">
        <v>0</v>
      </c>
      <c r="BC1003" s="196"/>
      <c r="BD1003" s="196"/>
      <c r="BE1003" s="196"/>
      <c r="BF1003" s="196"/>
      <c r="BG1003" s="196"/>
    </row>
    <row r="1004" spans="1:59" ht="16.5" thickTop="1" thickBot="1" x14ac:dyDescent="0.3">
      <c r="A1004" s="465"/>
      <c r="AA1004" s="390" t="s">
        <v>109</v>
      </c>
      <c r="AB1004" s="18">
        <v>0</v>
      </c>
      <c r="AE1004" s="196"/>
      <c r="AU1004" s="381">
        <v>353</v>
      </c>
      <c r="AV1004" s="196" t="s">
        <v>635</v>
      </c>
      <c r="AW1004" s="381" t="s">
        <v>655</v>
      </c>
      <c r="BA1004" s="390" t="s">
        <v>716</v>
      </c>
      <c r="BB1004" s="18">
        <v>0</v>
      </c>
      <c r="BF1004" s="196"/>
      <c r="BG1004" s="196"/>
    </row>
    <row r="1005" spans="1:59" ht="16.5" thickTop="1" thickBot="1" x14ac:dyDescent="0.3">
      <c r="A1005" s="465"/>
      <c r="AA1005" s="391" t="s">
        <v>240</v>
      </c>
      <c r="AB1005" s="54">
        <f>VLOOKUP($AB$1004,$AA$616:$AF$623,5,0)</f>
        <v>0</v>
      </c>
      <c r="AE1005" s="392">
        <f>$AB$1005*100</f>
        <v>0</v>
      </c>
      <c r="AU1005" s="381">
        <v>418</v>
      </c>
      <c r="AV1005" s="196" t="s">
        <v>635</v>
      </c>
      <c r="AW1005" s="381" t="s">
        <v>655</v>
      </c>
      <c r="BA1005" s="390" t="s">
        <v>441</v>
      </c>
      <c r="BB1005" s="18">
        <v>0</v>
      </c>
      <c r="BF1005" s="196"/>
      <c r="BG1005" s="196"/>
    </row>
    <row r="1006" spans="1:59" ht="16.5" thickTop="1" thickBot="1" x14ac:dyDescent="0.3">
      <c r="A1006" s="465"/>
      <c r="AA1006" s="390" t="s">
        <v>164</v>
      </c>
      <c r="AB1006" s="18">
        <v>0</v>
      </c>
      <c r="AU1006" s="381">
        <v>422</v>
      </c>
      <c r="AV1006" s="196" t="s">
        <v>635</v>
      </c>
      <c r="AW1006" s="381" t="s">
        <v>655</v>
      </c>
      <c r="BA1006" s="390" t="s">
        <v>109</v>
      </c>
      <c r="BB1006" s="18">
        <v>0</v>
      </c>
      <c r="BC1006" s="196"/>
      <c r="BD1006" s="196"/>
      <c r="BE1006" s="196"/>
      <c r="BF1006" s="196"/>
      <c r="BG1006" s="196"/>
    </row>
    <row r="1007" spans="1:59" ht="16.5" thickTop="1" thickBot="1" x14ac:dyDescent="0.3">
      <c r="A1007" s="465"/>
      <c r="AA1007" s="41" t="s">
        <v>665</v>
      </c>
      <c r="AB1007" s="183" t="str">
        <f>IF($AC$1007="OK",(($AB$1003*$AB$1005)-$AB$1006),"")</f>
        <v/>
      </c>
      <c r="AC1007" s="328" t="str">
        <f>IF(AB1003=0,"",IF(AB1005=0,"","OK"))</f>
        <v/>
      </c>
      <c r="AF1007" s="455" t="s">
        <v>719</v>
      </c>
      <c r="AG1007" s="10">
        <v>200000</v>
      </c>
      <c r="AU1007" s="381">
        <v>826</v>
      </c>
      <c r="AV1007" s="196" t="s">
        <v>635</v>
      </c>
      <c r="AW1007" s="381" t="s">
        <v>658</v>
      </c>
      <c r="BA1007" s="391" t="s">
        <v>240</v>
      </c>
      <c r="BB1007" s="54">
        <f>VLOOKUP($BB$1006,$AA$616:$AF$623,5,0)</f>
        <v>0</v>
      </c>
      <c r="BC1007" s="328" t="str">
        <f>IF($BB$1003=0,"",IF($BB$1007=0,"","OK"))</f>
        <v/>
      </c>
      <c r="BD1007" s="196"/>
      <c r="BE1007" s="392">
        <f>$BB$1007*100</f>
        <v>0</v>
      </c>
      <c r="BF1007" s="196"/>
      <c r="BG1007" s="196"/>
    </row>
    <row r="1008" spans="1:59" ht="16.5" thickTop="1" thickBot="1" x14ac:dyDescent="0.3">
      <c r="A1008" s="465"/>
      <c r="AA1008" s="390" t="s">
        <v>238</v>
      </c>
      <c r="AB1008" s="18">
        <v>0</v>
      </c>
      <c r="AE1008" s="456" t="s">
        <v>720</v>
      </c>
      <c r="AF1008" s="10">
        <v>199999.99</v>
      </c>
      <c r="AG1008" t="str">
        <f>"El Monto minimo requerido para el producto de "&amp;$AA$1000&amp;" es de: "&amp;TEXT($AG$1007,"$ #,##0.00")</f>
        <v>El Monto minimo requerido para el producto de Remodelación  es de: $ 200,000.00</v>
      </c>
      <c r="AU1008" s="381">
        <v>833</v>
      </c>
      <c r="AV1008" s="196" t="s">
        <v>635</v>
      </c>
      <c r="AW1008" s="381" t="s">
        <v>655</v>
      </c>
      <c r="BA1008" s="390" t="s">
        <v>164</v>
      </c>
      <c r="BB1008" s="18">
        <v>0</v>
      </c>
      <c r="BC1008" s="196"/>
      <c r="BD1008" s="196"/>
      <c r="BE1008" s="196"/>
      <c r="BF1008" s="196"/>
      <c r="BG1008" s="196"/>
    </row>
    <row r="1009" spans="1:61" ht="16.5" thickTop="1" thickBot="1" x14ac:dyDescent="0.3">
      <c r="A1009" s="465"/>
      <c r="AA1009" s="41" t="s">
        <v>666</v>
      </c>
      <c r="AB1009" s="42" t="str">
        <f>IFERROR((($AB$1007/$AB$1008)*1000),"")</f>
        <v/>
      </c>
      <c r="AE1009" s="456" t="s">
        <v>721</v>
      </c>
      <c r="AF1009" s="10">
        <v>999999999999</v>
      </c>
      <c r="AG1009" s="196" t="str">
        <f>"El Monto Maximo autorizado para el producto de "&amp;$AA$1000&amp;" es de: "&amp;TEXT($AF$1009,"$ #,##0.00")</f>
        <v>El Monto Maximo autorizado para el producto de Remodelación  es de: $ 999,999,999,999.00</v>
      </c>
      <c r="AU1009" s="381">
        <v>840</v>
      </c>
      <c r="AV1009" s="196" t="s">
        <v>635</v>
      </c>
      <c r="AW1009" s="381" t="s">
        <v>655</v>
      </c>
      <c r="BA1009" s="41" t="s">
        <v>665</v>
      </c>
      <c r="BB1009" s="349" t="str">
        <f>IF($BC$1007="OK",(($BB$1005*$BB$1007)-$BB$1008),"")</f>
        <v/>
      </c>
      <c r="BD1009" s="196"/>
      <c r="BE1009" s="196"/>
      <c r="BF1009" s="455" t="s">
        <v>719</v>
      </c>
      <c r="BG1009" s="10">
        <v>500000</v>
      </c>
    </row>
    <row r="1010" spans="1:61" ht="16.5" thickTop="1" thickBot="1" x14ac:dyDescent="0.3">
      <c r="A1010" s="465"/>
      <c r="AA1010" s="41" t="s">
        <v>667</v>
      </c>
      <c r="AB1010" s="42">
        <f>MIN($AB$1002,($AB$1001*0.6))</f>
        <v>0</v>
      </c>
      <c r="AU1010" s="381">
        <v>841</v>
      </c>
      <c r="AV1010" s="196" t="s">
        <v>635</v>
      </c>
      <c r="AW1010" s="381" t="s">
        <v>655</v>
      </c>
      <c r="BA1010" s="390" t="s">
        <v>238</v>
      </c>
      <c r="BB1010" s="18">
        <v>0</v>
      </c>
      <c r="BC1010" s="196"/>
      <c r="BD1010" s="196"/>
      <c r="BE1010" s="456" t="s">
        <v>720</v>
      </c>
      <c r="BF1010" s="10">
        <v>499999.99</v>
      </c>
      <c r="BG1010" s="196" t="str">
        <f>"El Monto minimo requerido para el producto de Construcción es de: "&amp;TEXT($BG$1009,"$ #,##0.00")</f>
        <v>El Monto minimo requerido para el producto de Construcción es de: $ 500,000.00</v>
      </c>
    </row>
    <row r="1011" spans="1:61" ht="16.5" thickTop="1" thickBot="1" x14ac:dyDescent="0.3">
      <c r="A1011" s="465"/>
      <c r="AA1011" s="41" t="s">
        <v>668</v>
      </c>
      <c r="AB1011" s="183" t="str">
        <f>IF($AC$1011="OK",MIN($AD$1011,$AF$1009),"")</f>
        <v/>
      </c>
      <c r="AC1011" s="328" t="str">
        <f>IF($AB$1001=0,"",IF($AB$1002=0,"",IF($AB$1003=0,"",IF($AB$1004=0,"",IF($AB$1008=0,"","OK")))))</f>
        <v/>
      </c>
      <c r="AD1011" s="458">
        <f>MIN($AB$1009,$AB$1010)</f>
        <v>0</v>
      </c>
      <c r="AE1011" s="457" t="str">
        <f>IF($AC$1011="OK",IFERROR(IF($AD$1011&lt;=0,$AG$1008,IF(AND($AD$1011&gt;=0,$AD$1011&lt;=$AF$1008),$AG$1008,IF(AND($AD$1011&gt;=$AF$1008,$AD$1011&lt;=$AF$1009),"",IF($AD$1011&gt;=$AF$1009,$AG$1009)))),"2"),"")</f>
        <v/>
      </c>
      <c r="AU1011" s="381">
        <v>842</v>
      </c>
      <c r="AV1011" s="196" t="s">
        <v>635</v>
      </c>
      <c r="AW1011" s="381" t="s">
        <v>655</v>
      </c>
      <c r="BA1011" s="41" t="s">
        <v>666</v>
      </c>
      <c r="BB1011" s="349" t="str">
        <f>IFERROR((($BB$1009/$BB$1010)*1000),"")</f>
        <v/>
      </c>
      <c r="BC1011" s="196"/>
      <c r="BD1011" s="196"/>
      <c r="BE1011" s="456" t="s">
        <v>721</v>
      </c>
      <c r="BF1011" s="10">
        <v>10000000</v>
      </c>
      <c r="BG1011" s="196" t="str">
        <f>"El Monto Maximo autorizado para el producto de Construcción es de: "&amp;TEXT($BF$1011,"$ #,##0.00")</f>
        <v>El Monto Maximo autorizado para el producto de Construcción es de: $ 10,000,000.00</v>
      </c>
    </row>
    <row r="1012" spans="1:61" ht="16.5" thickTop="1" thickBot="1" x14ac:dyDescent="0.3">
      <c r="A1012" s="465"/>
      <c r="AU1012" s="381">
        <v>843</v>
      </c>
      <c r="AV1012" s="196" t="s">
        <v>635</v>
      </c>
      <c r="AW1012" s="381" t="s">
        <v>655</v>
      </c>
      <c r="BA1012" s="41" t="s">
        <v>717</v>
      </c>
      <c r="BB1012" s="349">
        <f>MIN($BB$1003,($BB$1002*0.75))</f>
        <v>0</v>
      </c>
      <c r="BC1012" s="196"/>
      <c r="BD1012" s="196"/>
      <c r="BE1012" s="196"/>
      <c r="BF1012" s="196"/>
    </row>
    <row r="1013" spans="1:61" ht="16.5" thickTop="1" thickBot="1" x14ac:dyDescent="0.3">
      <c r="A1013" s="465"/>
      <c r="AG1013" t="s">
        <v>723</v>
      </c>
      <c r="AU1013" s="381">
        <v>844</v>
      </c>
      <c r="AV1013" s="196" t="s">
        <v>635</v>
      </c>
      <c r="AW1013" s="381" t="s">
        <v>655</v>
      </c>
      <c r="BA1013" s="41" t="s">
        <v>668</v>
      </c>
      <c r="BB1013" s="183" t="str">
        <f>IF($BC$1013="OK",MIN($BD$1013,$BF$1011),"")</f>
        <v/>
      </c>
      <c r="BC1013" s="328" t="str">
        <f>IF($BB$1003=0,"",IF($BB$1004=0,"",IF($BB$1005=0,"",IF($BB$1006=0,"",IF($BB$1008=0,"",IF($BB$1010=0,"","OK"))))))</f>
        <v/>
      </c>
      <c r="BD1013" s="272">
        <f>MIN($BB$1011,$BB$1012)</f>
        <v>0</v>
      </c>
      <c r="BE1013" s="457" t="str">
        <f>IF($BC$1013="OK",IFERROR(IF($BD$1013&lt;=0,$BG$1010,IF(AND($BD$1013&gt;=0,$BD$1013&lt;=$BF$1010),$BG$1010,IF(AND($BD$1013&gt;=$BF$1010,$BD$1013&lt;=$BF$1011),"",IF($BD$1013&gt;=$BF$1011,$BG$1011)))),"2"),"")</f>
        <v/>
      </c>
      <c r="BF1013" s="196"/>
    </row>
    <row r="1014" spans="1:61" ht="15.75" thickBot="1" x14ac:dyDescent="0.3">
      <c r="A1014" s="465"/>
      <c r="AU1014" s="381">
        <v>934</v>
      </c>
      <c r="AV1014" s="196" t="s">
        <v>635</v>
      </c>
      <c r="AW1014" s="381" t="s">
        <v>658</v>
      </c>
      <c r="BF1014" s="10">
        <v>499999.99</v>
      </c>
      <c r="BG1014" s="196" t="str">
        <f>"El Monto minimo requerido para el producto de Construcción más Terreno es de: "&amp;TEXT($BG$1009,"$ #,##0.00")</f>
        <v>El Monto minimo requerido para el producto de Construcción más Terreno es de: $ 500,000.00</v>
      </c>
    </row>
    <row r="1015" spans="1:61" ht="16.5" thickTop="1" thickBot="1" x14ac:dyDescent="0.3">
      <c r="A1015" s="465"/>
      <c r="AD1015" s="196"/>
      <c r="AE1015" s="196"/>
      <c r="AU1015" s="381">
        <v>1124</v>
      </c>
      <c r="AV1015" s="196" t="s">
        <v>635</v>
      </c>
      <c r="AW1015" s="381" t="s">
        <v>655</v>
      </c>
      <c r="BA1015" s="41" t="s">
        <v>717</v>
      </c>
      <c r="BB1015" s="349">
        <f>MIN(($BB$1003+($BB$1004*0.5)),($BB$1002*0.75))</f>
        <v>0</v>
      </c>
      <c r="BC1015" s="196"/>
      <c r="BF1015" s="10">
        <v>10000000</v>
      </c>
      <c r="BG1015" s="196" t="str">
        <f>"El Monto Maximo autorizado para el producto de Construcción más Terreno es de: "&amp;TEXT($BF$1015,"$ #,##0.00")</f>
        <v>El Monto Maximo autorizado para el producto de Construcción más Terreno es de: $ 10,000,000.00</v>
      </c>
    </row>
    <row r="1016" spans="1:61" ht="16.5" thickTop="1" thickBot="1" x14ac:dyDescent="0.3">
      <c r="A1016" s="465"/>
      <c r="AU1016" s="381">
        <v>1171</v>
      </c>
      <c r="AV1016" s="196" t="s">
        <v>635</v>
      </c>
      <c r="AW1016" s="381" t="s">
        <v>658</v>
      </c>
      <c r="BA1016" s="41" t="s">
        <v>668</v>
      </c>
      <c r="BB1016" s="183" t="str">
        <f>IF($BC$1013="OK",MIN($BD$1016,$BF$1011),"")</f>
        <v/>
      </c>
      <c r="BC1016" s="196"/>
      <c r="BD1016" s="272">
        <f>MIN($BB$1011,$BB$1015)</f>
        <v>0</v>
      </c>
      <c r="BE1016" s="457" t="str">
        <f>IF($BC$1013="OK",IFERROR(IF($BD$1016&lt;=0,$BG$1014,IF(AND($BD$1016&gt;=0,$BD$1016&lt;=$BF$1014),$BG$1014,IF(AND($BD$1016&gt;=$BF$1014,$BD$1016&lt;=$BF$1015),"",IF($BD$1016&gt;=$BF$1015,$BG$1015)))),"2"),"")</f>
        <v/>
      </c>
    </row>
    <row r="1017" spans="1:61" x14ac:dyDescent="0.25">
      <c r="A1017" s="465"/>
      <c r="AU1017" s="381">
        <v>1431</v>
      </c>
      <c r="AV1017" s="196" t="s">
        <v>635</v>
      </c>
      <c r="AW1017" s="381" t="s">
        <v>658</v>
      </c>
    </row>
    <row r="1018" spans="1:61" x14ac:dyDescent="0.25">
      <c r="A1018" s="465"/>
      <c r="AU1018" s="381">
        <v>1456</v>
      </c>
      <c r="AV1018" s="196" t="s">
        <v>635</v>
      </c>
      <c r="AW1018" s="381" t="s">
        <v>655</v>
      </c>
      <c r="BE1018" s="10"/>
    </row>
    <row r="1019" spans="1:61" x14ac:dyDescent="0.25">
      <c r="A1019" s="465"/>
      <c r="AU1019" s="381">
        <v>1569</v>
      </c>
      <c r="AV1019" s="196" t="s">
        <v>635</v>
      </c>
      <c r="AW1019" s="381" t="s">
        <v>655</v>
      </c>
      <c r="BE1019" s="10"/>
    </row>
    <row r="1020" spans="1:61" x14ac:dyDescent="0.25">
      <c r="A1020" s="465"/>
      <c r="AU1020" s="381">
        <v>1590</v>
      </c>
      <c r="AV1020" s="196" t="s">
        <v>635</v>
      </c>
      <c r="AW1020" s="381" t="s">
        <v>658</v>
      </c>
      <c r="BF1020" s="10"/>
      <c r="BH1020" s="10"/>
      <c r="BI1020" s="10"/>
    </row>
    <row r="1021" spans="1:61" x14ac:dyDescent="0.25">
      <c r="A1021" s="465"/>
      <c r="AU1021" s="381">
        <v>1897</v>
      </c>
      <c r="AV1021" s="196" t="s">
        <v>635</v>
      </c>
      <c r="AW1021" s="381" t="s">
        <v>655</v>
      </c>
      <c r="BF1021" s="10"/>
      <c r="BH1021" s="10"/>
      <c r="BI1021" s="10"/>
    </row>
    <row r="1022" spans="1:61" x14ac:dyDescent="0.25">
      <c r="A1022" s="465"/>
      <c r="AU1022" s="381">
        <v>1966</v>
      </c>
      <c r="AV1022" s="196" t="s">
        <v>635</v>
      </c>
      <c r="AW1022" s="381" t="s">
        <v>655</v>
      </c>
    </row>
    <row r="1023" spans="1:61" x14ac:dyDescent="0.25">
      <c r="A1023" s="465"/>
      <c r="AU1023" s="381">
        <v>75</v>
      </c>
      <c r="AV1023" s="196" t="s">
        <v>635</v>
      </c>
      <c r="AW1023" s="381" t="s">
        <v>652</v>
      </c>
    </row>
    <row r="1024" spans="1:61" x14ac:dyDescent="0.25">
      <c r="A1024" s="465"/>
      <c r="AU1024" s="381">
        <v>76</v>
      </c>
      <c r="AV1024" s="196" t="s">
        <v>635</v>
      </c>
      <c r="AW1024" s="381" t="s">
        <v>652</v>
      </c>
    </row>
    <row r="1025" spans="1:49" x14ac:dyDescent="0.25">
      <c r="A1025" s="465"/>
      <c r="AU1025" s="381">
        <v>185</v>
      </c>
      <c r="AV1025" s="196" t="s">
        <v>635</v>
      </c>
      <c r="AW1025" s="381" t="s">
        <v>649</v>
      </c>
    </row>
    <row r="1026" spans="1:49" x14ac:dyDescent="0.25">
      <c r="A1026" s="465"/>
      <c r="AU1026" s="381">
        <v>205</v>
      </c>
      <c r="AV1026" s="196" t="s">
        <v>635</v>
      </c>
      <c r="AW1026" s="381" t="s">
        <v>648</v>
      </c>
    </row>
    <row r="1027" spans="1:49" x14ac:dyDescent="0.25">
      <c r="A1027" s="465"/>
      <c r="AU1027" s="381">
        <v>206</v>
      </c>
      <c r="AV1027" s="196" t="s">
        <v>635</v>
      </c>
      <c r="AW1027" s="381" t="s">
        <v>648</v>
      </c>
    </row>
    <row r="1028" spans="1:49" x14ac:dyDescent="0.25">
      <c r="A1028" s="465"/>
      <c r="AU1028" s="381">
        <v>209</v>
      </c>
      <c r="AV1028" s="196" t="s">
        <v>635</v>
      </c>
      <c r="AW1028" s="381" t="s">
        <v>648</v>
      </c>
    </row>
    <row r="1029" spans="1:49" x14ac:dyDescent="0.25">
      <c r="A1029" s="465"/>
      <c r="AU1029" s="381">
        <v>210</v>
      </c>
      <c r="AV1029" s="196" t="s">
        <v>635</v>
      </c>
      <c r="AW1029" s="381" t="s">
        <v>648</v>
      </c>
    </row>
    <row r="1030" spans="1:49" x14ac:dyDescent="0.25">
      <c r="A1030" s="465"/>
      <c r="AU1030" s="381">
        <v>211</v>
      </c>
      <c r="AV1030" s="196" t="s">
        <v>635</v>
      </c>
      <c r="AW1030" s="381" t="s">
        <v>648</v>
      </c>
    </row>
    <row r="1031" spans="1:49" x14ac:dyDescent="0.25">
      <c r="A1031" s="465"/>
      <c r="AU1031" s="381">
        <v>212</v>
      </c>
      <c r="AV1031" s="196" t="s">
        <v>635</v>
      </c>
      <c r="AW1031" s="381" t="s">
        <v>648</v>
      </c>
    </row>
    <row r="1032" spans="1:49" x14ac:dyDescent="0.25">
      <c r="A1032" s="465"/>
      <c r="AU1032" s="381">
        <v>214</v>
      </c>
      <c r="AV1032" s="196" t="s">
        <v>635</v>
      </c>
      <c r="AW1032" s="381" t="s">
        <v>648</v>
      </c>
    </row>
    <row r="1033" spans="1:49" x14ac:dyDescent="0.25">
      <c r="A1033" s="465"/>
      <c r="AU1033" s="381">
        <v>216</v>
      </c>
      <c r="AV1033" s="196" t="s">
        <v>635</v>
      </c>
      <c r="AW1033" s="381" t="s">
        <v>648</v>
      </c>
    </row>
    <row r="1034" spans="1:49" x14ac:dyDescent="0.25">
      <c r="A1034" s="465"/>
      <c r="AU1034" s="381">
        <v>218</v>
      </c>
      <c r="AV1034" s="196" t="s">
        <v>635</v>
      </c>
      <c r="AW1034" s="381" t="s">
        <v>648</v>
      </c>
    </row>
    <row r="1035" spans="1:49" x14ac:dyDescent="0.25">
      <c r="A1035" s="465"/>
      <c r="AU1035" s="381">
        <v>219</v>
      </c>
      <c r="AV1035" s="196" t="s">
        <v>635</v>
      </c>
      <c r="AW1035" s="381" t="s">
        <v>648</v>
      </c>
    </row>
    <row r="1036" spans="1:49" x14ac:dyDescent="0.25">
      <c r="A1036" s="465"/>
      <c r="AU1036" s="381">
        <v>225</v>
      </c>
      <c r="AV1036" s="196" t="s">
        <v>635</v>
      </c>
      <c r="AW1036" s="381" t="s">
        <v>649</v>
      </c>
    </row>
    <row r="1037" spans="1:49" x14ac:dyDescent="0.25">
      <c r="A1037" s="465"/>
      <c r="AU1037" s="381">
        <v>229</v>
      </c>
      <c r="AV1037" s="196" t="s">
        <v>635</v>
      </c>
      <c r="AW1037" s="381" t="s">
        <v>649</v>
      </c>
    </row>
    <row r="1038" spans="1:49" x14ac:dyDescent="0.25">
      <c r="A1038" s="465"/>
      <c r="AU1038" s="381">
        <v>231</v>
      </c>
      <c r="AV1038" s="196" t="s">
        <v>635</v>
      </c>
      <c r="AW1038" s="381" t="s">
        <v>649</v>
      </c>
    </row>
    <row r="1039" spans="1:49" x14ac:dyDescent="0.25">
      <c r="A1039" s="465"/>
      <c r="AU1039" s="381">
        <v>237</v>
      </c>
      <c r="AV1039" s="196" t="s">
        <v>635</v>
      </c>
      <c r="AW1039" s="381" t="s">
        <v>649</v>
      </c>
    </row>
    <row r="1040" spans="1:49" x14ac:dyDescent="0.25">
      <c r="A1040" s="465"/>
      <c r="AU1040" s="381">
        <v>238</v>
      </c>
      <c r="AV1040" s="196" t="s">
        <v>635</v>
      </c>
      <c r="AW1040" s="381" t="s">
        <v>649</v>
      </c>
    </row>
    <row r="1041" spans="1:49" x14ac:dyDescent="0.25">
      <c r="A1041" s="465"/>
      <c r="AU1041" s="381">
        <v>239</v>
      </c>
      <c r="AV1041" s="196" t="s">
        <v>635</v>
      </c>
      <c r="AW1041" s="381" t="s">
        <v>649</v>
      </c>
    </row>
    <row r="1042" spans="1:49" x14ac:dyDescent="0.25">
      <c r="A1042" s="465"/>
      <c r="AU1042" s="381">
        <v>241</v>
      </c>
      <c r="AV1042" s="196" t="s">
        <v>635</v>
      </c>
      <c r="AW1042" s="381" t="s">
        <v>649</v>
      </c>
    </row>
    <row r="1043" spans="1:49" x14ac:dyDescent="0.25">
      <c r="A1043" s="465"/>
      <c r="AU1043" s="381">
        <v>242</v>
      </c>
      <c r="AV1043" s="196" t="s">
        <v>635</v>
      </c>
      <c r="AW1043" s="381" t="s">
        <v>649</v>
      </c>
    </row>
    <row r="1044" spans="1:49" x14ac:dyDescent="0.25">
      <c r="A1044" s="465"/>
      <c r="AU1044" s="381">
        <v>243</v>
      </c>
      <c r="AV1044" s="196" t="s">
        <v>635</v>
      </c>
      <c r="AW1044" s="381" t="s">
        <v>649</v>
      </c>
    </row>
    <row r="1045" spans="1:49" x14ac:dyDescent="0.25">
      <c r="A1045" s="465"/>
      <c r="AU1045" s="381">
        <v>244</v>
      </c>
      <c r="AV1045" s="196" t="s">
        <v>635</v>
      </c>
      <c r="AW1045" s="381" t="s">
        <v>649</v>
      </c>
    </row>
    <row r="1046" spans="1:49" x14ac:dyDescent="0.25">
      <c r="A1046" s="465"/>
      <c r="AU1046" s="381">
        <v>245</v>
      </c>
      <c r="AV1046" s="196" t="s">
        <v>635</v>
      </c>
      <c r="AW1046" s="381" t="s">
        <v>649</v>
      </c>
    </row>
    <row r="1047" spans="1:49" x14ac:dyDescent="0.25">
      <c r="A1047" s="465"/>
      <c r="AU1047" s="381">
        <v>247</v>
      </c>
      <c r="AV1047" s="196" t="s">
        <v>635</v>
      </c>
      <c r="AW1047" s="381" t="s">
        <v>649</v>
      </c>
    </row>
    <row r="1048" spans="1:49" x14ac:dyDescent="0.25">
      <c r="A1048" s="465"/>
      <c r="AU1048" s="381">
        <v>287</v>
      </c>
      <c r="AV1048" s="196" t="s">
        <v>635</v>
      </c>
      <c r="AW1048" s="381" t="s">
        <v>656</v>
      </c>
    </row>
    <row r="1049" spans="1:49" x14ac:dyDescent="0.25">
      <c r="A1049" s="465"/>
      <c r="AU1049" s="381">
        <v>288</v>
      </c>
      <c r="AV1049" s="196" t="s">
        <v>635</v>
      </c>
      <c r="AW1049" s="381" t="s">
        <v>656</v>
      </c>
    </row>
    <row r="1050" spans="1:49" x14ac:dyDescent="0.25">
      <c r="A1050" s="465"/>
      <c r="AU1050" s="381">
        <v>329</v>
      </c>
      <c r="AV1050" s="196" t="s">
        <v>635</v>
      </c>
      <c r="AW1050" s="381" t="s">
        <v>652</v>
      </c>
    </row>
    <row r="1051" spans="1:49" x14ac:dyDescent="0.25">
      <c r="A1051" s="465"/>
      <c r="AU1051" s="381">
        <v>388</v>
      </c>
      <c r="AV1051" s="196" t="s">
        <v>635</v>
      </c>
      <c r="AW1051" s="381" t="s">
        <v>649</v>
      </c>
    </row>
    <row r="1052" spans="1:49" x14ac:dyDescent="0.25">
      <c r="A1052" s="465"/>
      <c r="AU1052" s="381">
        <v>395</v>
      </c>
      <c r="AV1052" s="196" t="s">
        <v>635</v>
      </c>
      <c r="AW1052" s="381" t="s">
        <v>648</v>
      </c>
    </row>
    <row r="1053" spans="1:49" x14ac:dyDescent="0.25">
      <c r="A1053" s="465"/>
      <c r="AU1053" s="381">
        <v>423</v>
      </c>
      <c r="AV1053" s="196" t="s">
        <v>635</v>
      </c>
      <c r="AW1053" s="381" t="s">
        <v>648</v>
      </c>
    </row>
    <row r="1054" spans="1:49" x14ac:dyDescent="0.25">
      <c r="A1054" s="465"/>
      <c r="AU1054" s="381">
        <v>424</v>
      </c>
      <c r="AV1054" s="196" t="s">
        <v>635</v>
      </c>
      <c r="AW1054" s="381" t="s">
        <v>649</v>
      </c>
    </row>
    <row r="1055" spans="1:49" x14ac:dyDescent="0.25">
      <c r="A1055" s="465"/>
      <c r="AU1055" s="381">
        <v>425</v>
      </c>
      <c r="AV1055" s="196" t="s">
        <v>635</v>
      </c>
      <c r="AW1055" s="381" t="s">
        <v>656</v>
      </c>
    </row>
    <row r="1056" spans="1:49" x14ac:dyDescent="0.25">
      <c r="A1056" s="465"/>
      <c r="AU1056" s="381">
        <v>470</v>
      </c>
      <c r="AV1056" s="196" t="s">
        <v>635</v>
      </c>
      <c r="AW1056" s="381" t="s">
        <v>656</v>
      </c>
    </row>
    <row r="1057" spans="1:49" x14ac:dyDescent="0.25">
      <c r="A1057" s="465"/>
      <c r="AU1057" s="381">
        <v>483</v>
      </c>
      <c r="AV1057" s="196" t="s">
        <v>635</v>
      </c>
      <c r="AW1057" s="381" t="s">
        <v>649</v>
      </c>
    </row>
    <row r="1058" spans="1:49" x14ac:dyDescent="0.25">
      <c r="A1058" s="465"/>
      <c r="AU1058" s="381">
        <v>509</v>
      </c>
      <c r="AV1058" s="196" t="s">
        <v>635</v>
      </c>
      <c r="AW1058" s="381" t="s">
        <v>652</v>
      </c>
    </row>
    <row r="1059" spans="1:49" x14ac:dyDescent="0.25">
      <c r="A1059" s="465"/>
      <c r="AU1059" s="381">
        <v>691</v>
      </c>
      <c r="AV1059" s="196" t="s">
        <v>635</v>
      </c>
      <c r="AW1059" s="381" t="s">
        <v>652</v>
      </c>
    </row>
    <row r="1060" spans="1:49" x14ac:dyDescent="0.25">
      <c r="A1060" s="465"/>
      <c r="AU1060" s="381">
        <v>711</v>
      </c>
      <c r="AV1060" s="196" t="s">
        <v>635</v>
      </c>
      <c r="AW1060" s="381" t="s">
        <v>656</v>
      </c>
    </row>
    <row r="1061" spans="1:49" x14ac:dyDescent="0.25">
      <c r="A1061" s="465"/>
      <c r="AU1061" s="381">
        <v>712</v>
      </c>
      <c r="AV1061" s="196" t="s">
        <v>635</v>
      </c>
      <c r="AW1061" s="381" t="s">
        <v>656</v>
      </c>
    </row>
    <row r="1062" spans="1:49" x14ac:dyDescent="0.25">
      <c r="A1062" s="465"/>
      <c r="AU1062" s="381">
        <v>713</v>
      </c>
      <c r="AV1062" s="196" t="s">
        <v>635</v>
      </c>
      <c r="AW1062" s="381" t="s">
        <v>656</v>
      </c>
    </row>
    <row r="1063" spans="1:49" x14ac:dyDescent="0.25">
      <c r="A1063" s="465"/>
      <c r="AU1063" s="381">
        <v>718</v>
      </c>
      <c r="AV1063" s="196" t="s">
        <v>635</v>
      </c>
      <c r="AW1063" s="381" t="s">
        <v>648</v>
      </c>
    </row>
    <row r="1064" spans="1:49" x14ac:dyDescent="0.25">
      <c r="A1064" s="465"/>
      <c r="AU1064" s="381">
        <v>721</v>
      </c>
      <c r="AV1064" s="196" t="s">
        <v>635</v>
      </c>
      <c r="AW1064" s="381" t="s">
        <v>648</v>
      </c>
    </row>
    <row r="1065" spans="1:49" x14ac:dyDescent="0.25">
      <c r="A1065" s="465"/>
      <c r="AU1065" s="381">
        <v>725</v>
      </c>
      <c r="AV1065" s="196" t="s">
        <v>635</v>
      </c>
      <c r="AW1065" s="381" t="s">
        <v>652</v>
      </c>
    </row>
    <row r="1066" spans="1:49" x14ac:dyDescent="0.25">
      <c r="A1066" s="465"/>
      <c r="AU1066" s="381">
        <v>726</v>
      </c>
      <c r="AV1066" s="196" t="s">
        <v>635</v>
      </c>
      <c r="AW1066" s="381" t="s">
        <v>652</v>
      </c>
    </row>
    <row r="1067" spans="1:49" x14ac:dyDescent="0.25">
      <c r="A1067" s="465"/>
      <c r="AU1067" s="381">
        <v>744</v>
      </c>
      <c r="AV1067" s="196" t="s">
        <v>635</v>
      </c>
      <c r="AW1067" s="381" t="s">
        <v>648</v>
      </c>
    </row>
    <row r="1068" spans="1:49" x14ac:dyDescent="0.25">
      <c r="A1068" s="465"/>
      <c r="AU1068" s="381">
        <v>745</v>
      </c>
      <c r="AV1068" s="196" t="s">
        <v>635</v>
      </c>
      <c r="AW1068" s="381" t="s">
        <v>648</v>
      </c>
    </row>
    <row r="1069" spans="1:49" x14ac:dyDescent="0.25">
      <c r="A1069" s="465"/>
      <c r="AU1069" s="381">
        <v>747</v>
      </c>
      <c r="AV1069" s="196" t="s">
        <v>635</v>
      </c>
      <c r="AW1069" s="381" t="s">
        <v>648</v>
      </c>
    </row>
    <row r="1070" spans="1:49" x14ac:dyDescent="0.25">
      <c r="A1070" s="465"/>
      <c r="AU1070" s="381">
        <v>748</v>
      </c>
      <c r="AV1070" s="196" t="s">
        <v>635</v>
      </c>
      <c r="AW1070" s="381" t="s">
        <v>648</v>
      </c>
    </row>
    <row r="1071" spans="1:49" x14ac:dyDescent="0.25">
      <c r="A1071" s="465"/>
      <c r="AU1071" s="381">
        <v>750</v>
      </c>
      <c r="AV1071" s="196" t="s">
        <v>635</v>
      </c>
      <c r="AW1071" s="381" t="s">
        <v>648</v>
      </c>
    </row>
    <row r="1072" spans="1:49" x14ac:dyDescent="0.25">
      <c r="A1072" s="465"/>
      <c r="AU1072" s="381">
        <v>756</v>
      </c>
      <c r="AV1072" s="196" t="s">
        <v>635</v>
      </c>
      <c r="AW1072" s="381" t="s">
        <v>648</v>
      </c>
    </row>
    <row r="1073" spans="1:49" x14ac:dyDescent="0.25">
      <c r="A1073" s="465"/>
      <c r="AU1073" s="381">
        <v>795</v>
      </c>
      <c r="AV1073" s="196" t="s">
        <v>635</v>
      </c>
      <c r="AW1073" s="381" t="s">
        <v>649</v>
      </c>
    </row>
    <row r="1074" spans="1:49" x14ac:dyDescent="0.25">
      <c r="A1074" s="465"/>
      <c r="AU1074" s="381">
        <v>808</v>
      </c>
      <c r="AV1074" s="196" t="s">
        <v>635</v>
      </c>
      <c r="AW1074" s="381" t="s">
        <v>649</v>
      </c>
    </row>
    <row r="1075" spans="1:49" x14ac:dyDescent="0.25">
      <c r="A1075" s="465"/>
      <c r="AU1075" s="381">
        <v>809</v>
      </c>
      <c r="AV1075" s="196" t="s">
        <v>635</v>
      </c>
      <c r="AW1075" s="381" t="s">
        <v>649</v>
      </c>
    </row>
    <row r="1076" spans="1:49" x14ac:dyDescent="0.25">
      <c r="A1076" s="465"/>
      <c r="AU1076" s="381">
        <v>810</v>
      </c>
      <c r="AV1076" s="196" t="s">
        <v>635</v>
      </c>
      <c r="AW1076" s="381" t="s">
        <v>649</v>
      </c>
    </row>
    <row r="1077" spans="1:49" x14ac:dyDescent="0.25">
      <c r="A1077" s="465"/>
      <c r="AU1077" s="381">
        <v>811</v>
      </c>
      <c r="AV1077" s="196" t="s">
        <v>635</v>
      </c>
      <c r="AW1077" s="381" t="s">
        <v>649</v>
      </c>
    </row>
    <row r="1078" spans="1:49" x14ac:dyDescent="0.25">
      <c r="A1078" s="465"/>
      <c r="AU1078" s="381">
        <v>856</v>
      </c>
      <c r="AV1078" s="196" t="s">
        <v>635</v>
      </c>
      <c r="AW1078" s="381" t="s">
        <v>649</v>
      </c>
    </row>
    <row r="1079" spans="1:49" x14ac:dyDescent="0.25">
      <c r="A1079" s="465"/>
      <c r="AU1079" s="381">
        <v>872</v>
      </c>
      <c r="AV1079" s="196" t="s">
        <v>635</v>
      </c>
      <c r="AW1079" s="381" t="s">
        <v>648</v>
      </c>
    </row>
    <row r="1080" spans="1:49" x14ac:dyDescent="0.25">
      <c r="A1080" s="465"/>
      <c r="AU1080" s="381">
        <v>884</v>
      </c>
      <c r="AV1080" s="196" t="s">
        <v>635</v>
      </c>
      <c r="AW1080" s="381" t="s">
        <v>656</v>
      </c>
    </row>
    <row r="1081" spans="1:49" x14ac:dyDescent="0.25">
      <c r="A1081" s="465"/>
      <c r="AU1081" s="381">
        <v>898</v>
      </c>
      <c r="AV1081" s="196" t="s">
        <v>635</v>
      </c>
      <c r="AW1081" s="381" t="s">
        <v>648</v>
      </c>
    </row>
    <row r="1082" spans="1:49" x14ac:dyDescent="0.25">
      <c r="A1082" s="465"/>
      <c r="AU1082" s="381">
        <v>937</v>
      </c>
      <c r="AV1082" s="196" t="s">
        <v>635</v>
      </c>
      <c r="AW1082" s="381" t="s">
        <v>649</v>
      </c>
    </row>
    <row r="1083" spans="1:49" x14ac:dyDescent="0.25">
      <c r="A1083" s="465"/>
      <c r="AU1083" s="381">
        <v>962</v>
      </c>
      <c r="AV1083" s="196" t="s">
        <v>635</v>
      </c>
      <c r="AW1083" s="381" t="s">
        <v>652</v>
      </c>
    </row>
    <row r="1084" spans="1:49" x14ac:dyDescent="0.25">
      <c r="A1084" s="465"/>
      <c r="AU1084" s="381">
        <v>975</v>
      </c>
      <c r="AV1084" s="196" t="s">
        <v>635</v>
      </c>
      <c r="AW1084" s="381" t="s">
        <v>648</v>
      </c>
    </row>
    <row r="1085" spans="1:49" x14ac:dyDescent="0.25">
      <c r="A1085" s="465"/>
      <c r="AU1085" s="381">
        <v>1037</v>
      </c>
      <c r="AV1085" s="196" t="s">
        <v>635</v>
      </c>
      <c r="AW1085" s="381" t="s">
        <v>648</v>
      </c>
    </row>
    <row r="1086" spans="1:49" x14ac:dyDescent="0.25">
      <c r="A1086" s="465"/>
      <c r="AU1086" s="381">
        <v>1071</v>
      </c>
      <c r="AV1086" s="196" t="s">
        <v>635</v>
      </c>
      <c r="AW1086" s="381" t="s">
        <v>652</v>
      </c>
    </row>
    <row r="1087" spans="1:49" x14ac:dyDescent="0.25">
      <c r="A1087" s="465"/>
      <c r="AU1087" s="381">
        <v>1131</v>
      </c>
      <c r="AV1087" s="196" t="s">
        <v>635</v>
      </c>
      <c r="AW1087" s="381" t="s">
        <v>648</v>
      </c>
    </row>
    <row r="1088" spans="1:49" x14ac:dyDescent="0.25">
      <c r="A1088" s="465"/>
      <c r="AU1088" s="381">
        <v>1132</v>
      </c>
      <c r="AV1088" s="196" t="s">
        <v>635</v>
      </c>
      <c r="AW1088" s="381" t="s">
        <v>648</v>
      </c>
    </row>
    <row r="1089" spans="1:49" x14ac:dyDescent="0.25">
      <c r="A1089" s="465"/>
      <c r="AU1089" s="381">
        <v>1158</v>
      </c>
      <c r="AV1089" s="196" t="s">
        <v>635</v>
      </c>
      <c r="AW1089" s="381" t="s">
        <v>652</v>
      </c>
    </row>
    <row r="1090" spans="1:49" x14ac:dyDescent="0.25">
      <c r="A1090" s="465"/>
      <c r="AU1090" s="381">
        <v>1570</v>
      </c>
      <c r="AV1090" s="196" t="s">
        <v>635</v>
      </c>
      <c r="AW1090" s="381" t="s">
        <v>656</v>
      </c>
    </row>
    <row r="1091" spans="1:49" x14ac:dyDescent="0.25">
      <c r="A1091" s="465"/>
      <c r="AU1091" s="381">
        <v>1578</v>
      </c>
      <c r="AV1091" s="196" t="s">
        <v>635</v>
      </c>
      <c r="AW1091" s="381" t="s">
        <v>656</v>
      </c>
    </row>
    <row r="1092" spans="1:49" x14ac:dyDescent="0.25">
      <c r="A1092" s="465"/>
      <c r="AU1092" s="381">
        <v>1631</v>
      </c>
      <c r="AV1092" s="196" t="s">
        <v>635</v>
      </c>
      <c r="AW1092" s="381" t="s">
        <v>649</v>
      </c>
    </row>
    <row r="1093" spans="1:49" x14ac:dyDescent="0.25">
      <c r="A1093" s="465"/>
      <c r="AU1093" s="381">
        <v>1664</v>
      </c>
      <c r="AV1093" s="196" t="s">
        <v>635</v>
      </c>
      <c r="AW1093" s="381" t="s">
        <v>656</v>
      </c>
    </row>
    <row r="1094" spans="1:49" x14ac:dyDescent="0.25">
      <c r="A1094" s="465"/>
      <c r="AU1094" s="381">
        <v>1676</v>
      </c>
      <c r="AV1094" s="196" t="s">
        <v>635</v>
      </c>
      <c r="AW1094" s="381" t="s">
        <v>649</v>
      </c>
    </row>
    <row r="1095" spans="1:49" x14ac:dyDescent="0.25">
      <c r="A1095" s="465"/>
      <c r="AU1095" s="381">
        <v>1758</v>
      </c>
      <c r="AV1095" s="196" t="s">
        <v>635</v>
      </c>
      <c r="AW1095" s="381" t="s">
        <v>649</v>
      </c>
    </row>
    <row r="1096" spans="1:49" x14ac:dyDescent="0.25">
      <c r="A1096" s="465"/>
      <c r="AU1096" s="381">
        <v>1869</v>
      </c>
      <c r="AV1096" s="196" t="s">
        <v>635</v>
      </c>
      <c r="AW1096" s="381" t="s">
        <v>649</v>
      </c>
    </row>
    <row r="1097" spans="1:49" x14ac:dyDescent="0.25">
      <c r="A1097" s="465"/>
      <c r="AU1097" s="381">
        <v>1875</v>
      </c>
      <c r="AV1097" s="196" t="s">
        <v>635</v>
      </c>
      <c r="AW1097" s="381" t="s">
        <v>656</v>
      </c>
    </row>
    <row r="1098" spans="1:49" x14ac:dyDescent="0.25">
      <c r="A1098" s="465"/>
      <c r="AU1098" s="381">
        <v>1876</v>
      </c>
      <c r="AV1098" s="196" t="s">
        <v>635</v>
      </c>
      <c r="AW1098" s="381" t="s">
        <v>648</v>
      </c>
    </row>
    <row r="1099" spans="1:49" x14ac:dyDescent="0.25">
      <c r="A1099" s="465"/>
      <c r="AU1099" s="381">
        <v>1905</v>
      </c>
      <c r="AV1099" s="196" t="s">
        <v>635</v>
      </c>
      <c r="AW1099" s="381" t="s">
        <v>652</v>
      </c>
    </row>
    <row r="1100" spans="1:49" x14ac:dyDescent="0.25">
      <c r="A1100" s="465"/>
      <c r="AU1100" s="381">
        <v>1970</v>
      </c>
      <c r="AV1100" s="196" t="s">
        <v>635</v>
      </c>
      <c r="AW1100" s="381" t="s">
        <v>649</v>
      </c>
    </row>
    <row r="1101" spans="1:49" x14ac:dyDescent="0.25">
      <c r="A1101" s="465"/>
      <c r="AU1101" s="381">
        <v>1993</v>
      </c>
      <c r="AV1101" s="196" t="s">
        <v>635</v>
      </c>
      <c r="AW1101" s="381" t="s">
        <v>652</v>
      </c>
    </row>
    <row r="1102" spans="1:49" x14ac:dyDescent="0.25">
      <c r="A1102" s="465"/>
      <c r="AU1102" s="381">
        <v>3696</v>
      </c>
      <c r="AV1102" s="196" t="s">
        <v>635</v>
      </c>
      <c r="AW1102" s="381" t="s">
        <v>648</v>
      </c>
    </row>
    <row r="1103" spans="1:49" x14ac:dyDescent="0.25">
      <c r="A1103" s="465"/>
      <c r="AU1103" s="381">
        <v>3737</v>
      </c>
      <c r="AV1103" s="196" t="s">
        <v>635</v>
      </c>
      <c r="AW1103" s="381" t="s">
        <v>656</v>
      </c>
    </row>
    <row r="1104" spans="1:49" x14ac:dyDescent="0.25">
      <c r="A1104" s="465"/>
      <c r="AU1104" s="381">
        <v>3990</v>
      </c>
      <c r="AV1104" s="196" t="s">
        <v>635</v>
      </c>
      <c r="AW1104" s="381" t="s">
        <v>648</v>
      </c>
    </row>
    <row r="1105" spans="1:1" x14ac:dyDescent="0.25">
      <c r="A1105" s="465"/>
    </row>
    <row r="1106" spans="1:1" x14ac:dyDescent="0.25">
      <c r="A1106" s="465"/>
    </row>
    <row r="1107" spans="1:1" x14ac:dyDescent="0.25">
      <c r="A1107" s="465"/>
    </row>
    <row r="1108" spans="1:1" x14ac:dyDescent="0.25">
      <c r="A1108" s="465"/>
    </row>
    <row r="1109" spans="1:1" x14ac:dyDescent="0.25">
      <c r="A1109" s="465"/>
    </row>
    <row r="1110" spans="1:1" x14ac:dyDescent="0.25">
      <c r="A1110" s="465"/>
    </row>
    <row r="1111" spans="1:1" x14ac:dyDescent="0.25">
      <c r="A1111" s="465"/>
    </row>
    <row r="1112" spans="1:1" x14ac:dyDescent="0.25">
      <c r="A1112" s="465"/>
    </row>
    <row r="1113" spans="1:1" x14ac:dyDescent="0.25">
      <c r="A1113" s="465"/>
    </row>
    <row r="1114" spans="1:1" x14ac:dyDescent="0.25">
      <c r="A1114" s="465"/>
    </row>
    <row r="1115" spans="1:1" x14ac:dyDescent="0.25">
      <c r="A1115" s="465"/>
    </row>
    <row r="1116" spans="1:1" x14ac:dyDescent="0.25">
      <c r="A1116" s="465"/>
    </row>
    <row r="1117" spans="1:1" x14ac:dyDescent="0.25">
      <c r="A1117" s="465"/>
    </row>
    <row r="1118" spans="1:1" x14ac:dyDescent="0.25">
      <c r="A1118" s="465"/>
    </row>
    <row r="1119" spans="1:1" x14ac:dyDescent="0.25">
      <c r="A1119" s="465"/>
    </row>
    <row r="1120" spans="1:1" x14ac:dyDescent="0.25">
      <c r="A1120" s="465"/>
    </row>
    <row r="1121" spans="1:1" x14ac:dyDescent="0.25">
      <c r="A1121" s="465"/>
    </row>
    <row r="1122" spans="1:1" x14ac:dyDescent="0.25">
      <c r="A1122" s="465"/>
    </row>
    <row r="1123" spans="1:1" x14ac:dyDescent="0.25">
      <c r="A1123" s="465"/>
    </row>
    <row r="1124" spans="1:1" x14ac:dyDescent="0.25">
      <c r="A1124" s="465"/>
    </row>
    <row r="1125" spans="1:1" x14ac:dyDescent="0.25">
      <c r="A1125" s="465"/>
    </row>
    <row r="1126" spans="1:1" x14ac:dyDescent="0.25">
      <c r="A1126" s="465"/>
    </row>
    <row r="1127" spans="1:1" x14ac:dyDescent="0.25">
      <c r="A1127" s="465"/>
    </row>
    <row r="1128" spans="1:1" x14ac:dyDescent="0.25">
      <c r="A1128" s="465"/>
    </row>
    <row r="1129" spans="1:1" x14ac:dyDescent="0.25">
      <c r="A1129" s="465"/>
    </row>
    <row r="1130" spans="1:1" x14ac:dyDescent="0.25">
      <c r="A1130" s="465"/>
    </row>
    <row r="1131" spans="1:1" x14ac:dyDescent="0.25">
      <c r="A1131" s="465"/>
    </row>
    <row r="1132" spans="1:1" x14ac:dyDescent="0.25">
      <c r="A1132" s="465"/>
    </row>
    <row r="1133" spans="1:1" x14ac:dyDescent="0.25">
      <c r="A1133" s="465"/>
    </row>
    <row r="1134" spans="1:1" x14ac:dyDescent="0.25">
      <c r="A1134" s="465"/>
    </row>
    <row r="1135" spans="1:1" x14ac:dyDescent="0.25">
      <c r="A1135" s="465"/>
    </row>
    <row r="1136" spans="1:1" x14ac:dyDescent="0.25">
      <c r="A1136" s="465"/>
    </row>
    <row r="1137" spans="1:1" x14ac:dyDescent="0.25">
      <c r="A1137" s="465"/>
    </row>
    <row r="1138" spans="1:1" x14ac:dyDescent="0.25">
      <c r="A1138" s="465"/>
    </row>
    <row r="1139" spans="1:1" x14ac:dyDescent="0.25">
      <c r="A1139" s="465"/>
    </row>
    <row r="1140" spans="1:1" x14ac:dyDescent="0.25">
      <c r="A1140" s="465"/>
    </row>
    <row r="1141" spans="1:1" x14ac:dyDescent="0.25">
      <c r="A1141" s="465"/>
    </row>
    <row r="1142" spans="1:1" x14ac:dyDescent="0.25">
      <c r="A1142" s="465"/>
    </row>
    <row r="1143" spans="1:1" x14ac:dyDescent="0.25">
      <c r="A1143" s="465"/>
    </row>
    <row r="1144" spans="1:1" x14ac:dyDescent="0.25">
      <c r="A1144" s="465"/>
    </row>
    <row r="1145" spans="1:1" x14ac:dyDescent="0.25">
      <c r="A1145" s="465"/>
    </row>
    <row r="1146" spans="1:1" x14ac:dyDescent="0.25">
      <c r="A1146" s="465"/>
    </row>
    <row r="1147" spans="1:1" x14ac:dyDescent="0.25">
      <c r="A1147" s="465"/>
    </row>
    <row r="1148" spans="1:1" x14ac:dyDescent="0.25">
      <c r="A1148" s="465"/>
    </row>
    <row r="1149" spans="1:1" x14ac:dyDescent="0.25">
      <c r="A1149" s="465"/>
    </row>
    <row r="1150" spans="1:1" x14ac:dyDescent="0.25">
      <c r="A1150" s="465"/>
    </row>
    <row r="1151" spans="1:1" x14ac:dyDescent="0.25">
      <c r="A1151" s="465"/>
    </row>
    <row r="1152" spans="1:1" x14ac:dyDescent="0.25">
      <c r="A1152" s="465"/>
    </row>
    <row r="1153" spans="1:1" x14ac:dyDescent="0.25">
      <c r="A1153" s="465"/>
    </row>
    <row r="1154" spans="1:1" x14ac:dyDescent="0.25">
      <c r="A1154" s="465"/>
    </row>
    <row r="1155" spans="1:1" x14ac:dyDescent="0.25">
      <c r="A1155" s="465"/>
    </row>
    <row r="1156" spans="1:1" x14ac:dyDescent="0.25">
      <c r="A1156" s="465"/>
    </row>
    <row r="1157" spans="1:1" x14ac:dyDescent="0.25">
      <c r="A1157" s="465"/>
    </row>
    <row r="1158" spans="1:1" x14ac:dyDescent="0.25">
      <c r="A1158" s="465"/>
    </row>
    <row r="1159" spans="1:1" x14ac:dyDescent="0.25">
      <c r="A1159" s="465"/>
    </row>
    <row r="1160" spans="1:1" x14ac:dyDescent="0.25">
      <c r="A1160" s="465"/>
    </row>
    <row r="1161" spans="1:1" x14ac:dyDescent="0.25">
      <c r="A1161" s="465"/>
    </row>
    <row r="1162" spans="1:1" x14ac:dyDescent="0.25">
      <c r="A1162" s="465"/>
    </row>
    <row r="1163" spans="1:1" x14ac:dyDescent="0.25">
      <c r="A1163" s="465"/>
    </row>
    <row r="1164" spans="1:1" x14ac:dyDescent="0.25">
      <c r="A1164" s="465"/>
    </row>
    <row r="1165" spans="1:1" x14ac:dyDescent="0.25">
      <c r="A1165" s="465"/>
    </row>
    <row r="1166" spans="1:1" x14ac:dyDescent="0.25">
      <c r="A1166" s="465"/>
    </row>
    <row r="1167" spans="1:1" x14ac:dyDescent="0.25">
      <c r="A1167" s="465"/>
    </row>
    <row r="1168" spans="1:1" x14ac:dyDescent="0.25">
      <c r="A1168" s="465"/>
    </row>
    <row r="1169" spans="1:1" x14ac:dyDescent="0.25">
      <c r="A1169" s="465"/>
    </row>
    <row r="1170" spans="1:1" x14ac:dyDescent="0.25">
      <c r="A1170" s="465"/>
    </row>
    <row r="1171" spans="1:1" x14ac:dyDescent="0.25">
      <c r="A1171" s="465"/>
    </row>
    <row r="1172" spans="1:1" x14ac:dyDescent="0.25">
      <c r="A1172" s="465"/>
    </row>
    <row r="1173" spans="1:1" x14ac:dyDescent="0.25">
      <c r="A1173" s="465"/>
    </row>
    <row r="1174" spans="1:1" x14ac:dyDescent="0.25">
      <c r="A1174" s="465"/>
    </row>
    <row r="1175" spans="1:1" x14ac:dyDescent="0.25">
      <c r="A1175" s="465"/>
    </row>
    <row r="1176" spans="1:1" x14ac:dyDescent="0.25">
      <c r="A1176" s="465"/>
    </row>
    <row r="1177" spans="1:1" x14ac:dyDescent="0.25">
      <c r="A1177" s="465"/>
    </row>
    <row r="1178" spans="1:1" x14ac:dyDescent="0.25">
      <c r="A1178" s="465"/>
    </row>
    <row r="1179" spans="1:1" x14ac:dyDescent="0.25">
      <c r="A1179" s="465"/>
    </row>
    <row r="1180" spans="1:1" x14ac:dyDescent="0.25">
      <c r="A1180" s="465"/>
    </row>
    <row r="1181" spans="1:1" x14ac:dyDescent="0.25">
      <c r="A1181" s="465"/>
    </row>
    <row r="1182" spans="1:1" x14ac:dyDescent="0.25">
      <c r="A1182" s="465"/>
    </row>
    <row r="1183" spans="1:1" x14ac:dyDescent="0.25">
      <c r="A1183" s="465"/>
    </row>
    <row r="1184" spans="1:1" x14ac:dyDescent="0.25">
      <c r="A1184" s="465"/>
    </row>
    <row r="1185" spans="1:1" x14ac:dyDescent="0.25">
      <c r="A1185" s="465"/>
    </row>
    <row r="1186" spans="1:1" x14ac:dyDescent="0.25">
      <c r="A1186" s="465"/>
    </row>
    <row r="1187" spans="1:1" x14ac:dyDescent="0.25">
      <c r="A1187" s="465"/>
    </row>
    <row r="1188" spans="1:1" x14ac:dyDescent="0.25">
      <c r="A1188" s="465"/>
    </row>
    <row r="1189" spans="1:1" x14ac:dyDescent="0.25">
      <c r="A1189" s="465"/>
    </row>
    <row r="1190" spans="1:1" x14ac:dyDescent="0.25">
      <c r="A1190" s="465"/>
    </row>
    <row r="1191" spans="1:1" x14ac:dyDescent="0.25">
      <c r="A1191" s="465"/>
    </row>
    <row r="1192" spans="1:1" x14ac:dyDescent="0.25">
      <c r="A1192" s="465"/>
    </row>
    <row r="1193" spans="1:1" x14ac:dyDescent="0.25">
      <c r="A1193" s="465"/>
    </row>
    <row r="1194" spans="1:1" x14ac:dyDescent="0.25">
      <c r="A1194" s="465"/>
    </row>
    <row r="1195" spans="1:1" x14ac:dyDescent="0.25">
      <c r="A1195" s="465"/>
    </row>
    <row r="1196" spans="1:1" x14ac:dyDescent="0.25">
      <c r="A1196" s="465"/>
    </row>
    <row r="1197" spans="1:1" x14ac:dyDescent="0.25">
      <c r="A1197" s="465"/>
    </row>
    <row r="1198" spans="1:1" x14ac:dyDescent="0.25">
      <c r="A1198" s="465"/>
    </row>
    <row r="1199" spans="1:1" x14ac:dyDescent="0.25">
      <c r="A1199" s="465"/>
    </row>
    <row r="1200" spans="1:1" x14ac:dyDescent="0.25">
      <c r="A1200" s="465"/>
    </row>
    <row r="1201" spans="1:1" x14ac:dyDescent="0.25">
      <c r="A1201" s="465"/>
    </row>
    <row r="1202" spans="1:1" x14ac:dyDescent="0.25">
      <c r="A1202" s="465"/>
    </row>
    <row r="1203" spans="1:1" x14ac:dyDescent="0.25">
      <c r="A1203" s="465"/>
    </row>
    <row r="1204" spans="1:1" x14ac:dyDescent="0.25">
      <c r="A1204" s="465"/>
    </row>
    <row r="1205" spans="1:1" x14ac:dyDescent="0.25">
      <c r="A1205" s="465"/>
    </row>
    <row r="1206" spans="1:1" x14ac:dyDescent="0.25">
      <c r="A1206" s="465"/>
    </row>
    <row r="1207" spans="1:1" x14ac:dyDescent="0.25">
      <c r="A1207" s="465"/>
    </row>
    <row r="1208" spans="1:1" x14ac:dyDescent="0.25">
      <c r="A1208" s="465"/>
    </row>
    <row r="1209" spans="1:1" x14ac:dyDescent="0.25">
      <c r="A1209" s="465"/>
    </row>
    <row r="1210" spans="1:1" x14ac:dyDescent="0.25">
      <c r="A1210" s="465"/>
    </row>
    <row r="1211" spans="1:1" x14ac:dyDescent="0.25">
      <c r="A1211" s="465"/>
    </row>
    <row r="1212" spans="1:1" x14ac:dyDescent="0.25">
      <c r="A1212" s="465"/>
    </row>
    <row r="1213" spans="1:1" x14ac:dyDescent="0.25">
      <c r="A1213" s="465"/>
    </row>
    <row r="1214" spans="1:1" x14ac:dyDescent="0.25">
      <c r="A1214" s="465"/>
    </row>
    <row r="1215" spans="1:1" x14ac:dyDescent="0.25">
      <c r="A1215" s="465"/>
    </row>
    <row r="1216" spans="1:1" x14ac:dyDescent="0.25">
      <c r="A1216" s="465"/>
    </row>
    <row r="1217" spans="1:1" x14ac:dyDescent="0.25">
      <c r="A1217" s="465"/>
    </row>
    <row r="1218" spans="1:1" x14ac:dyDescent="0.25">
      <c r="A1218" s="465"/>
    </row>
    <row r="1219" spans="1:1" x14ac:dyDescent="0.25">
      <c r="A1219" s="465"/>
    </row>
    <row r="1220" spans="1:1" x14ac:dyDescent="0.25">
      <c r="A1220" s="465"/>
    </row>
    <row r="1221" spans="1:1" x14ac:dyDescent="0.25">
      <c r="A1221" s="465"/>
    </row>
    <row r="1222" spans="1:1" x14ac:dyDescent="0.25">
      <c r="A1222" s="465"/>
    </row>
    <row r="1223" spans="1:1" x14ac:dyDescent="0.25">
      <c r="A1223" s="465"/>
    </row>
    <row r="1224" spans="1:1" x14ac:dyDescent="0.25">
      <c r="A1224" s="465"/>
    </row>
    <row r="1225" spans="1:1" x14ac:dyDescent="0.25">
      <c r="A1225" s="465"/>
    </row>
    <row r="1226" spans="1:1" x14ac:dyDescent="0.25">
      <c r="A1226" s="465"/>
    </row>
    <row r="1227" spans="1:1" x14ac:dyDescent="0.25">
      <c r="A1227" s="465"/>
    </row>
    <row r="1228" spans="1:1" x14ac:dyDescent="0.25">
      <c r="A1228" s="465"/>
    </row>
    <row r="1229" spans="1:1" x14ac:dyDescent="0.25">
      <c r="A1229" s="465"/>
    </row>
    <row r="1230" spans="1:1" x14ac:dyDescent="0.25">
      <c r="A1230" s="465"/>
    </row>
    <row r="1231" spans="1:1" x14ac:dyDescent="0.25">
      <c r="A1231" s="465"/>
    </row>
    <row r="1232" spans="1:1" x14ac:dyDescent="0.25">
      <c r="A1232" s="465"/>
    </row>
    <row r="1233" spans="1:1" x14ac:dyDescent="0.25">
      <c r="A1233" s="465"/>
    </row>
    <row r="1234" spans="1:1" x14ac:dyDescent="0.25">
      <c r="A1234" s="465"/>
    </row>
    <row r="1235" spans="1:1" x14ac:dyDescent="0.25">
      <c r="A1235" s="465"/>
    </row>
    <row r="1236" spans="1:1" x14ac:dyDescent="0.25">
      <c r="A1236" s="465"/>
    </row>
    <row r="1237" spans="1:1" x14ac:dyDescent="0.25">
      <c r="A1237" s="465"/>
    </row>
    <row r="1238" spans="1:1" x14ac:dyDescent="0.25">
      <c r="A1238" s="465"/>
    </row>
    <row r="1239" spans="1:1" x14ac:dyDescent="0.25">
      <c r="A1239" s="465"/>
    </row>
    <row r="1240" spans="1:1" x14ac:dyDescent="0.25">
      <c r="A1240" s="465"/>
    </row>
    <row r="1241" spans="1:1" x14ac:dyDescent="0.25">
      <c r="A1241" s="465"/>
    </row>
    <row r="1242" spans="1:1" x14ac:dyDescent="0.25">
      <c r="A1242" s="465"/>
    </row>
    <row r="1243" spans="1:1" x14ac:dyDescent="0.25">
      <c r="A1243" s="465"/>
    </row>
  </sheetData>
  <mergeCells count="131">
    <mergeCell ref="AF405:AG405"/>
    <mergeCell ref="BF405:BG405"/>
    <mergeCell ref="AA1000:AG1000"/>
    <mergeCell ref="AN618:AO618"/>
    <mergeCell ref="AP618:AQ618"/>
    <mergeCell ref="AL646:AL658"/>
    <mergeCell ref="AL633:AL645"/>
    <mergeCell ref="AL620:AL632"/>
    <mergeCell ref="AM626:AQ626"/>
    <mergeCell ref="AM639:AQ639"/>
    <mergeCell ref="AM652:AQ652"/>
    <mergeCell ref="AA900:AG900"/>
    <mergeCell ref="AF905:AG905"/>
    <mergeCell ref="BA900:BG900"/>
    <mergeCell ref="BF905:BG905"/>
    <mergeCell ref="AM617:AQ617"/>
    <mergeCell ref="AA500:AG500"/>
    <mergeCell ref="AF505:AG505"/>
    <mergeCell ref="AA577:AG577"/>
    <mergeCell ref="BA500:BG500"/>
    <mergeCell ref="AD788:AE788"/>
    <mergeCell ref="BA1000:BG1000"/>
    <mergeCell ref="AA310:AG310"/>
    <mergeCell ref="BA310:BG310"/>
    <mergeCell ref="AA400:AG400"/>
    <mergeCell ref="BA400:BG400"/>
    <mergeCell ref="CA400:CG400"/>
    <mergeCell ref="DA400:DG400"/>
    <mergeCell ref="EA400:EG400"/>
    <mergeCell ref="CA310:CG310"/>
    <mergeCell ref="DA310:DG310"/>
    <mergeCell ref="EF405:EG405"/>
    <mergeCell ref="DE2:DH2"/>
    <mergeCell ref="DE6:DG6"/>
    <mergeCell ref="EA270:EG270"/>
    <mergeCell ref="EA240:EG240"/>
    <mergeCell ref="EA130:EG130"/>
    <mergeCell ref="EB9:EC9"/>
    <mergeCell ref="ED9:EF9"/>
    <mergeCell ref="EG9:EI9"/>
    <mergeCell ref="EA100:EG100"/>
    <mergeCell ref="EF105:EG105"/>
    <mergeCell ref="DF105:DG105"/>
    <mergeCell ref="DA10:DG10"/>
    <mergeCell ref="DF22:DG22"/>
    <mergeCell ref="DC27:DE27"/>
    <mergeCell ref="DA150:DG150"/>
    <mergeCell ref="DA100:DG100"/>
    <mergeCell ref="EA210:EG210"/>
    <mergeCell ref="EA110:EG110"/>
    <mergeCell ref="EA150:EG150"/>
    <mergeCell ref="DA110:DG110"/>
    <mergeCell ref="EA310:EG310"/>
    <mergeCell ref="DF405:DG405"/>
    <mergeCell ref="DA130:DG130"/>
    <mergeCell ref="AE2:AH2"/>
    <mergeCell ref="BE2:BH2"/>
    <mergeCell ref="CA100:CG100"/>
    <mergeCell ref="AE6:AG6"/>
    <mergeCell ref="BE6:BG6"/>
    <mergeCell ref="CE2:CH2"/>
    <mergeCell ref="CE6:CG6"/>
    <mergeCell ref="CA10:CG10"/>
    <mergeCell ref="AF22:AG22"/>
    <mergeCell ref="BF22:BG22"/>
    <mergeCell ref="CF22:CG22"/>
    <mergeCell ref="AA100:AG100"/>
    <mergeCell ref="BA100:BG100"/>
    <mergeCell ref="AC27:AE27"/>
    <mergeCell ref="BC27:BE27"/>
    <mergeCell ref="CC27:CE27"/>
    <mergeCell ref="BF30:BI30"/>
    <mergeCell ref="AA10:AG10"/>
    <mergeCell ref="BA10:BG10"/>
    <mergeCell ref="A10:C10"/>
    <mergeCell ref="A11:C11"/>
    <mergeCell ref="B12:B13"/>
    <mergeCell ref="C12:C13"/>
    <mergeCell ref="D12:D13"/>
    <mergeCell ref="A26:C26"/>
    <mergeCell ref="A37:C37"/>
    <mergeCell ref="A38:C38"/>
    <mergeCell ref="B39:B40"/>
    <mergeCell ref="C39:C40"/>
    <mergeCell ref="A52:C52"/>
    <mergeCell ref="C102:D102"/>
    <mergeCell ref="AA130:AG130"/>
    <mergeCell ref="AF30:AI30"/>
    <mergeCell ref="BA577:BG577"/>
    <mergeCell ref="BF589:BG589"/>
    <mergeCell ref="CA210:CG210"/>
    <mergeCell ref="DA210:DG210"/>
    <mergeCell ref="CF105:CG105"/>
    <mergeCell ref="AA210:AG210"/>
    <mergeCell ref="BA210:BG210"/>
    <mergeCell ref="CA110:CG110"/>
    <mergeCell ref="A200:D200"/>
    <mergeCell ref="AA150:AG150"/>
    <mergeCell ref="BA150:BG150"/>
    <mergeCell ref="AF105:AG105"/>
    <mergeCell ref="BF105:BG105"/>
    <mergeCell ref="AA110:AG110"/>
    <mergeCell ref="BA110:BG110"/>
    <mergeCell ref="CA130:CG130"/>
    <mergeCell ref="CA150:CG150"/>
    <mergeCell ref="C116:D116"/>
    <mergeCell ref="BA130:BG130"/>
    <mergeCell ref="CF405:CG405"/>
    <mergeCell ref="Z946:Z968"/>
    <mergeCell ref="A790:A802"/>
    <mergeCell ref="A817:A823"/>
    <mergeCell ref="A803:A816"/>
    <mergeCell ref="CA600:CG600"/>
    <mergeCell ref="BF504:BG504"/>
    <mergeCell ref="BF505:BG505"/>
    <mergeCell ref="AA730:AG730"/>
    <mergeCell ref="AA630:AG630"/>
    <mergeCell ref="AA660:AG660"/>
    <mergeCell ref="AA600:AG600"/>
    <mergeCell ref="AA760:AF760"/>
    <mergeCell ref="AB788:AC788"/>
    <mergeCell ref="AF589:AG589"/>
    <mergeCell ref="AF504:AG504"/>
    <mergeCell ref="C788:G788"/>
    <mergeCell ref="H788:J788"/>
    <mergeCell ref="L788:P788"/>
    <mergeCell ref="W788:AA788"/>
    <mergeCell ref="Q788:U788"/>
    <mergeCell ref="B781:G781"/>
    <mergeCell ref="AF788:AG788"/>
    <mergeCell ref="AH788:AI788"/>
  </mergeCells>
  <conditionalFormatting sqref="AF113:AF114 AF133:AF134 AF153:AF154 BF134 BF154 CD114 DD114">
    <cfRule type="expression" dxfId="2" priority="61" stopIfTrue="1">
      <formula>AK104="AUTOS"</formula>
    </cfRule>
  </conditionalFormatting>
  <conditionalFormatting sqref="AD113:AD114 AD26 AD153:AD154 AD133:AD134 BD134 BD154 BD26 CD26">
    <cfRule type="expression" dxfId="1" priority="60" stopIfTrue="1">
      <formula>AH17="AUTOS"</formula>
    </cfRule>
  </conditionalFormatting>
  <conditionalFormatting sqref="AC113:AC114 AC153:AC154 AC133:AC134 BC134 BC154 CC26">
    <cfRule type="expression" dxfId="0" priority="59" stopIfTrue="1">
      <formula>AF17="AUTOS"</formula>
    </cfRule>
  </conditionalFormatting>
  <pageMargins left="0.7" right="0.7" top="0.75" bottom="0.75" header="0.3" footer="0.3"/>
  <pageSetup orientation="portrait" r:id="rId1"/>
  <headerFooter>
    <oddFooter>&amp;C&amp;1#&amp;"Calibri"&amp;10&amp;K000000PUBLIC</oddFooter>
    <evenFooter>RESTRICTED&amp;LRESTRICTED</evenFooter>
    <firstFooter>RESTRICTED&amp;LRESTRICTED</first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TINOS"/>
  <dimension ref="A1:N2"/>
  <sheetViews>
    <sheetView showGridLines="0" topLeftCell="A7" zoomScaleNormal="100" zoomScalePageLayoutView="40" workbookViewId="0">
      <selection activeCell="A4" sqref="A4"/>
    </sheetView>
  </sheetViews>
  <sheetFormatPr baseColWidth="10" defaultColWidth="11.42578125" defaultRowHeight="15" x14ac:dyDescent="0.25"/>
  <sheetData>
    <row r="1" spans="1:14" x14ac:dyDescent="0.25">
      <c r="J1" s="583">
        <f ca="1">TODAY()</f>
        <v>44798</v>
      </c>
      <c r="K1" s="583"/>
      <c r="L1" s="583"/>
      <c r="M1" s="583"/>
      <c r="N1" s="583"/>
    </row>
    <row r="2" spans="1:14" x14ac:dyDescent="0.25">
      <c r="A2" s="86"/>
      <c r="J2" s="583"/>
      <c r="K2" s="583"/>
      <c r="L2" s="583"/>
      <c r="M2" s="583"/>
      <c r="N2" s="583"/>
    </row>
  </sheetData>
  <mergeCells count="1">
    <mergeCell ref="J1:N2"/>
  </mergeCells>
  <pageMargins left="0.7" right="0.7" top="0.75" bottom="0.75" header="0.3" footer="0.3"/>
  <pageSetup scale="55" orientation="portrait" r:id="rId1"/>
  <headerFooter>
    <oddFooter>&amp;C&amp;1#&amp;"Calibri"&amp;10&amp;K000000PUBLIC</oddFooter>
    <evenFooter>&amp;LRESTRICTED</evenFooter>
    <firstFooter>&amp;LRESTRICTED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NDARD"/>
  <dimension ref="A1:I90"/>
  <sheetViews>
    <sheetView showGridLines="0" showRowColHeaders="0" workbookViewId="0"/>
  </sheetViews>
  <sheetFormatPr baseColWidth="10" defaultColWidth="11.42578125" defaultRowHeight="15" x14ac:dyDescent="0.25"/>
  <cols>
    <col min="1" max="1" width="4.7109375" style="196" customWidth="1"/>
    <col min="2" max="2" width="5.5703125" style="196" customWidth="1"/>
    <col min="3" max="3" width="13" style="196" bestFit="1" customWidth="1"/>
    <col min="4" max="4" width="12.28515625" style="196" customWidth="1"/>
    <col min="5" max="5" width="26.85546875" style="196" customWidth="1"/>
    <col min="6" max="6" width="74.140625" style="196" customWidth="1"/>
    <col min="7" max="7" width="15.42578125" style="196" bestFit="1" customWidth="1"/>
    <col min="8" max="8" width="33.7109375" style="196" customWidth="1"/>
    <col min="9" max="16384" width="11.42578125" style="196"/>
  </cols>
  <sheetData>
    <row r="1" spans="1:9" ht="11.25" customHeight="1" x14ac:dyDescent="0.25">
      <c r="D1" s="141"/>
    </row>
    <row r="2" spans="1:9" ht="11.25" customHeight="1" x14ac:dyDescent="0.25">
      <c r="D2" s="141"/>
    </row>
    <row r="3" spans="1:9" ht="11.25" customHeight="1" x14ac:dyDescent="0.25">
      <c r="D3" s="141"/>
      <c r="G3" s="70"/>
    </row>
    <row r="4" spans="1:9" ht="11.25" customHeight="1" x14ac:dyDescent="0.25">
      <c r="D4" s="141"/>
    </row>
    <row r="5" spans="1:9" ht="11.25" customHeight="1" x14ac:dyDescent="0.25">
      <c r="B5" s="143" t="s">
        <v>302</v>
      </c>
      <c r="D5" s="141"/>
    </row>
    <row r="6" spans="1:9" ht="11.25" customHeight="1" x14ac:dyDescent="0.25">
      <c r="B6" s="143" t="s">
        <v>299</v>
      </c>
      <c r="G6" s="70"/>
    </row>
    <row r="7" spans="1:9" x14ac:dyDescent="0.25">
      <c r="H7" s="70"/>
    </row>
    <row r="8" spans="1:9" x14ac:dyDescent="0.25">
      <c r="G8" s="70"/>
      <c r="I8" s="70"/>
    </row>
    <row r="9" spans="1:9" x14ac:dyDescent="0.25">
      <c r="H9" s="70"/>
    </row>
    <row r="10" spans="1:9" ht="15.75" thickBot="1" x14ac:dyDescent="0.3">
      <c r="H10" s="70"/>
    </row>
    <row r="11" spans="1:9" ht="15.75" thickBot="1" x14ac:dyDescent="0.3">
      <c r="C11" s="634" t="s">
        <v>436</v>
      </c>
      <c r="D11" s="635"/>
      <c r="E11" s="635"/>
      <c r="F11" s="635"/>
      <c r="G11" s="635"/>
      <c r="H11" s="636"/>
    </row>
    <row r="12" spans="1:9" ht="26.25" thickBot="1" x14ac:dyDescent="0.3">
      <c r="C12" s="430" t="s">
        <v>317</v>
      </c>
      <c r="D12" s="430" t="s">
        <v>437</v>
      </c>
      <c r="E12" s="431" t="s">
        <v>438</v>
      </c>
      <c r="F12" s="431" t="s">
        <v>439</v>
      </c>
      <c r="G12" s="431" t="s">
        <v>692</v>
      </c>
      <c r="H12" s="431" t="s">
        <v>693</v>
      </c>
    </row>
    <row r="13" spans="1:9" x14ac:dyDescent="0.25">
      <c r="A13" s="70"/>
      <c r="B13" s="70"/>
      <c r="C13" s="628" t="s">
        <v>440</v>
      </c>
      <c r="D13" s="630" t="s">
        <v>113</v>
      </c>
      <c r="E13" s="615" t="s">
        <v>442</v>
      </c>
      <c r="F13" s="420" t="s">
        <v>675</v>
      </c>
      <c r="G13" s="428"/>
      <c r="H13" s="429"/>
    </row>
    <row r="14" spans="1:9" ht="45" x14ac:dyDescent="0.25">
      <c r="A14" s="70"/>
      <c r="B14" s="70"/>
      <c r="C14" s="628"/>
      <c r="D14" s="631"/>
      <c r="E14" s="615"/>
      <c r="F14" s="333" t="s">
        <v>676</v>
      </c>
      <c r="G14" s="425">
        <v>44070</v>
      </c>
      <c r="H14" s="424"/>
    </row>
    <row r="15" spans="1:9" ht="180" x14ac:dyDescent="0.25">
      <c r="A15" s="70"/>
      <c r="B15" s="70"/>
      <c r="C15" s="628"/>
      <c r="D15" s="631"/>
      <c r="E15" s="615"/>
      <c r="F15" s="333" t="s">
        <v>677</v>
      </c>
      <c r="G15" s="426">
        <v>44298</v>
      </c>
      <c r="H15" s="424"/>
    </row>
    <row r="16" spans="1:9" ht="30" x14ac:dyDescent="0.25">
      <c r="A16" s="70"/>
      <c r="B16" s="70"/>
      <c r="C16" s="628"/>
      <c r="D16" s="631"/>
      <c r="E16" s="615" t="s">
        <v>678</v>
      </c>
      <c r="F16" s="333" t="s">
        <v>679</v>
      </c>
      <c r="G16" s="637">
        <v>44070</v>
      </c>
      <c r="H16" s="424"/>
    </row>
    <row r="17" spans="1:8" ht="30" x14ac:dyDescent="0.25">
      <c r="A17" s="70"/>
      <c r="B17" s="70"/>
      <c r="C17" s="628"/>
      <c r="D17" s="631"/>
      <c r="E17" s="615"/>
      <c r="F17" s="421" t="s">
        <v>680</v>
      </c>
      <c r="G17" s="638"/>
      <c r="H17" s="424"/>
    </row>
    <row r="18" spans="1:8" x14ac:dyDescent="0.25">
      <c r="A18" s="70"/>
      <c r="B18" s="70"/>
      <c r="C18" s="628"/>
      <c r="D18" s="631"/>
      <c r="E18" s="615"/>
      <c r="F18" s="421" t="s">
        <v>681</v>
      </c>
      <c r="G18" s="638"/>
      <c r="H18" s="424"/>
    </row>
    <row r="19" spans="1:8" ht="60" x14ac:dyDescent="0.25">
      <c r="A19" s="70"/>
      <c r="B19" s="70"/>
      <c r="C19" s="628"/>
      <c r="D19" s="631"/>
      <c r="E19" s="615"/>
      <c r="F19" s="421" t="s">
        <v>682</v>
      </c>
      <c r="G19" s="603">
        <v>44021</v>
      </c>
      <c r="H19" s="424"/>
    </row>
    <row r="20" spans="1:8" ht="45" x14ac:dyDescent="0.25">
      <c r="A20" s="70"/>
      <c r="B20" s="70"/>
      <c r="C20" s="628"/>
      <c r="D20" s="631"/>
      <c r="E20" s="615"/>
      <c r="F20" s="421" t="s">
        <v>683</v>
      </c>
      <c r="G20" s="603"/>
      <c r="H20" s="424"/>
    </row>
    <row r="21" spans="1:8" ht="60" x14ac:dyDescent="0.25">
      <c r="A21" s="70"/>
      <c r="B21" s="70"/>
      <c r="C21" s="628"/>
      <c r="D21" s="632"/>
      <c r="E21" s="615"/>
      <c r="F21" s="421" t="s">
        <v>684</v>
      </c>
      <c r="G21" s="426">
        <v>44298</v>
      </c>
      <c r="H21" s="424"/>
    </row>
    <row r="22" spans="1:8" x14ac:dyDescent="0.25">
      <c r="A22" s="70"/>
      <c r="B22" s="70"/>
      <c r="C22" s="628"/>
      <c r="D22" s="615" t="s">
        <v>450</v>
      </c>
      <c r="E22" s="615"/>
      <c r="F22" s="421" t="s">
        <v>685</v>
      </c>
      <c r="G22" s="603">
        <v>43962</v>
      </c>
      <c r="H22" s="424"/>
    </row>
    <row r="23" spans="1:8" x14ac:dyDescent="0.25">
      <c r="A23" s="70"/>
      <c r="B23" s="70"/>
      <c r="C23" s="628"/>
      <c r="D23" s="615"/>
      <c r="E23" s="615"/>
      <c r="F23" s="421" t="s">
        <v>686</v>
      </c>
      <c r="G23" s="603"/>
      <c r="H23" s="424"/>
    </row>
    <row r="24" spans="1:8" ht="30" x14ac:dyDescent="0.25">
      <c r="A24" s="70"/>
      <c r="B24" s="70"/>
      <c r="C24" s="628"/>
      <c r="D24" s="615"/>
      <c r="E24" s="615"/>
      <c r="F24" s="421" t="s">
        <v>687</v>
      </c>
      <c r="G24" s="603">
        <v>44070</v>
      </c>
      <c r="H24" s="424"/>
    </row>
    <row r="25" spans="1:8" ht="30" x14ac:dyDescent="0.25">
      <c r="A25" s="70"/>
      <c r="B25" s="70"/>
      <c r="C25" s="628"/>
      <c r="D25" s="615"/>
      <c r="E25" s="615"/>
      <c r="F25" s="421" t="s">
        <v>688</v>
      </c>
      <c r="G25" s="638"/>
      <c r="H25" s="424"/>
    </row>
    <row r="26" spans="1:8" ht="30" x14ac:dyDescent="0.25">
      <c r="A26" s="70"/>
      <c r="B26" s="70"/>
      <c r="C26" s="628"/>
      <c r="D26" s="615"/>
      <c r="E26" s="615"/>
      <c r="F26" s="421" t="s">
        <v>689</v>
      </c>
      <c r="G26" s="638"/>
      <c r="H26" s="424"/>
    </row>
    <row r="27" spans="1:8" x14ac:dyDescent="0.25">
      <c r="A27" s="70"/>
      <c r="B27" s="70"/>
      <c r="C27" s="628"/>
      <c r="D27" s="615"/>
      <c r="E27" s="615"/>
      <c r="F27" s="422" t="s">
        <v>690</v>
      </c>
      <c r="G27" s="603">
        <v>44300</v>
      </c>
      <c r="H27" s="424"/>
    </row>
    <row r="28" spans="1:8" ht="60.75" thickBot="1" x14ac:dyDescent="0.3">
      <c r="A28" s="70"/>
      <c r="B28" s="70"/>
      <c r="C28" s="629"/>
      <c r="D28" s="633"/>
      <c r="E28" s="633"/>
      <c r="F28" s="423" t="s">
        <v>691</v>
      </c>
      <c r="G28" s="604"/>
      <c r="H28" s="427"/>
    </row>
    <row r="29" spans="1:8" ht="15.75" thickBot="1" x14ac:dyDescent="0.3">
      <c r="A29" s="70"/>
      <c r="B29" s="70"/>
      <c r="C29" s="432"/>
      <c r="D29" s="433"/>
      <c r="E29" s="433"/>
      <c r="F29" s="434"/>
      <c r="G29" s="435"/>
      <c r="H29" s="135"/>
    </row>
    <row r="30" spans="1:8" ht="15.75" thickBot="1" x14ac:dyDescent="0.3">
      <c r="A30" s="70"/>
      <c r="B30" s="70"/>
      <c r="C30" s="430" t="s">
        <v>317</v>
      </c>
      <c r="D30" s="430" t="s">
        <v>437</v>
      </c>
      <c r="E30" s="431" t="s">
        <v>438</v>
      </c>
      <c r="F30" s="431" t="s">
        <v>439</v>
      </c>
      <c r="G30" s="285" t="s">
        <v>312</v>
      </c>
      <c r="H30" s="70"/>
    </row>
    <row r="31" spans="1:8" ht="75" x14ac:dyDescent="0.25">
      <c r="C31" s="612" t="s">
        <v>440</v>
      </c>
      <c r="D31" s="615" t="s">
        <v>441</v>
      </c>
      <c r="E31" s="331" t="s">
        <v>442</v>
      </c>
      <c r="F31" s="332" t="s">
        <v>553</v>
      </c>
      <c r="G31" s="616">
        <v>44070</v>
      </c>
      <c r="H31" s="70"/>
    </row>
    <row r="32" spans="1:8" x14ac:dyDescent="0.25">
      <c r="C32" s="613"/>
      <c r="D32" s="615"/>
      <c r="E32" s="619" t="s">
        <v>445</v>
      </c>
      <c r="F32" s="620" t="s">
        <v>554</v>
      </c>
      <c r="G32" s="617"/>
      <c r="H32" s="70"/>
    </row>
    <row r="33" spans="3:8" x14ac:dyDescent="0.25">
      <c r="C33" s="613"/>
      <c r="D33" s="615"/>
      <c r="E33" s="619"/>
      <c r="F33" s="621"/>
      <c r="G33" s="617"/>
      <c r="H33" s="70"/>
    </row>
    <row r="34" spans="3:8" ht="30" x14ac:dyDescent="0.25">
      <c r="C34" s="613"/>
      <c r="D34" s="615"/>
      <c r="E34" s="619"/>
      <c r="F34" s="332" t="s">
        <v>535</v>
      </c>
      <c r="G34" s="617"/>
      <c r="H34" s="70"/>
    </row>
    <row r="35" spans="3:8" x14ac:dyDescent="0.25">
      <c r="C35" s="613"/>
      <c r="D35" s="615"/>
      <c r="E35" s="619"/>
      <c r="F35" s="332" t="s">
        <v>449</v>
      </c>
      <c r="G35" s="617"/>
      <c r="H35" s="70"/>
    </row>
    <row r="36" spans="3:8" ht="30" x14ac:dyDescent="0.25">
      <c r="C36" s="613"/>
      <c r="D36" s="622" t="s">
        <v>450</v>
      </c>
      <c r="E36" s="623"/>
      <c r="F36" s="333" t="s">
        <v>557</v>
      </c>
      <c r="G36" s="617"/>
      <c r="H36" s="70"/>
    </row>
    <row r="37" spans="3:8" ht="30" x14ac:dyDescent="0.25">
      <c r="C37" s="613"/>
      <c r="D37" s="624"/>
      <c r="E37" s="625"/>
      <c r="F37" s="334" t="s">
        <v>555</v>
      </c>
      <c r="G37" s="617"/>
      <c r="H37" s="70"/>
    </row>
    <row r="38" spans="3:8" ht="45.75" thickBot="1" x14ac:dyDescent="0.3">
      <c r="C38" s="614"/>
      <c r="D38" s="626"/>
      <c r="E38" s="627"/>
      <c r="F38" s="335" t="s">
        <v>556</v>
      </c>
      <c r="G38" s="618"/>
      <c r="H38" s="70"/>
    </row>
    <row r="39" spans="3:8" ht="15.75" thickBot="1" x14ac:dyDescent="0.3">
      <c r="H39" s="70"/>
    </row>
    <row r="40" spans="3:8" customFormat="1" ht="15.75" thickBot="1" x14ac:dyDescent="0.3">
      <c r="C40" s="317" t="s">
        <v>317</v>
      </c>
      <c r="D40" s="317" t="s">
        <v>437</v>
      </c>
      <c r="E40" s="317" t="s">
        <v>438</v>
      </c>
      <c r="F40" s="317" t="s">
        <v>439</v>
      </c>
      <c r="G40" s="317" t="s">
        <v>312</v>
      </c>
    </row>
    <row r="41" spans="3:8" customFormat="1" ht="60.75" thickBot="1" x14ac:dyDescent="0.3">
      <c r="C41" s="605" t="s">
        <v>440</v>
      </c>
      <c r="D41" s="608" t="s">
        <v>441</v>
      </c>
      <c r="E41" s="318" t="s">
        <v>442</v>
      </c>
      <c r="F41" s="280" t="s">
        <v>532</v>
      </c>
      <c r="G41" s="611">
        <v>44021</v>
      </c>
    </row>
    <row r="42" spans="3:8" customFormat="1" ht="60.75" thickBot="1" x14ac:dyDescent="0.3">
      <c r="C42" s="606"/>
      <c r="D42" s="609"/>
      <c r="E42" s="600" t="s">
        <v>445</v>
      </c>
      <c r="F42" s="281" t="s">
        <v>533</v>
      </c>
      <c r="G42" s="601"/>
    </row>
    <row r="43" spans="3:8" customFormat="1" ht="45" x14ac:dyDescent="0.25">
      <c r="C43" s="606"/>
      <c r="D43" s="609"/>
      <c r="E43" s="601"/>
      <c r="F43" s="282" t="s">
        <v>534</v>
      </c>
      <c r="G43" s="601"/>
    </row>
    <row r="44" spans="3:8" customFormat="1" ht="30.75" thickBot="1" x14ac:dyDescent="0.3">
      <c r="C44" s="606"/>
      <c r="D44" s="609"/>
      <c r="E44" s="601"/>
      <c r="F44" s="281" t="s">
        <v>535</v>
      </c>
      <c r="G44" s="601"/>
    </row>
    <row r="45" spans="3:8" customFormat="1" ht="15.75" thickBot="1" x14ac:dyDescent="0.3">
      <c r="C45" s="607"/>
      <c r="D45" s="610"/>
      <c r="E45" s="602"/>
      <c r="F45" s="281" t="s">
        <v>449</v>
      </c>
      <c r="G45" s="602"/>
    </row>
    <row r="46" spans="3:8" customFormat="1" ht="15.75" thickBot="1" x14ac:dyDescent="0.3"/>
    <row r="47" spans="3:8" ht="15.75" thickBot="1" x14ac:dyDescent="0.3">
      <c r="C47" s="284" t="s">
        <v>317</v>
      </c>
      <c r="D47" s="284" t="s">
        <v>437</v>
      </c>
      <c r="E47" s="286" t="s">
        <v>438</v>
      </c>
      <c r="F47" s="286" t="s">
        <v>439</v>
      </c>
      <c r="G47" s="285" t="s">
        <v>312</v>
      </c>
    </row>
    <row r="48" spans="3:8" ht="15" customHeight="1" x14ac:dyDescent="0.25">
      <c r="C48" s="589" t="s">
        <v>440</v>
      </c>
      <c r="D48" s="593" t="s">
        <v>464</v>
      </c>
      <c r="E48" s="585" t="s">
        <v>465</v>
      </c>
      <c r="F48" s="294" t="s">
        <v>466</v>
      </c>
      <c r="G48" s="584" t="s">
        <v>470</v>
      </c>
    </row>
    <row r="49" spans="3:7" x14ac:dyDescent="0.25">
      <c r="C49" s="590"/>
      <c r="D49" s="593"/>
      <c r="E49" s="585"/>
      <c r="F49" s="294" t="s">
        <v>467</v>
      </c>
      <c r="G49" s="585"/>
    </row>
    <row r="50" spans="3:7" ht="45" x14ac:dyDescent="0.25">
      <c r="C50" s="590"/>
      <c r="D50" s="593"/>
      <c r="E50" s="585"/>
      <c r="F50" s="294" t="s">
        <v>468</v>
      </c>
      <c r="G50" s="585"/>
    </row>
    <row r="51" spans="3:7" ht="30.75" thickBot="1" x14ac:dyDescent="0.3">
      <c r="C51" s="590"/>
      <c r="D51" s="593"/>
      <c r="E51" s="586"/>
      <c r="F51" s="295" t="s">
        <v>469</v>
      </c>
      <c r="G51" s="585"/>
    </row>
    <row r="52" spans="3:7" ht="15.75" thickBot="1" x14ac:dyDescent="0.3">
      <c r="C52" s="590"/>
      <c r="D52" s="594"/>
      <c r="E52" s="295" t="s">
        <v>471</v>
      </c>
      <c r="F52" s="295" t="s">
        <v>472</v>
      </c>
      <c r="G52" s="585"/>
    </row>
    <row r="53" spans="3:7" ht="75.75" thickBot="1" x14ac:dyDescent="0.3">
      <c r="C53" s="590"/>
      <c r="D53" s="587" t="s">
        <v>441</v>
      </c>
      <c r="E53" s="295" t="s">
        <v>473</v>
      </c>
      <c r="F53" s="296" t="s">
        <v>474</v>
      </c>
      <c r="G53" s="585"/>
    </row>
    <row r="54" spans="3:7" ht="15.75" thickBot="1" x14ac:dyDescent="0.3">
      <c r="C54" s="590"/>
      <c r="D54" s="588"/>
      <c r="E54" s="295" t="s">
        <v>445</v>
      </c>
      <c r="F54" s="295" t="s">
        <v>475</v>
      </c>
      <c r="G54" s="585"/>
    </row>
    <row r="55" spans="3:7" x14ac:dyDescent="0.25">
      <c r="C55" s="590"/>
      <c r="D55" s="592" t="s">
        <v>476</v>
      </c>
      <c r="E55" s="584" t="s">
        <v>465</v>
      </c>
      <c r="F55" s="294" t="s">
        <v>477</v>
      </c>
      <c r="G55" s="585"/>
    </row>
    <row r="56" spans="3:7" ht="30" x14ac:dyDescent="0.25">
      <c r="C56" s="590"/>
      <c r="D56" s="593"/>
      <c r="E56" s="585"/>
      <c r="F56" s="294" t="s">
        <v>478</v>
      </c>
      <c r="G56" s="585"/>
    </row>
    <row r="57" spans="3:7" x14ac:dyDescent="0.25">
      <c r="C57" s="590"/>
      <c r="D57" s="593"/>
      <c r="E57" s="585"/>
      <c r="F57" s="294" t="s">
        <v>479</v>
      </c>
      <c r="G57" s="585"/>
    </row>
    <row r="58" spans="3:7" x14ac:dyDescent="0.25">
      <c r="C58" s="590"/>
      <c r="D58" s="593"/>
      <c r="E58" s="585"/>
      <c r="F58" s="294" t="s">
        <v>480</v>
      </c>
      <c r="G58" s="585"/>
    </row>
    <row r="59" spans="3:7" ht="15.75" thickBot="1" x14ac:dyDescent="0.3">
      <c r="C59" s="590"/>
      <c r="D59" s="594"/>
      <c r="E59" s="586"/>
      <c r="F59" s="295" t="s">
        <v>481</v>
      </c>
      <c r="G59" s="585"/>
    </row>
    <row r="60" spans="3:7" ht="30.75" thickBot="1" x14ac:dyDescent="0.3">
      <c r="C60" s="590"/>
      <c r="D60" s="297" t="s">
        <v>482</v>
      </c>
      <c r="E60" s="295" t="s">
        <v>203</v>
      </c>
      <c r="F60" s="295" t="s">
        <v>483</v>
      </c>
      <c r="G60" s="585"/>
    </row>
    <row r="61" spans="3:7" ht="30" x14ac:dyDescent="0.25">
      <c r="C61" s="590"/>
      <c r="D61" s="587" t="s">
        <v>484</v>
      </c>
      <c r="E61" s="584" t="s">
        <v>485</v>
      </c>
      <c r="F61" s="282" t="s">
        <v>486</v>
      </c>
      <c r="G61" s="585"/>
    </row>
    <row r="62" spans="3:7" ht="65.25" customHeight="1" thickBot="1" x14ac:dyDescent="0.3">
      <c r="C62" s="591"/>
      <c r="D62" s="594"/>
      <c r="E62" s="586"/>
      <c r="F62" s="281"/>
      <c r="G62" s="586"/>
    </row>
    <row r="63" spans="3:7" ht="15.75" thickBot="1" x14ac:dyDescent="0.3"/>
    <row r="64" spans="3:7" ht="15.75" thickBot="1" x14ac:dyDescent="0.3">
      <c r="C64" s="284" t="s">
        <v>317</v>
      </c>
      <c r="D64" s="284" t="s">
        <v>437</v>
      </c>
      <c r="E64" s="286" t="s">
        <v>438</v>
      </c>
      <c r="F64" s="286" t="s">
        <v>439</v>
      </c>
      <c r="G64" s="285" t="s">
        <v>312</v>
      </c>
    </row>
    <row r="65" spans="3:7" ht="15.75" thickBot="1" x14ac:dyDescent="0.3">
      <c r="C65" s="589" t="s">
        <v>440</v>
      </c>
      <c r="D65" s="596" t="s">
        <v>441</v>
      </c>
      <c r="E65" s="279" t="s">
        <v>442</v>
      </c>
      <c r="F65" s="280" t="s">
        <v>443</v>
      </c>
      <c r="G65" s="584" t="s">
        <v>444</v>
      </c>
    </row>
    <row r="66" spans="3:7" ht="30.75" thickBot="1" x14ac:dyDescent="0.3">
      <c r="C66" s="590"/>
      <c r="D66" s="597"/>
      <c r="E66" s="600" t="s">
        <v>445</v>
      </c>
      <c r="F66" s="281" t="s">
        <v>446</v>
      </c>
      <c r="G66" s="585"/>
    </row>
    <row r="67" spans="3:7" ht="60" x14ac:dyDescent="0.25">
      <c r="C67" s="590"/>
      <c r="D67" s="597"/>
      <c r="E67" s="601"/>
      <c r="F67" s="282" t="s">
        <v>447</v>
      </c>
      <c r="G67" s="585"/>
    </row>
    <row r="68" spans="3:7" ht="30.75" thickBot="1" x14ac:dyDescent="0.3">
      <c r="C68" s="590"/>
      <c r="D68" s="597"/>
      <c r="E68" s="601"/>
      <c r="F68" s="281" t="s">
        <v>448</v>
      </c>
      <c r="G68" s="585"/>
    </row>
    <row r="69" spans="3:7" ht="15.75" thickBot="1" x14ac:dyDescent="0.3">
      <c r="C69" s="590"/>
      <c r="D69" s="597"/>
      <c r="E69" s="602"/>
      <c r="F69" s="281" t="s">
        <v>449</v>
      </c>
      <c r="G69" s="585"/>
    </row>
    <row r="70" spans="3:7" ht="15.75" thickBot="1" x14ac:dyDescent="0.3">
      <c r="C70" s="590"/>
      <c r="D70" s="597"/>
      <c r="E70" s="584" t="s">
        <v>450</v>
      </c>
      <c r="F70" s="281" t="s">
        <v>451</v>
      </c>
      <c r="G70" s="585"/>
    </row>
    <row r="71" spans="3:7" ht="15.75" thickBot="1" x14ac:dyDescent="0.3">
      <c r="C71" s="595"/>
      <c r="D71" s="598"/>
      <c r="E71" s="599"/>
      <c r="F71" s="281" t="s">
        <v>452</v>
      </c>
      <c r="G71" s="599"/>
    </row>
    <row r="72" spans="3:7" x14ac:dyDescent="0.25">
      <c r="C72" s="283"/>
      <c r="D72"/>
      <c r="E72"/>
      <c r="F72"/>
      <c r="G72"/>
    </row>
    <row r="88" spans="4:7" x14ac:dyDescent="0.25">
      <c r="D88" s="298"/>
      <c r="E88"/>
      <c r="F88"/>
      <c r="G88"/>
    </row>
    <row r="89" spans="4:7" x14ac:dyDescent="0.25">
      <c r="D89" s="298"/>
      <c r="E89"/>
      <c r="F89"/>
      <c r="G89"/>
    </row>
    <row r="90" spans="4:7" x14ac:dyDescent="0.25">
      <c r="D90" s="299"/>
      <c r="E90"/>
      <c r="F90"/>
      <c r="G90"/>
    </row>
  </sheetData>
  <sheetProtection selectLockedCells="1" selectUnlockedCells="1"/>
  <mergeCells count="35">
    <mergeCell ref="C11:H11"/>
    <mergeCell ref="G16:G18"/>
    <mergeCell ref="G19:G20"/>
    <mergeCell ref="G22:G23"/>
    <mergeCell ref="G24:G26"/>
    <mergeCell ref="G27:G28"/>
    <mergeCell ref="C41:C45"/>
    <mergeCell ref="D41:D45"/>
    <mergeCell ref="G41:G45"/>
    <mergeCell ref="E42:E45"/>
    <mergeCell ref="C31:C38"/>
    <mergeCell ref="D31:D35"/>
    <mergeCell ref="G31:G38"/>
    <mergeCell ref="E32:E35"/>
    <mergeCell ref="F32:F33"/>
    <mergeCell ref="D36:E38"/>
    <mergeCell ref="C13:C28"/>
    <mergeCell ref="D13:D21"/>
    <mergeCell ref="E13:E15"/>
    <mergeCell ref="E16:E21"/>
    <mergeCell ref="D22:E28"/>
    <mergeCell ref="C65:C71"/>
    <mergeCell ref="D65:D71"/>
    <mergeCell ref="G65:G71"/>
    <mergeCell ref="E66:E69"/>
    <mergeCell ref="E70:E71"/>
    <mergeCell ref="G48:G62"/>
    <mergeCell ref="D53:D54"/>
    <mergeCell ref="E55:E59"/>
    <mergeCell ref="E61:E62"/>
    <mergeCell ref="C48:C62"/>
    <mergeCell ref="D55:D59"/>
    <mergeCell ref="D61:D62"/>
    <mergeCell ref="D48:D52"/>
    <mergeCell ref="E48:E51"/>
  </mergeCells>
  <hyperlinks>
    <hyperlink ref="F53" r:id="rId1" display="\\hlah.adroot.hsbc\MX\Retail"/>
  </hyperlinks>
  <pageMargins left="0.7" right="0.7" top="0.75" bottom="0.75" header="0.3" footer="0.3"/>
  <pageSetup orientation="portrait" r:id="rId2"/>
  <headerFooter>
    <oddFooter>&amp;C&amp;1#&amp;"Calibri"&amp;10&amp;K000000PUBLIC</oddFooter>
    <evenFooter>&amp;LRESTRICTED</evenFooter>
    <firstFooter>&amp;LRESTRICTED</firstFooter>
  </headerFooter>
  <drawing r:id="rId3"/>
  <legacyDrawing r:id="rId4"/>
  <controls>
    <mc:AlternateContent xmlns:mc="http://schemas.openxmlformats.org/markup-compatibility/2006">
      <mc:Choice Requires="x14">
        <control shapeId="12294" r:id="rId5" name="BTT_Achtung">
          <controlPr defaultSize="0" autoLine="0" r:id="rId6">
            <anchor moveWithCells="1">
              <from>
                <xdr:col>1</xdr:col>
                <xdr:colOff>28575</xdr:colOff>
                <xdr:row>7</xdr:row>
                <xdr:rowOff>123825</xdr:rowOff>
              </from>
              <to>
                <xdr:col>2</xdr:col>
                <xdr:colOff>400050</xdr:colOff>
                <xdr:row>8</xdr:row>
                <xdr:rowOff>152400</xdr:rowOff>
              </to>
            </anchor>
          </controlPr>
        </control>
      </mc:Choice>
      <mc:Fallback>
        <control shapeId="12294" r:id="rId5" name="BTT_Achtung"/>
      </mc:Fallback>
    </mc:AlternateContent>
    <mc:AlternateContent xmlns:mc="http://schemas.openxmlformats.org/markup-compatibility/2006">
      <mc:Choice Requires="x14">
        <control shapeId="12289" r:id="rId7" name="BTT_Regresar2">
          <controlPr defaultSize="0" autoLine="0" r:id="rId8">
            <anchor moveWithCells="1">
              <from>
                <xdr:col>1</xdr:col>
                <xdr:colOff>28575</xdr:colOff>
                <xdr:row>6</xdr:row>
                <xdr:rowOff>47625</xdr:rowOff>
              </from>
              <to>
                <xdr:col>2</xdr:col>
                <xdr:colOff>400050</xdr:colOff>
                <xdr:row>7</xdr:row>
                <xdr:rowOff>76200</xdr:rowOff>
              </to>
            </anchor>
          </controlPr>
        </control>
      </mc:Choice>
      <mc:Fallback>
        <control shapeId="12289" r:id="rId7" name="BTT_Regresa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CHTUNG"/>
  <dimension ref="B5:B740"/>
  <sheetViews>
    <sheetView showGridLines="0" showRowColHeaders="0" zoomScaleNormal="100" workbookViewId="0"/>
  </sheetViews>
  <sheetFormatPr baseColWidth="10" defaultRowHeight="11.25" customHeight="1" x14ac:dyDescent="0.25"/>
  <cols>
    <col min="1" max="1" width="4.7109375" customWidth="1"/>
    <col min="2" max="2" width="50" bestFit="1" customWidth="1"/>
  </cols>
  <sheetData>
    <row r="5" spans="2:2" ht="11.25" customHeight="1" x14ac:dyDescent="0.25">
      <c r="B5" s="143" t="s">
        <v>302</v>
      </c>
    </row>
    <row r="6" spans="2:2" ht="11.25" customHeight="1" x14ac:dyDescent="0.25">
      <c r="B6" s="143" t="s">
        <v>299</v>
      </c>
    </row>
    <row r="7" spans="2:2" s="196" customFormat="1" ht="11.25" customHeight="1" x14ac:dyDescent="0.25">
      <c r="B7" s="143" t="s">
        <v>697</v>
      </c>
    </row>
    <row r="8" spans="2:2" s="196" customFormat="1" ht="11.25" customHeight="1" x14ac:dyDescent="0.25">
      <c r="B8" s="143"/>
    </row>
    <row r="9" spans="2:2" s="196" customFormat="1" ht="11.25" customHeight="1" x14ac:dyDescent="0.25">
      <c r="B9" s="144" t="s">
        <v>301</v>
      </c>
    </row>
    <row r="10" spans="2:2" s="196" customFormat="1" ht="11.25" customHeight="1" x14ac:dyDescent="0.25">
      <c r="B10" s="143" t="s">
        <v>300</v>
      </c>
    </row>
    <row r="11" spans="2:2" s="196" customFormat="1" ht="11.25" customHeight="1" x14ac:dyDescent="0.25">
      <c r="B11" s="143"/>
    </row>
    <row r="12" spans="2:2" s="196" customFormat="1" ht="11.25" customHeight="1" x14ac:dyDescent="0.25">
      <c r="B12" s="143"/>
    </row>
    <row r="13" spans="2:2" s="196" customFormat="1" ht="11.25" customHeight="1" x14ac:dyDescent="0.25">
      <c r="B13" s="146" t="s">
        <v>303</v>
      </c>
    </row>
    <row r="14" spans="2:2" s="196" customFormat="1" ht="11.25" customHeight="1" x14ac:dyDescent="0.25">
      <c r="B14" s="146" t="s">
        <v>394</v>
      </c>
    </row>
    <row r="15" spans="2:2" s="196" customFormat="1" ht="11.25" customHeight="1" x14ac:dyDescent="0.25">
      <c r="B15" s="146" t="s">
        <v>487</v>
      </c>
    </row>
    <row r="16" spans="2:2" s="196" customFormat="1" ht="11.25" customHeight="1" x14ac:dyDescent="0.25"/>
    <row r="17" spans="2:2" s="196" customFormat="1" ht="11.25" customHeight="1" x14ac:dyDescent="0.25">
      <c r="B17" s="419" t="s">
        <v>695</v>
      </c>
    </row>
    <row r="18" spans="2:2" s="196" customFormat="1" ht="11.25" customHeight="1" x14ac:dyDescent="0.25"/>
    <row r="19" spans="2:2" s="196" customFormat="1" ht="11.25" customHeight="1" x14ac:dyDescent="0.25"/>
    <row r="20" spans="2:2" s="196" customFormat="1" ht="11.25" customHeight="1" x14ac:dyDescent="0.25"/>
    <row r="21" spans="2:2" s="196" customFormat="1" ht="11.25" customHeight="1" x14ac:dyDescent="0.25"/>
    <row r="22" spans="2:2" s="196" customFormat="1" ht="11.25" customHeight="1" x14ac:dyDescent="0.25"/>
    <row r="23" spans="2:2" s="196" customFormat="1" ht="11.25" customHeight="1" x14ac:dyDescent="0.25"/>
    <row r="24" spans="2:2" s="196" customFormat="1" ht="11.25" customHeight="1" x14ac:dyDescent="0.25"/>
    <row r="25" spans="2:2" s="196" customFormat="1" ht="11.25" customHeight="1" x14ac:dyDescent="0.25"/>
    <row r="26" spans="2:2" s="196" customFormat="1" ht="11.25" customHeight="1" x14ac:dyDescent="0.25"/>
    <row r="27" spans="2:2" s="196" customFormat="1" ht="11.25" customHeight="1" x14ac:dyDescent="0.25"/>
    <row r="28" spans="2:2" s="196" customFormat="1" ht="11.25" customHeight="1" x14ac:dyDescent="0.25"/>
    <row r="29" spans="2:2" s="196" customFormat="1" ht="11.25" customHeight="1" x14ac:dyDescent="0.25"/>
    <row r="30" spans="2:2" s="196" customFormat="1" ht="11.25" customHeight="1" x14ac:dyDescent="0.25"/>
    <row r="31" spans="2:2" s="196" customFormat="1" ht="11.25" customHeight="1" x14ac:dyDescent="0.25"/>
    <row r="32" spans="2:2" s="196" customFormat="1" ht="11.25" customHeight="1" x14ac:dyDescent="0.25"/>
    <row r="33" spans="2:2" s="196" customFormat="1" ht="11.25" customHeight="1" x14ac:dyDescent="0.25"/>
    <row r="34" spans="2:2" s="196" customFormat="1" ht="11.25" customHeight="1" x14ac:dyDescent="0.25"/>
    <row r="35" spans="2:2" s="196" customFormat="1" ht="11.25" customHeight="1" x14ac:dyDescent="0.25"/>
    <row r="36" spans="2:2" s="196" customFormat="1" ht="11.25" customHeight="1" x14ac:dyDescent="0.25"/>
    <row r="37" spans="2:2" s="196" customFormat="1" ht="11.25" customHeight="1" x14ac:dyDescent="0.25"/>
    <row r="38" spans="2:2" s="196" customFormat="1" ht="11.25" customHeight="1" x14ac:dyDescent="0.25"/>
    <row r="39" spans="2:2" s="196" customFormat="1" ht="11.25" customHeight="1" x14ac:dyDescent="0.25"/>
    <row r="40" spans="2:2" s="196" customFormat="1" ht="11.25" customHeight="1" x14ac:dyDescent="0.25"/>
    <row r="41" spans="2:2" s="196" customFormat="1" ht="11.25" customHeight="1" x14ac:dyDescent="0.25"/>
    <row r="42" spans="2:2" s="196" customFormat="1" ht="11.25" customHeight="1" x14ac:dyDescent="0.25"/>
    <row r="43" spans="2:2" ht="11.25" customHeight="1" x14ac:dyDescent="0.25">
      <c r="B43" s="196"/>
    </row>
    <row r="44" spans="2:2" s="196" customFormat="1" ht="11.25" customHeight="1" x14ac:dyDescent="0.25"/>
    <row r="45" spans="2:2" s="196" customFormat="1" ht="11.25" customHeight="1" x14ac:dyDescent="0.25"/>
    <row r="46" spans="2:2" s="196" customFormat="1" ht="11.25" customHeight="1" x14ac:dyDescent="0.25">
      <c r="B46"/>
    </row>
    <row r="47" spans="2:2" s="196" customFormat="1" ht="11.25" customHeight="1" x14ac:dyDescent="0.25"/>
    <row r="48" spans="2:2" s="196" customFormat="1" ht="11.25" customHeight="1" x14ac:dyDescent="0.25"/>
    <row r="49" spans="2:2" s="196" customFormat="1" ht="11.25" customHeight="1" x14ac:dyDescent="0.25"/>
    <row r="50" spans="2:2" s="196" customFormat="1" ht="11.25" customHeight="1" x14ac:dyDescent="0.25"/>
    <row r="51" spans="2:2" s="196" customFormat="1" ht="11.25" customHeight="1" x14ac:dyDescent="0.25"/>
    <row r="52" spans="2:2" s="196" customFormat="1" ht="11.25" customHeight="1" x14ac:dyDescent="0.25"/>
    <row r="53" spans="2:2" s="196" customFormat="1" ht="11.25" customHeight="1" x14ac:dyDescent="0.25"/>
    <row r="54" spans="2:2" s="196" customFormat="1" ht="11.25" customHeight="1" x14ac:dyDescent="0.25"/>
    <row r="55" spans="2:2" s="196" customFormat="1" ht="11.25" customHeight="1" x14ac:dyDescent="0.25"/>
    <row r="56" spans="2:2" s="196" customFormat="1" ht="11.25" customHeight="1" x14ac:dyDescent="0.25"/>
    <row r="57" spans="2:2" s="196" customFormat="1" ht="11.25" customHeight="1" x14ac:dyDescent="0.25"/>
    <row r="58" spans="2:2" ht="11.25" customHeight="1" x14ac:dyDescent="0.25">
      <c r="B58" s="143"/>
    </row>
    <row r="59" spans="2:2" ht="11.25" customHeight="1" x14ac:dyDescent="0.25">
      <c r="B59" s="196"/>
    </row>
    <row r="60" spans="2:2" ht="11.25" customHeight="1" x14ac:dyDescent="0.25">
      <c r="B60" s="196"/>
    </row>
    <row r="61" spans="2:2" s="196" customFormat="1" ht="11.25" customHeight="1" x14ac:dyDescent="0.25"/>
    <row r="62" spans="2:2" s="196" customFormat="1" ht="11.25" customHeight="1" x14ac:dyDescent="0.25"/>
    <row r="63" spans="2:2" s="196" customFormat="1" ht="11.25" customHeight="1" x14ac:dyDescent="0.25">
      <c r="B63" s="143"/>
    </row>
    <row r="64" spans="2:2" s="196" customFormat="1" ht="11.25" customHeight="1" x14ac:dyDescent="0.25"/>
    <row r="65" spans="2:2" s="196" customFormat="1" ht="11.25" customHeight="1" x14ac:dyDescent="0.25"/>
    <row r="66" spans="2:2" s="196" customFormat="1" ht="11.25" customHeight="1" x14ac:dyDescent="0.25"/>
    <row r="67" spans="2:2" s="196" customFormat="1" ht="11.25" customHeight="1" x14ac:dyDescent="0.25"/>
    <row r="68" spans="2:2" s="196" customFormat="1" ht="11.25" customHeight="1" x14ac:dyDescent="0.25"/>
    <row r="69" spans="2:2" s="196" customFormat="1" ht="11.25" customHeight="1" x14ac:dyDescent="0.25"/>
    <row r="70" spans="2:2" s="196" customFormat="1" ht="11.25" customHeight="1" x14ac:dyDescent="0.25"/>
    <row r="71" spans="2:2" s="196" customFormat="1" ht="11.25" customHeight="1" x14ac:dyDescent="0.25"/>
    <row r="72" spans="2:2" s="196" customFormat="1" ht="11.25" customHeight="1" x14ac:dyDescent="0.25"/>
    <row r="73" spans="2:2" s="196" customFormat="1" ht="11.25" customHeight="1" x14ac:dyDescent="0.25"/>
    <row r="74" spans="2:2" s="196" customFormat="1" ht="11.25" customHeight="1" x14ac:dyDescent="0.25"/>
    <row r="75" spans="2:2" s="196" customFormat="1" ht="11.25" customHeight="1" x14ac:dyDescent="0.25"/>
    <row r="76" spans="2:2" s="196" customFormat="1" ht="11.25" customHeight="1" x14ac:dyDescent="0.25"/>
    <row r="77" spans="2:2" s="196" customFormat="1" ht="11.25" customHeight="1" x14ac:dyDescent="0.25"/>
    <row r="78" spans="2:2" s="196" customFormat="1" ht="11.25" customHeight="1" x14ac:dyDescent="0.25"/>
    <row r="79" spans="2:2" s="196" customFormat="1" ht="11.25" customHeight="1" x14ac:dyDescent="0.25">
      <c r="B79" s="146"/>
    </row>
    <row r="80" spans="2:2" s="196" customFormat="1" ht="11.25" customHeight="1" x14ac:dyDescent="0.25">
      <c r="B80" s="146"/>
    </row>
    <row r="81" spans="2:2" s="196" customFormat="1" ht="11.25" customHeight="1" x14ac:dyDescent="0.25">
      <c r="B81" s="146"/>
    </row>
    <row r="82" spans="2:2" s="196" customFormat="1" ht="11.25" customHeight="1" x14ac:dyDescent="0.25">
      <c r="B82" s="146"/>
    </row>
    <row r="83" spans="2:2" s="196" customFormat="1" ht="11.25" customHeight="1" x14ac:dyDescent="0.25">
      <c r="B83" s="146"/>
    </row>
    <row r="84" spans="2:2" s="196" customFormat="1" ht="11.25" customHeight="1" x14ac:dyDescent="0.25">
      <c r="B84" s="143"/>
    </row>
    <row r="85" spans="2:2" s="196" customFormat="1" ht="11.25" customHeight="1" x14ac:dyDescent="0.25">
      <c r="B85" s="143"/>
    </row>
    <row r="86" spans="2:2" s="196" customFormat="1" ht="11.25" customHeight="1" x14ac:dyDescent="0.25">
      <c r="B86" s="143"/>
    </row>
    <row r="87" spans="2:2" s="196" customFormat="1" ht="11.25" customHeight="1" x14ac:dyDescent="0.25"/>
    <row r="88" spans="2:2" s="196" customFormat="1" ht="11.25" customHeight="1" x14ac:dyDescent="0.25"/>
    <row r="89" spans="2:2" s="196" customFormat="1" ht="11.25" customHeight="1" x14ac:dyDescent="0.25"/>
    <row r="90" spans="2:2" s="196" customFormat="1" ht="11.25" customHeight="1" x14ac:dyDescent="0.25"/>
    <row r="91" spans="2:2" s="196" customFormat="1" ht="11.25" customHeight="1" x14ac:dyDescent="0.25"/>
    <row r="92" spans="2:2" s="196" customFormat="1" ht="11.25" customHeight="1" x14ac:dyDescent="0.25"/>
    <row r="93" spans="2:2" s="196" customFormat="1" ht="11.25" customHeight="1" x14ac:dyDescent="0.25"/>
    <row r="94" spans="2:2" s="196" customFormat="1" ht="11.25" customHeight="1" x14ac:dyDescent="0.25"/>
    <row r="95" spans="2:2" s="196" customFormat="1" ht="11.25" customHeight="1" x14ac:dyDescent="0.25"/>
    <row r="96" spans="2:2" s="196" customFormat="1" ht="11.25" customHeight="1" x14ac:dyDescent="0.25">
      <c r="B96" s="146"/>
    </row>
    <row r="97" spans="2:2" s="196" customFormat="1" ht="11.25" customHeight="1" x14ac:dyDescent="0.25">
      <c r="B97" s="146"/>
    </row>
    <row r="98" spans="2:2" s="196" customFormat="1" ht="11.25" customHeight="1" x14ac:dyDescent="0.25">
      <c r="B98" s="146"/>
    </row>
    <row r="99" spans="2:2" s="196" customFormat="1" ht="11.25" customHeight="1" x14ac:dyDescent="0.25">
      <c r="B99" s="146"/>
    </row>
    <row r="100" spans="2:2" s="196" customFormat="1" ht="11.25" customHeight="1" x14ac:dyDescent="0.25">
      <c r="B100" s="146"/>
    </row>
    <row r="101" spans="2:2" s="196" customFormat="1" ht="11.25" customHeight="1" x14ac:dyDescent="0.25">
      <c r="B101" s="146"/>
    </row>
    <row r="102" spans="2:2" s="196" customFormat="1" ht="11.25" customHeight="1" x14ac:dyDescent="0.25">
      <c r="B102" s="143"/>
    </row>
    <row r="103" spans="2:2" ht="11.25" customHeight="1" x14ac:dyDescent="0.25">
      <c r="B103" s="143"/>
    </row>
    <row r="104" spans="2:2" ht="11.25" customHeight="1" x14ac:dyDescent="0.25">
      <c r="B104" s="143"/>
    </row>
    <row r="105" spans="2:2" ht="11.25" customHeight="1" x14ac:dyDescent="0.25">
      <c r="B105" s="143"/>
    </row>
    <row r="106" spans="2:2" s="196" customFormat="1" ht="11.25" customHeight="1" x14ac:dyDescent="0.25">
      <c r="B106" s="143"/>
    </row>
    <row r="107" spans="2:2" s="196" customFormat="1" ht="11.25" customHeight="1" x14ac:dyDescent="0.25">
      <c r="B107" s="143"/>
    </row>
    <row r="108" spans="2:2" s="196" customFormat="1" ht="11.25" customHeight="1" x14ac:dyDescent="0.25">
      <c r="B108" s="143"/>
    </row>
    <row r="109" spans="2:2" s="196" customFormat="1" ht="11.25" customHeight="1" x14ac:dyDescent="0.25">
      <c r="B109" s="143"/>
    </row>
    <row r="110" spans="2:2" s="196" customFormat="1" ht="11.25" customHeight="1" x14ac:dyDescent="0.25">
      <c r="B110" s="143"/>
    </row>
    <row r="111" spans="2:2" s="196" customFormat="1" ht="11.25" customHeight="1" x14ac:dyDescent="0.25">
      <c r="B111" s="143"/>
    </row>
    <row r="112" spans="2:2" s="196" customFormat="1" ht="11.25" customHeight="1" x14ac:dyDescent="0.25">
      <c r="B112" s="143"/>
    </row>
    <row r="113" spans="2:2" s="196" customFormat="1" ht="11.25" customHeight="1" x14ac:dyDescent="0.25">
      <c r="B113" s="143"/>
    </row>
    <row r="114" spans="2:2" s="196" customFormat="1" ht="11.25" customHeight="1" x14ac:dyDescent="0.25">
      <c r="B114" s="143"/>
    </row>
    <row r="115" spans="2:2" s="196" customFormat="1" ht="11.25" customHeight="1" x14ac:dyDescent="0.25">
      <c r="B115" s="143"/>
    </row>
    <row r="116" spans="2:2" s="196" customFormat="1" ht="11.25" customHeight="1" x14ac:dyDescent="0.25"/>
    <row r="117" spans="2:2" s="196" customFormat="1" ht="11.25" customHeight="1" x14ac:dyDescent="0.25"/>
    <row r="118" spans="2:2" s="196" customFormat="1" ht="11.25" customHeight="1" x14ac:dyDescent="0.25">
      <c r="B118" s="146"/>
    </row>
    <row r="119" spans="2:2" s="196" customFormat="1" ht="11.25" customHeight="1" x14ac:dyDescent="0.25">
      <c r="B119" s="146"/>
    </row>
    <row r="120" spans="2:2" s="196" customFormat="1" ht="11.25" customHeight="1" x14ac:dyDescent="0.25">
      <c r="B120" s="146"/>
    </row>
    <row r="121" spans="2:2" s="196" customFormat="1" ht="11.25" customHeight="1" x14ac:dyDescent="0.25">
      <c r="B121" s="146"/>
    </row>
    <row r="122" spans="2:2" s="196" customFormat="1" ht="11.25" customHeight="1" x14ac:dyDescent="0.25">
      <c r="B122" s="146"/>
    </row>
    <row r="123" spans="2:2" s="196" customFormat="1" ht="11.25" customHeight="1" x14ac:dyDescent="0.25">
      <c r="B123" s="146"/>
    </row>
    <row r="124" spans="2:2" s="196" customFormat="1" ht="11.25" customHeight="1" x14ac:dyDescent="0.25">
      <c r="B124" s="146"/>
    </row>
    <row r="125" spans="2:2" s="196" customFormat="1" ht="11.25" customHeight="1" x14ac:dyDescent="0.25">
      <c r="B125" s="146"/>
    </row>
    <row r="126" spans="2:2" s="196" customFormat="1" ht="11.25" customHeight="1" x14ac:dyDescent="0.25">
      <c r="B126" s="146"/>
    </row>
    <row r="127" spans="2:2" s="196" customFormat="1" ht="11.25" customHeight="1" x14ac:dyDescent="0.25">
      <c r="B127" s="146"/>
    </row>
    <row r="128" spans="2:2" s="196" customFormat="1" ht="11.25" customHeight="1" x14ac:dyDescent="0.25">
      <c r="B128" s="146"/>
    </row>
    <row r="129" spans="2:2" s="196" customFormat="1" ht="11.25" customHeight="1" x14ac:dyDescent="0.25">
      <c r="B129" s="146"/>
    </row>
    <row r="130" spans="2:2" s="196" customFormat="1" ht="11.25" customHeight="1" x14ac:dyDescent="0.25">
      <c r="B130" s="146"/>
    </row>
    <row r="131" spans="2:2" s="196" customFormat="1" ht="11.25" customHeight="1" x14ac:dyDescent="0.25">
      <c r="B131" s="146"/>
    </row>
    <row r="132" spans="2:2" s="196" customFormat="1" ht="11.25" customHeight="1" x14ac:dyDescent="0.25">
      <c r="B132" s="146"/>
    </row>
    <row r="133" spans="2:2" s="196" customFormat="1" ht="11.25" customHeight="1" x14ac:dyDescent="0.25">
      <c r="B133" s="146"/>
    </row>
    <row r="134" spans="2:2" s="196" customFormat="1" ht="11.25" customHeight="1" x14ac:dyDescent="0.25">
      <c r="B134" s="146"/>
    </row>
    <row r="135" spans="2:2" s="196" customFormat="1" ht="11.25" customHeight="1" x14ac:dyDescent="0.25">
      <c r="B135" s="146"/>
    </row>
    <row r="136" spans="2:2" s="196" customFormat="1" ht="11.25" customHeight="1" x14ac:dyDescent="0.25">
      <c r="B136" s="146"/>
    </row>
    <row r="137" spans="2:2" ht="11.25" customHeight="1" x14ac:dyDescent="0.25">
      <c r="B137" s="146"/>
    </row>
    <row r="138" spans="2:2" ht="11.25" customHeight="1" x14ac:dyDescent="0.25">
      <c r="B138" s="146"/>
    </row>
    <row r="139" spans="2:2" ht="11.25" customHeight="1" x14ac:dyDescent="0.25">
      <c r="B139" s="146"/>
    </row>
    <row r="140" spans="2:2" s="196" customFormat="1" ht="11.25" customHeight="1" x14ac:dyDescent="0.25">
      <c r="B140" s="146"/>
    </row>
    <row r="141" spans="2:2" s="196" customFormat="1" ht="11.25" customHeight="1" x14ac:dyDescent="0.25">
      <c r="B141" s="146"/>
    </row>
    <row r="142" spans="2:2" s="196" customFormat="1" ht="11.25" customHeight="1" x14ac:dyDescent="0.25">
      <c r="B142" s="146"/>
    </row>
    <row r="143" spans="2:2" s="196" customFormat="1" ht="11.25" customHeight="1" x14ac:dyDescent="0.25">
      <c r="B143" s="146"/>
    </row>
    <row r="144" spans="2:2" s="196" customFormat="1" ht="11.25" customHeight="1" x14ac:dyDescent="0.25">
      <c r="B144" s="146"/>
    </row>
    <row r="145" spans="2:2" s="196" customFormat="1" ht="11.25" customHeight="1" x14ac:dyDescent="0.25">
      <c r="B145" s="146"/>
    </row>
    <row r="146" spans="2:2" s="196" customFormat="1" ht="11.25" customHeight="1" x14ac:dyDescent="0.25">
      <c r="B146" s="146"/>
    </row>
    <row r="147" spans="2:2" s="196" customFormat="1" ht="11.25" customHeight="1" x14ac:dyDescent="0.25">
      <c r="B147" s="146"/>
    </row>
    <row r="148" spans="2:2" s="196" customFormat="1" ht="11.25" customHeight="1" x14ac:dyDescent="0.25">
      <c r="B148" s="146"/>
    </row>
    <row r="149" spans="2:2" s="196" customFormat="1" ht="11.25" customHeight="1" x14ac:dyDescent="0.25">
      <c r="B149" s="145"/>
    </row>
    <row r="150" spans="2:2" s="196" customFormat="1" ht="11.25" customHeight="1" x14ac:dyDescent="0.25">
      <c r="B150" s="145"/>
    </row>
    <row r="151" spans="2:2" s="196" customFormat="1" ht="11.25" customHeight="1" x14ac:dyDescent="0.25">
      <c r="B151" s="145"/>
    </row>
    <row r="152" spans="2:2" s="196" customFormat="1" ht="11.25" customHeight="1" x14ac:dyDescent="0.25">
      <c r="B152" s="145"/>
    </row>
    <row r="153" spans="2:2" s="196" customFormat="1" ht="11.25" customHeight="1" x14ac:dyDescent="0.25">
      <c r="B153" s="145"/>
    </row>
    <row r="154" spans="2:2" s="196" customFormat="1" ht="11.25" customHeight="1" x14ac:dyDescent="0.25">
      <c r="B154" s="145"/>
    </row>
    <row r="155" spans="2:2" s="196" customFormat="1" ht="11.25" customHeight="1" x14ac:dyDescent="0.25">
      <c r="B155" s="145"/>
    </row>
    <row r="156" spans="2:2" s="196" customFormat="1" ht="11.25" customHeight="1" x14ac:dyDescent="0.25">
      <c r="B156" s="145"/>
    </row>
    <row r="157" spans="2:2" s="196" customFormat="1" ht="11.25" customHeight="1" x14ac:dyDescent="0.25">
      <c r="B157" s="145"/>
    </row>
    <row r="158" spans="2:2" s="196" customFormat="1" ht="11.25" customHeight="1" x14ac:dyDescent="0.25">
      <c r="B158" s="145"/>
    </row>
    <row r="159" spans="2:2" s="196" customFormat="1" ht="11.25" customHeight="1" x14ac:dyDescent="0.25">
      <c r="B159" s="145"/>
    </row>
    <row r="160" spans="2:2" s="196" customFormat="1" ht="11.25" customHeight="1" x14ac:dyDescent="0.25">
      <c r="B160" s="145"/>
    </row>
    <row r="161" spans="2:2" s="196" customFormat="1" ht="11.25" customHeight="1" x14ac:dyDescent="0.25">
      <c r="B161" s="145"/>
    </row>
    <row r="162" spans="2:2" s="196" customFormat="1" ht="11.25" customHeight="1" x14ac:dyDescent="0.25">
      <c r="B162" s="145"/>
    </row>
    <row r="163" spans="2:2" ht="11.25" customHeight="1" x14ac:dyDescent="0.25">
      <c r="B163" s="145"/>
    </row>
    <row r="164" spans="2:2" ht="11.25" customHeight="1" x14ac:dyDescent="0.25">
      <c r="B164" s="145"/>
    </row>
    <row r="165" spans="2:2" s="196" customFormat="1" ht="11.25" customHeight="1" x14ac:dyDescent="0.25">
      <c r="B165" s="145"/>
    </row>
    <row r="166" spans="2:2" s="196" customFormat="1" ht="11.25" customHeight="1" x14ac:dyDescent="0.25">
      <c r="B166" s="145"/>
    </row>
    <row r="167" spans="2:2" ht="11.25" customHeight="1" x14ac:dyDescent="0.25">
      <c r="B167" s="145"/>
    </row>
    <row r="168" spans="2:2" ht="11.25" customHeight="1" x14ac:dyDescent="0.25">
      <c r="B168" s="145"/>
    </row>
    <row r="169" spans="2:2" ht="11.25" customHeight="1" x14ac:dyDescent="0.25">
      <c r="B169" s="145"/>
    </row>
    <row r="170" spans="2:2" ht="11.25" customHeight="1" x14ac:dyDescent="0.25">
      <c r="B170" s="145"/>
    </row>
    <row r="171" spans="2:2" ht="11.25" customHeight="1" x14ac:dyDescent="0.25">
      <c r="B171" s="145"/>
    </row>
    <row r="172" spans="2:2" ht="11.25" customHeight="1" x14ac:dyDescent="0.25">
      <c r="B172" s="145"/>
    </row>
    <row r="173" spans="2:2" ht="11.25" customHeight="1" x14ac:dyDescent="0.25">
      <c r="B173" s="145"/>
    </row>
    <row r="174" spans="2:2" ht="11.25" customHeight="1" x14ac:dyDescent="0.25">
      <c r="B174" s="145"/>
    </row>
    <row r="175" spans="2:2" ht="11.25" customHeight="1" x14ac:dyDescent="0.25">
      <c r="B175" s="145"/>
    </row>
    <row r="176" spans="2:2" s="196" customFormat="1" ht="11.25" customHeight="1" x14ac:dyDescent="0.25">
      <c r="B176" s="145"/>
    </row>
    <row r="177" spans="2:2" s="196" customFormat="1" ht="11.25" customHeight="1" x14ac:dyDescent="0.25">
      <c r="B177" s="144"/>
    </row>
    <row r="178" spans="2:2" ht="11.25" customHeight="1" x14ac:dyDescent="0.25">
      <c r="B178" s="144"/>
    </row>
    <row r="179" spans="2:2" ht="11.25" customHeight="1" x14ac:dyDescent="0.25">
      <c r="B179" s="142"/>
    </row>
    <row r="180" spans="2:2" ht="11.25" customHeight="1" x14ac:dyDescent="0.25">
      <c r="B180" s="144"/>
    </row>
    <row r="181" spans="2:2" ht="11.25" customHeight="1" x14ac:dyDescent="0.25">
      <c r="B181" s="142"/>
    </row>
    <row r="182" spans="2:2" ht="11.25" customHeight="1" x14ac:dyDescent="0.25">
      <c r="B182" s="196"/>
    </row>
    <row r="183" spans="2:2" ht="11.25" customHeight="1" x14ac:dyDescent="0.25">
      <c r="B183" s="196"/>
    </row>
    <row r="184" spans="2:2" ht="11.25" customHeight="1" x14ac:dyDescent="0.25">
      <c r="B184" s="196"/>
    </row>
    <row r="185" spans="2:2" ht="11.25" customHeight="1" x14ac:dyDescent="0.25">
      <c r="B185" s="196"/>
    </row>
    <row r="186" spans="2:2" ht="11.25" customHeight="1" x14ac:dyDescent="0.25">
      <c r="B186" s="196"/>
    </row>
    <row r="187" spans="2:2" ht="11.25" customHeight="1" x14ac:dyDescent="0.25">
      <c r="B187" s="196"/>
    </row>
    <row r="188" spans="2:2" ht="11.25" customHeight="1" x14ac:dyDescent="0.25">
      <c r="B188" s="196"/>
    </row>
    <row r="189" spans="2:2" ht="11.25" customHeight="1" x14ac:dyDescent="0.25">
      <c r="B189" s="196"/>
    </row>
    <row r="190" spans="2:2" ht="11.25" customHeight="1" x14ac:dyDescent="0.25">
      <c r="B190" s="196"/>
    </row>
    <row r="191" spans="2:2" ht="11.25" customHeight="1" x14ac:dyDescent="0.25">
      <c r="B191" s="196"/>
    </row>
    <row r="192" spans="2:2" ht="11.25" customHeight="1" x14ac:dyDescent="0.25">
      <c r="B192" s="196"/>
    </row>
    <row r="193" spans="2:2" s="196" customFormat="1" ht="11.25" customHeight="1" x14ac:dyDescent="0.25"/>
    <row r="194" spans="2:2" ht="11.25" customHeight="1" x14ac:dyDescent="0.25">
      <c r="B194" s="196"/>
    </row>
    <row r="195" spans="2:2" ht="11.25" customHeight="1" x14ac:dyDescent="0.25">
      <c r="B195" s="196"/>
    </row>
    <row r="196" spans="2:2" ht="11.25" customHeight="1" x14ac:dyDescent="0.25">
      <c r="B196" s="196"/>
    </row>
    <row r="197" spans="2:2" ht="11.25" customHeight="1" x14ac:dyDescent="0.25">
      <c r="B197" s="196"/>
    </row>
    <row r="198" spans="2:2" ht="11.25" customHeight="1" x14ac:dyDescent="0.25">
      <c r="B198" s="196"/>
    </row>
    <row r="199" spans="2:2" ht="11.25" customHeight="1" x14ac:dyDescent="0.25">
      <c r="B199" s="196"/>
    </row>
    <row r="200" spans="2:2" ht="11.25" customHeight="1" x14ac:dyDescent="0.25">
      <c r="B200" s="196"/>
    </row>
    <row r="201" spans="2:2" ht="11.25" customHeight="1" x14ac:dyDescent="0.25">
      <c r="B201" s="196"/>
    </row>
    <row r="202" spans="2:2" ht="11.25" customHeight="1" x14ac:dyDescent="0.25">
      <c r="B202" s="196"/>
    </row>
    <row r="203" spans="2:2" ht="11.25" customHeight="1" x14ac:dyDescent="0.25">
      <c r="B203" s="196"/>
    </row>
    <row r="204" spans="2:2" ht="11.25" customHeight="1" x14ac:dyDescent="0.25">
      <c r="B204" s="196"/>
    </row>
    <row r="205" spans="2:2" ht="11.25" customHeight="1" x14ac:dyDescent="0.25">
      <c r="B205" s="196"/>
    </row>
    <row r="206" spans="2:2" ht="11.25" customHeight="1" x14ac:dyDescent="0.25">
      <c r="B206" s="196"/>
    </row>
    <row r="207" spans="2:2" ht="11.25" customHeight="1" x14ac:dyDescent="0.25">
      <c r="B207" s="196"/>
    </row>
    <row r="208" spans="2:2" ht="11.25" customHeight="1" x14ac:dyDescent="0.25">
      <c r="B208" s="196"/>
    </row>
    <row r="209" spans="2:2" s="196" customFormat="1" ht="11.25" customHeight="1" x14ac:dyDescent="0.25"/>
    <row r="210" spans="2:2" ht="11.25" customHeight="1" x14ac:dyDescent="0.25">
      <c r="B210" s="196"/>
    </row>
    <row r="211" spans="2:2" ht="11.25" customHeight="1" x14ac:dyDescent="0.25">
      <c r="B211" s="196"/>
    </row>
    <row r="212" spans="2:2" ht="11.25" customHeight="1" x14ac:dyDescent="0.25">
      <c r="B212" s="196"/>
    </row>
    <row r="213" spans="2:2" ht="11.25" customHeight="1" x14ac:dyDescent="0.25">
      <c r="B213" s="196"/>
    </row>
    <row r="214" spans="2:2" ht="11.25" customHeight="1" x14ac:dyDescent="0.25">
      <c r="B214" s="196"/>
    </row>
    <row r="215" spans="2:2" ht="11.25" customHeight="1" x14ac:dyDescent="0.25">
      <c r="B215" s="196"/>
    </row>
    <row r="216" spans="2:2" ht="11.25" customHeight="1" x14ac:dyDescent="0.25">
      <c r="B216" s="196"/>
    </row>
    <row r="217" spans="2:2" ht="11.25" customHeight="1" x14ac:dyDescent="0.25">
      <c r="B217" s="196"/>
    </row>
    <row r="218" spans="2:2" ht="11.25" customHeight="1" x14ac:dyDescent="0.25">
      <c r="B218" s="196"/>
    </row>
    <row r="219" spans="2:2" ht="11.25" customHeight="1" x14ac:dyDescent="0.25">
      <c r="B219" s="196"/>
    </row>
    <row r="220" spans="2:2" ht="11.25" customHeight="1" x14ac:dyDescent="0.25">
      <c r="B220" s="196"/>
    </row>
    <row r="221" spans="2:2" ht="11.25" customHeight="1" x14ac:dyDescent="0.25">
      <c r="B221" s="196"/>
    </row>
    <row r="222" spans="2:2" ht="11.25" customHeight="1" x14ac:dyDescent="0.25">
      <c r="B222" s="196"/>
    </row>
    <row r="223" spans="2:2" ht="11.25" customHeight="1" x14ac:dyDescent="0.25">
      <c r="B223" s="196"/>
    </row>
    <row r="224" spans="2:2" ht="11.25" customHeight="1" x14ac:dyDescent="0.25">
      <c r="B224" s="196"/>
    </row>
    <row r="225" spans="2:2" ht="11.25" customHeight="1" x14ac:dyDescent="0.25">
      <c r="B225" s="196"/>
    </row>
    <row r="226" spans="2:2" ht="11.25" customHeight="1" x14ac:dyDescent="0.25">
      <c r="B226" s="196"/>
    </row>
    <row r="227" spans="2:2" ht="11.25" customHeight="1" x14ac:dyDescent="0.25">
      <c r="B227" s="196"/>
    </row>
    <row r="228" spans="2:2" ht="11.25" customHeight="1" x14ac:dyDescent="0.25">
      <c r="B228" s="196"/>
    </row>
    <row r="229" spans="2:2" ht="11.25" customHeight="1" x14ac:dyDescent="0.25">
      <c r="B229" s="196"/>
    </row>
    <row r="230" spans="2:2" ht="11.25" customHeight="1" x14ac:dyDescent="0.25">
      <c r="B230" s="196"/>
    </row>
    <row r="231" spans="2:2" ht="11.25" customHeight="1" x14ac:dyDescent="0.25">
      <c r="B231" s="196"/>
    </row>
    <row r="232" spans="2:2" ht="11.25" customHeight="1" x14ac:dyDescent="0.25">
      <c r="B232" s="196"/>
    </row>
    <row r="233" spans="2:2" ht="11.25" customHeight="1" x14ac:dyDescent="0.25">
      <c r="B233" s="196"/>
    </row>
    <row r="234" spans="2:2" ht="11.25" customHeight="1" x14ac:dyDescent="0.25">
      <c r="B234" s="196"/>
    </row>
    <row r="235" spans="2:2" ht="11.25" customHeight="1" x14ac:dyDescent="0.25">
      <c r="B235" s="196"/>
    </row>
    <row r="236" spans="2:2" ht="11.25" customHeight="1" x14ac:dyDescent="0.25">
      <c r="B236" s="196"/>
    </row>
    <row r="237" spans="2:2" ht="11.25" customHeight="1" x14ac:dyDescent="0.25">
      <c r="B237" s="196"/>
    </row>
    <row r="238" spans="2:2" ht="11.25" customHeight="1" x14ac:dyDescent="0.25">
      <c r="B238" s="196"/>
    </row>
    <row r="239" spans="2:2" ht="11.25" customHeight="1" x14ac:dyDescent="0.25">
      <c r="B239" s="196"/>
    </row>
    <row r="240" spans="2:2" ht="11.25" customHeight="1" x14ac:dyDescent="0.25">
      <c r="B240" s="196"/>
    </row>
    <row r="241" spans="2:2" ht="11.25" customHeight="1" x14ac:dyDescent="0.25">
      <c r="B241" s="196"/>
    </row>
    <row r="242" spans="2:2" ht="11.25" customHeight="1" x14ac:dyDescent="0.25">
      <c r="B242" s="196"/>
    </row>
    <row r="243" spans="2:2" ht="11.25" customHeight="1" x14ac:dyDescent="0.25">
      <c r="B243" s="196"/>
    </row>
    <row r="244" spans="2:2" ht="11.25" customHeight="1" x14ac:dyDescent="0.25">
      <c r="B244" s="196"/>
    </row>
    <row r="245" spans="2:2" ht="11.25" customHeight="1" x14ac:dyDescent="0.25">
      <c r="B245" s="196"/>
    </row>
    <row r="246" spans="2:2" ht="11.25" customHeight="1" x14ac:dyDescent="0.25">
      <c r="B246" s="196"/>
    </row>
    <row r="247" spans="2:2" ht="11.25" customHeight="1" x14ac:dyDescent="0.25">
      <c r="B247" s="196"/>
    </row>
    <row r="248" spans="2:2" ht="11.25" customHeight="1" x14ac:dyDescent="0.25">
      <c r="B248" s="196"/>
    </row>
    <row r="249" spans="2:2" ht="11.25" customHeight="1" x14ac:dyDescent="0.25">
      <c r="B249" s="196"/>
    </row>
    <row r="250" spans="2:2" ht="11.25" customHeight="1" x14ac:dyDescent="0.25">
      <c r="B250" s="196"/>
    </row>
    <row r="251" spans="2:2" ht="11.25" customHeight="1" x14ac:dyDescent="0.25">
      <c r="B251" s="196"/>
    </row>
    <row r="252" spans="2:2" ht="11.25" customHeight="1" x14ac:dyDescent="0.25">
      <c r="B252" s="196"/>
    </row>
    <row r="253" spans="2:2" ht="11.25" customHeight="1" x14ac:dyDescent="0.25">
      <c r="B253" s="196"/>
    </row>
    <row r="254" spans="2:2" ht="11.25" customHeight="1" x14ac:dyDescent="0.25">
      <c r="B254" s="196"/>
    </row>
    <row r="255" spans="2:2" ht="11.25" customHeight="1" x14ac:dyDescent="0.25">
      <c r="B255" s="196"/>
    </row>
    <row r="256" spans="2:2" ht="11.25" customHeight="1" x14ac:dyDescent="0.25">
      <c r="B256" s="196"/>
    </row>
    <row r="257" spans="2:2" ht="11.25" customHeight="1" x14ac:dyDescent="0.25">
      <c r="B257" s="196"/>
    </row>
    <row r="258" spans="2:2" ht="11.25" customHeight="1" x14ac:dyDescent="0.25">
      <c r="B258" s="196"/>
    </row>
    <row r="259" spans="2:2" ht="11.25" customHeight="1" x14ac:dyDescent="0.25">
      <c r="B259" s="196"/>
    </row>
    <row r="260" spans="2:2" ht="11.25" customHeight="1" x14ac:dyDescent="0.25">
      <c r="B260" s="196"/>
    </row>
    <row r="261" spans="2:2" ht="11.25" customHeight="1" x14ac:dyDescent="0.25">
      <c r="B261" s="196"/>
    </row>
    <row r="262" spans="2:2" ht="11.25" customHeight="1" x14ac:dyDescent="0.25">
      <c r="B262" s="196"/>
    </row>
    <row r="263" spans="2:2" ht="11.25" customHeight="1" x14ac:dyDescent="0.25">
      <c r="B263" s="196"/>
    </row>
    <row r="264" spans="2:2" ht="11.25" customHeight="1" x14ac:dyDescent="0.25">
      <c r="B264" s="196"/>
    </row>
    <row r="265" spans="2:2" ht="11.25" customHeight="1" x14ac:dyDescent="0.25">
      <c r="B265" s="196"/>
    </row>
    <row r="266" spans="2:2" ht="11.25" customHeight="1" x14ac:dyDescent="0.25">
      <c r="B266" s="196"/>
    </row>
    <row r="267" spans="2:2" ht="11.25" customHeight="1" x14ac:dyDescent="0.25">
      <c r="B267" s="196"/>
    </row>
    <row r="268" spans="2:2" ht="11.25" customHeight="1" x14ac:dyDescent="0.25">
      <c r="B268" s="196"/>
    </row>
    <row r="269" spans="2:2" ht="11.25" customHeight="1" x14ac:dyDescent="0.25">
      <c r="B269" s="196"/>
    </row>
    <row r="270" spans="2:2" ht="11.25" customHeight="1" x14ac:dyDescent="0.25">
      <c r="B270" s="196"/>
    </row>
    <row r="271" spans="2:2" ht="11.25" customHeight="1" x14ac:dyDescent="0.25">
      <c r="B271" s="196"/>
    </row>
    <row r="272" spans="2:2" ht="11.25" customHeight="1" x14ac:dyDescent="0.25">
      <c r="B272" s="196"/>
    </row>
    <row r="273" spans="2:2" ht="11.25" customHeight="1" x14ac:dyDescent="0.25">
      <c r="B273" s="196"/>
    </row>
    <row r="274" spans="2:2" ht="11.25" customHeight="1" x14ac:dyDescent="0.25">
      <c r="B274" s="196"/>
    </row>
    <row r="275" spans="2:2" ht="11.25" customHeight="1" x14ac:dyDescent="0.25">
      <c r="B275" s="196"/>
    </row>
    <row r="276" spans="2:2" ht="11.25" customHeight="1" x14ac:dyDescent="0.25">
      <c r="B276" s="196"/>
    </row>
    <row r="277" spans="2:2" ht="11.25" customHeight="1" x14ac:dyDescent="0.25">
      <c r="B277" s="196"/>
    </row>
    <row r="278" spans="2:2" ht="11.25" customHeight="1" x14ac:dyDescent="0.25">
      <c r="B278" s="196"/>
    </row>
    <row r="279" spans="2:2" ht="11.25" customHeight="1" x14ac:dyDescent="0.25">
      <c r="B279" s="196"/>
    </row>
    <row r="280" spans="2:2" ht="11.25" customHeight="1" x14ac:dyDescent="0.25">
      <c r="B280" s="196"/>
    </row>
    <row r="281" spans="2:2" ht="11.25" customHeight="1" x14ac:dyDescent="0.25">
      <c r="B281" s="196"/>
    </row>
    <row r="282" spans="2:2" ht="11.25" customHeight="1" x14ac:dyDescent="0.25">
      <c r="B282" s="196"/>
    </row>
    <row r="283" spans="2:2" ht="11.25" customHeight="1" x14ac:dyDescent="0.25">
      <c r="B283" s="196"/>
    </row>
    <row r="284" spans="2:2" ht="11.25" customHeight="1" x14ac:dyDescent="0.25">
      <c r="B284" s="196"/>
    </row>
    <row r="285" spans="2:2" ht="11.25" customHeight="1" x14ac:dyDescent="0.25">
      <c r="B285" s="196"/>
    </row>
    <row r="286" spans="2:2" ht="11.25" customHeight="1" x14ac:dyDescent="0.25">
      <c r="B286" s="196"/>
    </row>
    <row r="287" spans="2:2" ht="11.25" customHeight="1" x14ac:dyDescent="0.25">
      <c r="B287" s="196"/>
    </row>
    <row r="288" spans="2:2" ht="11.25" customHeight="1" x14ac:dyDescent="0.25">
      <c r="B288" s="196"/>
    </row>
    <row r="289" spans="2:2" ht="11.25" customHeight="1" x14ac:dyDescent="0.25">
      <c r="B289" s="196"/>
    </row>
    <row r="290" spans="2:2" ht="11.25" customHeight="1" x14ac:dyDescent="0.25">
      <c r="B290" s="196"/>
    </row>
    <row r="291" spans="2:2" ht="11.25" customHeight="1" x14ac:dyDescent="0.25">
      <c r="B291" s="196"/>
    </row>
    <row r="292" spans="2:2" ht="11.25" customHeight="1" x14ac:dyDescent="0.25">
      <c r="B292" s="196"/>
    </row>
    <row r="293" spans="2:2" ht="11.25" customHeight="1" x14ac:dyDescent="0.25">
      <c r="B293" s="196"/>
    </row>
    <row r="294" spans="2:2" ht="11.25" customHeight="1" x14ac:dyDescent="0.25">
      <c r="B294" s="196"/>
    </row>
    <row r="295" spans="2:2" ht="11.25" customHeight="1" x14ac:dyDescent="0.25">
      <c r="B295" s="196"/>
    </row>
    <row r="296" spans="2:2" ht="11.25" customHeight="1" x14ac:dyDescent="0.25">
      <c r="B296" s="196"/>
    </row>
    <row r="297" spans="2:2" ht="11.25" customHeight="1" x14ac:dyDescent="0.25">
      <c r="B297" s="196"/>
    </row>
    <row r="298" spans="2:2" ht="11.25" customHeight="1" x14ac:dyDescent="0.25">
      <c r="B298" s="196"/>
    </row>
    <row r="299" spans="2:2" ht="11.25" customHeight="1" x14ac:dyDescent="0.25">
      <c r="B299" s="196"/>
    </row>
    <row r="300" spans="2:2" ht="11.25" customHeight="1" x14ac:dyDescent="0.25">
      <c r="B300" s="196"/>
    </row>
    <row r="301" spans="2:2" ht="11.25" customHeight="1" x14ac:dyDescent="0.25">
      <c r="B301" s="196"/>
    </row>
    <row r="302" spans="2:2" ht="11.25" customHeight="1" x14ac:dyDescent="0.25">
      <c r="B302" s="196"/>
    </row>
    <row r="303" spans="2:2" ht="11.25" customHeight="1" x14ac:dyDescent="0.25">
      <c r="B303" s="196"/>
    </row>
    <row r="304" spans="2:2" ht="11.25" customHeight="1" x14ac:dyDescent="0.25">
      <c r="B304" s="196"/>
    </row>
    <row r="305" spans="2:2" ht="11.25" customHeight="1" x14ac:dyDescent="0.25">
      <c r="B305" s="196"/>
    </row>
    <row r="306" spans="2:2" ht="11.25" customHeight="1" x14ac:dyDescent="0.25">
      <c r="B306" s="196"/>
    </row>
    <row r="307" spans="2:2" ht="11.25" customHeight="1" x14ac:dyDescent="0.25">
      <c r="B307" s="196"/>
    </row>
    <row r="308" spans="2:2" ht="11.25" customHeight="1" x14ac:dyDescent="0.25">
      <c r="B308" s="196"/>
    </row>
    <row r="309" spans="2:2" ht="11.25" customHeight="1" x14ac:dyDescent="0.25">
      <c r="B309" s="196"/>
    </row>
    <row r="310" spans="2:2" ht="11.25" customHeight="1" x14ac:dyDescent="0.25">
      <c r="B310" s="196"/>
    </row>
    <row r="311" spans="2:2" ht="11.25" customHeight="1" x14ac:dyDescent="0.25">
      <c r="B311" s="196"/>
    </row>
    <row r="312" spans="2:2" ht="11.25" customHeight="1" x14ac:dyDescent="0.25">
      <c r="B312" s="196"/>
    </row>
    <row r="313" spans="2:2" ht="11.25" customHeight="1" x14ac:dyDescent="0.25">
      <c r="B313" s="196"/>
    </row>
    <row r="314" spans="2:2" ht="11.25" customHeight="1" x14ac:dyDescent="0.25">
      <c r="B314" s="196"/>
    </row>
    <row r="315" spans="2:2" ht="11.25" customHeight="1" x14ac:dyDescent="0.25">
      <c r="B315" s="196"/>
    </row>
    <row r="316" spans="2:2" ht="11.25" customHeight="1" x14ac:dyDescent="0.25">
      <c r="B316" s="196"/>
    </row>
    <row r="317" spans="2:2" ht="11.25" customHeight="1" x14ac:dyDescent="0.25">
      <c r="B317" s="196"/>
    </row>
    <row r="318" spans="2:2" ht="11.25" customHeight="1" x14ac:dyDescent="0.25">
      <c r="B318" s="196"/>
    </row>
    <row r="319" spans="2:2" ht="11.25" customHeight="1" x14ac:dyDescent="0.25">
      <c r="B319" s="196"/>
    </row>
    <row r="320" spans="2:2" ht="11.25" customHeight="1" x14ac:dyDescent="0.25">
      <c r="B320" s="196"/>
    </row>
    <row r="321" spans="2:2" ht="11.25" customHeight="1" x14ac:dyDescent="0.25">
      <c r="B321" s="196"/>
    </row>
    <row r="322" spans="2:2" ht="11.25" customHeight="1" x14ac:dyDescent="0.25">
      <c r="B322" s="196"/>
    </row>
    <row r="323" spans="2:2" ht="11.25" customHeight="1" x14ac:dyDescent="0.25">
      <c r="B323" s="196"/>
    </row>
    <row r="324" spans="2:2" ht="11.25" customHeight="1" x14ac:dyDescent="0.25">
      <c r="B324" s="196"/>
    </row>
    <row r="325" spans="2:2" ht="11.25" customHeight="1" x14ac:dyDescent="0.25">
      <c r="B325" s="196"/>
    </row>
    <row r="326" spans="2:2" ht="11.25" customHeight="1" x14ac:dyDescent="0.25">
      <c r="B326" s="196"/>
    </row>
    <row r="327" spans="2:2" ht="11.25" customHeight="1" x14ac:dyDescent="0.25">
      <c r="B327" s="196"/>
    </row>
    <row r="328" spans="2:2" ht="11.25" customHeight="1" x14ac:dyDescent="0.25">
      <c r="B328" s="196"/>
    </row>
    <row r="329" spans="2:2" ht="11.25" customHeight="1" x14ac:dyDescent="0.25">
      <c r="B329" s="196"/>
    </row>
    <row r="330" spans="2:2" ht="11.25" customHeight="1" x14ac:dyDescent="0.25">
      <c r="B330" s="196"/>
    </row>
    <row r="331" spans="2:2" ht="11.25" customHeight="1" x14ac:dyDescent="0.25">
      <c r="B331" s="196"/>
    </row>
    <row r="332" spans="2:2" ht="11.25" customHeight="1" x14ac:dyDescent="0.25">
      <c r="B332" s="196"/>
    </row>
    <row r="333" spans="2:2" ht="11.25" customHeight="1" x14ac:dyDescent="0.25">
      <c r="B333" s="196"/>
    </row>
    <row r="334" spans="2:2" ht="11.25" customHeight="1" x14ac:dyDescent="0.25">
      <c r="B334" s="196"/>
    </row>
    <row r="335" spans="2:2" ht="11.25" customHeight="1" x14ac:dyDescent="0.25">
      <c r="B335" s="196"/>
    </row>
    <row r="336" spans="2:2" ht="11.25" customHeight="1" x14ac:dyDescent="0.25">
      <c r="B336" s="196"/>
    </row>
    <row r="337" spans="2:2" ht="11.25" customHeight="1" x14ac:dyDescent="0.25">
      <c r="B337" s="196"/>
    </row>
    <row r="338" spans="2:2" ht="11.25" customHeight="1" x14ac:dyDescent="0.25">
      <c r="B338" s="196"/>
    </row>
    <row r="339" spans="2:2" ht="11.25" customHeight="1" x14ac:dyDescent="0.25">
      <c r="B339" s="196"/>
    </row>
    <row r="340" spans="2:2" ht="11.25" customHeight="1" x14ac:dyDescent="0.25">
      <c r="B340" s="196"/>
    </row>
    <row r="341" spans="2:2" ht="11.25" customHeight="1" x14ac:dyDescent="0.25">
      <c r="B341" s="196"/>
    </row>
    <row r="342" spans="2:2" ht="11.25" customHeight="1" x14ac:dyDescent="0.25">
      <c r="B342" s="196"/>
    </row>
    <row r="343" spans="2:2" ht="11.25" customHeight="1" x14ac:dyDescent="0.25">
      <c r="B343" s="196"/>
    </row>
    <row r="344" spans="2:2" ht="11.25" customHeight="1" x14ac:dyDescent="0.25">
      <c r="B344" s="196"/>
    </row>
    <row r="345" spans="2:2" ht="11.25" customHeight="1" x14ac:dyDescent="0.25">
      <c r="B345" s="196"/>
    </row>
    <row r="346" spans="2:2" ht="11.25" customHeight="1" x14ac:dyDescent="0.25">
      <c r="B346" s="196"/>
    </row>
    <row r="347" spans="2:2" ht="11.25" customHeight="1" x14ac:dyDescent="0.25">
      <c r="B347" s="196"/>
    </row>
    <row r="348" spans="2:2" ht="11.25" customHeight="1" x14ac:dyDescent="0.25">
      <c r="B348" s="196"/>
    </row>
    <row r="349" spans="2:2" ht="11.25" customHeight="1" x14ac:dyDescent="0.25">
      <c r="B349" s="196"/>
    </row>
    <row r="350" spans="2:2" ht="11.25" customHeight="1" x14ac:dyDescent="0.25">
      <c r="B350" s="196"/>
    </row>
    <row r="351" spans="2:2" ht="11.25" customHeight="1" x14ac:dyDescent="0.25">
      <c r="B351" s="196"/>
    </row>
    <row r="352" spans="2:2" ht="11.25" customHeight="1" x14ac:dyDescent="0.25">
      <c r="B352" s="196"/>
    </row>
    <row r="353" spans="2:2" ht="11.25" customHeight="1" x14ac:dyDescent="0.25">
      <c r="B353" s="196"/>
    </row>
    <row r="354" spans="2:2" ht="11.25" customHeight="1" x14ac:dyDescent="0.25">
      <c r="B354" s="196"/>
    </row>
    <row r="355" spans="2:2" ht="11.25" customHeight="1" x14ac:dyDescent="0.25">
      <c r="B355" s="196"/>
    </row>
    <row r="356" spans="2:2" ht="11.25" customHeight="1" x14ac:dyDescent="0.25">
      <c r="B356" s="196"/>
    </row>
    <row r="357" spans="2:2" ht="11.25" customHeight="1" x14ac:dyDescent="0.25">
      <c r="B357" s="196"/>
    </row>
    <row r="358" spans="2:2" ht="11.25" customHeight="1" x14ac:dyDescent="0.25">
      <c r="B358" s="196"/>
    </row>
    <row r="359" spans="2:2" ht="11.25" customHeight="1" x14ac:dyDescent="0.25">
      <c r="B359" s="196"/>
    </row>
    <row r="360" spans="2:2" ht="11.25" customHeight="1" x14ac:dyDescent="0.25">
      <c r="B360" s="196"/>
    </row>
    <row r="361" spans="2:2" ht="11.25" customHeight="1" x14ac:dyDescent="0.25">
      <c r="B361" s="196"/>
    </row>
    <row r="362" spans="2:2" ht="11.25" customHeight="1" x14ac:dyDescent="0.25">
      <c r="B362" s="196"/>
    </row>
    <row r="363" spans="2:2" ht="11.25" customHeight="1" x14ac:dyDescent="0.25">
      <c r="B363" s="196"/>
    </row>
    <row r="364" spans="2:2" ht="11.25" customHeight="1" x14ac:dyDescent="0.25">
      <c r="B364" s="196"/>
    </row>
    <row r="365" spans="2:2" ht="11.25" customHeight="1" x14ac:dyDescent="0.25">
      <c r="B365" s="196"/>
    </row>
    <row r="366" spans="2:2" ht="11.25" customHeight="1" x14ac:dyDescent="0.25">
      <c r="B366" s="196"/>
    </row>
    <row r="367" spans="2:2" ht="11.25" customHeight="1" x14ac:dyDescent="0.25">
      <c r="B367" s="196"/>
    </row>
    <row r="368" spans="2:2" ht="11.25" customHeight="1" x14ac:dyDescent="0.25">
      <c r="B368" s="196"/>
    </row>
    <row r="369" spans="2:2" ht="11.25" customHeight="1" x14ac:dyDescent="0.25">
      <c r="B369" s="196"/>
    </row>
    <row r="370" spans="2:2" ht="11.25" customHeight="1" x14ac:dyDescent="0.25">
      <c r="B370" s="196"/>
    </row>
    <row r="371" spans="2:2" ht="11.25" customHeight="1" x14ac:dyDescent="0.25">
      <c r="B371" s="196"/>
    </row>
    <row r="372" spans="2:2" ht="11.25" customHeight="1" x14ac:dyDescent="0.25">
      <c r="B372" s="196"/>
    </row>
    <row r="373" spans="2:2" ht="11.25" customHeight="1" x14ac:dyDescent="0.25">
      <c r="B373" s="196"/>
    </row>
    <row r="374" spans="2:2" ht="11.25" customHeight="1" x14ac:dyDescent="0.25">
      <c r="B374" s="196"/>
    </row>
    <row r="375" spans="2:2" ht="11.25" customHeight="1" x14ac:dyDescent="0.25">
      <c r="B375" s="196"/>
    </row>
    <row r="376" spans="2:2" ht="11.25" customHeight="1" x14ac:dyDescent="0.25">
      <c r="B376" s="196"/>
    </row>
    <row r="377" spans="2:2" ht="11.25" customHeight="1" x14ac:dyDescent="0.25">
      <c r="B377" s="196"/>
    </row>
    <row r="378" spans="2:2" ht="11.25" customHeight="1" x14ac:dyDescent="0.25">
      <c r="B378" s="196"/>
    </row>
    <row r="379" spans="2:2" ht="11.25" customHeight="1" x14ac:dyDescent="0.25">
      <c r="B379" s="196"/>
    </row>
    <row r="380" spans="2:2" ht="11.25" customHeight="1" x14ac:dyDescent="0.25">
      <c r="B380" s="196"/>
    </row>
    <row r="381" spans="2:2" ht="11.25" customHeight="1" x14ac:dyDescent="0.25">
      <c r="B381" s="196"/>
    </row>
    <row r="382" spans="2:2" ht="11.25" customHeight="1" x14ac:dyDescent="0.25">
      <c r="B382" s="196"/>
    </row>
    <row r="383" spans="2:2" ht="11.25" customHeight="1" x14ac:dyDescent="0.25">
      <c r="B383" s="196"/>
    </row>
    <row r="384" spans="2:2" ht="11.25" customHeight="1" x14ac:dyDescent="0.25">
      <c r="B384" s="196"/>
    </row>
    <row r="385" spans="2:2" ht="11.25" customHeight="1" x14ac:dyDescent="0.25">
      <c r="B385" s="196"/>
    </row>
    <row r="386" spans="2:2" ht="11.25" customHeight="1" x14ac:dyDescent="0.25">
      <c r="B386" s="196"/>
    </row>
    <row r="387" spans="2:2" ht="11.25" customHeight="1" x14ac:dyDescent="0.25">
      <c r="B387" s="196"/>
    </row>
    <row r="388" spans="2:2" ht="11.25" customHeight="1" x14ac:dyDescent="0.25">
      <c r="B388" s="196"/>
    </row>
    <row r="389" spans="2:2" ht="11.25" customHeight="1" x14ac:dyDescent="0.25">
      <c r="B389" s="196"/>
    </row>
    <row r="390" spans="2:2" ht="11.25" customHeight="1" x14ac:dyDescent="0.25">
      <c r="B390" s="196"/>
    </row>
    <row r="391" spans="2:2" ht="11.25" customHeight="1" x14ac:dyDescent="0.25">
      <c r="B391" s="196"/>
    </row>
    <row r="392" spans="2:2" ht="11.25" customHeight="1" x14ac:dyDescent="0.25">
      <c r="B392" s="196"/>
    </row>
    <row r="393" spans="2:2" ht="11.25" customHeight="1" x14ac:dyDescent="0.25">
      <c r="B393" s="196"/>
    </row>
    <row r="394" spans="2:2" ht="11.25" customHeight="1" x14ac:dyDescent="0.25">
      <c r="B394" s="196"/>
    </row>
    <row r="395" spans="2:2" ht="11.25" customHeight="1" x14ac:dyDescent="0.25">
      <c r="B395" s="196"/>
    </row>
    <row r="396" spans="2:2" ht="11.25" customHeight="1" x14ac:dyDescent="0.25">
      <c r="B396" s="196"/>
    </row>
    <row r="397" spans="2:2" ht="11.25" customHeight="1" x14ac:dyDescent="0.25">
      <c r="B397" s="196"/>
    </row>
    <row r="398" spans="2:2" ht="11.25" customHeight="1" x14ac:dyDescent="0.25">
      <c r="B398" s="196"/>
    </row>
    <row r="399" spans="2:2" ht="11.25" customHeight="1" x14ac:dyDescent="0.25">
      <c r="B399" s="196"/>
    </row>
    <row r="400" spans="2:2" ht="11.25" customHeight="1" x14ac:dyDescent="0.25">
      <c r="B400" s="196"/>
    </row>
    <row r="401" spans="2:2" ht="11.25" customHeight="1" x14ac:dyDescent="0.25">
      <c r="B401" s="196"/>
    </row>
    <row r="402" spans="2:2" ht="11.25" customHeight="1" x14ac:dyDescent="0.25">
      <c r="B402" s="196"/>
    </row>
    <row r="403" spans="2:2" ht="11.25" customHeight="1" x14ac:dyDescent="0.25">
      <c r="B403" s="196"/>
    </row>
    <row r="404" spans="2:2" ht="11.25" customHeight="1" x14ac:dyDescent="0.25">
      <c r="B404" s="196"/>
    </row>
    <row r="405" spans="2:2" ht="11.25" customHeight="1" x14ac:dyDescent="0.25">
      <c r="B405" s="196"/>
    </row>
    <row r="406" spans="2:2" ht="11.25" customHeight="1" x14ac:dyDescent="0.25">
      <c r="B406" s="196"/>
    </row>
    <row r="407" spans="2:2" ht="11.25" customHeight="1" x14ac:dyDescent="0.25">
      <c r="B407" s="196"/>
    </row>
    <row r="408" spans="2:2" ht="11.25" customHeight="1" x14ac:dyDescent="0.25">
      <c r="B408" s="196"/>
    </row>
    <row r="409" spans="2:2" ht="11.25" customHeight="1" x14ac:dyDescent="0.25">
      <c r="B409" s="196"/>
    </row>
    <row r="410" spans="2:2" ht="11.25" customHeight="1" x14ac:dyDescent="0.25">
      <c r="B410" s="196"/>
    </row>
    <row r="411" spans="2:2" ht="11.25" customHeight="1" x14ac:dyDescent="0.25">
      <c r="B411" s="196"/>
    </row>
    <row r="412" spans="2:2" ht="11.25" customHeight="1" x14ac:dyDescent="0.25">
      <c r="B412" s="196"/>
    </row>
    <row r="413" spans="2:2" ht="11.25" customHeight="1" x14ac:dyDescent="0.25">
      <c r="B413" s="196"/>
    </row>
    <row r="414" spans="2:2" ht="11.25" customHeight="1" x14ac:dyDescent="0.25">
      <c r="B414" s="196"/>
    </row>
    <row r="415" spans="2:2" ht="11.25" customHeight="1" x14ac:dyDescent="0.25">
      <c r="B415" s="196"/>
    </row>
    <row r="416" spans="2:2" ht="11.25" customHeight="1" x14ac:dyDescent="0.25">
      <c r="B416" s="196"/>
    </row>
    <row r="417" spans="2:2" ht="11.25" customHeight="1" x14ac:dyDescent="0.25">
      <c r="B417" s="196"/>
    </row>
    <row r="418" spans="2:2" ht="11.25" customHeight="1" x14ac:dyDescent="0.25">
      <c r="B418" s="196"/>
    </row>
    <row r="419" spans="2:2" ht="11.25" customHeight="1" x14ac:dyDescent="0.25">
      <c r="B419" s="196"/>
    </row>
    <row r="420" spans="2:2" ht="11.25" customHeight="1" x14ac:dyDescent="0.25">
      <c r="B420" s="196"/>
    </row>
    <row r="421" spans="2:2" ht="11.25" customHeight="1" x14ac:dyDescent="0.25">
      <c r="B421" s="196"/>
    </row>
    <row r="422" spans="2:2" ht="11.25" customHeight="1" x14ac:dyDescent="0.25">
      <c r="B422" s="196"/>
    </row>
    <row r="423" spans="2:2" ht="11.25" customHeight="1" x14ac:dyDescent="0.25">
      <c r="B423" s="196"/>
    </row>
    <row r="424" spans="2:2" ht="11.25" customHeight="1" x14ac:dyDescent="0.25">
      <c r="B424" s="196"/>
    </row>
    <row r="425" spans="2:2" ht="11.25" customHeight="1" x14ac:dyDescent="0.25">
      <c r="B425" s="196"/>
    </row>
    <row r="426" spans="2:2" ht="11.25" customHeight="1" x14ac:dyDescent="0.25">
      <c r="B426" s="196"/>
    </row>
    <row r="427" spans="2:2" ht="11.25" customHeight="1" x14ac:dyDescent="0.25">
      <c r="B427" s="196"/>
    </row>
    <row r="428" spans="2:2" ht="11.25" customHeight="1" x14ac:dyDescent="0.25">
      <c r="B428" s="196"/>
    </row>
    <row r="429" spans="2:2" ht="11.25" customHeight="1" x14ac:dyDescent="0.25">
      <c r="B429" s="196"/>
    </row>
    <row r="430" spans="2:2" ht="11.25" customHeight="1" x14ac:dyDescent="0.25">
      <c r="B430" s="196"/>
    </row>
    <row r="431" spans="2:2" ht="11.25" customHeight="1" x14ac:dyDescent="0.25">
      <c r="B431" s="196"/>
    </row>
    <row r="432" spans="2:2" ht="11.25" customHeight="1" x14ac:dyDescent="0.25">
      <c r="B432" s="196"/>
    </row>
    <row r="433" spans="2:2" ht="11.25" customHeight="1" x14ac:dyDescent="0.25">
      <c r="B433" s="196"/>
    </row>
    <row r="434" spans="2:2" ht="11.25" customHeight="1" x14ac:dyDescent="0.25">
      <c r="B434" s="196"/>
    </row>
    <row r="435" spans="2:2" ht="11.25" customHeight="1" x14ac:dyDescent="0.25">
      <c r="B435" s="196"/>
    </row>
    <row r="436" spans="2:2" ht="11.25" customHeight="1" x14ac:dyDescent="0.25">
      <c r="B436" s="196"/>
    </row>
    <row r="437" spans="2:2" ht="11.25" customHeight="1" x14ac:dyDescent="0.25">
      <c r="B437" s="196"/>
    </row>
    <row r="438" spans="2:2" ht="11.25" customHeight="1" x14ac:dyDescent="0.25">
      <c r="B438" s="196"/>
    </row>
    <row r="439" spans="2:2" ht="11.25" customHeight="1" x14ac:dyDescent="0.25">
      <c r="B439" s="196"/>
    </row>
    <row r="440" spans="2:2" ht="11.25" customHeight="1" x14ac:dyDescent="0.25">
      <c r="B440" s="196"/>
    </row>
    <row r="441" spans="2:2" ht="11.25" customHeight="1" x14ac:dyDescent="0.25">
      <c r="B441" s="196"/>
    </row>
    <row r="442" spans="2:2" ht="11.25" customHeight="1" x14ac:dyDescent="0.25">
      <c r="B442" s="196"/>
    </row>
    <row r="443" spans="2:2" ht="11.25" customHeight="1" x14ac:dyDescent="0.25">
      <c r="B443" s="196"/>
    </row>
    <row r="444" spans="2:2" ht="11.25" customHeight="1" x14ac:dyDescent="0.25">
      <c r="B444" s="196"/>
    </row>
    <row r="445" spans="2:2" ht="11.25" customHeight="1" x14ac:dyDescent="0.25">
      <c r="B445" s="196"/>
    </row>
    <row r="446" spans="2:2" ht="11.25" customHeight="1" x14ac:dyDescent="0.25">
      <c r="B446" s="196"/>
    </row>
    <row r="447" spans="2:2" ht="11.25" customHeight="1" x14ac:dyDescent="0.25">
      <c r="B447" s="196"/>
    </row>
    <row r="448" spans="2:2" ht="11.25" customHeight="1" x14ac:dyDescent="0.25">
      <c r="B448" s="196"/>
    </row>
    <row r="449" spans="2:2" ht="11.25" customHeight="1" x14ac:dyDescent="0.25">
      <c r="B449" s="196"/>
    </row>
    <row r="450" spans="2:2" ht="11.25" customHeight="1" x14ac:dyDescent="0.25">
      <c r="B450" s="196"/>
    </row>
    <row r="451" spans="2:2" ht="11.25" customHeight="1" x14ac:dyDescent="0.25">
      <c r="B451" s="196"/>
    </row>
    <row r="452" spans="2:2" ht="11.25" customHeight="1" x14ac:dyDescent="0.25">
      <c r="B452" s="196"/>
    </row>
    <row r="453" spans="2:2" ht="11.25" customHeight="1" x14ac:dyDescent="0.25">
      <c r="B453" s="196"/>
    </row>
    <row r="454" spans="2:2" ht="11.25" customHeight="1" x14ac:dyDescent="0.25">
      <c r="B454" s="196"/>
    </row>
    <row r="455" spans="2:2" ht="11.25" customHeight="1" x14ac:dyDescent="0.25">
      <c r="B455" s="196"/>
    </row>
    <row r="456" spans="2:2" ht="11.25" customHeight="1" x14ac:dyDescent="0.25">
      <c r="B456" s="196"/>
    </row>
    <row r="457" spans="2:2" ht="11.25" customHeight="1" x14ac:dyDescent="0.25">
      <c r="B457" s="196"/>
    </row>
    <row r="458" spans="2:2" ht="11.25" customHeight="1" x14ac:dyDescent="0.25">
      <c r="B458" s="196"/>
    </row>
    <row r="459" spans="2:2" ht="11.25" customHeight="1" x14ac:dyDescent="0.25">
      <c r="B459" s="196"/>
    </row>
    <row r="460" spans="2:2" ht="11.25" customHeight="1" x14ac:dyDescent="0.25">
      <c r="B460" s="196"/>
    </row>
    <row r="461" spans="2:2" ht="11.25" customHeight="1" x14ac:dyDescent="0.25">
      <c r="B461" s="196"/>
    </row>
    <row r="462" spans="2:2" ht="11.25" customHeight="1" x14ac:dyDescent="0.25">
      <c r="B462" s="196"/>
    </row>
    <row r="463" spans="2:2" ht="11.25" customHeight="1" x14ac:dyDescent="0.25">
      <c r="B463" s="196"/>
    </row>
    <row r="464" spans="2:2" ht="11.25" customHeight="1" x14ac:dyDescent="0.25">
      <c r="B464" s="196"/>
    </row>
    <row r="465" spans="2:2" ht="11.25" customHeight="1" x14ac:dyDescent="0.25">
      <c r="B465" s="196"/>
    </row>
    <row r="466" spans="2:2" ht="11.25" customHeight="1" x14ac:dyDescent="0.25">
      <c r="B466" s="196"/>
    </row>
    <row r="467" spans="2:2" ht="11.25" customHeight="1" x14ac:dyDescent="0.25">
      <c r="B467" s="196"/>
    </row>
    <row r="468" spans="2:2" ht="11.25" customHeight="1" x14ac:dyDescent="0.25">
      <c r="B468" s="196"/>
    </row>
    <row r="469" spans="2:2" ht="11.25" customHeight="1" x14ac:dyDescent="0.25">
      <c r="B469" s="196"/>
    </row>
    <row r="470" spans="2:2" ht="11.25" customHeight="1" x14ac:dyDescent="0.25">
      <c r="B470" s="196"/>
    </row>
    <row r="471" spans="2:2" ht="11.25" customHeight="1" x14ac:dyDescent="0.25">
      <c r="B471" s="196"/>
    </row>
    <row r="472" spans="2:2" ht="11.25" customHeight="1" x14ac:dyDescent="0.25">
      <c r="B472" s="196"/>
    </row>
    <row r="473" spans="2:2" ht="11.25" customHeight="1" x14ac:dyDescent="0.25">
      <c r="B473" s="196"/>
    </row>
    <row r="474" spans="2:2" ht="11.25" customHeight="1" x14ac:dyDescent="0.25">
      <c r="B474" s="196"/>
    </row>
    <row r="475" spans="2:2" ht="11.25" customHeight="1" x14ac:dyDescent="0.25">
      <c r="B475" s="196"/>
    </row>
    <row r="476" spans="2:2" ht="11.25" customHeight="1" x14ac:dyDescent="0.25">
      <c r="B476" s="196"/>
    </row>
    <row r="477" spans="2:2" ht="11.25" customHeight="1" x14ac:dyDescent="0.25">
      <c r="B477" s="196"/>
    </row>
    <row r="478" spans="2:2" ht="11.25" customHeight="1" x14ac:dyDescent="0.25">
      <c r="B478" s="196"/>
    </row>
    <row r="479" spans="2:2" ht="11.25" customHeight="1" x14ac:dyDescent="0.25">
      <c r="B479" s="196"/>
    </row>
    <row r="480" spans="2:2" ht="11.25" customHeight="1" x14ac:dyDescent="0.25">
      <c r="B480" s="196"/>
    </row>
    <row r="481" spans="2:2" ht="11.25" customHeight="1" x14ac:dyDescent="0.25">
      <c r="B481" s="196"/>
    </row>
    <row r="482" spans="2:2" ht="11.25" customHeight="1" x14ac:dyDescent="0.25">
      <c r="B482" s="196"/>
    </row>
    <row r="483" spans="2:2" ht="11.25" customHeight="1" x14ac:dyDescent="0.25">
      <c r="B483" s="196"/>
    </row>
    <row r="484" spans="2:2" ht="11.25" customHeight="1" x14ac:dyDescent="0.25">
      <c r="B484" s="196"/>
    </row>
    <row r="485" spans="2:2" ht="11.25" customHeight="1" x14ac:dyDescent="0.25">
      <c r="B485" s="196"/>
    </row>
    <row r="486" spans="2:2" ht="11.25" customHeight="1" x14ac:dyDescent="0.25">
      <c r="B486" s="196"/>
    </row>
    <row r="487" spans="2:2" ht="11.25" customHeight="1" x14ac:dyDescent="0.25">
      <c r="B487" s="196"/>
    </row>
    <row r="488" spans="2:2" ht="11.25" customHeight="1" x14ac:dyDescent="0.25">
      <c r="B488" s="196"/>
    </row>
    <row r="489" spans="2:2" ht="11.25" customHeight="1" x14ac:dyDescent="0.25">
      <c r="B489" s="196"/>
    </row>
    <row r="490" spans="2:2" ht="11.25" customHeight="1" x14ac:dyDescent="0.25">
      <c r="B490" s="196"/>
    </row>
    <row r="491" spans="2:2" ht="11.25" customHeight="1" x14ac:dyDescent="0.25">
      <c r="B491" s="196"/>
    </row>
    <row r="492" spans="2:2" ht="11.25" customHeight="1" x14ac:dyDescent="0.25">
      <c r="B492" s="196"/>
    </row>
    <row r="493" spans="2:2" ht="11.25" customHeight="1" x14ac:dyDescent="0.25">
      <c r="B493" s="196"/>
    </row>
    <row r="494" spans="2:2" ht="11.25" customHeight="1" x14ac:dyDescent="0.25">
      <c r="B494" s="196"/>
    </row>
    <row r="495" spans="2:2" ht="11.25" customHeight="1" x14ac:dyDescent="0.25">
      <c r="B495" s="196"/>
    </row>
    <row r="496" spans="2:2" ht="11.25" customHeight="1" x14ac:dyDescent="0.25">
      <c r="B496" s="196"/>
    </row>
    <row r="497" spans="2:2" ht="11.25" customHeight="1" x14ac:dyDescent="0.25">
      <c r="B497" s="196"/>
    </row>
    <row r="498" spans="2:2" ht="11.25" customHeight="1" x14ac:dyDescent="0.25">
      <c r="B498" s="196"/>
    </row>
    <row r="499" spans="2:2" ht="11.25" customHeight="1" x14ac:dyDescent="0.25">
      <c r="B499" s="196"/>
    </row>
    <row r="500" spans="2:2" ht="11.25" customHeight="1" x14ac:dyDescent="0.25">
      <c r="B500" s="196"/>
    </row>
    <row r="501" spans="2:2" ht="11.25" customHeight="1" x14ac:dyDescent="0.25">
      <c r="B501" s="196"/>
    </row>
    <row r="502" spans="2:2" ht="11.25" customHeight="1" x14ac:dyDescent="0.25">
      <c r="B502" s="196"/>
    </row>
    <row r="503" spans="2:2" ht="11.25" customHeight="1" x14ac:dyDescent="0.25">
      <c r="B503" s="196"/>
    </row>
    <row r="504" spans="2:2" ht="11.25" customHeight="1" x14ac:dyDescent="0.25">
      <c r="B504" s="196"/>
    </row>
    <row r="505" spans="2:2" ht="11.25" customHeight="1" x14ac:dyDescent="0.25">
      <c r="B505" s="196"/>
    </row>
    <row r="506" spans="2:2" ht="11.25" customHeight="1" x14ac:dyDescent="0.25">
      <c r="B506" s="196"/>
    </row>
    <row r="507" spans="2:2" ht="11.25" customHeight="1" x14ac:dyDescent="0.25">
      <c r="B507" s="196"/>
    </row>
    <row r="508" spans="2:2" ht="11.25" customHeight="1" x14ac:dyDescent="0.25">
      <c r="B508" s="196"/>
    </row>
    <row r="509" spans="2:2" ht="11.25" customHeight="1" x14ac:dyDescent="0.25">
      <c r="B509" s="196"/>
    </row>
    <row r="510" spans="2:2" ht="11.25" customHeight="1" x14ac:dyDescent="0.25">
      <c r="B510" s="196"/>
    </row>
    <row r="511" spans="2:2" ht="11.25" customHeight="1" x14ac:dyDescent="0.25">
      <c r="B511" s="196"/>
    </row>
    <row r="512" spans="2:2" ht="11.25" customHeight="1" x14ac:dyDescent="0.25">
      <c r="B512" s="196"/>
    </row>
    <row r="513" spans="2:2" ht="11.25" customHeight="1" x14ac:dyDescent="0.25">
      <c r="B513" s="196"/>
    </row>
    <row r="514" spans="2:2" ht="11.25" customHeight="1" x14ac:dyDescent="0.25">
      <c r="B514" s="196"/>
    </row>
    <row r="515" spans="2:2" ht="11.25" customHeight="1" x14ac:dyDescent="0.25">
      <c r="B515" s="196"/>
    </row>
    <row r="516" spans="2:2" ht="11.25" customHeight="1" x14ac:dyDescent="0.25">
      <c r="B516" s="196"/>
    </row>
    <row r="517" spans="2:2" ht="11.25" customHeight="1" x14ac:dyDescent="0.25">
      <c r="B517" s="196"/>
    </row>
    <row r="518" spans="2:2" ht="11.25" customHeight="1" x14ac:dyDescent="0.25">
      <c r="B518" s="196"/>
    </row>
    <row r="519" spans="2:2" ht="11.25" customHeight="1" x14ac:dyDescent="0.25">
      <c r="B519" s="196"/>
    </row>
    <row r="520" spans="2:2" ht="11.25" customHeight="1" x14ac:dyDescent="0.25">
      <c r="B520" s="196"/>
    </row>
    <row r="521" spans="2:2" ht="11.25" customHeight="1" x14ac:dyDescent="0.25">
      <c r="B521" s="196"/>
    </row>
    <row r="522" spans="2:2" ht="11.25" customHeight="1" x14ac:dyDescent="0.25">
      <c r="B522" s="196"/>
    </row>
    <row r="523" spans="2:2" ht="11.25" customHeight="1" x14ac:dyDescent="0.25">
      <c r="B523" s="196"/>
    </row>
    <row r="524" spans="2:2" ht="11.25" customHeight="1" x14ac:dyDescent="0.25">
      <c r="B524" s="196"/>
    </row>
    <row r="525" spans="2:2" ht="11.25" customHeight="1" x14ac:dyDescent="0.25">
      <c r="B525" s="196"/>
    </row>
    <row r="526" spans="2:2" ht="11.25" customHeight="1" x14ac:dyDescent="0.25">
      <c r="B526" s="196"/>
    </row>
    <row r="527" spans="2:2" ht="11.25" customHeight="1" x14ac:dyDescent="0.25">
      <c r="B527" s="196"/>
    </row>
    <row r="528" spans="2:2" ht="11.25" customHeight="1" x14ac:dyDescent="0.25">
      <c r="B528" s="196"/>
    </row>
    <row r="529" spans="2:2" ht="11.25" customHeight="1" x14ac:dyDescent="0.25">
      <c r="B529" s="196"/>
    </row>
    <row r="530" spans="2:2" ht="11.25" customHeight="1" x14ac:dyDescent="0.25">
      <c r="B530" s="196"/>
    </row>
    <row r="531" spans="2:2" ht="11.25" customHeight="1" x14ac:dyDescent="0.25">
      <c r="B531" s="196"/>
    </row>
    <row r="532" spans="2:2" ht="11.25" customHeight="1" x14ac:dyDescent="0.25">
      <c r="B532" s="196"/>
    </row>
    <row r="533" spans="2:2" ht="11.25" customHeight="1" x14ac:dyDescent="0.25">
      <c r="B533" s="196"/>
    </row>
    <row r="534" spans="2:2" ht="11.25" customHeight="1" x14ac:dyDescent="0.25">
      <c r="B534" s="196"/>
    </row>
    <row r="535" spans="2:2" ht="11.25" customHeight="1" x14ac:dyDescent="0.25">
      <c r="B535" s="196"/>
    </row>
    <row r="536" spans="2:2" ht="11.25" customHeight="1" x14ac:dyDescent="0.25">
      <c r="B536" s="196"/>
    </row>
    <row r="537" spans="2:2" ht="11.25" customHeight="1" x14ac:dyDescent="0.25">
      <c r="B537" s="196"/>
    </row>
    <row r="538" spans="2:2" ht="11.25" customHeight="1" x14ac:dyDescent="0.25">
      <c r="B538" s="196"/>
    </row>
    <row r="539" spans="2:2" ht="11.25" customHeight="1" x14ac:dyDescent="0.25">
      <c r="B539" s="196"/>
    </row>
    <row r="540" spans="2:2" ht="11.25" customHeight="1" x14ac:dyDescent="0.25">
      <c r="B540" s="196"/>
    </row>
    <row r="541" spans="2:2" ht="11.25" customHeight="1" x14ac:dyDescent="0.25">
      <c r="B541" s="196"/>
    </row>
    <row r="542" spans="2:2" ht="11.25" customHeight="1" x14ac:dyDescent="0.25">
      <c r="B542" s="196"/>
    </row>
    <row r="543" spans="2:2" ht="11.25" customHeight="1" x14ac:dyDescent="0.25">
      <c r="B543" s="196"/>
    </row>
    <row r="544" spans="2:2" ht="11.25" customHeight="1" x14ac:dyDescent="0.25">
      <c r="B544" s="196"/>
    </row>
    <row r="545" spans="2:2" ht="11.25" customHeight="1" x14ac:dyDescent="0.25">
      <c r="B545" s="196"/>
    </row>
    <row r="546" spans="2:2" ht="11.25" customHeight="1" x14ac:dyDescent="0.25">
      <c r="B546" s="196"/>
    </row>
    <row r="547" spans="2:2" ht="11.25" customHeight="1" x14ac:dyDescent="0.25">
      <c r="B547" s="196"/>
    </row>
    <row r="548" spans="2:2" ht="11.25" customHeight="1" x14ac:dyDescent="0.25">
      <c r="B548" s="196"/>
    </row>
    <row r="549" spans="2:2" ht="11.25" customHeight="1" x14ac:dyDescent="0.25">
      <c r="B549" s="196"/>
    </row>
    <row r="550" spans="2:2" ht="11.25" customHeight="1" x14ac:dyDescent="0.25">
      <c r="B550" s="196"/>
    </row>
    <row r="551" spans="2:2" ht="11.25" customHeight="1" x14ac:dyDescent="0.25">
      <c r="B551" s="196"/>
    </row>
    <row r="552" spans="2:2" ht="11.25" customHeight="1" x14ac:dyDescent="0.25">
      <c r="B552" s="196"/>
    </row>
    <row r="553" spans="2:2" ht="11.25" customHeight="1" x14ac:dyDescent="0.25">
      <c r="B553" s="196"/>
    </row>
    <row r="554" spans="2:2" ht="11.25" customHeight="1" x14ac:dyDescent="0.25">
      <c r="B554" s="196"/>
    </row>
    <row r="555" spans="2:2" ht="11.25" customHeight="1" x14ac:dyDescent="0.25">
      <c r="B555" s="196"/>
    </row>
    <row r="556" spans="2:2" ht="11.25" customHeight="1" x14ac:dyDescent="0.25">
      <c r="B556" s="196"/>
    </row>
    <row r="557" spans="2:2" ht="11.25" customHeight="1" x14ac:dyDescent="0.25">
      <c r="B557" s="196"/>
    </row>
    <row r="558" spans="2:2" ht="11.25" customHeight="1" x14ac:dyDescent="0.25">
      <c r="B558" s="196"/>
    </row>
    <row r="559" spans="2:2" ht="11.25" customHeight="1" x14ac:dyDescent="0.25">
      <c r="B559" s="196"/>
    </row>
    <row r="560" spans="2:2" ht="11.25" customHeight="1" x14ac:dyDescent="0.25">
      <c r="B560" s="196"/>
    </row>
    <row r="561" spans="2:2" ht="11.25" customHeight="1" x14ac:dyDescent="0.25">
      <c r="B561" s="196"/>
    </row>
    <row r="562" spans="2:2" ht="11.25" customHeight="1" x14ac:dyDescent="0.25">
      <c r="B562" s="196"/>
    </row>
    <row r="563" spans="2:2" ht="11.25" customHeight="1" x14ac:dyDescent="0.25">
      <c r="B563" s="196"/>
    </row>
    <row r="564" spans="2:2" ht="11.25" customHeight="1" x14ac:dyDescent="0.25">
      <c r="B564" s="196"/>
    </row>
    <row r="565" spans="2:2" ht="11.25" customHeight="1" x14ac:dyDescent="0.25">
      <c r="B565" s="196"/>
    </row>
    <row r="566" spans="2:2" ht="11.25" customHeight="1" x14ac:dyDescent="0.25">
      <c r="B566" s="196"/>
    </row>
    <row r="567" spans="2:2" ht="11.25" customHeight="1" x14ac:dyDescent="0.25">
      <c r="B567" s="196"/>
    </row>
    <row r="568" spans="2:2" ht="11.25" customHeight="1" x14ac:dyDescent="0.25">
      <c r="B568" s="196"/>
    </row>
    <row r="569" spans="2:2" ht="11.25" customHeight="1" x14ac:dyDescent="0.25">
      <c r="B569" s="196"/>
    </row>
    <row r="570" spans="2:2" ht="11.25" customHeight="1" x14ac:dyDescent="0.25">
      <c r="B570" s="196"/>
    </row>
    <row r="571" spans="2:2" ht="11.25" customHeight="1" x14ac:dyDescent="0.25">
      <c r="B571" s="196"/>
    </row>
    <row r="572" spans="2:2" ht="11.25" customHeight="1" x14ac:dyDescent="0.25">
      <c r="B572" s="196"/>
    </row>
    <row r="573" spans="2:2" ht="11.25" customHeight="1" x14ac:dyDescent="0.25">
      <c r="B573" s="196"/>
    </row>
    <row r="574" spans="2:2" ht="11.25" customHeight="1" x14ac:dyDescent="0.25">
      <c r="B574" s="196"/>
    </row>
    <row r="575" spans="2:2" ht="11.25" customHeight="1" x14ac:dyDescent="0.25">
      <c r="B575" s="196"/>
    </row>
    <row r="576" spans="2:2" ht="11.25" customHeight="1" x14ac:dyDescent="0.25">
      <c r="B576" s="196"/>
    </row>
    <row r="577" spans="2:2" ht="11.25" customHeight="1" x14ac:dyDescent="0.25">
      <c r="B577" s="196"/>
    </row>
    <row r="578" spans="2:2" ht="11.25" customHeight="1" x14ac:dyDescent="0.25">
      <c r="B578" s="196"/>
    </row>
    <row r="579" spans="2:2" ht="11.25" customHeight="1" x14ac:dyDescent="0.25">
      <c r="B579" s="196"/>
    </row>
    <row r="580" spans="2:2" ht="11.25" customHeight="1" x14ac:dyDescent="0.25">
      <c r="B580" s="196"/>
    </row>
    <row r="581" spans="2:2" ht="11.25" customHeight="1" x14ac:dyDescent="0.25">
      <c r="B581" s="196"/>
    </row>
    <row r="582" spans="2:2" ht="11.25" customHeight="1" x14ac:dyDescent="0.25">
      <c r="B582" s="196"/>
    </row>
    <row r="583" spans="2:2" ht="11.25" customHeight="1" x14ac:dyDescent="0.25">
      <c r="B583" s="196"/>
    </row>
    <row r="584" spans="2:2" ht="11.25" customHeight="1" x14ac:dyDescent="0.25">
      <c r="B584" s="196"/>
    </row>
    <row r="585" spans="2:2" ht="11.25" customHeight="1" x14ac:dyDescent="0.25">
      <c r="B585" s="196"/>
    </row>
    <row r="586" spans="2:2" ht="11.25" customHeight="1" x14ac:dyDescent="0.25">
      <c r="B586" s="196"/>
    </row>
    <row r="587" spans="2:2" ht="11.25" customHeight="1" x14ac:dyDescent="0.25">
      <c r="B587" s="196"/>
    </row>
    <row r="588" spans="2:2" ht="11.25" customHeight="1" x14ac:dyDescent="0.25">
      <c r="B588" s="196"/>
    </row>
    <row r="589" spans="2:2" ht="11.25" customHeight="1" x14ac:dyDescent="0.25">
      <c r="B589" s="196"/>
    </row>
    <row r="590" spans="2:2" ht="11.25" customHeight="1" x14ac:dyDescent="0.25">
      <c r="B590" s="196"/>
    </row>
    <row r="591" spans="2:2" ht="11.25" customHeight="1" x14ac:dyDescent="0.25">
      <c r="B591" s="196"/>
    </row>
    <row r="592" spans="2:2" ht="11.25" customHeight="1" x14ac:dyDescent="0.25">
      <c r="B592" s="196"/>
    </row>
    <row r="593" spans="2:2" ht="11.25" customHeight="1" x14ac:dyDescent="0.25">
      <c r="B593" s="196"/>
    </row>
    <row r="594" spans="2:2" ht="11.25" customHeight="1" x14ac:dyDescent="0.25">
      <c r="B594" s="196"/>
    </row>
    <row r="595" spans="2:2" ht="11.25" customHeight="1" x14ac:dyDescent="0.25">
      <c r="B595" s="196"/>
    </row>
    <row r="596" spans="2:2" ht="11.25" customHeight="1" x14ac:dyDescent="0.25">
      <c r="B596" s="196"/>
    </row>
    <row r="597" spans="2:2" ht="11.25" customHeight="1" x14ac:dyDescent="0.25">
      <c r="B597" s="196"/>
    </row>
    <row r="598" spans="2:2" ht="11.25" customHeight="1" x14ac:dyDescent="0.25">
      <c r="B598" s="196"/>
    </row>
    <row r="599" spans="2:2" ht="11.25" customHeight="1" x14ac:dyDescent="0.25">
      <c r="B599" s="196"/>
    </row>
    <row r="600" spans="2:2" ht="11.25" customHeight="1" x14ac:dyDescent="0.25">
      <c r="B600" s="196"/>
    </row>
    <row r="601" spans="2:2" ht="11.25" customHeight="1" x14ac:dyDescent="0.25">
      <c r="B601" s="196"/>
    </row>
    <row r="602" spans="2:2" ht="11.25" customHeight="1" x14ac:dyDescent="0.25">
      <c r="B602" s="196"/>
    </row>
    <row r="603" spans="2:2" ht="11.25" customHeight="1" x14ac:dyDescent="0.25">
      <c r="B603" s="196"/>
    </row>
    <row r="604" spans="2:2" ht="11.25" customHeight="1" x14ac:dyDescent="0.25">
      <c r="B604" s="196"/>
    </row>
    <row r="605" spans="2:2" ht="11.25" customHeight="1" x14ac:dyDescent="0.25">
      <c r="B605" s="196"/>
    </row>
    <row r="606" spans="2:2" ht="11.25" customHeight="1" x14ac:dyDescent="0.25">
      <c r="B606" s="196"/>
    </row>
    <row r="607" spans="2:2" ht="11.25" customHeight="1" x14ac:dyDescent="0.25">
      <c r="B607" s="196"/>
    </row>
    <row r="608" spans="2:2" ht="11.25" customHeight="1" x14ac:dyDescent="0.25">
      <c r="B608" s="196"/>
    </row>
    <row r="609" spans="2:2" ht="11.25" customHeight="1" x14ac:dyDescent="0.25">
      <c r="B609" s="196"/>
    </row>
    <row r="610" spans="2:2" ht="11.25" customHeight="1" x14ac:dyDescent="0.25">
      <c r="B610" s="196"/>
    </row>
    <row r="611" spans="2:2" ht="11.25" customHeight="1" x14ac:dyDescent="0.25">
      <c r="B611" s="196"/>
    </row>
    <row r="612" spans="2:2" ht="11.25" customHeight="1" x14ac:dyDescent="0.25">
      <c r="B612" s="196"/>
    </row>
    <row r="613" spans="2:2" ht="11.25" customHeight="1" x14ac:dyDescent="0.25">
      <c r="B613" s="196"/>
    </row>
    <row r="614" spans="2:2" ht="11.25" customHeight="1" x14ac:dyDescent="0.25">
      <c r="B614" s="196"/>
    </row>
    <row r="615" spans="2:2" ht="11.25" customHeight="1" x14ac:dyDescent="0.25">
      <c r="B615" s="196"/>
    </row>
    <row r="616" spans="2:2" ht="11.25" customHeight="1" x14ac:dyDescent="0.25">
      <c r="B616" s="196"/>
    </row>
    <row r="617" spans="2:2" ht="11.25" customHeight="1" x14ac:dyDescent="0.25">
      <c r="B617" s="196"/>
    </row>
    <row r="618" spans="2:2" ht="11.25" customHeight="1" x14ac:dyDescent="0.25">
      <c r="B618" s="196"/>
    </row>
    <row r="619" spans="2:2" ht="11.25" customHeight="1" x14ac:dyDescent="0.25">
      <c r="B619" s="196"/>
    </row>
    <row r="620" spans="2:2" ht="11.25" customHeight="1" x14ac:dyDescent="0.25">
      <c r="B620" s="196"/>
    </row>
    <row r="621" spans="2:2" ht="11.25" customHeight="1" x14ac:dyDescent="0.25">
      <c r="B621" s="196"/>
    </row>
    <row r="622" spans="2:2" ht="11.25" customHeight="1" x14ac:dyDescent="0.25">
      <c r="B622" s="196"/>
    </row>
    <row r="623" spans="2:2" ht="11.25" customHeight="1" x14ac:dyDescent="0.25">
      <c r="B623" s="196"/>
    </row>
    <row r="624" spans="2:2" ht="11.25" customHeight="1" x14ac:dyDescent="0.25">
      <c r="B624" s="196"/>
    </row>
    <row r="625" spans="2:2" ht="11.25" customHeight="1" x14ac:dyDescent="0.25">
      <c r="B625" s="196"/>
    </row>
    <row r="626" spans="2:2" ht="11.25" customHeight="1" x14ac:dyDescent="0.25">
      <c r="B626" s="196"/>
    </row>
    <row r="627" spans="2:2" ht="11.25" customHeight="1" x14ac:dyDescent="0.25">
      <c r="B627" s="196"/>
    </row>
    <row r="628" spans="2:2" ht="11.25" customHeight="1" x14ac:dyDescent="0.25">
      <c r="B628" s="196"/>
    </row>
    <row r="629" spans="2:2" ht="11.25" customHeight="1" x14ac:dyDescent="0.25">
      <c r="B629" s="196"/>
    </row>
    <row r="630" spans="2:2" ht="11.25" customHeight="1" x14ac:dyDescent="0.25">
      <c r="B630" s="196"/>
    </row>
    <row r="631" spans="2:2" ht="11.25" customHeight="1" x14ac:dyDescent="0.25">
      <c r="B631" s="196"/>
    </row>
    <row r="632" spans="2:2" ht="11.25" customHeight="1" x14ac:dyDescent="0.25">
      <c r="B632" s="196"/>
    </row>
    <row r="633" spans="2:2" ht="11.25" customHeight="1" x14ac:dyDescent="0.25">
      <c r="B633" s="196"/>
    </row>
    <row r="634" spans="2:2" ht="11.25" customHeight="1" x14ac:dyDescent="0.25">
      <c r="B634" s="196"/>
    </row>
    <row r="635" spans="2:2" ht="11.25" customHeight="1" x14ac:dyDescent="0.25">
      <c r="B635" s="196"/>
    </row>
    <row r="636" spans="2:2" ht="11.25" customHeight="1" x14ac:dyDescent="0.25">
      <c r="B636" s="196"/>
    </row>
    <row r="637" spans="2:2" ht="11.25" customHeight="1" x14ac:dyDescent="0.25">
      <c r="B637" s="196"/>
    </row>
    <row r="638" spans="2:2" ht="11.25" customHeight="1" x14ac:dyDescent="0.25">
      <c r="B638" s="196"/>
    </row>
    <row r="639" spans="2:2" ht="11.25" customHeight="1" x14ac:dyDescent="0.25">
      <c r="B639" s="196"/>
    </row>
    <row r="640" spans="2:2" ht="11.25" customHeight="1" x14ac:dyDescent="0.25">
      <c r="B640" s="196"/>
    </row>
    <row r="641" spans="2:2" ht="11.25" customHeight="1" x14ac:dyDescent="0.25">
      <c r="B641" s="196"/>
    </row>
    <row r="642" spans="2:2" ht="11.25" customHeight="1" x14ac:dyDescent="0.25">
      <c r="B642" s="196"/>
    </row>
    <row r="643" spans="2:2" ht="11.25" customHeight="1" x14ac:dyDescent="0.25">
      <c r="B643" s="196"/>
    </row>
    <row r="644" spans="2:2" ht="11.25" customHeight="1" x14ac:dyDescent="0.25">
      <c r="B644" s="196"/>
    </row>
    <row r="645" spans="2:2" ht="11.25" customHeight="1" x14ac:dyDescent="0.25">
      <c r="B645" s="196"/>
    </row>
    <row r="646" spans="2:2" ht="11.25" customHeight="1" x14ac:dyDescent="0.25">
      <c r="B646" s="196"/>
    </row>
    <row r="647" spans="2:2" ht="11.25" customHeight="1" x14ac:dyDescent="0.25">
      <c r="B647" s="196"/>
    </row>
    <row r="648" spans="2:2" ht="11.25" customHeight="1" x14ac:dyDescent="0.25">
      <c r="B648" s="196"/>
    </row>
    <row r="649" spans="2:2" ht="11.25" customHeight="1" x14ac:dyDescent="0.25">
      <c r="B649" s="196"/>
    </row>
    <row r="650" spans="2:2" ht="11.25" customHeight="1" x14ac:dyDescent="0.25">
      <c r="B650" s="196"/>
    </row>
    <row r="651" spans="2:2" ht="11.25" customHeight="1" x14ac:dyDescent="0.25">
      <c r="B651" s="196"/>
    </row>
    <row r="652" spans="2:2" ht="11.25" customHeight="1" x14ac:dyDescent="0.25">
      <c r="B652" s="196"/>
    </row>
    <row r="653" spans="2:2" ht="11.25" customHeight="1" x14ac:dyDescent="0.25">
      <c r="B653" s="196"/>
    </row>
    <row r="654" spans="2:2" ht="11.25" customHeight="1" x14ac:dyDescent="0.25">
      <c r="B654" s="196"/>
    </row>
    <row r="655" spans="2:2" ht="11.25" customHeight="1" x14ac:dyDescent="0.25">
      <c r="B655" s="196"/>
    </row>
    <row r="656" spans="2:2" ht="11.25" customHeight="1" x14ac:dyDescent="0.25">
      <c r="B656" s="196"/>
    </row>
    <row r="657" spans="2:2" ht="11.25" customHeight="1" x14ac:dyDescent="0.25">
      <c r="B657" s="196"/>
    </row>
    <row r="658" spans="2:2" ht="11.25" customHeight="1" x14ac:dyDescent="0.25">
      <c r="B658" s="196"/>
    </row>
    <row r="659" spans="2:2" ht="11.25" customHeight="1" x14ac:dyDescent="0.25">
      <c r="B659" s="196"/>
    </row>
    <row r="660" spans="2:2" ht="11.25" customHeight="1" x14ac:dyDescent="0.25">
      <c r="B660" s="196"/>
    </row>
    <row r="661" spans="2:2" ht="11.25" customHeight="1" x14ac:dyDescent="0.25">
      <c r="B661" s="196"/>
    </row>
    <row r="662" spans="2:2" ht="11.25" customHeight="1" x14ac:dyDescent="0.25">
      <c r="B662" s="196"/>
    </row>
    <row r="663" spans="2:2" ht="11.25" customHeight="1" x14ac:dyDescent="0.25">
      <c r="B663" s="196"/>
    </row>
    <row r="664" spans="2:2" ht="11.25" customHeight="1" x14ac:dyDescent="0.25">
      <c r="B664" s="196"/>
    </row>
    <row r="665" spans="2:2" ht="11.25" customHeight="1" x14ac:dyDescent="0.25">
      <c r="B665" s="196"/>
    </row>
    <row r="666" spans="2:2" ht="11.25" customHeight="1" x14ac:dyDescent="0.25">
      <c r="B666" s="196"/>
    </row>
    <row r="667" spans="2:2" ht="11.25" customHeight="1" x14ac:dyDescent="0.25">
      <c r="B667" s="196"/>
    </row>
    <row r="668" spans="2:2" ht="11.25" customHeight="1" x14ac:dyDescent="0.25">
      <c r="B668" s="196"/>
    </row>
    <row r="669" spans="2:2" ht="11.25" customHeight="1" x14ac:dyDescent="0.25">
      <c r="B669" s="196"/>
    </row>
    <row r="670" spans="2:2" ht="11.25" customHeight="1" x14ac:dyDescent="0.25">
      <c r="B670" s="196"/>
    </row>
    <row r="671" spans="2:2" ht="11.25" customHeight="1" x14ac:dyDescent="0.25">
      <c r="B671" s="196"/>
    </row>
    <row r="672" spans="2:2" ht="11.25" customHeight="1" x14ac:dyDescent="0.25">
      <c r="B672" s="196"/>
    </row>
    <row r="673" spans="2:2" ht="11.25" customHeight="1" x14ac:dyDescent="0.25">
      <c r="B673" s="196"/>
    </row>
    <row r="674" spans="2:2" ht="11.25" customHeight="1" x14ac:dyDescent="0.25">
      <c r="B674" s="196"/>
    </row>
    <row r="675" spans="2:2" ht="11.25" customHeight="1" x14ac:dyDescent="0.25">
      <c r="B675" s="196"/>
    </row>
    <row r="676" spans="2:2" ht="11.25" customHeight="1" x14ac:dyDescent="0.25">
      <c r="B676" s="196"/>
    </row>
    <row r="677" spans="2:2" ht="11.25" customHeight="1" x14ac:dyDescent="0.25">
      <c r="B677" s="196"/>
    </row>
    <row r="678" spans="2:2" ht="11.25" customHeight="1" x14ac:dyDescent="0.25">
      <c r="B678" s="196"/>
    </row>
    <row r="679" spans="2:2" ht="11.25" customHeight="1" x14ac:dyDescent="0.25">
      <c r="B679" s="196"/>
    </row>
    <row r="680" spans="2:2" ht="11.25" customHeight="1" x14ac:dyDescent="0.25">
      <c r="B680" s="196"/>
    </row>
    <row r="681" spans="2:2" ht="11.25" customHeight="1" x14ac:dyDescent="0.25">
      <c r="B681" s="196"/>
    </row>
    <row r="682" spans="2:2" ht="11.25" customHeight="1" x14ac:dyDescent="0.25">
      <c r="B682" s="196"/>
    </row>
    <row r="683" spans="2:2" ht="11.25" customHeight="1" x14ac:dyDescent="0.25">
      <c r="B683" s="196"/>
    </row>
    <row r="684" spans="2:2" ht="11.25" customHeight="1" x14ac:dyDescent="0.25">
      <c r="B684" s="196"/>
    </row>
    <row r="685" spans="2:2" ht="11.25" customHeight="1" x14ac:dyDescent="0.25">
      <c r="B685" s="196"/>
    </row>
    <row r="686" spans="2:2" ht="11.25" customHeight="1" x14ac:dyDescent="0.25">
      <c r="B686" s="196"/>
    </row>
    <row r="687" spans="2:2" ht="11.25" customHeight="1" x14ac:dyDescent="0.25">
      <c r="B687" s="196"/>
    </row>
    <row r="688" spans="2:2" ht="11.25" customHeight="1" x14ac:dyDescent="0.25">
      <c r="B688" s="196"/>
    </row>
    <row r="689" spans="2:2" ht="11.25" customHeight="1" x14ac:dyDescent="0.25">
      <c r="B689" s="196"/>
    </row>
    <row r="690" spans="2:2" ht="11.25" customHeight="1" x14ac:dyDescent="0.25">
      <c r="B690" s="196"/>
    </row>
    <row r="691" spans="2:2" ht="11.25" customHeight="1" x14ac:dyDescent="0.25">
      <c r="B691" s="196"/>
    </row>
    <row r="692" spans="2:2" ht="11.25" customHeight="1" x14ac:dyDescent="0.25">
      <c r="B692" s="196"/>
    </row>
    <row r="693" spans="2:2" ht="11.25" customHeight="1" x14ac:dyDescent="0.25">
      <c r="B693" s="196"/>
    </row>
    <row r="694" spans="2:2" ht="11.25" customHeight="1" x14ac:dyDescent="0.25">
      <c r="B694" s="196"/>
    </row>
    <row r="695" spans="2:2" ht="11.25" customHeight="1" x14ac:dyDescent="0.25">
      <c r="B695" s="196"/>
    </row>
    <row r="696" spans="2:2" ht="11.25" customHeight="1" x14ac:dyDescent="0.25">
      <c r="B696" s="196"/>
    </row>
    <row r="697" spans="2:2" ht="11.25" customHeight="1" x14ac:dyDescent="0.25">
      <c r="B697" s="196"/>
    </row>
    <row r="698" spans="2:2" ht="11.25" customHeight="1" x14ac:dyDescent="0.25">
      <c r="B698" s="196"/>
    </row>
    <row r="699" spans="2:2" ht="11.25" customHeight="1" x14ac:dyDescent="0.25">
      <c r="B699" s="196"/>
    </row>
    <row r="700" spans="2:2" ht="11.25" customHeight="1" x14ac:dyDescent="0.25">
      <c r="B700" s="196"/>
    </row>
    <row r="701" spans="2:2" ht="11.25" customHeight="1" x14ac:dyDescent="0.25">
      <c r="B701" s="196"/>
    </row>
    <row r="702" spans="2:2" ht="11.25" customHeight="1" x14ac:dyDescent="0.25">
      <c r="B702" s="196"/>
    </row>
    <row r="703" spans="2:2" ht="11.25" customHeight="1" x14ac:dyDescent="0.25">
      <c r="B703" s="196"/>
    </row>
    <row r="704" spans="2:2" ht="11.25" customHeight="1" x14ac:dyDescent="0.25">
      <c r="B704" s="196"/>
    </row>
    <row r="705" spans="2:2" ht="11.25" customHeight="1" x14ac:dyDescent="0.25">
      <c r="B705" s="196"/>
    </row>
    <row r="706" spans="2:2" ht="11.25" customHeight="1" x14ac:dyDescent="0.25">
      <c r="B706" s="196"/>
    </row>
    <row r="707" spans="2:2" ht="11.25" customHeight="1" x14ac:dyDescent="0.25">
      <c r="B707" s="196"/>
    </row>
    <row r="708" spans="2:2" ht="11.25" customHeight="1" x14ac:dyDescent="0.25">
      <c r="B708" s="196"/>
    </row>
    <row r="709" spans="2:2" ht="11.25" customHeight="1" x14ac:dyDescent="0.25">
      <c r="B709" s="196"/>
    </row>
    <row r="710" spans="2:2" ht="11.25" customHeight="1" x14ac:dyDescent="0.25">
      <c r="B710" s="196"/>
    </row>
    <row r="711" spans="2:2" ht="11.25" customHeight="1" x14ac:dyDescent="0.25">
      <c r="B711" s="196"/>
    </row>
    <row r="712" spans="2:2" ht="11.25" customHeight="1" x14ac:dyDescent="0.25">
      <c r="B712" s="196"/>
    </row>
    <row r="713" spans="2:2" ht="11.25" customHeight="1" x14ac:dyDescent="0.25">
      <c r="B713" s="196"/>
    </row>
    <row r="714" spans="2:2" ht="11.25" customHeight="1" x14ac:dyDescent="0.25">
      <c r="B714" s="196"/>
    </row>
    <row r="715" spans="2:2" ht="11.25" customHeight="1" x14ac:dyDescent="0.25">
      <c r="B715" s="196"/>
    </row>
    <row r="716" spans="2:2" ht="11.25" customHeight="1" x14ac:dyDescent="0.25">
      <c r="B716" s="196"/>
    </row>
    <row r="717" spans="2:2" ht="11.25" customHeight="1" x14ac:dyDescent="0.25">
      <c r="B717" s="196"/>
    </row>
    <row r="718" spans="2:2" ht="11.25" customHeight="1" x14ac:dyDescent="0.25">
      <c r="B718" s="196"/>
    </row>
    <row r="719" spans="2:2" ht="11.25" customHeight="1" x14ac:dyDescent="0.25">
      <c r="B719" s="196"/>
    </row>
    <row r="720" spans="2:2" ht="11.25" customHeight="1" x14ac:dyDescent="0.25">
      <c r="B720" s="196"/>
    </row>
    <row r="721" spans="2:2" ht="11.25" customHeight="1" x14ac:dyDescent="0.25">
      <c r="B721" s="196"/>
    </row>
    <row r="722" spans="2:2" ht="11.25" customHeight="1" x14ac:dyDescent="0.25">
      <c r="B722" s="196"/>
    </row>
    <row r="723" spans="2:2" ht="11.25" customHeight="1" x14ac:dyDescent="0.25">
      <c r="B723" s="196"/>
    </row>
    <row r="724" spans="2:2" ht="11.25" customHeight="1" x14ac:dyDescent="0.25">
      <c r="B724" s="196"/>
    </row>
    <row r="725" spans="2:2" ht="11.25" customHeight="1" x14ac:dyDescent="0.25">
      <c r="B725" s="196"/>
    </row>
    <row r="726" spans="2:2" ht="11.25" customHeight="1" x14ac:dyDescent="0.25">
      <c r="B726" s="196"/>
    </row>
    <row r="727" spans="2:2" ht="11.25" customHeight="1" x14ac:dyDescent="0.25">
      <c r="B727" s="196"/>
    </row>
    <row r="728" spans="2:2" ht="11.25" customHeight="1" x14ac:dyDescent="0.25">
      <c r="B728" s="196"/>
    </row>
    <row r="729" spans="2:2" ht="11.25" customHeight="1" x14ac:dyDescent="0.25">
      <c r="B729" s="196"/>
    </row>
    <row r="730" spans="2:2" ht="11.25" customHeight="1" x14ac:dyDescent="0.25">
      <c r="B730" s="196"/>
    </row>
    <row r="731" spans="2:2" ht="11.25" customHeight="1" x14ac:dyDescent="0.25">
      <c r="B731" s="196"/>
    </row>
    <row r="732" spans="2:2" ht="11.25" customHeight="1" x14ac:dyDescent="0.25">
      <c r="B732" s="196"/>
    </row>
    <row r="733" spans="2:2" ht="11.25" customHeight="1" x14ac:dyDescent="0.25">
      <c r="B733" s="196"/>
    </row>
    <row r="734" spans="2:2" ht="11.25" customHeight="1" x14ac:dyDescent="0.25">
      <c r="B734" s="196"/>
    </row>
    <row r="735" spans="2:2" ht="11.25" customHeight="1" x14ac:dyDescent="0.25">
      <c r="B735" s="196"/>
    </row>
    <row r="736" spans="2:2" ht="11.25" customHeight="1" x14ac:dyDescent="0.25">
      <c r="B736" s="196"/>
    </row>
    <row r="737" spans="2:2" ht="11.25" customHeight="1" x14ac:dyDescent="0.25">
      <c r="B737" s="196"/>
    </row>
    <row r="738" spans="2:2" ht="11.25" customHeight="1" x14ac:dyDescent="0.25">
      <c r="B738" s="196"/>
    </row>
    <row r="739" spans="2:2" ht="11.25" customHeight="1" x14ac:dyDescent="0.25">
      <c r="B739" s="196"/>
    </row>
    <row r="740" spans="2:2" ht="11.25" customHeight="1" x14ac:dyDescent="0.25">
      <c r="B740" s="196"/>
    </row>
  </sheetData>
  <sheetProtection selectLockedCells="1" selectUnlockedCells="1"/>
  <pageMargins left="0.7" right="0.7" top="0.75" bottom="0.75" header="0.3" footer="0.3"/>
  <pageSetup orientation="portrait" r:id="rId1"/>
  <headerFooter>
    <oddFooter>&amp;C&amp;1#&amp;"Calibri"&amp;10&amp;K000000PUBLIC</oddFooter>
    <evenFooter>&amp;LRESTRICTED</evenFooter>
    <firstFooter>&amp;LRESTRICTED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BTT_Regresar">
          <controlPr defaultSize="0" autoLine="0" r:id="rId5">
            <anchor moveWithCells="1">
              <from>
                <xdr:col>2</xdr:col>
                <xdr:colOff>57150</xdr:colOff>
                <xdr:row>1</xdr:row>
                <xdr:rowOff>9525</xdr:rowOff>
              </from>
              <to>
                <xdr:col>2</xdr:col>
                <xdr:colOff>676275</xdr:colOff>
                <xdr:row>3</xdr:row>
                <xdr:rowOff>0</xdr:rowOff>
              </to>
            </anchor>
          </controlPr>
        </control>
      </mc:Choice>
      <mc:Fallback>
        <control shapeId="4097" r:id="rId4" name="BTT_Regresa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ERPFLICHTUNG"/>
  <dimension ref="A2:AB49"/>
  <sheetViews>
    <sheetView showGridLines="0" zoomScale="115" zoomScaleNormal="115" workbookViewId="0">
      <selection activeCell="T38" sqref="T38"/>
    </sheetView>
  </sheetViews>
  <sheetFormatPr baseColWidth="10" defaultColWidth="4.28515625" defaultRowHeight="15" x14ac:dyDescent="0.25"/>
  <cols>
    <col min="2" max="12" width="4.28515625" customWidth="1"/>
    <col min="13" max="16" width="3.85546875" customWidth="1"/>
    <col min="17" max="19" width="4.28515625" customWidth="1"/>
    <col min="20" max="23" width="3.85546875" customWidth="1"/>
    <col min="24" max="28" width="4.28515625" customWidth="1"/>
  </cols>
  <sheetData>
    <row r="2" spans="2:28" x14ac:dyDescent="0.25">
      <c r="W2" s="125"/>
      <c r="X2" s="125"/>
      <c r="Y2" s="125"/>
      <c r="Z2" s="125"/>
      <c r="AA2" s="125"/>
      <c r="AB2" s="125"/>
    </row>
    <row r="3" spans="2:28" x14ac:dyDescent="0.2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644">
        <f ca="1">TODAY()</f>
        <v>44798</v>
      </c>
      <c r="M3" s="644"/>
      <c r="N3" s="644"/>
      <c r="O3" s="644"/>
      <c r="P3" s="644"/>
      <c r="Q3" s="644"/>
      <c r="R3" s="644"/>
      <c r="S3" s="644"/>
      <c r="T3" s="644"/>
      <c r="U3" s="644"/>
      <c r="V3" s="644"/>
      <c r="W3" s="644"/>
    </row>
    <row r="4" spans="2:28" x14ac:dyDescent="0.25">
      <c r="B4" s="128"/>
      <c r="C4" s="128"/>
      <c r="D4" s="128"/>
      <c r="E4" s="128"/>
      <c r="F4" s="128"/>
      <c r="G4" s="128"/>
      <c r="H4" s="128"/>
      <c r="I4" s="128"/>
      <c r="J4" s="128"/>
      <c r="K4" s="128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29"/>
    </row>
    <row r="5" spans="2:28" x14ac:dyDescent="0.25">
      <c r="B5" s="128"/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</row>
    <row r="6" spans="2:28" x14ac:dyDescent="0.25">
      <c r="B6" s="131" t="s">
        <v>221</v>
      </c>
      <c r="C6" s="131"/>
      <c r="D6" s="126"/>
      <c r="E6" s="126"/>
      <c r="F6" s="126"/>
      <c r="G6" s="126"/>
      <c r="H6" s="126"/>
      <c r="I6" s="126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28"/>
      <c r="V6" s="128"/>
    </row>
    <row r="7" spans="2:28" x14ac:dyDescent="0.25">
      <c r="B7" s="128"/>
      <c r="C7" s="126"/>
      <c r="D7" s="126"/>
      <c r="E7" s="126"/>
      <c r="F7" s="126"/>
      <c r="G7" s="126"/>
      <c r="H7" s="126"/>
      <c r="I7" s="126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</row>
    <row r="8" spans="2:28" x14ac:dyDescent="0.25">
      <c r="B8" s="126" t="s">
        <v>233</v>
      </c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8"/>
    </row>
    <row r="9" spans="2:28" x14ac:dyDescent="0.25">
      <c r="B9" s="126" t="s">
        <v>234</v>
      </c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8"/>
    </row>
    <row r="10" spans="2:28" x14ac:dyDescent="0.25">
      <c r="B10" s="126" t="s">
        <v>235</v>
      </c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8"/>
    </row>
    <row r="11" spans="2:28" x14ac:dyDescent="0.25">
      <c r="B11" s="126" t="s">
        <v>236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8"/>
    </row>
    <row r="12" spans="2:28" x14ac:dyDescent="0.25"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8"/>
    </row>
    <row r="13" spans="2:28" ht="15" customHeight="1" x14ac:dyDescent="0.25">
      <c r="B13" s="645" t="s">
        <v>229</v>
      </c>
      <c r="C13" s="646"/>
      <c r="D13" s="646"/>
      <c r="E13" s="646"/>
      <c r="F13" s="646"/>
      <c r="G13" s="646"/>
      <c r="H13" s="646"/>
      <c r="I13" s="647"/>
      <c r="J13" s="655" t="s">
        <v>228</v>
      </c>
      <c r="K13" s="654"/>
      <c r="L13" s="654"/>
      <c r="M13" s="654"/>
      <c r="N13" s="654"/>
      <c r="O13" s="654"/>
      <c r="P13" s="654"/>
      <c r="Q13" s="654" t="s">
        <v>226</v>
      </c>
      <c r="R13" s="654"/>
      <c r="S13" s="654"/>
      <c r="T13" s="654"/>
      <c r="U13" s="654"/>
      <c r="V13" s="654"/>
      <c r="W13" s="654"/>
    </row>
    <row r="14" spans="2:28" ht="15" customHeight="1" x14ac:dyDescent="0.25">
      <c r="B14" s="648" t="s">
        <v>230</v>
      </c>
      <c r="C14" s="649"/>
      <c r="D14" s="649"/>
      <c r="E14" s="649"/>
      <c r="F14" s="649"/>
      <c r="G14" s="649"/>
      <c r="H14" s="649"/>
      <c r="I14" s="650"/>
      <c r="J14" s="655" t="s">
        <v>224</v>
      </c>
      <c r="K14" s="654"/>
      <c r="L14" s="654"/>
      <c r="M14" s="654" t="s">
        <v>225</v>
      </c>
      <c r="N14" s="654"/>
      <c r="O14" s="654"/>
      <c r="P14" s="654"/>
      <c r="Q14" s="654" t="s">
        <v>224</v>
      </c>
      <c r="R14" s="654"/>
      <c r="S14" s="654"/>
      <c r="T14" s="654" t="s">
        <v>225</v>
      </c>
      <c r="U14" s="654"/>
      <c r="V14" s="654"/>
      <c r="W14" s="654"/>
    </row>
    <row r="15" spans="2:28" ht="8.25" customHeight="1" x14ac:dyDescent="0.25"/>
    <row r="16" spans="2:28" ht="15" customHeight="1" x14ac:dyDescent="0.25">
      <c r="B16" s="656" t="str">
        <f>IF(ISERROR(DATOS!$AM662),"-",DATOS!$AM662)</f>
        <v>-</v>
      </c>
      <c r="C16" s="657"/>
      <c r="D16" s="657"/>
      <c r="E16" s="657"/>
      <c r="F16" s="657"/>
      <c r="G16" s="657"/>
      <c r="H16" s="657"/>
      <c r="I16" s="658"/>
      <c r="J16" s="639" t="str">
        <f>IF(ISERROR(DATOS!$AN662),"-",DATOS!$AN662)</f>
        <v>-</v>
      </c>
      <c r="K16" s="640"/>
      <c r="L16" s="641"/>
      <c r="M16" s="639" t="str">
        <f>IF(ISERROR(DATOS!$AO662),"-",DATOS!$AO662)</f>
        <v>-</v>
      </c>
      <c r="N16" s="640"/>
      <c r="O16" s="640"/>
      <c r="P16" s="641"/>
      <c r="Q16" s="639" t="str">
        <f>IF(ISERROR(DATOS!$AN662),"-",DATOS!$AN662)</f>
        <v>-</v>
      </c>
      <c r="R16" s="640"/>
      <c r="S16" s="641"/>
      <c r="T16" s="639" t="str">
        <f>IF(ISERROR(DATOS!$AO662),"-",DATOS!$AO662)</f>
        <v>-</v>
      </c>
      <c r="U16" s="640"/>
      <c r="V16" s="640"/>
      <c r="W16" s="641"/>
      <c r="X16" s="126"/>
      <c r="Y16" s="126"/>
      <c r="Z16" s="126"/>
    </row>
    <row r="17" spans="2:26" ht="15" customHeight="1" x14ac:dyDescent="0.25">
      <c r="B17" s="656" t="str">
        <f>IF(ISERROR(DATOS!$AM663),"-",DATOS!$AM663)</f>
        <v>-</v>
      </c>
      <c r="C17" s="657"/>
      <c r="D17" s="657"/>
      <c r="E17" s="657"/>
      <c r="F17" s="657"/>
      <c r="G17" s="657"/>
      <c r="H17" s="657"/>
      <c r="I17" s="658"/>
      <c r="J17" s="639" t="str">
        <f>IF(ISERROR(DATOS!$AN663),"-",DATOS!$AN663)</f>
        <v>-</v>
      </c>
      <c r="K17" s="640"/>
      <c r="L17" s="641"/>
      <c r="M17" s="639" t="str">
        <f>IF(ISERROR(DATOS!$AO663),"-",DATOS!$AO663)</f>
        <v>-</v>
      </c>
      <c r="N17" s="640"/>
      <c r="O17" s="640"/>
      <c r="P17" s="641"/>
      <c r="Q17" s="639" t="str">
        <f>IF(ISERROR(DATOS!$AN663),"-",DATOS!$AN663)</f>
        <v>-</v>
      </c>
      <c r="R17" s="640"/>
      <c r="S17" s="641"/>
      <c r="T17" s="639" t="str">
        <f>IF(ISERROR(DATOS!$AO663),"-",DATOS!$AO663)</f>
        <v>-</v>
      </c>
      <c r="U17" s="640"/>
      <c r="V17" s="640"/>
      <c r="W17" s="641"/>
      <c r="X17" s="126"/>
      <c r="Y17" s="126"/>
      <c r="Z17" s="126"/>
    </row>
    <row r="18" spans="2:26" ht="15" customHeight="1" x14ac:dyDescent="0.25">
      <c r="B18" s="656" t="str">
        <f>IF(ISERROR(DATOS!$AM664),"-",DATOS!$AM664)</f>
        <v>-</v>
      </c>
      <c r="C18" s="657"/>
      <c r="D18" s="657"/>
      <c r="E18" s="657"/>
      <c r="F18" s="657"/>
      <c r="G18" s="657"/>
      <c r="H18" s="657"/>
      <c r="I18" s="658"/>
      <c r="J18" s="639" t="str">
        <f>IF(ISERROR(DATOS!$AN664),"-",DATOS!$AN664)</f>
        <v>-</v>
      </c>
      <c r="K18" s="640"/>
      <c r="L18" s="641"/>
      <c r="M18" s="639" t="str">
        <f>IF(ISERROR(DATOS!$AO664),"-",DATOS!$AO664)</f>
        <v>-</v>
      </c>
      <c r="N18" s="640"/>
      <c r="O18" s="640"/>
      <c r="P18" s="641"/>
      <c r="Q18" s="639" t="str">
        <f>IF(ISERROR(DATOS!$AN664),"-",DATOS!$AN664)</f>
        <v>-</v>
      </c>
      <c r="R18" s="640"/>
      <c r="S18" s="641"/>
      <c r="T18" s="639" t="str">
        <f>IF(ISERROR(DATOS!$AO664),"-",DATOS!$AO664)</f>
        <v>-</v>
      </c>
      <c r="U18" s="640"/>
      <c r="V18" s="640"/>
      <c r="W18" s="641"/>
      <c r="X18" s="126"/>
      <c r="Y18" s="126"/>
      <c r="Z18" s="126"/>
    </row>
    <row r="19" spans="2:26" x14ac:dyDescent="0.25">
      <c r="B19" s="656" t="str">
        <f>IF(ISERROR(DATOS!$AM665),"-",DATOS!$AM665)</f>
        <v>-</v>
      </c>
      <c r="C19" s="657"/>
      <c r="D19" s="657"/>
      <c r="E19" s="657"/>
      <c r="F19" s="657"/>
      <c r="G19" s="657"/>
      <c r="H19" s="657"/>
      <c r="I19" s="658"/>
      <c r="J19" s="639" t="str">
        <f>IF(ISERROR(DATOS!$AN665),"-",DATOS!$AN665)</f>
        <v>-</v>
      </c>
      <c r="K19" s="640"/>
      <c r="L19" s="641"/>
      <c r="M19" s="639" t="str">
        <f>IF(ISERROR(DATOS!$AO665),"-",DATOS!$AO665)</f>
        <v>-</v>
      </c>
      <c r="N19" s="640"/>
      <c r="O19" s="640"/>
      <c r="P19" s="641"/>
      <c r="Q19" s="639" t="str">
        <f>IF(ISERROR(DATOS!$AN665),"-",DATOS!$AN665)</f>
        <v>-</v>
      </c>
      <c r="R19" s="640"/>
      <c r="S19" s="641"/>
      <c r="T19" s="639" t="str">
        <f>IF(ISERROR(DATOS!$AO665),"-",DATOS!$AO665)</f>
        <v>-</v>
      </c>
      <c r="U19" s="640"/>
      <c r="V19" s="640"/>
      <c r="W19" s="641"/>
      <c r="X19" s="127"/>
      <c r="Y19" s="127"/>
      <c r="Z19" s="127"/>
    </row>
    <row r="20" spans="2:26" x14ac:dyDescent="0.25">
      <c r="B20" s="656" t="str">
        <f>IF(ISERROR(DATOS!$AM666),"-",DATOS!$AM666)</f>
        <v>-</v>
      </c>
      <c r="C20" s="657"/>
      <c r="D20" s="657"/>
      <c r="E20" s="657"/>
      <c r="F20" s="657"/>
      <c r="G20" s="657"/>
      <c r="H20" s="657"/>
      <c r="I20" s="658"/>
      <c r="J20" s="639" t="str">
        <f>IF(ISERROR(DATOS!$AN666),"-",DATOS!$AN666)</f>
        <v>-</v>
      </c>
      <c r="K20" s="640"/>
      <c r="L20" s="641"/>
      <c r="M20" s="639" t="str">
        <f>IF(ISERROR(DATOS!$AO666),"-",DATOS!$AO666)</f>
        <v>-</v>
      </c>
      <c r="N20" s="640"/>
      <c r="O20" s="640"/>
      <c r="P20" s="641"/>
      <c r="Q20" s="639" t="str">
        <f>IF(ISERROR(DATOS!$AN666),"-",DATOS!$AN666)</f>
        <v>-</v>
      </c>
      <c r="R20" s="640"/>
      <c r="S20" s="641"/>
      <c r="T20" s="639" t="str">
        <f>IF(ISERROR(DATOS!$AO666),"-",DATOS!$AO666)</f>
        <v>-</v>
      </c>
      <c r="U20" s="640"/>
      <c r="V20" s="640"/>
      <c r="W20" s="641"/>
      <c r="X20" s="127"/>
    </row>
    <row r="21" spans="2:26" x14ac:dyDescent="0.25">
      <c r="B21" s="656" t="str">
        <f>IF(ISERROR(DATOS!$AM667),"-",DATOS!$AM667)</f>
        <v>-</v>
      </c>
      <c r="C21" s="657"/>
      <c r="D21" s="657"/>
      <c r="E21" s="657"/>
      <c r="F21" s="657"/>
      <c r="G21" s="657"/>
      <c r="H21" s="657"/>
      <c r="I21" s="658"/>
      <c r="J21" s="639" t="str">
        <f>IF(ISERROR(DATOS!$AN667),"-",DATOS!$AN667)</f>
        <v>-</v>
      </c>
      <c r="K21" s="640"/>
      <c r="L21" s="641"/>
      <c r="M21" s="639" t="str">
        <f>IF(ISERROR(DATOS!$AO667),"-",DATOS!$AO667)</f>
        <v>-</v>
      </c>
      <c r="N21" s="640"/>
      <c r="O21" s="640"/>
      <c r="P21" s="641"/>
      <c r="Q21" s="639" t="str">
        <f>IF(ISERROR(DATOS!$AN667),"-",DATOS!$AN667)</f>
        <v>-</v>
      </c>
      <c r="R21" s="640"/>
      <c r="S21" s="641"/>
      <c r="T21" s="639" t="str">
        <f>IF(ISERROR(DATOS!$AO667),"-",DATOS!$AO667)</f>
        <v>-</v>
      </c>
      <c r="U21" s="640"/>
      <c r="V21" s="640"/>
      <c r="W21" s="641"/>
    </row>
    <row r="22" spans="2:26" x14ac:dyDescent="0.25">
      <c r="B22" s="656" t="str">
        <f>IF(ISERROR(DATOS!$AM668),"-",DATOS!$AM668)</f>
        <v>-</v>
      </c>
      <c r="C22" s="657"/>
      <c r="D22" s="657"/>
      <c r="E22" s="657"/>
      <c r="F22" s="657"/>
      <c r="G22" s="657"/>
      <c r="H22" s="657"/>
      <c r="I22" s="658"/>
      <c r="J22" s="639" t="str">
        <f>IF(ISERROR(DATOS!$AN668),"-",DATOS!$AN668)</f>
        <v>-</v>
      </c>
      <c r="K22" s="640"/>
      <c r="L22" s="641"/>
      <c r="M22" s="639" t="str">
        <f>IF(ISERROR(DATOS!$AO668),"-",DATOS!$AO668)</f>
        <v>-</v>
      </c>
      <c r="N22" s="640"/>
      <c r="O22" s="640"/>
      <c r="P22" s="641"/>
      <c r="Q22" s="639" t="str">
        <f>IF(ISERROR(DATOS!$AN668),"-",DATOS!$AN668)</f>
        <v>-</v>
      </c>
      <c r="R22" s="640"/>
      <c r="S22" s="641"/>
      <c r="T22" s="639" t="str">
        <f>IF(ISERROR(DATOS!$AO668),"-",DATOS!$AO668)</f>
        <v>-</v>
      </c>
      <c r="U22" s="640"/>
      <c r="V22" s="640"/>
      <c r="W22" s="641"/>
    </row>
    <row r="23" spans="2:26" x14ac:dyDescent="0.25">
      <c r="B23" s="656" t="str">
        <f>IF(ISERROR(DATOS!$AM669),"-",DATOS!$AM669)</f>
        <v>-</v>
      </c>
      <c r="C23" s="657"/>
      <c r="D23" s="657"/>
      <c r="E23" s="657"/>
      <c r="F23" s="657"/>
      <c r="G23" s="657"/>
      <c r="H23" s="657"/>
      <c r="I23" s="658"/>
      <c r="J23" s="639" t="str">
        <f>IF(ISERROR(DATOS!$AN669),"-",DATOS!$AN669)</f>
        <v>-</v>
      </c>
      <c r="K23" s="640"/>
      <c r="L23" s="641"/>
      <c r="M23" s="639" t="str">
        <f>IF(ISERROR(DATOS!$AO669),"-",DATOS!$AO669)</f>
        <v>-</v>
      </c>
      <c r="N23" s="640"/>
      <c r="O23" s="640"/>
      <c r="P23" s="641"/>
      <c r="Q23" s="639" t="str">
        <f>IF(ISERROR(DATOS!$AN669),"-",DATOS!$AN669)</f>
        <v>-</v>
      </c>
      <c r="R23" s="640"/>
      <c r="S23" s="641"/>
      <c r="T23" s="639" t="str">
        <f>IF(ISERROR(DATOS!$AO669),"-",DATOS!$AO669)</f>
        <v>-</v>
      </c>
      <c r="U23" s="640"/>
      <c r="V23" s="640"/>
      <c r="W23" s="641"/>
    </row>
    <row r="24" spans="2:26" x14ac:dyDescent="0.25">
      <c r="B24" s="656" t="str">
        <f>IF(ISERROR(DATOS!$AM670),"-",DATOS!$AM670)</f>
        <v>-</v>
      </c>
      <c r="C24" s="657"/>
      <c r="D24" s="657"/>
      <c r="E24" s="657"/>
      <c r="F24" s="657"/>
      <c r="G24" s="657"/>
      <c r="H24" s="657"/>
      <c r="I24" s="658"/>
      <c r="J24" s="639" t="str">
        <f>IF(ISERROR(DATOS!$AN670),"-",DATOS!$AN670)</f>
        <v>-</v>
      </c>
      <c r="K24" s="640"/>
      <c r="L24" s="641"/>
      <c r="M24" s="639" t="str">
        <f>IF(ISERROR(DATOS!$AO670),"-",DATOS!$AO670)</f>
        <v>-</v>
      </c>
      <c r="N24" s="640"/>
      <c r="O24" s="640"/>
      <c r="P24" s="641"/>
      <c r="Q24" s="639" t="str">
        <f>IF(ISERROR(DATOS!$AN670),"-",DATOS!$AN670)</f>
        <v>-</v>
      </c>
      <c r="R24" s="640"/>
      <c r="S24" s="641"/>
      <c r="T24" s="639" t="str">
        <f>IF(ISERROR(DATOS!$AO670),"-",DATOS!$AO670)</f>
        <v>-</v>
      </c>
      <c r="U24" s="640"/>
      <c r="V24" s="640"/>
      <c r="W24" s="641"/>
    </row>
    <row r="25" spans="2:26" x14ac:dyDescent="0.25">
      <c r="B25" s="656" t="str">
        <f>IF(ISERROR(DATOS!$AM671),"-",DATOS!$AM671)</f>
        <v>-</v>
      </c>
      <c r="C25" s="657"/>
      <c r="D25" s="657"/>
      <c r="E25" s="657"/>
      <c r="F25" s="657"/>
      <c r="G25" s="657"/>
      <c r="H25" s="657"/>
      <c r="I25" s="658"/>
      <c r="J25" s="639" t="str">
        <f>IF(ISERROR(DATOS!$AN671),"-",DATOS!$AN671)</f>
        <v>-</v>
      </c>
      <c r="K25" s="640"/>
      <c r="L25" s="641"/>
      <c r="M25" s="639" t="str">
        <f>IF(ISERROR(DATOS!$AO671),"-",DATOS!$AO671)</f>
        <v>-</v>
      </c>
      <c r="N25" s="640"/>
      <c r="O25" s="640"/>
      <c r="P25" s="641"/>
      <c r="Q25" s="639" t="str">
        <f>IF(ISERROR(DATOS!$AN671),"-",DATOS!$AN671)</f>
        <v>-</v>
      </c>
      <c r="R25" s="640"/>
      <c r="S25" s="641"/>
      <c r="T25" s="639" t="str">
        <f>IF(ISERROR(DATOS!$AO671),"-",DATOS!$AO671)</f>
        <v>-</v>
      </c>
      <c r="U25" s="640"/>
      <c r="V25" s="640"/>
      <c r="W25" s="641"/>
    </row>
    <row r="26" spans="2:26" x14ac:dyDescent="0.25">
      <c r="B26" s="656" t="str">
        <f>IF(ISERROR(DATOS!$AM672),"-",DATOS!$AM672)</f>
        <v>-</v>
      </c>
      <c r="C26" s="657"/>
      <c r="D26" s="657"/>
      <c r="E26" s="657"/>
      <c r="F26" s="657"/>
      <c r="G26" s="657"/>
      <c r="H26" s="657"/>
      <c r="I26" s="658"/>
      <c r="J26" s="639" t="str">
        <f>IF(ISERROR(DATOS!$AN672),"-",DATOS!$AN672)</f>
        <v>-</v>
      </c>
      <c r="K26" s="640"/>
      <c r="L26" s="641"/>
      <c r="M26" s="639" t="str">
        <f>IF(ISERROR(DATOS!$AO672),"-",DATOS!$AO672)</f>
        <v>-</v>
      </c>
      <c r="N26" s="640"/>
      <c r="O26" s="640"/>
      <c r="P26" s="641"/>
      <c r="Q26" s="639" t="str">
        <f>IF(ISERROR(DATOS!$AN672),"-",DATOS!$AN672)</f>
        <v>-</v>
      </c>
      <c r="R26" s="640"/>
      <c r="S26" s="641"/>
      <c r="T26" s="639" t="str">
        <f>IF(ISERROR(DATOS!$AO672),"-",DATOS!$AO672)</f>
        <v>-</v>
      </c>
      <c r="U26" s="640"/>
      <c r="V26" s="640"/>
      <c r="W26" s="641"/>
    </row>
    <row r="27" spans="2:26" x14ac:dyDescent="0.25">
      <c r="B27" s="656" t="str">
        <f>IF(ISERROR(DATOS!$AM673),"-",DATOS!$AM673)</f>
        <v>-</v>
      </c>
      <c r="C27" s="657"/>
      <c r="D27" s="657"/>
      <c r="E27" s="657"/>
      <c r="F27" s="657"/>
      <c r="G27" s="657"/>
      <c r="H27" s="657"/>
      <c r="I27" s="658"/>
      <c r="J27" s="639" t="str">
        <f>IF(ISERROR(DATOS!$AN673),"-",DATOS!$AN673)</f>
        <v>-</v>
      </c>
      <c r="K27" s="640"/>
      <c r="L27" s="641"/>
      <c r="M27" s="639" t="str">
        <f>IF(ISERROR(DATOS!$AO673),"-",DATOS!$AO673)</f>
        <v>-</v>
      </c>
      <c r="N27" s="640"/>
      <c r="O27" s="640"/>
      <c r="P27" s="641"/>
      <c r="Q27" s="639" t="str">
        <f>IF(ISERROR(DATOS!$AN673),"-",DATOS!$AN673)</f>
        <v>-</v>
      </c>
      <c r="R27" s="640"/>
      <c r="S27" s="641"/>
      <c r="T27" s="639" t="str">
        <f>IF(ISERROR(DATOS!$AO673),"-",DATOS!$AO673)</f>
        <v>-</v>
      </c>
      <c r="U27" s="640"/>
      <c r="V27" s="640"/>
      <c r="W27" s="641"/>
    </row>
    <row r="28" spans="2:26" x14ac:dyDescent="0.25">
      <c r="B28" s="656" t="str">
        <f>IF(ISERROR(DATOS!$AM674),"-",DATOS!$AM674)</f>
        <v>-</v>
      </c>
      <c r="C28" s="657"/>
      <c r="D28" s="657"/>
      <c r="E28" s="657"/>
      <c r="F28" s="657"/>
      <c r="G28" s="657"/>
      <c r="H28" s="657"/>
      <c r="I28" s="658"/>
      <c r="J28" s="639" t="str">
        <f>IF(ISERROR(DATOS!$AN674),"-",DATOS!$AN674)</f>
        <v>-</v>
      </c>
      <c r="K28" s="640"/>
      <c r="L28" s="641"/>
      <c r="M28" s="639" t="str">
        <f>IF(ISERROR(DATOS!$AO674),"-",DATOS!$AO674)</f>
        <v>-</v>
      </c>
      <c r="N28" s="640"/>
      <c r="O28" s="640"/>
      <c r="P28" s="641"/>
      <c r="Q28" s="639" t="str">
        <f>IF(ISERROR(DATOS!$AN674),"-",DATOS!$AN674)</f>
        <v>-</v>
      </c>
      <c r="R28" s="640"/>
      <c r="S28" s="641"/>
      <c r="T28" s="639" t="str">
        <f>IF(ISERROR(DATOS!$AO674),"-",DATOS!$AO674)</f>
        <v>-</v>
      </c>
      <c r="U28" s="640"/>
      <c r="V28" s="640"/>
      <c r="W28" s="641"/>
    </row>
    <row r="29" spans="2:26" x14ac:dyDescent="0.25">
      <c r="B29" s="656" t="str">
        <f>IF(ISERROR(DATOS!$AM675),"-",DATOS!$AM675)</f>
        <v>-</v>
      </c>
      <c r="C29" s="657"/>
      <c r="D29" s="657"/>
      <c r="E29" s="657"/>
      <c r="F29" s="657"/>
      <c r="G29" s="657"/>
      <c r="H29" s="657"/>
      <c r="I29" s="658"/>
      <c r="J29" s="639" t="str">
        <f>IF(ISERROR(DATOS!$AN675),"-",DATOS!$AN675)</f>
        <v>-</v>
      </c>
      <c r="K29" s="640"/>
      <c r="L29" s="641"/>
      <c r="M29" s="639" t="str">
        <f>IF(ISERROR(DATOS!$AO675),"-",DATOS!$AO675)</f>
        <v>-</v>
      </c>
      <c r="N29" s="640"/>
      <c r="O29" s="640"/>
      <c r="P29" s="641"/>
      <c r="Q29" s="639" t="str">
        <f>IF(ISERROR(DATOS!$AN675),"-",DATOS!$AN675)</f>
        <v>-</v>
      </c>
      <c r="R29" s="640"/>
      <c r="S29" s="641"/>
      <c r="T29" s="639" t="str">
        <f>IF(ISERROR(DATOS!$AO675),"-",DATOS!$AO675)</f>
        <v>-</v>
      </c>
      <c r="U29" s="640"/>
      <c r="V29" s="640"/>
      <c r="W29" s="641"/>
    </row>
    <row r="30" spans="2:26" x14ac:dyDescent="0.25">
      <c r="B30" s="656" t="str">
        <f>IF(ISERROR(DATOS!$AM676),"-",DATOS!$AM676)</f>
        <v>-</v>
      </c>
      <c r="C30" s="657"/>
      <c r="D30" s="657"/>
      <c r="E30" s="657"/>
      <c r="F30" s="657"/>
      <c r="G30" s="657"/>
      <c r="H30" s="657"/>
      <c r="I30" s="658"/>
      <c r="J30" s="639" t="str">
        <f>IF(ISERROR(DATOS!$AN676),"-",DATOS!$AN676)</f>
        <v>-</v>
      </c>
      <c r="K30" s="640"/>
      <c r="L30" s="641"/>
      <c r="M30" s="639" t="str">
        <f>IF(ISERROR(DATOS!$AO676),"-",DATOS!$AO676)</f>
        <v>-</v>
      </c>
      <c r="N30" s="640"/>
      <c r="O30" s="640"/>
      <c r="P30" s="641"/>
      <c r="Q30" s="639" t="str">
        <f>IF(ISERROR(DATOS!$AN676),"-",DATOS!$AN676)</f>
        <v>-</v>
      </c>
      <c r="R30" s="640"/>
      <c r="S30" s="641"/>
      <c r="T30" s="639" t="str">
        <f>IF(ISERROR(DATOS!$AO676),"-",DATOS!$AO676)</f>
        <v>-</v>
      </c>
      <c r="U30" s="640"/>
      <c r="V30" s="640"/>
      <c r="W30" s="641"/>
    </row>
    <row r="31" spans="2:26" x14ac:dyDescent="0.25">
      <c r="B31" s="656" t="str">
        <f>IF(ISERROR(DATOS!$AM677),"-",DATOS!$AM677)</f>
        <v>-</v>
      </c>
      <c r="C31" s="657"/>
      <c r="D31" s="657"/>
      <c r="E31" s="657"/>
      <c r="F31" s="657"/>
      <c r="G31" s="657"/>
      <c r="H31" s="657"/>
      <c r="I31" s="658"/>
      <c r="J31" s="639" t="str">
        <f>IF(ISERROR(DATOS!$AN677),"-",DATOS!$AN677)</f>
        <v>-</v>
      </c>
      <c r="K31" s="640"/>
      <c r="L31" s="641"/>
      <c r="M31" s="639" t="str">
        <f>IF(ISERROR(DATOS!$AO677),"-",DATOS!$AO677)</f>
        <v>-</v>
      </c>
      <c r="N31" s="640"/>
      <c r="O31" s="640"/>
      <c r="P31" s="641"/>
      <c r="Q31" s="639" t="str">
        <f>IF(ISERROR(DATOS!$AN677),"-",DATOS!$AN677)</f>
        <v>-</v>
      </c>
      <c r="R31" s="640"/>
      <c r="S31" s="641"/>
      <c r="T31" s="639" t="str">
        <f>IF(ISERROR(DATOS!$AO677),"-",DATOS!$AO677)</f>
        <v>-</v>
      </c>
      <c r="U31" s="640"/>
      <c r="V31" s="640"/>
      <c r="W31" s="641"/>
    </row>
    <row r="32" spans="2:26" x14ac:dyDescent="0.25">
      <c r="B32" s="656" t="str">
        <f>IF(ISERROR(DATOS!$AM678),"-",DATOS!$AM678)</f>
        <v>-</v>
      </c>
      <c r="C32" s="657"/>
      <c r="D32" s="657"/>
      <c r="E32" s="657"/>
      <c r="F32" s="657"/>
      <c r="G32" s="657"/>
      <c r="H32" s="657"/>
      <c r="I32" s="658"/>
      <c r="J32" s="639" t="str">
        <f>IF(ISERROR(DATOS!$AN678),"-",DATOS!$AN678)</f>
        <v>-</v>
      </c>
      <c r="K32" s="640"/>
      <c r="L32" s="641"/>
      <c r="M32" s="639" t="str">
        <f>IF(ISERROR(DATOS!$AO678),"-",DATOS!$AO678)</f>
        <v>-</v>
      </c>
      <c r="N32" s="640"/>
      <c r="O32" s="640"/>
      <c r="P32" s="641"/>
      <c r="Q32" s="639" t="str">
        <f>IF(ISERROR(DATOS!$AN678),"-",DATOS!$AN678)</f>
        <v>-</v>
      </c>
      <c r="R32" s="640"/>
      <c r="S32" s="641"/>
      <c r="T32" s="639" t="str">
        <f>IF(ISERROR(DATOS!$AO678),"-",DATOS!$AO678)</f>
        <v>-</v>
      </c>
      <c r="U32" s="640"/>
      <c r="V32" s="640"/>
      <c r="W32" s="641"/>
    </row>
    <row r="33" spans="1:26" x14ac:dyDescent="0.25">
      <c r="B33" s="656" t="str">
        <f>IF(ISERROR(DATOS!$AM679),"-",DATOS!$AM679)</f>
        <v>-</v>
      </c>
      <c r="C33" s="657"/>
      <c r="D33" s="657"/>
      <c r="E33" s="657"/>
      <c r="F33" s="657"/>
      <c r="G33" s="657"/>
      <c r="H33" s="657"/>
      <c r="I33" s="658"/>
      <c r="J33" s="639" t="str">
        <f>IF(ISERROR(DATOS!$AN679),"-",DATOS!$AN679)</f>
        <v>-</v>
      </c>
      <c r="K33" s="640"/>
      <c r="L33" s="641"/>
      <c r="M33" s="639" t="str">
        <f>IF(ISERROR(DATOS!$AO679),"-",DATOS!$AO679)</f>
        <v>-</v>
      </c>
      <c r="N33" s="640"/>
      <c r="O33" s="640"/>
      <c r="P33" s="641"/>
      <c r="Q33" s="639" t="str">
        <f>IF(ISERROR(DATOS!$AN679),"-",DATOS!$AN679)</f>
        <v>-</v>
      </c>
      <c r="R33" s="640"/>
      <c r="S33" s="641"/>
      <c r="T33" s="639" t="str">
        <f>IF(ISERROR(DATOS!$AO679),"-",DATOS!$AO679)</f>
        <v>-</v>
      </c>
      <c r="U33" s="640"/>
      <c r="V33" s="640"/>
      <c r="W33" s="641"/>
    </row>
    <row r="34" spans="1:26" x14ac:dyDescent="0.25">
      <c r="B34" s="656" t="str">
        <f>IF(ISERROR(DATOS!$AM680),"-",DATOS!$AM680)</f>
        <v>-</v>
      </c>
      <c r="C34" s="657"/>
      <c r="D34" s="657"/>
      <c r="E34" s="657"/>
      <c r="F34" s="657"/>
      <c r="G34" s="657"/>
      <c r="H34" s="657"/>
      <c r="I34" s="658"/>
      <c r="J34" s="639" t="str">
        <f>IF(ISERROR(DATOS!$AN680),"-",DATOS!$AN680)</f>
        <v>-</v>
      </c>
      <c r="K34" s="640"/>
      <c r="L34" s="641"/>
      <c r="M34" s="639" t="str">
        <f>IF(ISERROR(DATOS!$AO680),"-",DATOS!$AO680)</f>
        <v>-</v>
      </c>
      <c r="N34" s="640"/>
      <c r="O34" s="640"/>
      <c r="P34" s="641"/>
      <c r="Q34" s="639" t="str">
        <f>IF(ISERROR(DATOS!$AN680),"-",DATOS!$AN680)</f>
        <v>-</v>
      </c>
      <c r="R34" s="640"/>
      <c r="S34" s="641"/>
      <c r="T34" s="639" t="str">
        <f>IF(ISERROR(DATOS!$AO680),"-",DATOS!$AO680)</f>
        <v>-</v>
      </c>
      <c r="U34" s="640"/>
      <c r="V34" s="640"/>
      <c r="W34" s="641"/>
    </row>
    <row r="35" spans="1:26" x14ac:dyDescent="0.25">
      <c r="B35" s="656" t="str">
        <f>IF(ISERROR(DATOS!$AM681),"-",DATOS!$AM681)</f>
        <v>-</v>
      </c>
      <c r="C35" s="657"/>
      <c r="D35" s="657"/>
      <c r="E35" s="657"/>
      <c r="F35" s="657"/>
      <c r="G35" s="657"/>
      <c r="H35" s="657"/>
      <c r="I35" s="658"/>
      <c r="J35" s="639" t="str">
        <f>IF(ISERROR(DATOS!$AN681),"-",DATOS!$AN681)</f>
        <v>-</v>
      </c>
      <c r="K35" s="640"/>
      <c r="L35" s="641"/>
      <c r="M35" s="639" t="str">
        <f>IF(ISERROR(DATOS!$AO681),"-",DATOS!$AO681)</f>
        <v>-</v>
      </c>
      <c r="N35" s="640"/>
      <c r="O35" s="640"/>
      <c r="P35" s="641"/>
      <c r="Q35" s="639" t="str">
        <f>IF(ISERROR(DATOS!$AN681),"-",DATOS!$AN681)</f>
        <v>-</v>
      </c>
      <c r="R35" s="640"/>
      <c r="S35" s="641"/>
      <c r="T35" s="639" t="str">
        <f>IF(ISERROR(DATOS!$AO681),"-",DATOS!$AO681)</f>
        <v>-</v>
      </c>
      <c r="U35" s="640"/>
      <c r="V35" s="640"/>
      <c r="W35" s="641"/>
    </row>
    <row r="36" spans="1:26" x14ac:dyDescent="0.25">
      <c r="B36" s="126"/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8"/>
    </row>
    <row r="37" spans="1:26" x14ac:dyDescent="0.25">
      <c r="J37" s="642" t="s">
        <v>227</v>
      </c>
      <c r="K37" s="642"/>
      <c r="L37" s="642"/>
      <c r="M37" s="642"/>
      <c r="N37" s="642"/>
      <c r="O37" s="642"/>
      <c r="P37" s="643"/>
      <c r="Q37" s="651">
        <f>DATOS!$AF$661</f>
        <v>0</v>
      </c>
      <c r="R37" s="652"/>
      <c r="S37" s="653"/>
      <c r="T37" s="651">
        <f>DATOS!$AG$661</f>
        <v>0</v>
      </c>
      <c r="U37" s="652"/>
      <c r="V37" s="652"/>
      <c r="W37" s="653"/>
    </row>
    <row r="38" spans="1:26" x14ac:dyDescent="0.25">
      <c r="Q38" s="126"/>
      <c r="R38" s="126"/>
      <c r="S38" s="126"/>
      <c r="T38" s="126"/>
      <c r="U38" s="126"/>
      <c r="V38" s="128"/>
    </row>
    <row r="39" spans="1:26" x14ac:dyDescent="0.25">
      <c r="B39" s="126"/>
    </row>
    <row r="40" spans="1:26" x14ac:dyDescent="0.25">
      <c r="B40" s="126" t="s">
        <v>232</v>
      </c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26"/>
      <c r="V40" s="128"/>
    </row>
    <row r="41" spans="1:26" x14ac:dyDescent="0.25">
      <c r="B41" s="126" t="s">
        <v>231</v>
      </c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8"/>
    </row>
    <row r="42" spans="1:26" x14ac:dyDescent="0.25">
      <c r="B42" s="126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8"/>
    </row>
    <row r="43" spans="1:26" x14ac:dyDescent="0.25"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8"/>
    </row>
    <row r="44" spans="1:26" x14ac:dyDescent="0.25">
      <c r="B44" s="126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8"/>
    </row>
    <row r="45" spans="1:26" x14ac:dyDescent="0.25"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8"/>
    </row>
    <row r="46" spans="1:26" x14ac:dyDescent="0.25"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8"/>
    </row>
    <row r="47" spans="1:26" x14ac:dyDescent="0.25">
      <c r="B47" s="126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26"/>
      <c r="V47" s="128"/>
    </row>
    <row r="48" spans="1:26" x14ac:dyDescent="0.25">
      <c r="A48" s="659" t="s">
        <v>222</v>
      </c>
      <c r="B48" s="659"/>
      <c r="C48" s="659"/>
      <c r="D48" s="659"/>
      <c r="E48" s="659"/>
      <c r="F48" s="659"/>
      <c r="G48" s="659"/>
      <c r="H48" s="659"/>
      <c r="I48" s="659"/>
      <c r="J48" s="659"/>
      <c r="K48" s="659"/>
      <c r="L48" s="659"/>
      <c r="M48" s="659"/>
      <c r="N48" s="659"/>
      <c r="O48" s="659"/>
      <c r="P48" s="659"/>
      <c r="Q48" s="659"/>
      <c r="R48" s="659"/>
      <c r="S48" s="659"/>
      <c r="T48" s="659"/>
      <c r="U48" s="659"/>
      <c r="V48" s="659"/>
      <c r="W48" s="659"/>
      <c r="X48" s="659"/>
      <c r="Y48" s="659"/>
      <c r="Z48" s="659"/>
    </row>
    <row r="49" spans="1:26" x14ac:dyDescent="0.25">
      <c r="A49" s="659" t="s">
        <v>223</v>
      </c>
      <c r="B49" s="659"/>
      <c r="C49" s="659"/>
      <c r="D49" s="659"/>
      <c r="E49" s="659"/>
      <c r="F49" s="659"/>
      <c r="G49" s="659"/>
      <c r="H49" s="659"/>
      <c r="I49" s="659"/>
      <c r="J49" s="659"/>
      <c r="K49" s="659"/>
      <c r="L49" s="659"/>
      <c r="M49" s="659"/>
      <c r="N49" s="659"/>
      <c r="O49" s="659"/>
      <c r="P49" s="659"/>
      <c r="Q49" s="659"/>
      <c r="R49" s="659"/>
      <c r="S49" s="659"/>
      <c r="T49" s="659"/>
      <c r="U49" s="659"/>
      <c r="V49" s="659"/>
      <c r="W49" s="659"/>
      <c r="X49" s="659"/>
      <c r="Y49" s="659"/>
      <c r="Z49" s="659"/>
    </row>
  </sheetData>
  <mergeCells count="114">
    <mergeCell ref="A49:Z49"/>
    <mergeCell ref="Q20:S20"/>
    <mergeCell ref="T20:W20"/>
    <mergeCell ref="Q21:S21"/>
    <mergeCell ref="T21:W21"/>
    <mergeCell ref="Q24:S24"/>
    <mergeCell ref="T24:W24"/>
    <mergeCell ref="Q25:S25"/>
    <mergeCell ref="T25:W25"/>
    <mergeCell ref="A48:Z48"/>
    <mergeCell ref="B23:I23"/>
    <mergeCell ref="B24:I24"/>
    <mergeCell ref="B25:I25"/>
    <mergeCell ref="B26:I26"/>
    <mergeCell ref="B27:I27"/>
    <mergeCell ref="B33:I33"/>
    <mergeCell ref="B34:I34"/>
    <mergeCell ref="B35:I35"/>
    <mergeCell ref="J22:L22"/>
    <mergeCell ref="B32:I32"/>
    <mergeCell ref="J28:L28"/>
    <mergeCell ref="M28:P28"/>
    <mergeCell ref="Q28:S28"/>
    <mergeCell ref="T28:W28"/>
    <mergeCell ref="B30:I30"/>
    <mergeCell ref="B31:I31"/>
    <mergeCell ref="B16:I16"/>
    <mergeCell ref="B17:I17"/>
    <mergeCell ref="B18:I18"/>
    <mergeCell ref="B19:I19"/>
    <mergeCell ref="J21:L21"/>
    <mergeCell ref="M21:P21"/>
    <mergeCell ref="M24:P24"/>
    <mergeCell ref="J25:L25"/>
    <mergeCell ref="M25:P25"/>
    <mergeCell ref="J29:L29"/>
    <mergeCell ref="M29:P29"/>
    <mergeCell ref="J20:L20"/>
    <mergeCell ref="B20:I20"/>
    <mergeCell ref="B21:I21"/>
    <mergeCell ref="B22:I22"/>
    <mergeCell ref="M20:P20"/>
    <mergeCell ref="M22:P22"/>
    <mergeCell ref="J24:L24"/>
    <mergeCell ref="B28:I28"/>
    <mergeCell ref="B29:I29"/>
    <mergeCell ref="Q13:W13"/>
    <mergeCell ref="M14:P14"/>
    <mergeCell ref="J13:P13"/>
    <mergeCell ref="M16:P16"/>
    <mergeCell ref="Q16:S16"/>
    <mergeCell ref="T16:W16"/>
    <mergeCell ref="M17:P17"/>
    <mergeCell ref="J19:L19"/>
    <mergeCell ref="M18:P18"/>
    <mergeCell ref="Q18:S18"/>
    <mergeCell ref="T18:W18"/>
    <mergeCell ref="M19:P19"/>
    <mergeCell ref="Q19:S19"/>
    <mergeCell ref="T19:W19"/>
    <mergeCell ref="J17:L17"/>
    <mergeCell ref="Q17:S17"/>
    <mergeCell ref="T17:W17"/>
    <mergeCell ref="J14:L14"/>
    <mergeCell ref="Q14:S14"/>
    <mergeCell ref="T14:W14"/>
    <mergeCell ref="J16:L16"/>
    <mergeCell ref="J18:L18"/>
    <mergeCell ref="L3:W3"/>
    <mergeCell ref="B13:I13"/>
    <mergeCell ref="B14:I14"/>
    <mergeCell ref="Q37:S37"/>
    <mergeCell ref="T37:W37"/>
    <mergeCell ref="J34:L34"/>
    <mergeCell ref="M34:P34"/>
    <mergeCell ref="Q34:S34"/>
    <mergeCell ref="T34:W34"/>
    <mergeCell ref="J35:L35"/>
    <mergeCell ref="M35:P35"/>
    <mergeCell ref="Q35:S35"/>
    <mergeCell ref="T35:W35"/>
    <mergeCell ref="J32:L32"/>
    <mergeCell ref="M32:P32"/>
    <mergeCell ref="Q32:S32"/>
    <mergeCell ref="T32:W32"/>
    <mergeCell ref="J33:L33"/>
    <mergeCell ref="M33:P33"/>
    <mergeCell ref="Q30:S30"/>
    <mergeCell ref="T30:W30"/>
    <mergeCell ref="J31:L31"/>
    <mergeCell ref="M31:P31"/>
    <mergeCell ref="Q31:S31"/>
    <mergeCell ref="Q33:S33"/>
    <mergeCell ref="T33:W33"/>
    <mergeCell ref="J30:L30"/>
    <mergeCell ref="M30:P30"/>
    <mergeCell ref="Q22:S22"/>
    <mergeCell ref="T22:W22"/>
    <mergeCell ref="J23:L23"/>
    <mergeCell ref="M23:P23"/>
    <mergeCell ref="J37:P37"/>
    <mergeCell ref="T31:W31"/>
    <mergeCell ref="Q29:S29"/>
    <mergeCell ref="T29:W29"/>
    <mergeCell ref="J26:L26"/>
    <mergeCell ref="M26:P26"/>
    <mergeCell ref="Q26:S26"/>
    <mergeCell ref="T26:W26"/>
    <mergeCell ref="J27:L27"/>
    <mergeCell ref="M27:P27"/>
    <mergeCell ref="Q27:S27"/>
    <mergeCell ref="T27:W27"/>
    <mergeCell ref="Q23:S23"/>
    <mergeCell ref="T23:W23"/>
  </mergeCells>
  <pageMargins left="0.98083333333333333" right="0.7" top="0.75" bottom="0.75" header="0.3" footer="0.3"/>
  <pageSetup scale="88" orientation="portrait" r:id="rId1"/>
  <headerFooter>
    <oddFooter>&amp;C&amp;1#&amp;"Calibri"&amp;10&amp;K000000PUBLIC</oddFooter>
    <evenFooter>&amp;LRESTRICTED&amp;LRESTRICTED&amp;LRESTRICTED&amp;LRESTRICTED&amp;LRESTRICTED</evenFooter>
    <firstFooter>&amp;LRESTRICTED&amp;LRESTRICTED&amp;LRESTRICTED&amp;LRESTRICTED&amp;LRESTRICTED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DFFE0870DAE47419002AF7AB81F6344" ma:contentTypeVersion="2" ma:contentTypeDescription="Crear nuevo documento." ma:contentTypeScope="" ma:versionID="043e1bd1dbd45d4dae1f0ad2a60792e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f6edc329ff236629c56e3b879b320d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F1B0C9-1C94-4B6D-8261-39D5FAB2C1EC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A985E2E-323D-4ECB-89B7-DA238EFF5F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B47C162-5ED2-40F1-B9B8-79333F11C2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47</vt:i4>
      </vt:variant>
    </vt:vector>
  </HeadingPairs>
  <TitlesOfParts>
    <vt:vector size="48" baseType="lpstr">
      <vt:lpstr>SECURED</vt:lpstr>
      <vt:lpstr>ACT_HIPO_AUTO_Efectivo</vt:lpstr>
      <vt:lpstr>ACT_HIPOTECARIO_Declaracion</vt:lpstr>
      <vt:lpstr>ACT_HIPOTECARIO_Efectivo</vt:lpstr>
      <vt:lpstr>Actividad</vt:lpstr>
      <vt:lpstr>CPDOB!Área_de_impresión</vt:lpstr>
      <vt:lpstr>BONOS_REC_NOMINA</vt:lpstr>
      <vt:lpstr>BT_AUTO</vt:lpstr>
      <vt:lpstr>CLIENTE</vt:lpstr>
      <vt:lpstr>COMBINACION</vt:lpstr>
      <vt:lpstr>COMPROBANTE_ING</vt:lpstr>
      <vt:lpstr>Dias_MES</vt:lpstr>
      <vt:lpstr>DOMICILIO</vt:lpstr>
      <vt:lpstr>DTI</vt:lpstr>
      <vt:lpstr>ECO_USA_HIPOTECARIO</vt:lpstr>
      <vt:lpstr>Economia_Americana</vt:lpstr>
      <vt:lpstr>EDO_BCSS</vt:lpstr>
      <vt:lpstr>ESQUEMA</vt:lpstr>
      <vt:lpstr>ESTADO</vt:lpstr>
      <vt:lpstr>Estados</vt:lpstr>
      <vt:lpstr>factor</vt:lpstr>
      <vt:lpstr>factor_final</vt:lpstr>
      <vt:lpstr>FACULTADO</vt:lpstr>
      <vt:lpstr>FECHAS</vt:lpstr>
      <vt:lpstr>FPT</vt:lpstr>
      <vt:lpstr>GRUPO_COBRANZA</vt:lpstr>
      <vt:lpstr>IDENTIFICACION</vt:lpstr>
      <vt:lpstr>INGRESOS</vt:lpstr>
      <vt:lpstr>LTV</vt:lpstr>
      <vt:lpstr>LTV_2</vt:lpstr>
      <vt:lpstr>LTV_3</vt:lpstr>
      <vt:lpstr>Nivel_Riesgo</vt:lpstr>
      <vt:lpstr>Nivel_Riesgo_BT_AUTO</vt:lpstr>
      <vt:lpstr>PERIODICIDAD</vt:lpstr>
      <vt:lpstr>PERSONA</vt:lpstr>
      <vt:lpstr>PLAZO_BT_AUTO</vt:lpstr>
      <vt:lpstr>PLAZO_COMENTARIOS</vt:lpstr>
      <vt:lpstr>PM_HIPOTECARIO</vt:lpstr>
      <vt:lpstr>PRODUCTO</vt:lpstr>
      <vt:lpstr>RIF_HIPOTECARIO</vt:lpstr>
      <vt:lpstr>SEGURO</vt:lpstr>
      <vt:lpstr>STAUTS</vt:lpstr>
      <vt:lpstr>SUBPRODUCTO</vt:lpstr>
      <vt:lpstr>TIPO_CLIENTE</vt:lpstr>
      <vt:lpstr>TIPO_CLIENTE2</vt:lpstr>
      <vt:lpstr>TIPO_CLIENTE3</vt:lpstr>
      <vt:lpstr>TIPO_DE_EXCEPCION</vt:lpstr>
      <vt:lpstr>TIPO_REVISION</vt:lpstr>
    </vt:vector>
  </TitlesOfParts>
  <Company>HSBC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alfredo.perezg@noexternalmail.hsbc.com</dc:creator>
  <cp:keywords>PUBLIC</cp:keywords>
  <dc:description>RESTRICTED</dc:description>
  <cp:lastModifiedBy>erick.ornelas@hsbc.com.mx</cp:lastModifiedBy>
  <cp:lastPrinted>2021-10-26T01:43:18Z</cp:lastPrinted>
  <dcterms:created xsi:type="dcterms:W3CDTF">2019-03-01T18:12:05Z</dcterms:created>
  <dcterms:modified xsi:type="dcterms:W3CDTF">2022-08-25T19:49:05Z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urce">
    <vt:lpwstr>Internal</vt:lpwstr>
  </property>
  <property fmtid="{D5CDD505-2E9C-101B-9397-08002B2CF9AE}" pid="3" name="Footers">
    <vt:lpwstr>Footers</vt:lpwstr>
  </property>
  <property fmtid="{D5CDD505-2E9C-101B-9397-08002B2CF9AE}" pid="4" name="ContentTypeId">
    <vt:lpwstr>0x010100ADFFE0870DAE47419002AF7AB81F6344</vt:lpwstr>
  </property>
  <property fmtid="{D5CDD505-2E9C-101B-9397-08002B2CF9AE}" pid="5" name="MSIP_Label_3486a02c-2dfb-4efe-823f-aa2d1f0e6ab7_Enabled">
    <vt:lpwstr>true</vt:lpwstr>
  </property>
  <property fmtid="{D5CDD505-2E9C-101B-9397-08002B2CF9AE}" pid="6" name="MSIP_Label_3486a02c-2dfb-4efe-823f-aa2d1f0e6ab7_SetDate">
    <vt:lpwstr>2022-08-25T19:47:46Z</vt:lpwstr>
  </property>
  <property fmtid="{D5CDD505-2E9C-101B-9397-08002B2CF9AE}" pid="7" name="MSIP_Label_3486a02c-2dfb-4efe-823f-aa2d1f0e6ab7_Method">
    <vt:lpwstr>Privileged</vt:lpwstr>
  </property>
  <property fmtid="{D5CDD505-2E9C-101B-9397-08002B2CF9AE}" pid="8" name="MSIP_Label_3486a02c-2dfb-4efe-823f-aa2d1f0e6ab7_Name">
    <vt:lpwstr>CLAPUBLIC</vt:lpwstr>
  </property>
  <property fmtid="{D5CDD505-2E9C-101B-9397-08002B2CF9AE}" pid="9" name="MSIP_Label_3486a02c-2dfb-4efe-823f-aa2d1f0e6ab7_SiteId">
    <vt:lpwstr>e0fd434d-ba64-497b-90d2-859c472e1a92</vt:lpwstr>
  </property>
  <property fmtid="{D5CDD505-2E9C-101B-9397-08002B2CF9AE}" pid="10" name="MSIP_Label_3486a02c-2dfb-4efe-823f-aa2d1f0e6ab7_ActionId">
    <vt:lpwstr>b35f49e2-9d48-4777-973a-983c660e8878</vt:lpwstr>
  </property>
  <property fmtid="{D5CDD505-2E9C-101B-9397-08002B2CF9AE}" pid="11" name="MSIP_Label_3486a02c-2dfb-4efe-823f-aa2d1f0e6ab7_ContentBits">
    <vt:lpwstr>2</vt:lpwstr>
  </property>
  <property fmtid="{D5CDD505-2E9C-101B-9397-08002B2CF9AE}" pid="12" name="Classification">
    <vt:lpwstr>PUBLIC</vt:lpwstr>
  </property>
</Properties>
</file>