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ha\studies\trent study material\wecareer\Projects for Husky\ABC costing\"/>
    </mc:Choice>
  </mc:AlternateContent>
  <xr:revisionPtr revIDLastSave="0" documentId="13_ncr:1_{3AAD06F5-591C-49CD-AD50-37CB12DCAEE9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Dream Beauty" sheetId="4" r:id="rId1"/>
    <sheet name="Profit Analysis of C-Store" sheetId="6" r:id="rId2"/>
  </sheets>
  <definedNames>
    <definedName name="solver_adj" localSheetId="0" hidden="1">'Dream Beauty'!$D$45:$D$49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'Dream Beauty'!$D$25</definedName>
    <definedName name="solver_lhs2" localSheetId="0" hidden="1">'Dream Beauty'!$D$26</definedName>
    <definedName name="solver_lhs3" localSheetId="0" hidden="1">'Dream Beauty'!$D$27</definedName>
    <definedName name="solver_lhs4" localSheetId="0" hidden="1">'Dream Beauty'!$D$29</definedName>
    <definedName name="solver_lhs5" localSheetId="0" hidden="1">'Dream Beauty'!$D$30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'Dream Beauty'!$D$50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hs1" localSheetId="0" hidden="1">10000000</definedName>
    <definedName name="solver_rhs2" localSheetId="0" hidden="1">8000000</definedName>
    <definedName name="solver_rhs3" localSheetId="0" hidden="1">0</definedName>
    <definedName name="solver_rhs4" localSheetId="0" hidden="1">1538333</definedName>
    <definedName name="solver_rhs5" localSheetId="0" hidden="1">30000000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D33" i="4" l="1"/>
  <c r="D29" i="4" l="1"/>
  <c r="D28" i="4"/>
  <c r="D26" i="4"/>
  <c r="D25" i="4"/>
  <c r="D30" i="4"/>
  <c r="C31" i="4"/>
  <c r="C29" i="4"/>
  <c r="C26" i="4"/>
  <c r="C28" i="4"/>
  <c r="E26" i="4"/>
  <c r="C25" i="4"/>
  <c r="O20" i="6"/>
  <c r="M3" i="6"/>
  <c r="H8" i="6"/>
  <c r="J4" i="6" l="1"/>
  <c r="J14" i="6" s="1"/>
  <c r="J3" i="6"/>
  <c r="I17" i="6" s="1"/>
  <c r="J2" i="6"/>
  <c r="H17" i="6" s="1"/>
  <c r="G21" i="6"/>
  <c r="F21" i="6"/>
  <c r="E21" i="6"/>
  <c r="B21" i="6"/>
  <c r="C13" i="6"/>
  <c r="D13" i="6" s="1"/>
  <c r="C14" i="6"/>
  <c r="D14" i="6" s="1"/>
  <c r="C18" i="6"/>
  <c r="D18" i="6" s="1"/>
  <c r="C19" i="6"/>
  <c r="D19" i="6" s="1"/>
  <c r="C17" i="6"/>
  <c r="D17" i="6" s="1"/>
  <c r="C20" i="6"/>
  <c r="D20" i="6" s="1"/>
  <c r="C9" i="6"/>
  <c r="D9" i="6" s="1"/>
  <c r="C16" i="6"/>
  <c r="D16" i="6" s="1"/>
  <c r="C8" i="6"/>
  <c r="D8" i="6" s="1"/>
  <c r="C10" i="6"/>
  <c r="D10" i="6" s="1"/>
  <c r="C15" i="6"/>
  <c r="D15" i="6" s="1"/>
  <c r="C11" i="6"/>
  <c r="D11" i="6" s="1"/>
  <c r="C12" i="6"/>
  <c r="D12" i="6" s="1"/>
  <c r="E25" i="4"/>
  <c r="C20" i="4"/>
  <c r="C21" i="4" s="1"/>
  <c r="F29" i="4" s="1"/>
  <c r="D20" i="4"/>
  <c r="D21" i="4" s="1"/>
  <c r="E20" i="4"/>
  <c r="E21" i="4" s="1"/>
  <c r="E29" i="4" s="1"/>
  <c r="E4" i="4"/>
  <c r="D4" i="4"/>
  <c r="D5" i="4" s="1"/>
  <c r="C4" i="4"/>
  <c r="C5" i="4" s="1"/>
  <c r="F15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I18" i="6" l="1"/>
  <c r="I16" i="6"/>
  <c r="J10" i="6"/>
  <c r="I11" i="6"/>
  <c r="J15" i="6"/>
  <c r="J18" i="6"/>
  <c r="I12" i="6"/>
  <c r="I8" i="6"/>
  <c r="I20" i="6"/>
  <c r="I14" i="6"/>
  <c r="I15" i="6"/>
  <c r="I10" i="6"/>
  <c r="I9" i="6"/>
  <c r="I19" i="6"/>
  <c r="J12" i="6"/>
  <c r="J11" i="6"/>
  <c r="J17" i="6"/>
  <c r="J19" i="6"/>
  <c r="J13" i="6"/>
  <c r="J9" i="6"/>
  <c r="J20" i="6"/>
  <c r="J8" i="6"/>
  <c r="J16" i="6"/>
  <c r="I13" i="6"/>
  <c r="K17" i="6"/>
  <c r="H9" i="6"/>
  <c r="H11" i="6"/>
  <c r="H15" i="6"/>
  <c r="H20" i="6"/>
  <c r="K20" i="6" s="1"/>
  <c r="L20" i="6" s="1"/>
  <c r="M20" i="6" s="1"/>
  <c r="H10" i="6"/>
  <c r="H19" i="6"/>
  <c r="H16" i="6"/>
  <c r="H18" i="6"/>
  <c r="K18" i="6" s="1"/>
  <c r="H12" i="6"/>
  <c r="H14" i="6"/>
  <c r="H13" i="6"/>
  <c r="D21" i="6"/>
  <c r="C21" i="6"/>
  <c r="C22" i="4"/>
  <c r="D22" i="4"/>
  <c r="E22" i="4"/>
  <c r="E5" i="4"/>
  <c r="E6" i="4" s="1"/>
  <c r="E14" i="4" s="1"/>
  <c r="E15" i="4" s="1"/>
  <c r="D6" i="4"/>
  <c r="D14" i="4" s="1"/>
  <c r="D15" i="4" s="1"/>
  <c r="C6" i="4"/>
  <c r="C14" i="4" s="1"/>
  <c r="C15" i="4" s="1"/>
  <c r="L18" i="6" l="1"/>
  <c r="M18" i="6" s="1"/>
  <c r="L17" i="6"/>
  <c r="M17" i="6" s="1"/>
  <c r="K11" i="6"/>
  <c r="K10" i="6"/>
  <c r="K14" i="6"/>
  <c r="K19" i="6"/>
  <c r="L19" i="6" s="1"/>
  <c r="M19" i="6" s="1"/>
  <c r="K8" i="6"/>
  <c r="K13" i="6"/>
  <c r="K15" i="6"/>
  <c r="K16" i="6"/>
  <c r="K9" i="6"/>
  <c r="I21" i="6"/>
  <c r="J21" i="6"/>
  <c r="H21" i="6"/>
  <c r="K12" i="6"/>
  <c r="E28" i="4"/>
  <c r="L15" i="6" l="1"/>
  <c r="M15" i="6" s="1"/>
  <c r="L14" i="6"/>
  <c r="M14" i="6" s="1"/>
  <c r="L13" i="6"/>
  <c r="M13" i="6" s="1"/>
  <c r="L10" i="6"/>
  <c r="M10" i="6" s="1"/>
  <c r="L16" i="6"/>
  <c r="M16" i="6" s="1"/>
  <c r="L12" i="6"/>
  <c r="M12" i="6" s="1"/>
  <c r="L9" i="6"/>
  <c r="L8" i="6"/>
  <c r="L11" i="6"/>
  <c r="M11" i="6" s="1"/>
  <c r="K21" i="6"/>
  <c r="E27" i="4"/>
  <c r="M9" i="6" l="1"/>
  <c r="O19" i="6"/>
  <c r="O21" i="6" s="1"/>
  <c r="M2" i="6"/>
  <c r="M4" i="6" s="1"/>
  <c r="M8" i="6"/>
  <c r="L21" i="6"/>
  <c r="M21" i="6" s="1"/>
  <c r="D31" i="4"/>
  <c r="C30" i="4"/>
  <c r="E30" i="4"/>
  <c r="E31" i="4" s="1"/>
  <c r="E33" i="4" s="1"/>
  <c r="C33" i="4" l="1"/>
  <c r="F31" i="4"/>
  <c r="F33" i="4" s="1"/>
</calcChain>
</file>

<file path=xl/sharedStrings.xml><?xml version="1.0" encoding="utf-8"?>
<sst xmlns="http://schemas.openxmlformats.org/spreadsheetml/2006/main" count="101" uniqueCount="79">
  <si>
    <t>Details</t>
  </si>
  <si>
    <t>Total</t>
  </si>
  <si>
    <t>COGS</t>
  </si>
  <si>
    <t>Gross Profit</t>
  </si>
  <si>
    <t>ABC COSTING</t>
  </si>
  <si>
    <t>Delivery</t>
  </si>
  <si>
    <t>Total Supply Chain Cost</t>
  </si>
  <si>
    <t xml:space="preserve">Net Profit </t>
  </si>
  <si>
    <t>Dream Beauty Cost Summary by % of Sales using Traditional Costing Method</t>
  </si>
  <si>
    <t>Retail Stores</t>
  </si>
  <si>
    <t>Convenience Stores</t>
  </si>
  <si>
    <t>Mass Merchants</t>
  </si>
  <si>
    <t>Order Processing Cost</t>
  </si>
  <si>
    <t>Packaging Cost</t>
  </si>
  <si>
    <t>Labeling Cost</t>
  </si>
  <si>
    <t>Delivery Cost</t>
  </si>
  <si>
    <t>Sales</t>
  </si>
  <si>
    <t>Net Profit</t>
  </si>
  <si>
    <t xml:space="preserve">Retail stores= 50% </t>
  </si>
  <si>
    <t>Convenience Stores = 30%</t>
  </si>
  <si>
    <t>Mass Merchants = 20%</t>
  </si>
  <si>
    <t xml:space="preserve">Formulas </t>
  </si>
  <si>
    <t>1. ROA(Return on Assets) = Net Profit/Dream Beauty Sales</t>
  </si>
  <si>
    <t>2. COGS= Cost of Goods Sold *40% of sales</t>
  </si>
  <si>
    <t>3. Net Profit= Gross Profit - Total Supply Chain Cost</t>
  </si>
  <si>
    <t>4. Gross Profit= Dream Beauty Sales- COGS</t>
  </si>
  <si>
    <t xml:space="preserve">5. Activity Cost is divided among three channels as follows: </t>
  </si>
  <si>
    <t xml:space="preserve">Dream Beauty Sales </t>
  </si>
  <si>
    <t>Traditional Costing</t>
  </si>
  <si>
    <t>Dream Beauty Cost Summary by % of Sales using  ABC Costing</t>
  </si>
  <si>
    <t>Inventory Cost</t>
  </si>
  <si>
    <t>Total Sales of Dream Beauty is given annually:</t>
  </si>
  <si>
    <t xml:space="preserve"> Therefore, retail stores hold inventory 4 times in a year(annually)</t>
  </si>
  <si>
    <t>Therefore, they hold inventory 6 times in a year</t>
  </si>
  <si>
    <t>Therefore, they hold inventory 9 times in a year</t>
  </si>
  <si>
    <t>1. Days of Inventory holding by retail= 90 days</t>
  </si>
  <si>
    <t>2. Days of Inventory holding by convenience stores= 60 days</t>
  </si>
  <si>
    <t>3. Days of Inventory holding by mass merchants = 40 days</t>
  </si>
  <si>
    <t>COGS of C-Stores</t>
  </si>
  <si>
    <t>40% of Sales</t>
  </si>
  <si>
    <t>Order cost per order</t>
  </si>
  <si>
    <t>Total Packaging Costs for C-Stores</t>
  </si>
  <si>
    <t>Total Orders</t>
  </si>
  <si>
    <t>Packaging Cost per order</t>
  </si>
  <si>
    <t>Total Delivery Costs for C-Stores</t>
  </si>
  <si>
    <t>Total Packages</t>
  </si>
  <si>
    <t>Delivery Cost per order</t>
  </si>
  <si>
    <t>Total Deliveries</t>
  </si>
  <si>
    <t>C-Store Name</t>
  </si>
  <si>
    <t>Orders</t>
  </si>
  <si>
    <t>Packages</t>
  </si>
  <si>
    <t>Order cost</t>
  </si>
  <si>
    <t>Love Your Style</t>
  </si>
  <si>
    <t>Looking Good</t>
  </si>
  <si>
    <t>Wild by Nature</t>
  </si>
  <si>
    <t>Beautyss Bliss</t>
  </si>
  <si>
    <t>Cosmo Naturelle</t>
  </si>
  <si>
    <t>Beautee Fatale</t>
  </si>
  <si>
    <t>La Balle Femme</t>
  </si>
  <si>
    <t>Le Beau Monsieur</t>
  </si>
  <si>
    <t>Fruity Beauty</t>
  </si>
  <si>
    <t>Tuti Fruity</t>
  </si>
  <si>
    <t>L'Air Du Jour</t>
  </si>
  <si>
    <t>Make-up Galore</t>
  </si>
  <si>
    <t>Nuttin' Homely</t>
  </si>
  <si>
    <t>Note: - Some values are rounded up in this excel sheet</t>
  </si>
  <si>
    <t>Total Ordering Costs for C-Stores</t>
  </si>
  <si>
    <t>Formulas</t>
  </si>
  <si>
    <t>1. Gross Profit= Sales-COGS</t>
  </si>
  <si>
    <t>2. COGS= 40% of sales</t>
  </si>
  <si>
    <t>3. Order Cost=Number of Orders* Cost per order</t>
  </si>
  <si>
    <t>4. Packaging Cost= Number of Packages *cost per packages</t>
  </si>
  <si>
    <t>5. Delivery Cost= number of Delivery * Cost per delivery</t>
  </si>
  <si>
    <t>6. Net Profit= Gross Profit - Total Supply Chain Cost</t>
  </si>
  <si>
    <t>1 order= 1 Delivery (GIVEN)</t>
  </si>
  <si>
    <t>Net Profit %</t>
  </si>
  <si>
    <t xml:space="preserve">Total Net Profit for first 4 Stores: </t>
  </si>
  <si>
    <t>Total Sales for first 4 Stores:</t>
  </si>
  <si>
    <t>Proft % generated by first 4 stores: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</si>
</sst>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\ #,##0;&quot;$&quot;\ \-#,##0"/>
    <numFmt numFmtId="165" formatCode="_ &quot;$&quot;\ * #,##0_ ;_ &quot;$&quot;\ * \-#,##0_ ;_ &quot;$&quot;\ * &quot;-&quot;_ ;_ @_ "/>
    <numFmt numFmtId="166" formatCode="_ &quot;$&quot;\ * #,##0.00_ ;_ &quot;$&quot;\ * \-#,##0.00_ ;_ &quot;$&quot;\ * &quot;-&quot;??_ ;_ @_ "/>
    <numFmt numFmtId="167" formatCode="&quot;$&quot;#,##0"/>
    <numFmt numFmtId="168" formatCode="#,##0_ ;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EF2CB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 indent="1"/>
    </xf>
    <xf numFmtId="165" fontId="0" fillId="0" borderId="0" xfId="1" applyNumberFormat="1" applyFont="1"/>
    <xf numFmtId="0" fontId="6" fillId="0" borderId="0" xfId="0" applyFont="1"/>
    <xf numFmtId="0" fontId="9" fillId="0" borderId="0" xfId="0" applyFont="1"/>
    <xf numFmtId="0" fontId="8" fillId="2" borderId="0" xfId="3" applyFont="1" applyFill="1" applyBorder="1"/>
    <xf numFmtId="3" fontId="9" fillId="0" borderId="0" xfId="0" applyNumberFormat="1" applyFont="1"/>
    <xf numFmtId="164" fontId="7" fillId="0" borderId="5" xfId="1" applyNumberFormat="1" applyFont="1" applyBorder="1"/>
    <xf numFmtId="164" fontId="7" fillId="0" borderId="0" xfId="1" applyNumberFormat="1" applyFont="1" applyBorder="1"/>
    <xf numFmtId="164" fontId="7" fillId="0" borderId="6" xfId="1" applyNumberFormat="1" applyFont="1" applyBorder="1"/>
    <xf numFmtId="164" fontId="0" fillId="0" borderId="0" xfId="1" applyNumberFormat="1" applyFont="1" applyBorder="1"/>
    <xf numFmtId="10" fontId="0" fillId="0" borderId="0" xfId="2" applyNumberFormat="1" applyFont="1" applyBorder="1"/>
    <xf numFmtId="0" fontId="0" fillId="0" borderId="0" xfId="0" applyBorder="1"/>
    <xf numFmtId="165" fontId="0" fillId="0" borderId="0" xfId="1" applyNumberFormat="1" applyFont="1" applyBorder="1"/>
    <xf numFmtId="165" fontId="2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 applyAlignment="1">
      <alignment horizontal="center"/>
    </xf>
    <xf numFmtId="168" fontId="5" fillId="0" borderId="0" xfId="1" applyNumberFormat="1" applyFont="1"/>
    <xf numFmtId="168" fontId="0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9" fontId="0" fillId="0" borderId="0" xfId="2" applyFont="1"/>
    <xf numFmtId="9" fontId="5" fillId="0" borderId="0" xfId="2" applyFont="1"/>
    <xf numFmtId="9" fontId="2" fillId="0" borderId="0" xfId="2" applyFont="1"/>
    <xf numFmtId="164" fontId="0" fillId="0" borderId="0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Border="1"/>
    <xf numFmtId="165" fontId="0" fillId="0" borderId="0" xfId="0" applyNumberFormat="1" applyBorder="1"/>
    <xf numFmtId="0" fontId="2" fillId="0" borderId="0" xfId="0" applyFont="1" applyBorder="1"/>
    <xf numFmtId="10" fontId="0" fillId="0" borderId="0" xfId="0" applyNumberFormat="1" applyBorder="1"/>
    <xf numFmtId="164" fontId="5" fillId="0" borderId="0" xfId="1" applyNumberFormat="1" applyFont="1" applyFill="1" applyBorder="1" applyAlignment="1"/>
    <xf numFmtId="167" fontId="1" fillId="4" borderId="3" xfId="5" applyNumberFormat="1" applyBorder="1" applyAlignment="1">
      <alignment horizontal="center" vertical="top" wrapText="1"/>
    </xf>
    <xf numFmtId="167" fontId="1" fillId="4" borderId="4" xfId="5" applyNumberFormat="1" applyBorder="1" applyAlignment="1">
      <alignment horizontal="center"/>
    </xf>
    <xf numFmtId="164" fontId="1" fillId="4" borderId="5" xfId="5" applyNumberFormat="1" applyBorder="1"/>
    <xf numFmtId="164" fontId="1" fillId="4" borderId="0" xfId="5" applyNumberFormat="1" applyBorder="1"/>
    <xf numFmtId="164" fontId="1" fillId="4" borderId="6" xfId="5" applyNumberFormat="1" applyBorder="1"/>
    <xf numFmtId="164" fontId="1" fillId="4" borderId="1" xfId="5" applyNumberFormat="1" applyBorder="1"/>
    <xf numFmtId="165" fontId="1" fillId="4" borderId="0" xfId="5" applyNumberFormat="1" applyBorder="1"/>
    <xf numFmtId="165" fontId="1" fillId="4" borderId="6" xfId="5" applyNumberFormat="1" applyBorder="1"/>
    <xf numFmtId="10" fontId="1" fillId="4" borderId="0" xfId="5" applyNumberFormat="1" applyBorder="1"/>
    <xf numFmtId="10" fontId="1" fillId="4" borderId="6" xfId="5" applyNumberFormat="1" applyBorder="1"/>
    <xf numFmtId="0" fontId="1" fillId="4" borderId="5" xfId="5" applyBorder="1"/>
    <xf numFmtId="0" fontId="1" fillId="4" borderId="0" xfId="5" applyBorder="1"/>
    <xf numFmtId="0" fontId="1" fillId="4" borderId="7" xfId="5" applyBorder="1"/>
    <xf numFmtId="0" fontId="1" fillId="4" borderId="8" xfId="5" applyBorder="1"/>
    <xf numFmtId="0" fontId="1" fillId="4" borderId="9" xfId="5" applyBorder="1"/>
    <xf numFmtId="167" fontId="11" fillId="4" borderId="2" xfId="5" applyNumberFormat="1" applyFont="1" applyBorder="1" applyAlignment="1">
      <alignment horizontal="center" vertical="top" wrapText="1"/>
    </xf>
    <xf numFmtId="164" fontId="2" fillId="4" borderId="5" xfId="5" applyNumberFormat="1" applyFont="1" applyBorder="1"/>
    <xf numFmtId="164" fontId="2" fillId="4" borderId="5" xfId="5" applyNumberFormat="1" applyFont="1" applyBorder="1" applyAlignment="1">
      <alignment horizontal="center"/>
    </xf>
    <xf numFmtId="164" fontId="2" fillId="4" borderId="0" xfId="5" applyNumberFormat="1" applyFont="1" applyBorder="1" applyAlignment="1">
      <alignment horizontal="center"/>
    </xf>
    <xf numFmtId="164" fontId="2" fillId="4" borderId="6" xfId="5" applyNumberFormat="1" applyFont="1" applyBorder="1" applyAlignment="1">
      <alignment horizontal="center"/>
    </xf>
    <xf numFmtId="164" fontId="2" fillId="4" borderId="5" xfId="5" applyNumberFormat="1" applyFont="1" applyBorder="1" applyAlignment="1">
      <alignment horizontal="center" wrapText="1"/>
    </xf>
    <xf numFmtId="164" fontId="2" fillId="4" borderId="0" xfId="5" applyNumberFormat="1" applyFont="1" applyBorder="1" applyAlignment="1">
      <alignment horizontal="center" wrapText="1"/>
    </xf>
    <xf numFmtId="164" fontId="2" fillId="4" borderId="6" xfId="5" applyNumberFormat="1" applyFont="1" applyBorder="1" applyAlignment="1">
      <alignment horizontal="center" wrapText="1"/>
    </xf>
    <xf numFmtId="167" fontId="1" fillId="3" borderId="0" xfId="4" applyNumberFormat="1" applyBorder="1"/>
    <xf numFmtId="167" fontId="1" fillId="3" borderId="6" xfId="4" applyNumberFormat="1" applyBorder="1"/>
    <xf numFmtId="167" fontId="1" fillId="3" borderId="5" xfId="4" applyNumberFormat="1" applyBorder="1"/>
    <xf numFmtId="10" fontId="1" fillId="3" borderId="0" xfId="4" applyNumberFormat="1" applyBorder="1"/>
    <xf numFmtId="10" fontId="1" fillId="3" borderId="6" xfId="4" applyNumberFormat="1" applyBorder="1"/>
    <xf numFmtId="0" fontId="1" fillId="3" borderId="7" xfId="4" applyBorder="1"/>
    <xf numFmtId="0" fontId="1" fillId="3" borderId="8" xfId="4" applyBorder="1"/>
    <xf numFmtId="0" fontId="1" fillId="3" borderId="9" xfId="4" applyBorder="1"/>
    <xf numFmtId="167" fontId="11" fillId="3" borderId="2" xfId="4" applyNumberFormat="1" applyFont="1" applyBorder="1" applyAlignment="1">
      <alignment horizontal="center" vertical="top" wrapText="1"/>
    </xf>
    <xf numFmtId="167" fontId="11" fillId="3" borderId="3" xfId="4" applyNumberFormat="1" applyFont="1" applyBorder="1" applyAlignment="1">
      <alignment horizontal="center" vertical="top" wrapText="1"/>
    </xf>
    <xf numFmtId="167" fontId="11" fillId="3" borderId="4" xfId="4" applyNumberFormat="1" applyFont="1" applyBorder="1" applyAlignment="1">
      <alignment horizontal="center" vertical="top" wrapText="1"/>
    </xf>
    <xf numFmtId="164" fontId="2" fillId="3" borderId="0" xfId="4" applyNumberFormat="1" applyFont="1" applyBorder="1" applyAlignment="1">
      <alignment horizontal="center"/>
    </xf>
    <xf numFmtId="167" fontId="2" fillId="3" borderId="5" xfId="4" applyNumberFormat="1" applyFont="1" applyBorder="1" applyAlignment="1">
      <alignment horizontal="center"/>
    </xf>
    <xf numFmtId="167" fontId="2" fillId="3" borderId="5" xfId="4" applyNumberFormat="1" applyFont="1" applyBorder="1" applyAlignment="1">
      <alignment horizontal="center"/>
    </xf>
    <xf numFmtId="167" fontId="2" fillId="3" borderId="0" xfId="4" applyNumberFormat="1" applyFont="1" applyBorder="1" applyAlignment="1">
      <alignment horizontal="center"/>
    </xf>
    <xf numFmtId="167" fontId="2" fillId="3" borderId="6" xfId="4" applyNumberFormat="1" applyFont="1" applyBorder="1" applyAlignment="1">
      <alignment horizontal="center"/>
    </xf>
  </cellXfs>
  <cellStyles count="6">
    <cellStyle name="40% - Accent4" xfId="4" builtinId="43"/>
    <cellStyle name="40% - Accent5" xfId="5" builtinId="47"/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$&quot;\ * #,##0_ ;_ &quot;$&quot;\ * \-#,##0_ ;_ &quot;$&quot;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$&quot;\ * #,##0_ ;_ &quot;$&quot;\ * \-#,##0_ ;_ &quot;$&quot;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$&quot;\ * #,##0_ ;_ &quot;$&quot;\ * \-#,##0_ ;_ &quot;$&quot;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$&quot;\ * #,##0_ ;_ &quot;$&quot;\ * \-#,##0_ ;_ &quot;$&quot;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$&quot;\ * #,##0_ ;_ &quot;$&quot;\ * \-#,##0_ ;_ &quot;$&quot;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,##0_ ;\-#,##0\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,##0_ ;\-#,##0\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,##0_ ;\-#,##0\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$&quot;\ * #,##0_ ;_ &quot;$&quot;\ * \-#,##0_ ;_ &quot;$&quot;\ * &quot;-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$&quot;\ * #,##0_ ;_ &quot;$&quot;\ * \-#,##0_ ;_ &quot;$&quot;\ * &quot;-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$&quot;\ * #,##0_ ;_ &quot;$&quot;\ * \-#,##0_ ;_ &quot;$&quot;\ * &quot;-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&quot;$&quot;\ * #,##0_ ;_ &quot;$&quot;\ * \-#,##0_ ;_ &quot;$&quot;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alibri"/>
        <family val="2"/>
        <scheme val="minor"/>
      </font>
      <numFmt numFmtId="165" formatCode="_ &quot;$&quot;\ * #,##0_ ;_ &quot;$&quot;\ * \-#,##0_ ;_ &quot;$&quot;\ * &quot;-&quot;_ ;_ @_ 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Gross Profit and Relative COGS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'Dream Beauty'!$B$21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Retail</c:v>
              </c:pt>
              <c:pt idx="1">
                <c:v> Convenience Stores</c:v>
              </c:pt>
              <c:pt idx="2">
                <c:v> Mass Merchants</c:v>
              </c:pt>
            </c:strLit>
          </c:cat>
          <c:val>
            <c:numRef>
              <c:f>'Dream Beauty'!$C$21:$E$21</c:f>
              <c:numCache>
                <c:formatCode>"$"\ #,##0;"$"\ \-#,##0</c:formatCode>
                <c:ptCount val="3"/>
                <c:pt idx="0">
                  <c:v>26000000</c:v>
                </c:pt>
                <c:pt idx="1">
                  <c:v>15600000</c:v>
                </c:pt>
                <c:pt idx="2">
                  <c:v>10400000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4-481B-8594-E75E19C654DE}"/>
            </c:ext>
          </c:extLst>
        </c:ser>
        <c:ser>
          <c:idx val="1"/>
          <c:order val="1"/>
          <c:tx>
            <c:strRef>
              <c:f>'Dream Beauty'!$B$22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Retail</c:v>
              </c:pt>
              <c:pt idx="1">
                <c:v> Convenience Stores</c:v>
              </c:pt>
              <c:pt idx="2">
                <c:v> Mass Merchants</c:v>
              </c:pt>
            </c:strLit>
          </c:cat>
          <c:val>
            <c:numRef>
              <c:f>'Dream Beauty'!$C$22:$E$22</c:f>
              <c:numCache>
                <c:formatCode>"$"\ #,##0;"$"\ \-#,##0</c:formatCode>
                <c:ptCount val="3"/>
                <c:pt idx="0">
                  <c:v>39000000</c:v>
                </c:pt>
                <c:pt idx="1">
                  <c:v>23400000</c:v>
                </c:pt>
                <c:pt idx="2">
                  <c:v>15600000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4-481B-8594-E75E19C6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429696"/>
        <c:axId val="574434616"/>
      </c:barChart>
      <c:catAx>
        <c:axId val="5744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4616"/>
        <c:crosses val="autoZero"/>
        <c:auto val="1"/>
        <c:lblAlgn val="ctr"/>
        <c:lblOffset val="100"/>
        <c:noMultiLvlLbl val="0"/>
      </c:catAx>
      <c:valAx>
        <c:axId val="57443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;&quot;$&quot;\ 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and Net Profit Comparison of C-Stores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Analysis of C-Store'!$B$7</c:f>
              <c:strCache>
                <c:ptCount val="1"/>
                <c:pt idx="0">
                  <c:v> 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'Profit Analysis of C-Store'!$A$8:$A$20</c:f>
              <c:strCache>
                <c:ptCount val="13"/>
                <c:pt idx="0">
                  <c:v> Cosmo Naturelle </c:v>
                </c:pt>
                <c:pt idx="1">
                  <c:v> La Balle Femme </c:v>
                </c:pt>
                <c:pt idx="2">
                  <c:v> Beautyss Bliss </c:v>
                </c:pt>
                <c:pt idx="3">
                  <c:v> Looking Good </c:v>
                </c:pt>
                <c:pt idx="4">
                  <c:v> Love Your Style </c:v>
                </c:pt>
                <c:pt idx="5">
                  <c:v> Nuttin' Homely </c:v>
                </c:pt>
                <c:pt idx="6">
                  <c:v> Make-up Galore </c:v>
                </c:pt>
                <c:pt idx="7">
                  <c:v> Wild by Nature </c:v>
                </c:pt>
                <c:pt idx="8">
                  <c:v> Beautee Fatale </c:v>
                </c:pt>
                <c:pt idx="9">
                  <c:v> Fruity Beauty </c:v>
                </c:pt>
                <c:pt idx="10">
                  <c:v> L'Air Du Jour </c:v>
                </c:pt>
                <c:pt idx="11">
                  <c:v> Tuti Fruity </c:v>
                </c:pt>
                <c:pt idx="12">
                  <c:v> Le Beau Monsieur </c:v>
                </c:pt>
              </c:strCache>
            </c:strRef>
          </c:cat>
          <c:val>
            <c:numRef>
              <c:f>'Profit Analysis of C-Store'!$B$8:$B$20</c:f>
              <c:numCache>
                <c:formatCode>_ "$"\ * #,##0_ ;_ "$"\ * \-#,##0_ ;_ "$"\ * "-"_ ;_ @_ </c:formatCode>
                <c:ptCount val="13"/>
                <c:pt idx="0">
                  <c:v>3500000</c:v>
                </c:pt>
                <c:pt idx="1">
                  <c:v>5000000</c:v>
                </c:pt>
                <c:pt idx="2">
                  <c:v>10000000</c:v>
                </c:pt>
                <c:pt idx="3">
                  <c:v>1500000</c:v>
                </c:pt>
                <c:pt idx="4">
                  <c:v>5000000</c:v>
                </c:pt>
                <c:pt idx="5">
                  <c:v>1000000</c:v>
                </c:pt>
                <c:pt idx="6">
                  <c:v>2000000</c:v>
                </c:pt>
                <c:pt idx="7">
                  <c:v>3000000</c:v>
                </c:pt>
                <c:pt idx="8">
                  <c:v>1000000</c:v>
                </c:pt>
                <c:pt idx="9">
                  <c:v>1500000</c:v>
                </c:pt>
                <c:pt idx="10">
                  <c:v>1000000</c:v>
                </c:pt>
                <c:pt idx="11">
                  <c:v>2000000</c:v>
                </c:pt>
                <c:pt idx="12">
                  <c:v>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D-4D90-9C8B-56D3713BF9A7}"/>
            </c:ext>
          </c:extLst>
        </c:ser>
        <c:ser>
          <c:idx val="1"/>
          <c:order val="1"/>
          <c:tx>
            <c:strRef>
              <c:f>'Profit Analysis of C-Store'!$L$7</c:f>
              <c:strCache>
                <c:ptCount val="1"/>
                <c:pt idx="0">
                  <c:v> Net Profit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'Profit Analysis of C-Store'!$A$8:$A$20</c:f>
              <c:strCache>
                <c:ptCount val="13"/>
                <c:pt idx="0">
                  <c:v> Cosmo Naturelle </c:v>
                </c:pt>
                <c:pt idx="1">
                  <c:v> La Balle Femme </c:v>
                </c:pt>
                <c:pt idx="2">
                  <c:v> Beautyss Bliss </c:v>
                </c:pt>
                <c:pt idx="3">
                  <c:v> Looking Good </c:v>
                </c:pt>
                <c:pt idx="4">
                  <c:v> Love Your Style </c:v>
                </c:pt>
                <c:pt idx="5">
                  <c:v> Nuttin' Homely </c:v>
                </c:pt>
                <c:pt idx="6">
                  <c:v> Make-up Galore </c:v>
                </c:pt>
                <c:pt idx="7">
                  <c:v> Wild by Nature </c:v>
                </c:pt>
                <c:pt idx="8">
                  <c:v> Beautee Fatale </c:v>
                </c:pt>
                <c:pt idx="9">
                  <c:v> Fruity Beauty </c:v>
                </c:pt>
                <c:pt idx="10">
                  <c:v> L'Air Du Jour </c:v>
                </c:pt>
                <c:pt idx="11">
                  <c:v> Tuti Fruity </c:v>
                </c:pt>
                <c:pt idx="12">
                  <c:v> Le Beau Monsieur </c:v>
                </c:pt>
              </c:strCache>
            </c:strRef>
          </c:cat>
          <c:val>
            <c:numRef>
              <c:f>'Profit Analysis of C-Store'!$L$8:$L$20</c:f>
              <c:numCache>
                <c:formatCode>_ "$"\ * #,##0_ ;_ "$"\ * \-#,##0_ ;_ "$"\ * "-"_ ;_ @_ </c:formatCode>
                <c:ptCount val="13"/>
                <c:pt idx="0">
                  <c:v>1313280</c:v>
                </c:pt>
                <c:pt idx="1">
                  <c:v>697600</c:v>
                </c:pt>
                <c:pt idx="2">
                  <c:v>399600</c:v>
                </c:pt>
                <c:pt idx="3">
                  <c:v>26600</c:v>
                </c:pt>
                <c:pt idx="4">
                  <c:v>-533600</c:v>
                </c:pt>
                <c:pt idx="5">
                  <c:v>-651200</c:v>
                </c:pt>
                <c:pt idx="6">
                  <c:v>-784600</c:v>
                </c:pt>
                <c:pt idx="7">
                  <c:v>-822400</c:v>
                </c:pt>
                <c:pt idx="8">
                  <c:v>-911200</c:v>
                </c:pt>
                <c:pt idx="9">
                  <c:v>-913440</c:v>
                </c:pt>
                <c:pt idx="10">
                  <c:v>-1366800</c:v>
                </c:pt>
                <c:pt idx="11">
                  <c:v>-2378000</c:v>
                </c:pt>
                <c:pt idx="12">
                  <c:v>-2855840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D-4D90-9C8B-56D3713BF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342144"/>
        <c:axId val="534346408"/>
      </c:barChart>
      <c:catAx>
        <c:axId val="5343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6408"/>
        <c:crosses val="autoZero"/>
        <c:auto val="1"/>
        <c:lblAlgn val="ctr"/>
        <c:lblOffset val="100"/>
        <c:noMultiLvlLbl val="0"/>
      </c:catAx>
      <c:valAx>
        <c:axId val="5343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&quot;\ * #,##0_ ;_ &quot;$&quot;\ * \-#,##0_ ;_ &quot;$&quot;\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 generated by Top 4 Profitable C.Stores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'Profit Analysis of C-Store'!$A$8:$A$11</c:f>
              <c:strCache>
                <c:ptCount val="4"/>
                <c:pt idx="0">
                  <c:v> Cosmo Naturelle </c:v>
                </c:pt>
                <c:pt idx="1">
                  <c:v> La Balle Femme </c:v>
                </c:pt>
                <c:pt idx="2">
                  <c:v> Beautyss Bliss </c:v>
                </c:pt>
                <c:pt idx="3">
                  <c:v> Looking Good </c:v>
                </c:pt>
              </c:strCache>
            </c:strRef>
          </c:cat>
          <c:val>
            <c:numRef>
              <c:f>'Profit Analysis of C-Store'!$L$8:$L$11</c:f>
              <c:numCache>
                <c:formatCode>_ "$"\ * #,##0_ ;_ "$"\ * \-#,##0_ ;_ "$"\ * "-"_ ;_ @_ </c:formatCode>
                <c:ptCount val="4"/>
                <c:pt idx="0">
                  <c:v>1313280</c:v>
                </c:pt>
                <c:pt idx="1">
                  <c:v>697600</c:v>
                </c:pt>
                <c:pt idx="2">
                  <c:v>399600</c:v>
                </c:pt>
                <c:pt idx="3">
                  <c:v>26600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D-41AB-8681-EE615E91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4608296"/>
        <c:axId val="534599112"/>
      </c:barChart>
      <c:catAx>
        <c:axId val="534608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9112"/>
        <c:crosses val="autoZero"/>
        <c:auto val="1"/>
        <c:lblAlgn val="ctr"/>
        <c:lblOffset val="100"/>
        <c:noMultiLvlLbl val="0"/>
      </c:catAx>
      <c:valAx>
        <c:axId val="53459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&quot;\ * #,##0_ ;_ &quot;$&quot;\ * \-#,##0_ ;_ &quot;$&quot;\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309012</xdr:colOff>
      <xdr:row>1</xdr:row>
      <xdr:rowOff>98065</xdr:rowOff>
    </xdr:from>
    <xdr:to>
      <xdr:col>23</xdr:col>
      <xdr:colOff>219364</xdr:colOff>
      <xdr:row>17</xdr:row>
      <xdr:rowOff>265545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E3DDE-6474-4F86-9D44-E2732C37C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1007044</xdr:colOff>
      <xdr:row>22</xdr:row>
      <xdr:rowOff>118208</xdr:rowOff>
    </xdr:from>
    <xdr:to>
      <xdr:col>12</xdr:col>
      <xdr:colOff>1636347</xdr:colOff>
      <xdr:row>41</xdr:row>
      <xdr:rowOff>170962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79161-811B-4C1D-A55A-FCBC7CABC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2012112</xdr:colOff>
      <xdr:row>22</xdr:row>
      <xdr:rowOff>110298</xdr:rowOff>
    </xdr:from>
    <xdr:to>
      <xdr:col>15</xdr:col>
      <xdr:colOff>544285</xdr:colOff>
      <xdr:row>41</xdr:row>
      <xdr:rowOff>181428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CAB61E-73BF-4EB2-B54B-7D92B99A1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1633B-BDC8-4F97-B476-4C7996588CAC}" name="Table1" displayName="Table1" ref="A7:M21" totalsRowShown="0" headerRowDxfId="14" dataDxfId="13" headerRowCellStyle="Currency" dataCellStyle="Currency">
  <autoFilter ref="A7:M21" xr:uid="{4030B970-E693-480A-8832-DBD822DFA38C}"/>
  <sortState xmlns:xlrd2="http://schemas.microsoft.com/office/spreadsheetml/2017/richdata2" ref="A8:L21">
    <sortCondition descending="1" ref="L7:L21"/>
  </sortState>
  <tableColumns count="13">
    <tableColumn id="1" xr3:uid="{2B0AB47F-24F2-4893-9818-A8029E92A05B}" name="C-Store Name" dataDxfId="12" dataCellStyle="Currency"/>
    <tableColumn id="2" xr3:uid="{8A307705-E518-4E91-A702-7F34E2E50238}" name="Sales" dataDxfId="11" dataCellStyle="Currency"/>
    <tableColumn id="3" xr3:uid="{E61725AE-AC2F-498A-81A0-553EF2E1D15D}" name="COGS" dataDxfId="10" dataCellStyle="Currency"/>
    <tableColumn id="4" xr3:uid="{46379562-CCB3-4B9C-BF4C-35A991009184}" name="Gross Profit" dataDxfId="9" dataCellStyle="Currency"/>
    <tableColumn id="5" xr3:uid="{A27CC26C-7654-47CE-B84D-D1724F74C7A1}" name="Orders" dataDxfId="8" dataCellStyle="Currency"/>
    <tableColumn id="6" xr3:uid="{1C9EDC2D-E2F2-4C70-918A-9ED518FAB607}" name="Packages" dataDxfId="7" dataCellStyle="Currency"/>
    <tableColumn id="7" xr3:uid="{DD8E6086-52BA-412C-B1FD-BF2EA020E516}" name="Delivery" dataDxfId="6" dataCellStyle="Currency"/>
    <tableColumn id="8" xr3:uid="{5CB14718-6853-45A9-92E7-AB0D07062AD3}" name="Order cost" dataDxfId="5" dataCellStyle="Currency"/>
    <tableColumn id="9" xr3:uid="{5FFDC1A4-07DC-44DC-A701-1280E834C998}" name="Packaging Cost" dataDxfId="4" dataCellStyle="Currency"/>
    <tableColumn id="10" xr3:uid="{CB230A8A-3381-49D3-A42D-44E508024EAD}" name="Delivery Cost" dataDxfId="3" dataCellStyle="Currency"/>
    <tableColumn id="11" xr3:uid="{3997A570-5D7F-4C41-A9B7-93372339D516}" name="Total Supply Chain Cost" dataDxfId="2" dataCellStyle="Currency"/>
    <tableColumn id="12" xr3:uid="{1A9CBC81-9A50-466E-855C-FBF3D169817D}" name="Net Profit" dataDxfId="1" dataCellStyle="Currency"/>
    <tableColumn id="13" xr3:uid="{197947CB-CE84-4B1F-88E4-1F90C6F7A9A2}" name="Net Profit %" dataDxfId="0" dataCellStyle="Percent">
      <calculatedColumnFormula>Table1[[#This Row],[Net Profit]]/Table1[[#This Row],[Sales]]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55"/>
  <sheetViews>
    <sheetView zoomScale="55" zoomScaleNormal="55" workbookViewId="0">
      <selection activeCell="V25" sqref="V25"/>
    </sheetView>
  </sheetViews>
  <sheetFormatPr defaultRowHeight="14.5" x14ac:dyDescent="0.35"/>
  <cols>
    <col min="2" max="2" width="20.7265625" style="2" customWidth="1"/>
    <col min="3" max="3" width="19.1796875" customWidth="1"/>
    <col min="4" max="4" width="22.7265625" customWidth="1"/>
    <col min="5" max="5" width="19.453125" customWidth="1"/>
    <col min="6" max="6" width="17.1796875" customWidth="1"/>
    <col min="8" max="8" width="14.54296875" customWidth="1"/>
    <col min="9" max="9" width="14.7265625" customWidth="1"/>
  </cols>
  <sheetData>
    <row r="1" spans="2:12" ht="15" thickBot="1" x14ac:dyDescent="0.4"/>
    <row r="2" spans="2:12" s="1" customFormat="1" ht="50.25" customHeight="1" x14ac:dyDescent="0.35">
      <c r="B2" s="65" t="s">
        <v>8</v>
      </c>
      <c r="C2" s="66"/>
      <c r="D2" s="66"/>
      <c r="E2" s="66"/>
      <c r="F2" s="67"/>
    </row>
    <row r="3" spans="2:12" s="7" customFormat="1" ht="15.5" x14ac:dyDescent="0.35">
      <c r="B3" s="68" t="s">
        <v>0</v>
      </c>
      <c r="C3" s="68" t="s">
        <v>9</v>
      </c>
      <c r="D3" s="68" t="s">
        <v>10</v>
      </c>
      <c r="E3" s="68" t="s">
        <v>11</v>
      </c>
      <c r="F3" s="68" t="s">
        <v>1</v>
      </c>
      <c r="H3" s="8"/>
      <c r="I3" s="9"/>
    </row>
    <row r="4" spans="2:12" x14ac:dyDescent="0.35">
      <c r="B4" s="69" t="s">
        <v>27</v>
      </c>
      <c r="C4" s="57">
        <f>F4*50%</f>
        <v>65000000</v>
      </c>
      <c r="D4" s="57">
        <f>F4*30%</f>
        <v>39000000</v>
      </c>
      <c r="E4" s="57">
        <f>F4*20%</f>
        <v>26000000</v>
      </c>
      <c r="F4" s="58">
        <v>130000000</v>
      </c>
    </row>
    <row r="5" spans="2:12" x14ac:dyDescent="0.35">
      <c r="B5" s="69" t="s">
        <v>2</v>
      </c>
      <c r="C5" s="57">
        <f>C4*40%</f>
        <v>26000000</v>
      </c>
      <c r="D5" s="57">
        <f>D4*40%</f>
        <v>15600000</v>
      </c>
      <c r="E5" s="57">
        <f>E4*40%</f>
        <v>10400000</v>
      </c>
      <c r="F5" s="58">
        <v>52000000</v>
      </c>
    </row>
    <row r="6" spans="2:12" x14ac:dyDescent="0.35">
      <c r="B6" s="69" t="s">
        <v>3</v>
      </c>
      <c r="C6" s="57">
        <f>C4-C5</f>
        <v>39000000</v>
      </c>
      <c r="D6" s="57">
        <f>D4-D5</f>
        <v>23400000</v>
      </c>
      <c r="E6" s="57">
        <f>E4-E5</f>
        <v>15600000</v>
      </c>
      <c r="F6" s="58">
        <v>78000000</v>
      </c>
    </row>
    <row r="7" spans="2:12" x14ac:dyDescent="0.35">
      <c r="B7" s="59"/>
      <c r="C7" s="57"/>
      <c r="D7" s="57"/>
      <c r="E7" s="57"/>
      <c r="F7" s="58"/>
      <c r="H7" s="2" t="s">
        <v>21</v>
      </c>
    </row>
    <row r="8" spans="2:12" x14ac:dyDescent="0.35">
      <c r="B8" s="70" t="s">
        <v>28</v>
      </c>
      <c r="C8" s="71"/>
      <c r="D8" s="71"/>
      <c r="E8" s="71"/>
      <c r="F8" s="72"/>
      <c r="H8" s="2" t="s">
        <v>22</v>
      </c>
      <c r="I8" s="2"/>
      <c r="J8" s="2"/>
      <c r="K8" s="2"/>
      <c r="L8" s="2"/>
    </row>
    <row r="9" spans="2:12" x14ac:dyDescent="0.35">
      <c r="B9" s="69" t="s">
        <v>12</v>
      </c>
      <c r="C9" s="57">
        <f>F9*50%</f>
        <v>5000000</v>
      </c>
      <c r="D9" s="57">
        <f>F9*30%</f>
        <v>3000000</v>
      </c>
      <c r="E9" s="57">
        <f>F9*20%</f>
        <v>2000000</v>
      </c>
      <c r="F9" s="58">
        <v>10000000</v>
      </c>
      <c r="H9" s="3" t="s">
        <v>23</v>
      </c>
      <c r="I9" s="2"/>
      <c r="J9" s="2"/>
      <c r="K9" s="2"/>
      <c r="L9" s="2"/>
    </row>
    <row r="10" spans="2:12" x14ac:dyDescent="0.35">
      <c r="B10" s="69" t="s">
        <v>13</v>
      </c>
      <c r="C10" s="57">
        <f>F10*50%</f>
        <v>4000000</v>
      </c>
      <c r="D10" s="57">
        <f>F10*30%</f>
        <v>2400000</v>
      </c>
      <c r="E10" s="57">
        <f>F10*20%</f>
        <v>1600000</v>
      </c>
      <c r="F10" s="58">
        <v>8000000</v>
      </c>
      <c r="H10" s="2" t="s">
        <v>24</v>
      </c>
      <c r="I10" s="2"/>
      <c r="J10" s="2"/>
      <c r="K10" s="2"/>
      <c r="L10" s="2"/>
    </row>
    <row r="11" spans="2:12" x14ac:dyDescent="0.35">
      <c r="B11" s="69" t="s">
        <v>14</v>
      </c>
      <c r="C11" s="57">
        <f>F11*50%</f>
        <v>1000000</v>
      </c>
      <c r="D11" s="57">
        <f>F11*30%</f>
        <v>600000</v>
      </c>
      <c r="E11" s="57">
        <f>F11*20%</f>
        <v>400000</v>
      </c>
      <c r="F11" s="58">
        <v>2000000</v>
      </c>
      <c r="H11" s="2" t="s">
        <v>25</v>
      </c>
      <c r="I11" s="2"/>
      <c r="J11" s="2"/>
      <c r="K11" s="2"/>
      <c r="L11" s="2"/>
    </row>
    <row r="12" spans="2:12" x14ac:dyDescent="0.35">
      <c r="B12" s="69" t="s">
        <v>15</v>
      </c>
      <c r="C12" s="57">
        <f>F12*50%</f>
        <v>15000000</v>
      </c>
      <c r="D12" s="57">
        <f>F12*30%</f>
        <v>9000000</v>
      </c>
      <c r="E12" s="57">
        <f>F12*20%</f>
        <v>6000000</v>
      </c>
      <c r="F12" s="58">
        <v>30000000</v>
      </c>
      <c r="H12" s="3" t="s">
        <v>26</v>
      </c>
      <c r="I12" s="3"/>
      <c r="J12" s="3"/>
      <c r="K12" s="3"/>
      <c r="L12" s="3"/>
    </row>
    <row r="13" spans="2:12" x14ac:dyDescent="0.35">
      <c r="B13" s="69" t="s">
        <v>6</v>
      </c>
      <c r="C13" s="57">
        <f>F13*50%</f>
        <v>25000000</v>
      </c>
      <c r="D13" s="57">
        <f>F13*30%</f>
        <v>15000000</v>
      </c>
      <c r="E13" s="57">
        <f>F13*20%</f>
        <v>10000000</v>
      </c>
      <c r="F13" s="58">
        <v>50000000</v>
      </c>
      <c r="H13" s="4" t="s">
        <v>18</v>
      </c>
      <c r="I13" s="4"/>
      <c r="J13" s="2"/>
      <c r="K13" s="2"/>
      <c r="L13" s="2"/>
    </row>
    <row r="14" spans="2:12" x14ac:dyDescent="0.35">
      <c r="B14" s="69" t="s">
        <v>7</v>
      </c>
      <c r="C14" s="57">
        <f>C6-C13</f>
        <v>14000000</v>
      </c>
      <c r="D14" s="57">
        <f>D6-D13</f>
        <v>8400000</v>
      </c>
      <c r="E14" s="57">
        <f>E6-E13</f>
        <v>5600000</v>
      </c>
      <c r="F14" s="58">
        <v>28000000</v>
      </c>
      <c r="H14" s="4" t="s">
        <v>19</v>
      </c>
      <c r="I14" s="4"/>
      <c r="J14" s="2"/>
      <c r="K14" s="2"/>
      <c r="L14" s="2"/>
    </row>
    <row r="15" spans="2:12" x14ac:dyDescent="0.35">
      <c r="B15" s="69" t="s">
        <v>75</v>
      </c>
      <c r="C15" s="60">
        <f>C14/C4</f>
        <v>0.2153846153846154</v>
      </c>
      <c r="D15" s="60">
        <f>D14/D4</f>
        <v>0.2153846153846154</v>
      </c>
      <c r="E15" s="60">
        <f>E14/E4</f>
        <v>0.2153846153846154</v>
      </c>
      <c r="F15" s="61">
        <f>F14/F4</f>
        <v>0.2153846153846154</v>
      </c>
      <c r="H15" s="4" t="s">
        <v>20</v>
      </c>
      <c r="I15" s="4"/>
      <c r="J15" s="2"/>
      <c r="K15" s="2"/>
      <c r="L15" s="2"/>
    </row>
    <row r="16" spans="2:12" ht="15" thickBot="1" x14ac:dyDescent="0.4">
      <c r="B16" s="62"/>
      <c r="C16" s="63"/>
      <c r="D16" s="63"/>
      <c r="E16" s="63"/>
      <c r="F16" s="64"/>
    </row>
    <row r="17" spans="2:10" ht="15" thickBot="1" x14ac:dyDescent="0.4"/>
    <row r="18" spans="2:10" s="1" customFormat="1" ht="50.25" customHeight="1" x14ac:dyDescent="0.35">
      <c r="B18" s="49" t="s">
        <v>29</v>
      </c>
      <c r="C18" s="34"/>
      <c r="D18" s="34"/>
      <c r="E18" s="34"/>
      <c r="F18" s="35"/>
    </row>
    <row r="19" spans="2:10" s="6" customFormat="1" ht="18.75" customHeight="1" x14ac:dyDescent="0.35">
      <c r="B19" s="51" t="s">
        <v>0</v>
      </c>
      <c r="C19" s="52" t="s">
        <v>9</v>
      </c>
      <c r="D19" s="52" t="s">
        <v>10</v>
      </c>
      <c r="E19" s="52" t="s">
        <v>11</v>
      </c>
      <c r="F19" s="53" t="s">
        <v>1</v>
      </c>
    </row>
    <row r="20" spans="2:10" x14ac:dyDescent="0.35">
      <c r="B20" s="51" t="s">
        <v>27</v>
      </c>
      <c r="C20" s="37">
        <f>F20*50%</f>
        <v>65000000</v>
      </c>
      <c r="D20" s="37">
        <f>F20*30%</f>
        <v>39000000</v>
      </c>
      <c r="E20" s="37">
        <f>F20*20%</f>
        <v>26000000</v>
      </c>
      <c r="F20" s="38">
        <v>130000000</v>
      </c>
    </row>
    <row r="21" spans="2:10" ht="15" thickBot="1" x14ac:dyDescent="0.4">
      <c r="B21" s="51" t="s">
        <v>2</v>
      </c>
      <c r="C21" s="37">
        <f>C20*40%</f>
        <v>26000000</v>
      </c>
      <c r="D21" s="37">
        <f>D20*40%</f>
        <v>15600000</v>
      </c>
      <c r="E21" s="37">
        <f>E20*40%</f>
        <v>10400000</v>
      </c>
      <c r="F21" s="38">
        <v>52000000</v>
      </c>
    </row>
    <row r="22" spans="2:10" ht="15" thickBot="1" x14ac:dyDescent="0.4">
      <c r="B22" s="51" t="s">
        <v>3</v>
      </c>
      <c r="C22" s="37">
        <f>C20-C21</f>
        <v>39000000</v>
      </c>
      <c r="D22" s="39">
        <f>D20-D21</f>
        <v>23400000</v>
      </c>
      <c r="E22" s="37">
        <f>E20-E21</f>
        <v>15600000</v>
      </c>
      <c r="F22" s="38">
        <v>78000000</v>
      </c>
    </row>
    <row r="23" spans="2:10" x14ac:dyDescent="0.35">
      <c r="B23" s="36"/>
      <c r="C23" s="37"/>
      <c r="D23" s="37"/>
      <c r="E23" s="37"/>
      <c r="F23" s="38"/>
    </row>
    <row r="24" spans="2:10" x14ac:dyDescent="0.35">
      <c r="B24" s="54" t="s">
        <v>4</v>
      </c>
      <c r="C24" s="55"/>
      <c r="D24" s="55"/>
      <c r="E24" s="55"/>
      <c r="F24" s="56"/>
      <c r="H24" s="2" t="s">
        <v>31</v>
      </c>
      <c r="I24" s="2"/>
      <c r="J24" s="2"/>
    </row>
    <row r="25" spans="2:10" ht="15" customHeight="1" x14ac:dyDescent="0.35">
      <c r="B25" s="50" t="s">
        <v>12</v>
      </c>
      <c r="C25" s="37">
        <f>(F25/3600)*1000</f>
        <v>2777777.777777778</v>
      </c>
      <c r="D25" s="37">
        <f>(F25/3600)*2500</f>
        <v>6944444.444444445</v>
      </c>
      <c r="E25" s="37">
        <f>(F25/3600)*100</f>
        <v>277777.77777777781</v>
      </c>
      <c r="F25" s="38">
        <v>10000000</v>
      </c>
      <c r="H25" t="s">
        <v>35</v>
      </c>
    </row>
    <row r="26" spans="2:10" x14ac:dyDescent="0.35">
      <c r="B26" s="50" t="s">
        <v>13</v>
      </c>
      <c r="C26" s="37">
        <f>(F26/2000)*800</f>
        <v>3200000</v>
      </c>
      <c r="D26" s="37">
        <f>(F26/2000)*1100</f>
        <v>4400000</v>
      </c>
      <c r="E26" s="37">
        <f>(F26/2000)*100</f>
        <v>400000</v>
      </c>
      <c r="F26" s="38">
        <v>8000000</v>
      </c>
      <c r="H26" t="s">
        <v>32</v>
      </c>
    </row>
    <row r="27" spans="2:10" x14ac:dyDescent="0.35">
      <c r="B27" s="50" t="s">
        <v>14</v>
      </c>
      <c r="C27" s="37">
        <v>0</v>
      </c>
      <c r="D27" s="37">
        <v>0</v>
      </c>
      <c r="E27" s="37">
        <f>F27</f>
        <v>2000000</v>
      </c>
      <c r="F27" s="38">
        <v>2000000</v>
      </c>
      <c r="H27" t="s">
        <v>36</v>
      </c>
    </row>
    <row r="28" spans="2:10" x14ac:dyDescent="0.35">
      <c r="B28" s="50" t="s">
        <v>15</v>
      </c>
      <c r="C28" s="37">
        <f>(F28/3600)*1000</f>
        <v>8333333.333333334</v>
      </c>
      <c r="D28" s="37">
        <f>(F28/3600)*2500</f>
        <v>20833333.333333336</v>
      </c>
      <c r="E28" s="37">
        <f>(F28/3600)*100</f>
        <v>833333.33333333337</v>
      </c>
      <c r="F28" s="38">
        <v>30000000</v>
      </c>
      <c r="H28" t="s">
        <v>33</v>
      </c>
    </row>
    <row r="29" spans="2:10" x14ac:dyDescent="0.35">
      <c r="B29" s="50" t="s">
        <v>30</v>
      </c>
      <c r="C29" s="40">
        <f>($C$21/4)*15%</f>
        <v>975000</v>
      </c>
      <c r="D29" s="40">
        <f>($D$21/6)*15%</f>
        <v>390000</v>
      </c>
      <c r="E29" s="40">
        <f>($E$21/9)*15%</f>
        <v>173333.33333333331</v>
      </c>
      <c r="F29" s="41">
        <f>SUM(C29:E29)</f>
        <v>1538333.3333333333</v>
      </c>
    </row>
    <row r="30" spans="2:10" x14ac:dyDescent="0.35">
      <c r="B30" s="50" t="s">
        <v>6</v>
      </c>
      <c r="C30" s="37">
        <f>SUM(C25:C29)</f>
        <v>15286111.111111112</v>
      </c>
      <c r="D30" s="37">
        <f>SUM(D25:D29)</f>
        <v>32567777.77777778</v>
      </c>
      <c r="E30" s="37">
        <f>SUM(E25:E29)</f>
        <v>3684444.444444445</v>
      </c>
      <c r="F30" s="38">
        <v>50000000</v>
      </c>
      <c r="H30" t="s">
        <v>37</v>
      </c>
    </row>
    <row r="31" spans="2:10" x14ac:dyDescent="0.35">
      <c r="B31" s="50" t="s">
        <v>7</v>
      </c>
      <c r="C31" s="37">
        <f>C22-C30</f>
        <v>23713888.888888888</v>
      </c>
      <c r="D31" s="37">
        <f>D22-D30</f>
        <v>-9167777.7777777798</v>
      </c>
      <c r="E31" s="37">
        <f>E22-E30</f>
        <v>11915555.555555556</v>
      </c>
      <c r="F31" s="38">
        <f>SUM(C31:E31)</f>
        <v>26461666.666666664</v>
      </c>
    </row>
    <row r="32" spans="2:10" x14ac:dyDescent="0.35">
      <c r="B32" s="50"/>
      <c r="C32" s="37"/>
      <c r="D32" s="37"/>
      <c r="E32" s="37"/>
      <c r="F32" s="38"/>
    </row>
    <row r="33" spans="2:8" x14ac:dyDescent="0.35">
      <c r="B33" s="50" t="s">
        <v>75</v>
      </c>
      <c r="C33" s="42">
        <f>C31/C20</f>
        <v>0.36482905982905983</v>
      </c>
      <c r="D33" s="42">
        <f>D31/D20</f>
        <v>-0.23507122507122513</v>
      </c>
      <c r="E33" s="42">
        <f>E31/E20</f>
        <v>0.45829059829059832</v>
      </c>
      <c r="F33" s="43">
        <f>F31/F20</f>
        <v>0.20355128205128203</v>
      </c>
      <c r="H33" t="s">
        <v>34</v>
      </c>
    </row>
    <row r="34" spans="2:8" x14ac:dyDescent="0.35">
      <c r="B34" s="44"/>
      <c r="C34" s="45"/>
      <c r="D34" s="45"/>
      <c r="E34" s="45"/>
      <c r="F34" s="43"/>
    </row>
    <row r="35" spans="2:8" x14ac:dyDescent="0.35">
      <c r="B35" s="36"/>
      <c r="C35" s="40"/>
      <c r="D35" s="40"/>
      <c r="E35" s="40"/>
      <c r="F35" s="41"/>
    </row>
    <row r="36" spans="2:8" ht="15" thickBot="1" x14ac:dyDescent="0.4">
      <c r="B36" s="46"/>
      <c r="C36" s="47"/>
      <c r="D36" s="47"/>
      <c r="E36" s="47"/>
      <c r="F36" s="48"/>
    </row>
    <row r="39" spans="2:8" ht="15.5" x14ac:dyDescent="0.35">
      <c r="B39" s="10"/>
      <c r="C39" s="11"/>
      <c r="D39" s="11"/>
      <c r="E39" s="11"/>
    </row>
    <row r="40" spans="2:8" x14ac:dyDescent="0.35">
      <c r="B40" s="28"/>
      <c r="C40" s="27"/>
      <c r="D40" s="27"/>
      <c r="E40" s="27"/>
      <c r="F40" s="27"/>
    </row>
    <row r="41" spans="2:8" x14ac:dyDescent="0.35">
      <c r="B41" s="28"/>
      <c r="C41" s="27"/>
      <c r="D41" s="27"/>
      <c r="E41" s="27"/>
      <c r="F41" s="27"/>
    </row>
    <row r="42" spans="2:8" x14ac:dyDescent="0.35">
      <c r="B42" s="28"/>
      <c r="C42" s="27"/>
      <c r="D42" s="27"/>
      <c r="E42" s="27"/>
      <c r="F42" s="27"/>
    </row>
    <row r="43" spans="2:8" x14ac:dyDescent="0.35">
      <c r="B43" s="28"/>
      <c r="C43" s="27"/>
      <c r="D43" s="27"/>
      <c r="E43" s="27"/>
      <c r="F43" s="27"/>
    </row>
    <row r="44" spans="2:8" ht="17" x14ac:dyDescent="0.4">
      <c r="B44" s="33"/>
      <c r="C44" s="33"/>
      <c r="D44" s="33"/>
      <c r="E44" s="33"/>
      <c r="F44" s="33"/>
    </row>
    <row r="45" spans="2:8" ht="15.5" x14ac:dyDescent="0.35">
      <c r="B45" s="28"/>
      <c r="C45" s="27"/>
      <c r="D45" s="27"/>
      <c r="E45" s="27"/>
      <c r="F45" s="27"/>
      <c r="G45" s="12"/>
    </row>
    <row r="46" spans="2:8" x14ac:dyDescent="0.35">
      <c r="B46" s="28"/>
      <c r="C46" s="27"/>
      <c r="D46" s="27"/>
      <c r="E46" s="27"/>
      <c r="F46" s="27"/>
    </row>
    <row r="47" spans="2:8" x14ac:dyDescent="0.35">
      <c r="B47" s="28"/>
      <c r="C47" s="27"/>
      <c r="D47" s="27"/>
      <c r="E47" s="27"/>
      <c r="F47" s="27"/>
    </row>
    <row r="48" spans="2:8" x14ac:dyDescent="0.35">
      <c r="B48" s="28"/>
      <c r="C48" s="27"/>
      <c r="D48" s="27"/>
      <c r="E48" s="27"/>
      <c r="F48" s="27"/>
    </row>
    <row r="49" spans="2:6" x14ac:dyDescent="0.35">
      <c r="B49" s="29"/>
      <c r="C49" s="16"/>
      <c r="D49" s="16"/>
      <c r="E49" s="16"/>
      <c r="F49" s="30"/>
    </row>
    <row r="50" spans="2:6" x14ac:dyDescent="0.35">
      <c r="B50" s="29"/>
      <c r="C50" s="13"/>
      <c r="D50" s="13"/>
      <c r="E50" s="13"/>
      <c r="F50" s="13"/>
    </row>
    <row r="51" spans="2:6" x14ac:dyDescent="0.35">
      <c r="B51" s="29"/>
      <c r="C51" s="13"/>
      <c r="D51" s="13"/>
      <c r="E51" s="13"/>
      <c r="F51" s="13"/>
    </row>
    <row r="52" spans="2:6" x14ac:dyDescent="0.35">
      <c r="B52" s="29"/>
      <c r="C52" s="13"/>
      <c r="D52" s="13"/>
      <c r="E52" s="13"/>
      <c r="F52" s="13"/>
    </row>
    <row r="53" spans="2:6" x14ac:dyDescent="0.35">
      <c r="B53" s="29"/>
      <c r="C53" s="14"/>
      <c r="D53" s="14"/>
      <c r="E53" s="14"/>
      <c r="F53" s="14"/>
    </row>
    <row r="54" spans="2:6" x14ac:dyDescent="0.35">
      <c r="B54" s="31"/>
      <c r="C54" s="15"/>
      <c r="D54" s="15"/>
      <c r="E54" s="15"/>
      <c r="F54" s="32"/>
    </row>
    <row r="55" spans="2:6" x14ac:dyDescent="0.35">
      <c r="B55" s="31"/>
      <c r="C55" s="15"/>
      <c r="D55" s="15"/>
      <c r="E55" s="15"/>
      <c r="F55" s="15"/>
    </row>
  </sheetData>
  <mergeCells count="4">
    <mergeCell ref="B8:F8"/>
    <mergeCell ref="B18:E18"/>
    <mergeCell ref="B24:F24"/>
    <mergeCell ref="B2:F2"/>
  </mergeCells>
  <conditionalFormatting sqref="C33:F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F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76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0"/>
  <sheetViews>
    <sheetView tabSelected="1" zoomScale="47" zoomScaleNormal="47" workbookViewId="0">
      <selection activeCell="D40" sqref="D40"/>
    </sheetView>
  </sheetViews>
  <sheetFormatPr defaultColWidth="29.7265625" defaultRowHeight="14.5" x14ac:dyDescent="0.35"/>
  <cols>
    <col min="1" max="1" width="29.7265625" style="5"/>
    <col min="2" max="2" width="18.1796875" style="5" customWidth="1"/>
    <col min="3" max="3" width="18.453125" style="5" customWidth="1"/>
    <col min="4" max="4" width="21.54296875" style="5" customWidth="1"/>
    <col min="5" max="5" width="12.54296875" style="5" customWidth="1"/>
    <col min="6" max="6" width="17.26953125" style="5" customWidth="1"/>
    <col min="7" max="7" width="14.7265625" style="5" customWidth="1"/>
    <col min="8" max="8" width="14.453125" style="5" customWidth="1"/>
    <col min="9" max="9" width="24.54296875" style="5" customWidth="1"/>
    <col min="10" max="10" width="16.90625" style="5" customWidth="1"/>
    <col min="11" max="11" width="27.26953125" style="5" customWidth="1"/>
    <col min="12" max="12" width="18.1796875" style="5" customWidth="1"/>
    <col min="13" max="13" width="29.7265625" style="5"/>
    <col min="14" max="14" width="39.6328125" style="5" customWidth="1"/>
    <col min="15" max="15" width="39.1796875" style="5" customWidth="1"/>
    <col min="16" max="16384" width="29.7265625" style="5"/>
  </cols>
  <sheetData>
    <row r="2" spans="1:13" x14ac:dyDescent="0.35">
      <c r="A2" s="17" t="s">
        <v>66</v>
      </c>
      <c r="B2" s="5">
        <v>6944444</v>
      </c>
      <c r="D2" s="17" t="s">
        <v>38</v>
      </c>
      <c r="E2" s="5" t="s">
        <v>39</v>
      </c>
      <c r="I2" s="17" t="s">
        <v>40</v>
      </c>
      <c r="J2" s="5">
        <f>ROUNDUP(B2/E3,0)</f>
        <v>2778</v>
      </c>
      <c r="M2" s="5">
        <f>SUM(L8:L11)</f>
        <v>2437080</v>
      </c>
    </row>
    <row r="3" spans="1:13" x14ac:dyDescent="0.35">
      <c r="A3" s="17" t="s">
        <v>41</v>
      </c>
      <c r="B3" s="5">
        <v>4400000</v>
      </c>
      <c r="D3" s="17" t="s">
        <v>42</v>
      </c>
      <c r="E3" s="5">
        <v>2500</v>
      </c>
      <c r="I3" s="17" t="s">
        <v>43</v>
      </c>
      <c r="J3" s="5">
        <f>ROUNDUP(B3/E4,0)</f>
        <v>4000</v>
      </c>
      <c r="M3" s="5">
        <f>SUM(B8:B11)</f>
        <v>20000000</v>
      </c>
    </row>
    <row r="4" spans="1:13" x14ac:dyDescent="0.35">
      <c r="A4" s="17" t="s">
        <v>44</v>
      </c>
      <c r="B4" s="5">
        <v>20833333</v>
      </c>
      <c r="D4" s="17" t="s">
        <v>45</v>
      </c>
      <c r="E4" s="5">
        <v>1100</v>
      </c>
      <c r="I4" s="17" t="s">
        <v>46</v>
      </c>
      <c r="J4" s="5">
        <f>ROUNDUP(B4/E5,0)</f>
        <v>8334</v>
      </c>
      <c r="M4" s="5">
        <f>M2/M3*100</f>
        <v>12.1854</v>
      </c>
    </row>
    <row r="5" spans="1:13" x14ac:dyDescent="0.35">
      <c r="D5" s="17" t="s">
        <v>47</v>
      </c>
      <c r="E5" s="5">
        <v>2500</v>
      </c>
      <c r="F5" s="5" t="s">
        <v>74</v>
      </c>
    </row>
    <row r="7" spans="1:13" s="18" customFormat="1" ht="17" x14ac:dyDescent="0.4">
      <c r="A7" s="18" t="s">
        <v>48</v>
      </c>
      <c r="B7" s="18" t="s">
        <v>16</v>
      </c>
      <c r="C7" s="18" t="s">
        <v>2</v>
      </c>
      <c r="D7" s="18" t="s">
        <v>3</v>
      </c>
      <c r="E7" s="18" t="s">
        <v>49</v>
      </c>
      <c r="F7" s="20" t="s">
        <v>50</v>
      </c>
      <c r="G7" s="18" t="s">
        <v>5</v>
      </c>
      <c r="H7" s="18" t="s">
        <v>51</v>
      </c>
      <c r="I7" s="18" t="s">
        <v>13</v>
      </c>
      <c r="J7" s="18" t="s">
        <v>15</v>
      </c>
      <c r="K7" s="18" t="s">
        <v>6</v>
      </c>
      <c r="L7" s="18" t="s">
        <v>17</v>
      </c>
      <c r="M7" s="18" t="s">
        <v>75</v>
      </c>
    </row>
    <row r="8" spans="1:13" x14ac:dyDescent="0.35">
      <c r="A8" s="5" t="s">
        <v>56</v>
      </c>
      <c r="B8" s="19">
        <v>3500000</v>
      </c>
      <c r="C8" s="19">
        <f t="shared" ref="C8:C20" si="0">0.4*B8</f>
        <v>1400000</v>
      </c>
      <c r="D8" s="19">
        <f t="shared" ref="D8:D20" si="1">B8-C8</f>
        <v>2100000</v>
      </c>
      <c r="E8" s="21">
        <v>60</v>
      </c>
      <c r="F8" s="21">
        <v>30</v>
      </c>
      <c r="G8" s="21">
        <v>60</v>
      </c>
      <c r="H8" s="5">
        <f t="shared" ref="H8:H20" si="2">E8*$J$2</f>
        <v>166680</v>
      </c>
      <c r="I8" s="5">
        <f t="shared" ref="I8:I20" si="3">F8*$J$3</f>
        <v>120000</v>
      </c>
      <c r="J8" s="5">
        <f t="shared" ref="J8:J20" si="4">G8*$J$4</f>
        <v>500040</v>
      </c>
      <c r="K8" s="5">
        <f t="shared" ref="K8:K20" si="5">SUM(H8:J8)</f>
        <v>786720</v>
      </c>
      <c r="L8" s="5">
        <f t="shared" ref="L8:L20" si="6">D8-K8</f>
        <v>1313280</v>
      </c>
      <c r="M8" s="24">
        <f>Table1[[#This Row],[Net Profit]]/Table1[[#This Row],[Sales]]</f>
        <v>0.37522285714285714</v>
      </c>
    </row>
    <row r="9" spans="1:13" x14ac:dyDescent="0.35">
      <c r="A9" s="5" t="s">
        <v>58</v>
      </c>
      <c r="B9" s="19">
        <v>5000000</v>
      </c>
      <c r="C9" s="19">
        <f t="shared" si="0"/>
        <v>2000000</v>
      </c>
      <c r="D9" s="19">
        <f t="shared" si="1"/>
        <v>3000000</v>
      </c>
      <c r="E9" s="21">
        <v>200</v>
      </c>
      <c r="F9" s="21">
        <v>20</v>
      </c>
      <c r="G9" s="21">
        <v>200</v>
      </c>
      <c r="H9" s="5">
        <f t="shared" si="2"/>
        <v>555600</v>
      </c>
      <c r="I9" s="5">
        <f t="shared" si="3"/>
        <v>80000</v>
      </c>
      <c r="J9" s="5">
        <f t="shared" si="4"/>
        <v>1666800</v>
      </c>
      <c r="K9" s="5">
        <f t="shared" si="5"/>
        <v>2302400</v>
      </c>
      <c r="L9" s="5">
        <f t="shared" si="6"/>
        <v>697600</v>
      </c>
      <c r="M9" s="24">
        <f>Table1[[#This Row],[Net Profit]]/Table1[[#This Row],[Sales]]</f>
        <v>0.13952000000000001</v>
      </c>
    </row>
    <row r="10" spans="1:13" x14ac:dyDescent="0.35">
      <c r="A10" s="5" t="s">
        <v>55</v>
      </c>
      <c r="B10" s="19">
        <v>10000000</v>
      </c>
      <c r="C10" s="19">
        <f t="shared" si="0"/>
        <v>4000000</v>
      </c>
      <c r="D10" s="19">
        <f t="shared" si="1"/>
        <v>6000000</v>
      </c>
      <c r="E10" s="21">
        <v>450</v>
      </c>
      <c r="F10" s="21">
        <v>150</v>
      </c>
      <c r="G10" s="21">
        <v>450</v>
      </c>
      <c r="H10" s="21">
        <f t="shared" si="2"/>
        <v>1250100</v>
      </c>
      <c r="I10" s="5">
        <f t="shared" si="3"/>
        <v>600000</v>
      </c>
      <c r="J10" s="5">
        <f t="shared" si="4"/>
        <v>3750300</v>
      </c>
      <c r="K10" s="5">
        <f t="shared" si="5"/>
        <v>5600400</v>
      </c>
      <c r="L10" s="5">
        <f t="shared" si="6"/>
        <v>399600</v>
      </c>
      <c r="M10" s="24">
        <f>Table1[[#This Row],[Net Profit]]/Table1[[#This Row],[Sales]]</f>
        <v>3.9960000000000002E-2</v>
      </c>
    </row>
    <row r="11" spans="1:13" x14ac:dyDescent="0.35">
      <c r="A11" s="5" t="s">
        <v>53</v>
      </c>
      <c r="B11" s="19">
        <v>1500000</v>
      </c>
      <c r="C11" s="19">
        <f t="shared" si="0"/>
        <v>600000</v>
      </c>
      <c r="D11" s="19">
        <f t="shared" si="1"/>
        <v>900000</v>
      </c>
      <c r="E11" s="21">
        <v>75</v>
      </c>
      <c r="F11" s="21">
        <v>10</v>
      </c>
      <c r="G11" s="21">
        <v>75</v>
      </c>
      <c r="H11" s="5">
        <f t="shared" si="2"/>
        <v>208350</v>
      </c>
      <c r="I11" s="5">
        <f t="shared" si="3"/>
        <v>40000</v>
      </c>
      <c r="J11" s="5">
        <f t="shared" si="4"/>
        <v>625050</v>
      </c>
      <c r="K11" s="5">
        <f t="shared" si="5"/>
        <v>873400</v>
      </c>
      <c r="L11" s="5">
        <f t="shared" si="6"/>
        <v>26600</v>
      </c>
      <c r="M11" s="24">
        <f>Table1[[#This Row],[Net Profit]]/Table1[[#This Row],[Sales]]</f>
        <v>1.7733333333333334E-2</v>
      </c>
    </row>
    <row r="12" spans="1:13" x14ac:dyDescent="0.35">
      <c r="A12" s="5" t="s">
        <v>52</v>
      </c>
      <c r="B12" s="19">
        <v>5000000</v>
      </c>
      <c r="C12" s="19">
        <f t="shared" si="0"/>
        <v>2000000</v>
      </c>
      <c r="D12" s="19">
        <f t="shared" si="1"/>
        <v>3000000</v>
      </c>
      <c r="E12" s="21">
        <v>300</v>
      </c>
      <c r="F12" s="21">
        <v>50</v>
      </c>
      <c r="G12" s="21">
        <v>300</v>
      </c>
      <c r="H12" s="5">
        <f t="shared" si="2"/>
        <v>833400</v>
      </c>
      <c r="I12" s="5">
        <f t="shared" si="3"/>
        <v>200000</v>
      </c>
      <c r="J12" s="5">
        <f t="shared" si="4"/>
        <v>2500200</v>
      </c>
      <c r="K12" s="5">
        <f t="shared" si="5"/>
        <v>3533600</v>
      </c>
      <c r="L12" s="5">
        <f t="shared" si="6"/>
        <v>-533600</v>
      </c>
      <c r="M12" s="24">
        <f>Table1[[#This Row],[Net Profit]]/Table1[[#This Row],[Sales]]</f>
        <v>-0.10672</v>
      </c>
    </row>
    <row r="13" spans="1:13" x14ac:dyDescent="0.35">
      <c r="A13" s="5" t="s">
        <v>64</v>
      </c>
      <c r="B13" s="19">
        <v>1000000</v>
      </c>
      <c r="C13" s="19">
        <f t="shared" si="0"/>
        <v>400000</v>
      </c>
      <c r="D13" s="19">
        <f t="shared" si="1"/>
        <v>600000</v>
      </c>
      <c r="E13" s="21">
        <v>100</v>
      </c>
      <c r="F13" s="21">
        <v>35</v>
      </c>
      <c r="G13" s="21">
        <v>100</v>
      </c>
      <c r="H13" s="5">
        <f t="shared" si="2"/>
        <v>277800</v>
      </c>
      <c r="I13" s="5">
        <f t="shared" si="3"/>
        <v>140000</v>
      </c>
      <c r="J13" s="5">
        <f t="shared" si="4"/>
        <v>833400</v>
      </c>
      <c r="K13" s="5">
        <f t="shared" si="5"/>
        <v>1251200</v>
      </c>
      <c r="L13" s="5">
        <f t="shared" si="6"/>
        <v>-651200</v>
      </c>
      <c r="M13" s="24">
        <f>Table1[[#This Row],[Net Profit]]/Table1[[#This Row],[Sales]]</f>
        <v>-0.6512</v>
      </c>
    </row>
    <row r="14" spans="1:13" x14ac:dyDescent="0.35">
      <c r="A14" s="5" t="s">
        <v>63</v>
      </c>
      <c r="B14" s="19">
        <v>2000000</v>
      </c>
      <c r="C14" s="19">
        <f t="shared" si="0"/>
        <v>800000</v>
      </c>
      <c r="D14" s="19">
        <f t="shared" si="1"/>
        <v>1200000</v>
      </c>
      <c r="E14" s="21">
        <v>175</v>
      </c>
      <c r="F14" s="21">
        <v>10</v>
      </c>
      <c r="G14" s="21">
        <v>175</v>
      </c>
      <c r="H14" s="5">
        <f t="shared" si="2"/>
        <v>486150</v>
      </c>
      <c r="I14" s="5">
        <f t="shared" si="3"/>
        <v>40000</v>
      </c>
      <c r="J14" s="5">
        <f t="shared" si="4"/>
        <v>1458450</v>
      </c>
      <c r="K14" s="5">
        <f t="shared" si="5"/>
        <v>1984600</v>
      </c>
      <c r="L14" s="5">
        <f t="shared" si="6"/>
        <v>-784600</v>
      </c>
      <c r="M14" s="24">
        <f>Table1[[#This Row],[Net Profit]]/Table1[[#This Row],[Sales]]</f>
        <v>-0.39229999999999998</v>
      </c>
    </row>
    <row r="15" spans="1:13" x14ac:dyDescent="0.35">
      <c r="A15" s="5" t="s">
        <v>54</v>
      </c>
      <c r="B15" s="19">
        <v>3000000</v>
      </c>
      <c r="C15" s="19">
        <f t="shared" si="0"/>
        <v>1200000</v>
      </c>
      <c r="D15" s="19">
        <f t="shared" si="1"/>
        <v>1800000</v>
      </c>
      <c r="E15" s="21">
        <v>200</v>
      </c>
      <c r="F15" s="21">
        <v>100</v>
      </c>
      <c r="G15" s="21">
        <v>200</v>
      </c>
      <c r="H15" s="5">
        <f t="shared" si="2"/>
        <v>555600</v>
      </c>
      <c r="I15" s="5">
        <f t="shared" si="3"/>
        <v>400000</v>
      </c>
      <c r="J15" s="5">
        <f t="shared" si="4"/>
        <v>1666800</v>
      </c>
      <c r="K15" s="5">
        <f t="shared" si="5"/>
        <v>2622400</v>
      </c>
      <c r="L15" s="5">
        <f t="shared" si="6"/>
        <v>-822400</v>
      </c>
      <c r="M15" s="24">
        <f>Table1[[#This Row],[Net Profit]]/Table1[[#This Row],[Sales]]</f>
        <v>-0.27413333333333334</v>
      </c>
    </row>
    <row r="16" spans="1:13" x14ac:dyDescent="0.35">
      <c r="A16" s="5" t="s">
        <v>57</v>
      </c>
      <c r="B16" s="19">
        <v>1000000</v>
      </c>
      <c r="C16" s="19">
        <f t="shared" si="0"/>
        <v>400000</v>
      </c>
      <c r="D16" s="19">
        <f t="shared" si="1"/>
        <v>600000</v>
      </c>
      <c r="E16" s="21">
        <v>100</v>
      </c>
      <c r="F16" s="21">
        <v>100</v>
      </c>
      <c r="G16" s="21">
        <v>100</v>
      </c>
      <c r="H16" s="5">
        <f t="shared" si="2"/>
        <v>277800</v>
      </c>
      <c r="I16" s="5">
        <f t="shared" si="3"/>
        <v>400000</v>
      </c>
      <c r="J16" s="5">
        <f t="shared" si="4"/>
        <v>833400</v>
      </c>
      <c r="K16" s="5">
        <f t="shared" si="5"/>
        <v>1511200</v>
      </c>
      <c r="L16" s="5">
        <f t="shared" si="6"/>
        <v>-911200</v>
      </c>
      <c r="M16" s="24">
        <f>Table1[[#This Row],[Net Profit]]/Table1[[#This Row],[Sales]]</f>
        <v>-0.91120000000000001</v>
      </c>
    </row>
    <row r="17" spans="1:15" x14ac:dyDescent="0.35">
      <c r="A17" s="5" t="s">
        <v>60</v>
      </c>
      <c r="B17" s="19">
        <v>1500000</v>
      </c>
      <c r="C17" s="19">
        <f t="shared" si="0"/>
        <v>600000</v>
      </c>
      <c r="D17" s="19">
        <f t="shared" si="1"/>
        <v>900000</v>
      </c>
      <c r="E17" s="21">
        <v>120</v>
      </c>
      <c r="F17" s="21">
        <v>120</v>
      </c>
      <c r="G17" s="21">
        <v>120</v>
      </c>
      <c r="H17" s="5">
        <f t="shared" si="2"/>
        <v>333360</v>
      </c>
      <c r="I17" s="5">
        <f t="shared" si="3"/>
        <v>480000</v>
      </c>
      <c r="J17" s="5">
        <f t="shared" si="4"/>
        <v>1000080</v>
      </c>
      <c r="K17" s="5">
        <f t="shared" si="5"/>
        <v>1813440</v>
      </c>
      <c r="L17" s="5">
        <f t="shared" si="6"/>
        <v>-913440</v>
      </c>
      <c r="M17" s="24">
        <f>Table1[[#This Row],[Net Profit]]/Table1[[#This Row],[Sales]]</f>
        <v>-0.60895999999999995</v>
      </c>
    </row>
    <row r="18" spans="1:15" x14ac:dyDescent="0.35">
      <c r="A18" s="5" t="s">
        <v>62</v>
      </c>
      <c r="B18" s="19">
        <v>1000000</v>
      </c>
      <c r="C18" s="19">
        <f t="shared" si="0"/>
        <v>400000</v>
      </c>
      <c r="D18" s="19">
        <f t="shared" si="1"/>
        <v>600000</v>
      </c>
      <c r="E18" s="21">
        <v>150</v>
      </c>
      <c r="F18" s="21">
        <v>75</v>
      </c>
      <c r="G18" s="21">
        <v>150</v>
      </c>
      <c r="H18" s="5">
        <f t="shared" si="2"/>
        <v>416700</v>
      </c>
      <c r="I18" s="5">
        <f t="shared" si="3"/>
        <v>300000</v>
      </c>
      <c r="J18" s="5">
        <f t="shared" si="4"/>
        <v>1250100</v>
      </c>
      <c r="K18" s="5">
        <f t="shared" si="5"/>
        <v>1966800</v>
      </c>
      <c r="L18" s="5">
        <f t="shared" si="6"/>
        <v>-1366800</v>
      </c>
      <c r="M18" s="24">
        <f>Table1[[#This Row],[Net Profit]]/Table1[[#This Row],[Sales]]</f>
        <v>-1.3668</v>
      </c>
    </row>
    <row r="19" spans="1:15" ht="17" x14ac:dyDescent="0.4">
      <c r="A19" s="5" t="s">
        <v>61</v>
      </c>
      <c r="B19" s="19">
        <v>2000000</v>
      </c>
      <c r="C19" s="19">
        <f t="shared" si="0"/>
        <v>800000</v>
      </c>
      <c r="D19" s="19">
        <f t="shared" si="1"/>
        <v>1200000</v>
      </c>
      <c r="E19" s="21">
        <v>250</v>
      </c>
      <c r="F19" s="21">
        <v>200</v>
      </c>
      <c r="G19" s="21">
        <v>250</v>
      </c>
      <c r="H19" s="5">
        <f t="shared" si="2"/>
        <v>694500</v>
      </c>
      <c r="I19" s="5">
        <f t="shared" si="3"/>
        <v>800000</v>
      </c>
      <c r="J19" s="5">
        <f t="shared" si="4"/>
        <v>2083500</v>
      </c>
      <c r="K19" s="5">
        <f t="shared" si="5"/>
        <v>3578000</v>
      </c>
      <c r="L19" s="5">
        <f t="shared" si="6"/>
        <v>-2378000</v>
      </c>
      <c r="M19" s="24">
        <f>Table1[[#This Row],[Net Profit]]/Table1[[#This Row],[Sales]]</f>
        <v>-1.1890000000000001</v>
      </c>
      <c r="N19" s="18" t="s">
        <v>76</v>
      </c>
      <c r="O19" s="18">
        <f>SUM(L8:L11)</f>
        <v>2437080</v>
      </c>
    </row>
    <row r="20" spans="1:15" ht="17" x14ac:dyDescent="0.4">
      <c r="A20" s="5" t="s">
        <v>59</v>
      </c>
      <c r="B20" s="19">
        <v>2500000</v>
      </c>
      <c r="C20" s="19">
        <f t="shared" si="0"/>
        <v>1000000</v>
      </c>
      <c r="D20" s="19">
        <f t="shared" si="1"/>
        <v>1500000</v>
      </c>
      <c r="E20" s="21">
        <v>320</v>
      </c>
      <c r="F20" s="21">
        <v>200</v>
      </c>
      <c r="G20" s="21">
        <v>320</v>
      </c>
      <c r="H20" s="5">
        <f t="shared" si="2"/>
        <v>888960</v>
      </c>
      <c r="I20" s="5">
        <f t="shared" si="3"/>
        <v>800000</v>
      </c>
      <c r="J20" s="5">
        <f t="shared" si="4"/>
        <v>2666880</v>
      </c>
      <c r="K20" s="5">
        <f t="shared" si="5"/>
        <v>4355840</v>
      </c>
      <c r="L20" s="5">
        <f t="shared" si="6"/>
        <v>-2855840</v>
      </c>
      <c r="M20" s="24">
        <f>Table1[[#This Row],[Net Profit]]/Table1[[#This Row],[Sales]]</f>
        <v>-1.142336</v>
      </c>
      <c r="N20" s="18" t="s">
        <v>77</v>
      </c>
      <c r="O20" s="18">
        <f>SUM(B8:B11)</f>
        <v>20000000</v>
      </c>
    </row>
    <row r="21" spans="1:15" s="17" customFormat="1" ht="17" x14ac:dyDescent="0.4">
      <c r="A21" s="17" t="s">
        <v>1</v>
      </c>
      <c r="B21" s="22">
        <f>SUM(B8:B20)</f>
        <v>39000000</v>
      </c>
      <c r="C21" s="22">
        <f>SUM(C8:C20)</f>
        <v>15600000</v>
      </c>
      <c r="D21" s="22">
        <f>SUM(D8:D20)</f>
        <v>23400000</v>
      </c>
      <c r="E21" s="23">
        <f>SUM(E7:E20)</f>
        <v>2500</v>
      </c>
      <c r="F21" s="23">
        <f>SUM(F8:F20)</f>
        <v>1100</v>
      </c>
      <c r="G21" s="23">
        <f>SUM(G7:G20)</f>
        <v>2500</v>
      </c>
      <c r="H21" s="17">
        <f>SUM(H8:H20)</f>
        <v>6945000</v>
      </c>
      <c r="I21" s="17">
        <f>SUM(I8:I20)</f>
        <v>4400000</v>
      </c>
      <c r="J21" s="17">
        <f>SUM(J8:J20)</f>
        <v>20835000</v>
      </c>
      <c r="K21" s="17">
        <f>SUM(K8:K20)</f>
        <v>32180000</v>
      </c>
      <c r="L21" s="17">
        <f>SUM(L8:L20)</f>
        <v>-8780000</v>
      </c>
      <c r="M21" s="26">
        <f>Table1[[#This Row],[Net Profit]]/Table1[[#This Row],[Sales]]</f>
        <v>-0.22512820512820514</v>
      </c>
      <c r="N21" s="18" t="s">
        <v>78</v>
      </c>
      <c r="O21" s="25">
        <f>O19/O20</f>
        <v>0.121854</v>
      </c>
    </row>
    <row r="22" spans="1:15" x14ac:dyDescent="0.35">
      <c r="B22" s="19"/>
      <c r="C22" s="19"/>
      <c r="D22" s="19"/>
      <c r="E22" s="19"/>
      <c r="F22" s="19"/>
      <c r="G22" s="19"/>
    </row>
    <row r="23" spans="1:15" x14ac:dyDescent="0.35">
      <c r="B23" s="19" t="s">
        <v>65</v>
      </c>
      <c r="C23" s="19"/>
      <c r="D23" s="19"/>
      <c r="E23" s="19"/>
      <c r="F23" s="19"/>
      <c r="G23" s="19"/>
    </row>
    <row r="24" spans="1:15" x14ac:dyDescent="0.35">
      <c r="B24" s="19"/>
      <c r="C24" s="19"/>
      <c r="D24" s="22" t="s">
        <v>67</v>
      </c>
      <c r="E24" s="19"/>
      <c r="F24" s="19"/>
      <c r="G24" s="19"/>
    </row>
    <row r="25" spans="1:15" x14ac:dyDescent="0.35">
      <c r="D25" s="17" t="s">
        <v>68</v>
      </c>
      <c r="E25" s="17"/>
      <c r="F25" s="17"/>
    </row>
    <row r="26" spans="1:15" x14ac:dyDescent="0.35">
      <c r="D26" s="17" t="s">
        <v>69</v>
      </c>
      <c r="E26" s="17"/>
      <c r="F26" s="17"/>
    </row>
    <row r="27" spans="1:15" x14ac:dyDescent="0.35">
      <c r="D27" s="17" t="s">
        <v>70</v>
      </c>
      <c r="E27" s="17"/>
      <c r="F27" s="17"/>
    </row>
    <row r="28" spans="1:15" x14ac:dyDescent="0.35">
      <c r="D28" s="17" t="s">
        <v>71</v>
      </c>
      <c r="E28" s="17"/>
      <c r="F28" s="17"/>
    </row>
    <row r="29" spans="1:15" x14ac:dyDescent="0.35">
      <c r="D29" s="17" t="s">
        <v>72</v>
      </c>
      <c r="E29" s="17"/>
      <c r="F29" s="17"/>
    </row>
    <row r="30" spans="1:15" x14ac:dyDescent="0.35">
      <c r="D30" s="17" t="s">
        <v>73</v>
      </c>
    </row>
  </sheetData>
  <phoneticPr fontId="10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Dream Beauty</vt:lpstr>
      <vt:lpstr>Profit Analysis of C-Store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INDIA</dc:creator>
  <cp:lastModifiedBy>Mukul</cp:lastModifiedBy>
  <cp:lastPrinted>2020-08-14T14:52:29Z</cp:lastPrinted>
  <dcterms:created xsi:type="dcterms:W3CDTF">2020-06-08T15:29:38Z</dcterms:created>
  <dcterms:modified xsi:type="dcterms:W3CDTF">2020-08-14T14:58:51Z</dcterms:modified>
</cp:coreProperties>
</file>