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Neha\Excel Learnings\"/>
    </mc:Choice>
  </mc:AlternateContent>
  <xr:revisionPtr revIDLastSave="0" documentId="13_ncr:1_{FB139B56-F2ED-49BE-ACA4-6B1F8A0D29D9}" xr6:coauthVersionLast="47" xr6:coauthVersionMax="47" xr10:uidLastSave="{00000000-0000-0000-0000-000000000000}"/>
  <bookViews>
    <workbookView xWindow="-108" yWindow="-108" windowWidth="23256" windowHeight="12456" firstSheet="7" activeTab="13" xr2:uid="{78C51B6C-D95F-487B-A6A0-F6358B7F3646}"/>
  </bookViews>
  <sheets>
    <sheet name="Scenario 1" sheetId="1" r:id="rId1"/>
    <sheet name="Scenario 2" sheetId="2" r:id="rId2"/>
    <sheet name="Scenario 3" sheetId="3" r:id="rId3"/>
    <sheet name="Practice Sheet 1" sheetId="4" r:id="rId4"/>
    <sheet name="Scenario 4" sheetId="5" r:id="rId5"/>
    <sheet name="Practice Sheet 2" sheetId="6" r:id="rId6"/>
    <sheet name="Scenario 5" sheetId="7" r:id="rId7"/>
    <sheet name="Scenario 6" sheetId="8" r:id="rId8"/>
    <sheet name="Scenario 7" sheetId="9" r:id="rId9"/>
    <sheet name="Scenario 8" sheetId="10" r:id="rId10"/>
    <sheet name="Practice Sheet 3" sheetId="11" r:id="rId11"/>
    <sheet name="Scenario 9" sheetId="12" r:id="rId12"/>
    <sheet name="Scenario 10" sheetId="13" r:id="rId13"/>
    <sheet name="Scenario 11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4" l="1"/>
  <c r="I34" i="14" s="1"/>
  <c r="J34" i="14" s="1"/>
  <c r="F34" i="14"/>
  <c r="E34" i="14"/>
  <c r="D34" i="14"/>
  <c r="G34" i="14" s="1"/>
  <c r="H33" i="14"/>
  <c r="I33" i="14" s="1"/>
  <c r="J33" i="14" s="1"/>
  <c r="F33" i="14"/>
  <c r="G33" i="14" s="1"/>
  <c r="E33" i="14"/>
  <c r="D33" i="14"/>
  <c r="J32" i="14"/>
  <c r="I32" i="14"/>
  <c r="H32" i="14"/>
  <c r="F32" i="14"/>
  <c r="F35" i="14" s="1"/>
  <c r="Q28" i="14" s="1"/>
  <c r="E32" i="14"/>
  <c r="G32" i="14" s="1"/>
  <c r="D32" i="14"/>
  <c r="H29" i="14"/>
  <c r="I29" i="14" s="1"/>
  <c r="J29" i="14" s="1"/>
  <c r="F29" i="14"/>
  <c r="E29" i="14"/>
  <c r="D29" i="14"/>
  <c r="D30" i="14" s="1"/>
  <c r="J28" i="14"/>
  <c r="I28" i="14"/>
  <c r="H28" i="14"/>
  <c r="F28" i="14"/>
  <c r="E28" i="14"/>
  <c r="D28" i="14"/>
  <c r="G28" i="14" s="1"/>
  <c r="H27" i="14"/>
  <c r="I27" i="14" s="1"/>
  <c r="J27" i="14" s="1"/>
  <c r="G27" i="14"/>
  <c r="F27" i="14"/>
  <c r="E27" i="14"/>
  <c r="D27" i="14"/>
  <c r="H26" i="14"/>
  <c r="I26" i="14" s="1"/>
  <c r="J26" i="14" s="1"/>
  <c r="F26" i="14"/>
  <c r="F30" i="14" s="1"/>
  <c r="Q27" i="14" s="1"/>
  <c r="E26" i="14"/>
  <c r="G26" i="14" s="1"/>
  <c r="D26" i="14"/>
  <c r="I23" i="14"/>
  <c r="J23" i="14" s="1"/>
  <c r="H23" i="14"/>
  <c r="F23" i="14"/>
  <c r="E23" i="14"/>
  <c r="D23" i="14"/>
  <c r="G23" i="14" s="1"/>
  <c r="H22" i="14"/>
  <c r="I22" i="14" s="1"/>
  <c r="J22" i="14" s="1"/>
  <c r="F22" i="14"/>
  <c r="E22" i="14"/>
  <c r="E24" i="14" s="1"/>
  <c r="P26" i="14" s="1"/>
  <c r="D22" i="14"/>
  <c r="G22" i="14" s="1"/>
  <c r="H21" i="14"/>
  <c r="I21" i="14" s="1"/>
  <c r="J21" i="14" s="1"/>
  <c r="G21" i="14"/>
  <c r="F21" i="14"/>
  <c r="F24" i="14" s="1"/>
  <c r="Q26" i="14" s="1"/>
  <c r="E21" i="14"/>
  <c r="D21" i="14"/>
  <c r="H20" i="14"/>
  <c r="I20" i="14" s="1"/>
  <c r="J20" i="14" s="1"/>
  <c r="G20" i="14"/>
  <c r="F20" i="14"/>
  <c r="E20" i="14"/>
  <c r="D20" i="14"/>
  <c r="J19" i="14"/>
  <c r="I19" i="14"/>
  <c r="H19" i="14"/>
  <c r="F19" i="14"/>
  <c r="E19" i="14"/>
  <c r="D19" i="14"/>
  <c r="G19" i="14" s="1"/>
  <c r="N17" i="14"/>
  <c r="N18" i="14" s="1"/>
  <c r="N16" i="14"/>
  <c r="N15" i="14"/>
  <c r="I38" i="14" l="1"/>
  <c r="O27" i="14"/>
  <c r="G42" i="14"/>
  <c r="D35" i="14"/>
  <c r="E35" i="14"/>
  <c r="P28" i="14" s="1"/>
  <c r="E30" i="14"/>
  <c r="P27" i="14" s="1"/>
  <c r="N14" i="14"/>
  <c r="D38" i="14"/>
  <c r="E38" i="14"/>
  <c r="N11" i="14" s="1"/>
  <c r="F38" i="14"/>
  <c r="N12" i="14" s="1"/>
  <c r="G29" i="14"/>
  <c r="D24" i="14"/>
  <c r="E42" i="14"/>
  <c r="F42" i="14"/>
  <c r="N10" i="14" l="1"/>
  <c r="G38" i="14"/>
  <c r="N13" i="14" s="1"/>
  <c r="G35" i="14"/>
  <c r="O28" i="14"/>
  <c r="G30" i="14"/>
  <c r="G24" i="14"/>
  <c r="O26" i="14"/>
  <c r="N20" i="14" l="1"/>
  <c r="B12" i="7" l="1"/>
  <c r="B7" i="7"/>
  <c r="C14" i="11"/>
  <c r="C12" i="11"/>
  <c r="B7" i="13" l="1"/>
  <c r="B8" i="13" s="1"/>
  <c r="E24" i="12"/>
  <c r="E23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E4" i="12"/>
  <c r="F4" i="12" s="1"/>
  <c r="E5" i="12"/>
  <c r="F5" i="12" s="1"/>
  <c r="E6" i="12"/>
  <c r="F6" i="12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F13" i="12" s="1"/>
  <c r="E14" i="12"/>
  <c r="F14" i="12" s="1"/>
  <c r="E15" i="12"/>
  <c r="F15" i="12" s="1"/>
  <c r="E16" i="12"/>
  <c r="F16" i="12" s="1"/>
  <c r="E17" i="12"/>
  <c r="F17" i="12" s="1"/>
  <c r="E18" i="12"/>
  <c r="F18" i="12" s="1"/>
  <c r="E19" i="12"/>
  <c r="F19" i="12" s="1"/>
  <c r="E20" i="12"/>
  <c r="F20" i="12" s="1"/>
  <c r="E21" i="12"/>
  <c r="F21" i="12" s="1"/>
  <c r="E22" i="12"/>
  <c r="F22" i="12" s="1"/>
  <c r="E3" i="12"/>
  <c r="F3" i="12" s="1"/>
  <c r="B12" i="11"/>
  <c r="B14" i="11" s="1"/>
  <c r="G6" i="10"/>
  <c r="G7" i="10" s="1"/>
  <c r="G5" i="10"/>
  <c r="D22" i="9"/>
  <c r="F22" i="9" s="1"/>
  <c r="C22" i="9"/>
  <c r="E22" i="9" s="1"/>
  <c r="B25" i="9"/>
  <c r="B40" i="8"/>
  <c r="B41" i="8" s="1"/>
  <c r="B44" i="8" s="1"/>
  <c r="H23" i="8"/>
  <c r="D18" i="9"/>
  <c r="F18" i="9" s="1"/>
  <c r="D19" i="9"/>
  <c r="F19" i="9" s="1"/>
  <c r="D20" i="9"/>
  <c r="F20" i="9" s="1"/>
  <c r="D21" i="9"/>
  <c r="F21" i="9" s="1"/>
  <c r="D17" i="9"/>
  <c r="F17" i="9" s="1"/>
  <c r="C18" i="9"/>
  <c r="E18" i="9" s="1"/>
  <c r="C19" i="9"/>
  <c r="E19" i="9" s="1"/>
  <c r="C20" i="9"/>
  <c r="E20" i="9" s="1"/>
  <c r="C21" i="9"/>
  <c r="E21" i="9" s="1"/>
  <c r="C17" i="9"/>
  <c r="E17" i="9" s="1"/>
  <c r="D24" i="8"/>
  <c r="H24" i="8" s="1"/>
  <c r="D23" i="8"/>
  <c r="H26" i="8"/>
  <c r="H27" i="8"/>
  <c r="H31" i="8"/>
  <c r="H32" i="8"/>
  <c r="H33" i="8"/>
  <c r="H34" i="8"/>
  <c r="G26" i="8"/>
  <c r="G27" i="8"/>
  <c r="G31" i="8"/>
  <c r="G32" i="8"/>
  <c r="G33" i="8"/>
  <c r="G34" i="8"/>
  <c r="F26" i="8"/>
  <c r="F27" i="8"/>
  <c r="F31" i="8"/>
  <c r="F32" i="8"/>
  <c r="F33" i="8"/>
  <c r="F34" i="8"/>
  <c r="F23" i="8"/>
  <c r="D25" i="8"/>
  <c r="H25" i="8" s="1"/>
  <c r="D26" i="8"/>
  <c r="D27" i="8"/>
  <c r="D28" i="8"/>
  <c r="H28" i="8" s="1"/>
  <c r="D29" i="8"/>
  <c r="H29" i="8" s="1"/>
  <c r="D30" i="8"/>
  <c r="H30" i="8" s="1"/>
  <c r="D31" i="8"/>
  <c r="D32" i="8"/>
  <c r="D33" i="8"/>
  <c r="D34" i="8"/>
  <c r="C24" i="8"/>
  <c r="G24" i="8" s="1"/>
  <c r="C25" i="8"/>
  <c r="G25" i="8" s="1"/>
  <c r="C26" i="8"/>
  <c r="C27" i="8"/>
  <c r="C28" i="8"/>
  <c r="G28" i="8" s="1"/>
  <c r="C29" i="8"/>
  <c r="G29" i="8" s="1"/>
  <c r="C30" i="8"/>
  <c r="G30" i="8" s="1"/>
  <c r="C31" i="8"/>
  <c r="C32" i="8"/>
  <c r="C33" i="8"/>
  <c r="C34" i="8"/>
  <c r="C23" i="8"/>
  <c r="G23" i="8" s="1"/>
  <c r="B24" i="8"/>
  <c r="F24" i="8" s="1"/>
  <c r="F35" i="8" s="1"/>
  <c r="B25" i="8"/>
  <c r="F25" i="8" s="1"/>
  <c r="B26" i="8"/>
  <c r="B27" i="8"/>
  <c r="B28" i="8"/>
  <c r="F28" i="8" s="1"/>
  <c r="B29" i="8"/>
  <c r="F29" i="8" s="1"/>
  <c r="B30" i="8"/>
  <c r="F30" i="8" s="1"/>
  <c r="B31" i="8"/>
  <c r="B32" i="8"/>
  <c r="B33" i="8"/>
  <c r="B34" i="8"/>
  <c r="B23" i="8"/>
  <c r="B17" i="7"/>
  <c r="H21" i="6"/>
  <c r="B4" i="6"/>
  <c r="B7" i="6"/>
  <c r="B16" i="5"/>
  <c r="B14" i="5"/>
  <c r="B13" i="5"/>
  <c r="B18" i="5" s="1"/>
  <c r="B14" i="4"/>
  <c r="B10" i="4"/>
  <c r="B16" i="3"/>
  <c r="B20" i="3" s="1"/>
  <c r="B16" i="2"/>
  <c r="C16" i="2"/>
  <c r="F16" i="2" s="1"/>
  <c r="D16" i="2"/>
  <c r="E16" i="2" s="1"/>
  <c r="B17" i="2"/>
  <c r="C17" i="2"/>
  <c r="D17" i="2"/>
  <c r="D18" i="2" s="1"/>
  <c r="D19" i="2" s="1"/>
  <c r="D20" i="2" s="1"/>
  <c r="D21" i="2" s="1"/>
  <c r="B18" i="2"/>
  <c r="E18" i="2" s="1"/>
  <c r="C18" i="2"/>
  <c r="F18" i="2" s="1"/>
  <c r="F15" i="2"/>
  <c r="E15" i="2"/>
  <c r="D15" i="2"/>
  <c r="C15" i="2"/>
  <c r="B15" i="2"/>
  <c r="F14" i="2"/>
  <c r="E14" i="2"/>
  <c r="D14" i="2"/>
  <c r="C14" i="2"/>
  <c r="B14" i="2"/>
  <c r="B9" i="2"/>
  <c r="E6" i="2"/>
  <c r="D6" i="2"/>
  <c r="C6" i="2"/>
  <c r="B6" i="2"/>
  <c r="B20" i="1"/>
  <c r="C20" i="1"/>
  <c r="D20" i="1"/>
  <c r="E20" i="1" s="1"/>
  <c r="B21" i="1"/>
  <c r="C21" i="1"/>
  <c r="B22" i="1"/>
  <c r="D19" i="1"/>
  <c r="E19" i="1" s="1"/>
  <c r="C19" i="1"/>
  <c r="B19" i="1"/>
  <c r="F18" i="1"/>
  <c r="E18" i="1"/>
  <c r="D18" i="1"/>
  <c r="C18" i="1"/>
  <c r="B18" i="1"/>
  <c r="C13" i="1"/>
  <c r="B13" i="1"/>
  <c r="C11" i="1"/>
  <c r="B11" i="1"/>
  <c r="C6" i="1"/>
  <c r="B6" i="1"/>
  <c r="C17" i="7"/>
  <c r="C7" i="7"/>
  <c r="H9" i="10"/>
  <c r="H8" i="10"/>
  <c r="H18" i="10"/>
  <c r="C12" i="3"/>
  <c r="H21" i="10"/>
  <c r="C13" i="5"/>
  <c r="H14" i="10"/>
  <c r="E43" i="8"/>
  <c r="C4" i="6"/>
  <c r="C16" i="5"/>
  <c r="H19" i="10"/>
  <c r="C12" i="7"/>
  <c r="H10" i="10"/>
  <c r="C10" i="6"/>
  <c r="H24" i="10"/>
  <c r="H13" i="10"/>
  <c r="H15" i="10"/>
  <c r="E40" i="8"/>
  <c r="C16" i="3"/>
  <c r="E41" i="8"/>
  <c r="H20" i="10"/>
  <c r="C18" i="5"/>
  <c r="H5" i="10"/>
  <c r="H23" i="10"/>
  <c r="H17" i="10"/>
  <c r="C7" i="6"/>
  <c r="H16" i="10"/>
  <c r="C10" i="4"/>
  <c r="H12" i="10"/>
  <c r="C19" i="6"/>
  <c r="E44" i="8"/>
  <c r="H6" i="10"/>
  <c r="C22" i="7"/>
  <c r="H12" i="13"/>
  <c r="H7" i="10"/>
  <c r="C20" i="5"/>
  <c r="C14" i="5"/>
  <c r="E45" i="8"/>
  <c r="C9" i="6"/>
  <c r="H22" i="10"/>
  <c r="H11" i="10"/>
  <c r="F4" i="13" l="1"/>
  <c r="G35" i="8"/>
  <c r="B20" i="5"/>
  <c r="J5" i="5" s="1"/>
  <c r="B11" i="13"/>
  <c r="B12" i="13" s="1"/>
  <c r="B14" i="13" s="1"/>
  <c r="G8" i="10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F23" i="9"/>
  <c r="E23" i="9"/>
  <c r="H35" i="8"/>
  <c r="B43" i="8"/>
  <c r="B45" i="8" s="1"/>
  <c r="B22" i="7"/>
  <c r="B24" i="7" s="1"/>
  <c r="B9" i="6"/>
  <c r="B25" i="6" s="1"/>
  <c r="B10" i="6"/>
  <c r="B16" i="4"/>
  <c r="G3" i="4" s="1"/>
  <c r="B12" i="3"/>
  <c r="B21" i="3" s="1"/>
  <c r="G6" i="3" s="1"/>
  <c r="E17" i="2"/>
  <c r="F17" i="2" s="1"/>
  <c r="C19" i="2"/>
  <c r="B19" i="2"/>
  <c r="C22" i="1"/>
  <c r="D21" i="1"/>
  <c r="D22" i="1" s="1"/>
  <c r="D23" i="1" s="1"/>
  <c r="F20" i="1"/>
  <c r="B23" i="1"/>
  <c r="E23" i="1" s="1"/>
  <c r="F19" i="1"/>
  <c r="F5" i="13" l="1"/>
  <c r="H4" i="13"/>
  <c r="G4" i="13"/>
  <c r="J4" i="13" s="1"/>
  <c r="K4" i="13" s="1"/>
  <c r="B12" i="10"/>
  <c r="B14" i="10" s="1"/>
  <c r="H38" i="8"/>
  <c r="C104" i="8"/>
  <c r="G4" i="7"/>
  <c r="F15" i="7"/>
  <c r="B19" i="6"/>
  <c r="B27" i="6" s="1"/>
  <c r="H15" i="6" s="1"/>
  <c r="B20" i="2"/>
  <c r="E19" i="2"/>
  <c r="C20" i="2"/>
  <c r="F19" i="2"/>
  <c r="C23" i="1"/>
  <c r="F23" i="1" s="1"/>
  <c r="F22" i="1"/>
  <c r="E21" i="1"/>
  <c r="F21" i="1"/>
  <c r="E22" i="1"/>
  <c r="G5" i="13" l="1"/>
  <c r="H5" i="13"/>
  <c r="J5" i="13" s="1"/>
  <c r="K5" i="13" s="1"/>
  <c r="F6" i="13"/>
  <c r="C21" i="2"/>
  <c r="B21" i="2"/>
  <c r="E21" i="2" s="1"/>
  <c r="E20" i="2"/>
  <c r="F20" i="2" s="1"/>
  <c r="F7" i="13" l="1"/>
  <c r="G6" i="13"/>
  <c r="J6" i="13" s="1"/>
  <c r="K6" i="13" s="1"/>
  <c r="H6" i="13"/>
  <c r="F21" i="2"/>
  <c r="F8" i="13" l="1"/>
  <c r="H7" i="13"/>
  <c r="G7" i="13"/>
  <c r="J7" i="13" s="1"/>
  <c r="K7" i="13" s="1"/>
  <c r="G8" i="13" l="1"/>
  <c r="J8" i="13" s="1"/>
  <c r="K8" i="13" s="1"/>
  <c r="K10" i="13" s="1"/>
  <c r="G12" i="13" s="1"/>
  <c r="H8" i="13"/>
  <c r="D25" i="12"/>
  <c r="F2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3CFBDECC-7D6C-43F0-84F9-0FFEC89D14BC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<sst xmlns="http://schemas.openxmlformats.org/spreadsheetml/2006/main" count="378" uniqueCount="264">
  <si>
    <t>Resource</t>
  </si>
  <si>
    <t>Cherry</t>
  </si>
  <si>
    <t>Oak</t>
  </si>
  <si>
    <t>Labor</t>
  </si>
  <si>
    <t>Required per Bookshelf</t>
  </si>
  <si>
    <t>Current Unit Cost</t>
  </si>
  <si>
    <t>Anticipated Annual Cost Increase</t>
  </si>
  <si>
    <t>Woodworks Bookwoks Co</t>
  </si>
  <si>
    <t>Costs</t>
  </si>
  <si>
    <t>Unit Cost</t>
  </si>
  <si>
    <t>Per Shelf</t>
  </si>
  <si>
    <t>Material Costs</t>
  </si>
  <si>
    <t>Total labor Costs</t>
  </si>
  <si>
    <t>Total Costs</t>
  </si>
  <si>
    <t>Costs Increases</t>
  </si>
  <si>
    <t>Year</t>
  </si>
  <si>
    <t>Total Cherry</t>
  </si>
  <si>
    <t>Total Oak</t>
  </si>
  <si>
    <t>PETROL</t>
  </si>
  <si>
    <t>Cotton</t>
  </si>
  <si>
    <t>$1.65 per kilogram</t>
  </si>
  <si>
    <t>Hardware (buttons, rivets, zipper)</t>
  </si>
  <si>
    <t>$1.42 per set</t>
  </si>
  <si>
    <t>$12 per hour</t>
  </si>
  <si>
    <t>1.2 kilogram of cotton, 1 set of hardware, and 4.5 hours of labor.</t>
  </si>
  <si>
    <t>Resources</t>
  </si>
  <si>
    <t>Hardware</t>
  </si>
  <si>
    <t>Amount Per Pair</t>
  </si>
  <si>
    <t>Labor Cost</t>
  </si>
  <si>
    <t>Total Cost</t>
  </si>
  <si>
    <t>Sum</t>
  </si>
  <si>
    <t>Revenue Per Pair of Jeans</t>
  </si>
  <si>
    <t>Profit</t>
  </si>
  <si>
    <t>Cost Increases</t>
  </si>
  <si>
    <t>Total Hardware</t>
  </si>
  <si>
    <t>Quality Sweater company</t>
  </si>
  <si>
    <t>Printing</t>
  </si>
  <si>
    <t>Mailing</t>
  </si>
  <si>
    <t>Fixed Cost:</t>
  </si>
  <si>
    <t>Variable Cosr</t>
  </si>
  <si>
    <t>per catalog</t>
  </si>
  <si>
    <t>Reply envelopes</t>
  </si>
  <si>
    <t>per order</t>
  </si>
  <si>
    <t>Average Customer Order</t>
  </si>
  <si>
    <t>Revenue</t>
  </si>
  <si>
    <t>Labor Materials:</t>
  </si>
  <si>
    <t>Catalogs Ordered</t>
  </si>
  <si>
    <t>Response Rate</t>
  </si>
  <si>
    <t>Total Costs:</t>
  </si>
  <si>
    <t>Total Orders:</t>
  </si>
  <si>
    <t>&lt;--Dummy Value</t>
  </si>
  <si>
    <t>Total Revenue:</t>
  </si>
  <si>
    <t>Total Profit:</t>
  </si>
  <si>
    <t>Data Table</t>
  </si>
  <si>
    <t>Profit:</t>
  </si>
  <si>
    <t>Haute Dog</t>
  </si>
  <si>
    <t xml:space="preserve">Sales: </t>
  </si>
  <si>
    <t>Days Open:</t>
  </si>
  <si>
    <t>days a week</t>
  </si>
  <si>
    <t>Daily Sales</t>
  </si>
  <si>
    <t>hot dogs per day</t>
  </si>
  <si>
    <t>Costs:</t>
  </si>
  <si>
    <t>Startup Cost</t>
  </si>
  <si>
    <t>Variable Cost:</t>
  </si>
  <si>
    <t>per hot dog</t>
  </si>
  <si>
    <t>Total Weekly Cost:</t>
  </si>
  <si>
    <t>Revenue:</t>
  </si>
  <si>
    <t>Price</t>
  </si>
  <si>
    <t>Per Hot dog</t>
  </si>
  <si>
    <t>Total Weekly Revenue</t>
  </si>
  <si>
    <t>Weekly profit</t>
  </si>
  <si>
    <t>BN bookstore</t>
  </si>
  <si>
    <t>Regular Price:</t>
  </si>
  <si>
    <t>Sale Price;</t>
  </si>
  <si>
    <t>Demand:</t>
  </si>
  <si>
    <t>Order:</t>
  </si>
  <si>
    <t>Surplus</t>
  </si>
  <si>
    <t>Way#2:</t>
  </si>
  <si>
    <t>(500-4500)</t>
  </si>
  <si>
    <t xml:space="preserve">Ordered </t>
  </si>
  <si>
    <t>Demand</t>
  </si>
  <si>
    <t>Order</t>
  </si>
  <si>
    <t>Copy Shop</t>
  </si>
  <si>
    <t>Number of Copies Rented</t>
  </si>
  <si>
    <t>Maximum Copies per year</t>
  </si>
  <si>
    <t>Daily Demand</t>
  </si>
  <si>
    <t>Annual Demand</t>
  </si>
  <si>
    <t>Copies Made per year</t>
  </si>
  <si>
    <t>Copier Rental</t>
  </si>
  <si>
    <t>per copier per year</t>
  </si>
  <si>
    <t>per month</t>
  </si>
  <si>
    <t>Operation Cost</t>
  </si>
  <si>
    <t>per copy</t>
  </si>
  <si>
    <t>Total Annual Cost</t>
  </si>
  <si>
    <t>Selling price</t>
  </si>
  <si>
    <t>Total Annual Revenue</t>
  </si>
  <si>
    <t>Annual Profit</t>
  </si>
  <si>
    <t>No. of Copies Rented</t>
  </si>
  <si>
    <t>Screamin Blue Jays Tour</t>
  </si>
  <si>
    <t xml:space="preserve">Number of concerts </t>
  </si>
  <si>
    <t>Concerts Per Week</t>
  </si>
  <si>
    <t>Weeks on Tour:</t>
  </si>
  <si>
    <t>Total Concerts:</t>
  </si>
  <si>
    <t>Expected Concert Attendance</t>
  </si>
  <si>
    <t>Maximum Capacity:</t>
  </si>
  <si>
    <t>Attendance(%):</t>
  </si>
  <si>
    <t>Number of Tickets Sold:</t>
  </si>
  <si>
    <t>Fixed Start up Cost:</t>
  </si>
  <si>
    <t>Venue Rental cost:</t>
  </si>
  <si>
    <t>per Show</t>
  </si>
  <si>
    <t>Total Cost:</t>
  </si>
  <si>
    <t>Ticket price:</t>
  </si>
  <si>
    <t>per person</t>
  </si>
  <si>
    <t>Concession Sales:</t>
  </si>
  <si>
    <t>Total revenue:</t>
  </si>
  <si>
    <t>Seats Sold(%)</t>
  </si>
  <si>
    <t>Month</t>
  </si>
  <si>
    <t>Demand (00s)</t>
  </si>
  <si>
    <t>The 19th Hole</t>
  </si>
  <si>
    <t>Intercept(b):</t>
  </si>
  <si>
    <t>Slope(m):</t>
  </si>
  <si>
    <t>Linear: y=mx+b</t>
  </si>
  <si>
    <t>Power:y-ax^b</t>
  </si>
  <si>
    <t>Exponential:y=ae^(bx)</t>
  </si>
  <si>
    <t>constant(a)</t>
  </si>
  <si>
    <t>Exponent (b):</t>
  </si>
  <si>
    <t>Constant a:</t>
  </si>
  <si>
    <t>Exponent b:</t>
  </si>
  <si>
    <t>Prediction based on Models</t>
  </si>
  <si>
    <t>Linear</t>
  </si>
  <si>
    <t>Power</t>
  </si>
  <si>
    <t>Exponential</t>
  </si>
  <si>
    <t>Price(x)</t>
  </si>
  <si>
    <t>Absolute Percent Error</t>
  </si>
  <si>
    <t>Average</t>
  </si>
  <si>
    <t>Model the Business:</t>
  </si>
  <si>
    <t>Unit Cost:</t>
  </si>
  <si>
    <t>per sets of clubs</t>
  </si>
  <si>
    <t>Sale Price:</t>
  </si>
  <si>
    <t>&lt;---multiple of 10</t>
  </si>
  <si>
    <t>&lt;---from Power formula</t>
  </si>
  <si>
    <t>Actual Demand</t>
  </si>
  <si>
    <t>Cost:</t>
  </si>
  <si>
    <t>a</t>
  </si>
  <si>
    <t>a) Sell at a price of $350 for a profit of $1042213</t>
  </si>
  <si>
    <t>b)</t>
  </si>
  <si>
    <t>Now if the two numbers are in play for second question, we are gonnana have to make a two way table</t>
  </si>
  <si>
    <t>Revenue (millions of USD)</t>
  </si>
  <si>
    <t>Peloton Revenue</t>
  </si>
  <si>
    <t>Sr no.</t>
  </si>
  <si>
    <t>Actual Data</t>
  </si>
  <si>
    <t>Year Number</t>
  </si>
  <si>
    <t>Forecasts</t>
  </si>
  <si>
    <t xml:space="preserve">Exponential </t>
  </si>
  <si>
    <t>Revenue (Millionsof USD)</t>
  </si>
  <si>
    <t>Constant (a)</t>
  </si>
  <si>
    <t>Exponent (b)</t>
  </si>
  <si>
    <t>MAPE</t>
  </si>
  <si>
    <t>Actual revenue</t>
  </si>
  <si>
    <t>Gopher Drugs</t>
  </si>
  <si>
    <t>Development Cost</t>
  </si>
  <si>
    <t>millions</t>
  </si>
  <si>
    <t>Year 1 Margin</t>
  </si>
  <si>
    <t>Lifetime</t>
  </si>
  <si>
    <t>years</t>
  </si>
  <si>
    <t>Rate of increase:</t>
  </si>
  <si>
    <t>Rate of Decrease:</t>
  </si>
  <si>
    <t xml:space="preserve">Increase throughout </t>
  </si>
  <si>
    <t>Discount</t>
  </si>
  <si>
    <t>Cash Flows</t>
  </si>
  <si>
    <t>Gross Margins ($M)</t>
  </si>
  <si>
    <t>(Net) Present Value:</t>
  </si>
  <si>
    <t>Net Present Value</t>
  </si>
  <si>
    <t>Total Net Present Value</t>
  </si>
  <si>
    <t>Cash Inflow (end of year)</t>
  </si>
  <si>
    <t>Development cost</t>
  </si>
  <si>
    <t xml:space="preserve">Discount </t>
  </si>
  <si>
    <t>Totlal Net present value</t>
  </si>
  <si>
    <t>Average of Seasonally Adjusted Sales</t>
  </si>
  <si>
    <t>Year inn numbers</t>
  </si>
  <si>
    <t>ae^bx</t>
  </si>
  <si>
    <t>Constant(a)</t>
  </si>
  <si>
    <t>Exponential (b)</t>
  </si>
  <si>
    <t>Predicted</t>
  </si>
  <si>
    <t>absolute percentage error</t>
  </si>
  <si>
    <t>Average percentage growth</t>
  </si>
  <si>
    <t>Mean</t>
  </si>
  <si>
    <t>b</t>
  </si>
  <si>
    <t>m</t>
  </si>
  <si>
    <t>Part 2</t>
  </si>
  <si>
    <t>Expected Sale</t>
  </si>
  <si>
    <t>kits</t>
  </si>
  <si>
    <t>Unit Price</t>
  </si>
  <si>
    <t>each</t>
  </si>
  <si>
    <t>Variable</t>
  </si>
  <si>
    <t>Fixed Cost</t>
  </si>
  <si>
    <t>Total Cost-</t>
  </si>
  <si>
    <t>year 1 Margin</t>
  </si>
  <si>
    <t>Growth rate</t>
  </si>
  <si>
    <t>1st year</t>
  </si>
  <si>
    <t>Every year</t>
  </si>
  <si>
    <t>Variable Cost</t>
  </si>
  <si>
    <t>SG&amp;A costs</t>
  </si>
  <si>
    <t>SGA Decline</t>
  </si>
  <si>
    <t>Total Profit</t>
  </si>
  <si>
    <t>Growth Rate</t>
  </si>
  <si>
    <t>One Way Data Table</t>
  </si>
  <si>
    <t>Two Way Data Table</t>
  </si>
  <si>
    <t>Price Vs Demand</t>
  </si>
  <si>
    <t>Modelling Net Present Value</t>
  </si>
  <si>
    <t>One Way and Two Way Data Table</t>
  </si>
  <si>
    <t>Models Comparison</t>
  </si>
  <si>
    <t>Decision Analysis through Regression and NPV</t>
  </si>
  <si>
    <t>Bluejay Natural Gas Financials (in millions)</t>
  </si>
  <si>
    <t>Given:</t>
  </si>
  <si>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</si>
  <si>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</si>
  <si>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</si>
  <si>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</si>
  <si>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</si>
  <si>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</si>
  <si>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</si>
  <si>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>Inputs</t>
  </si>
  <si>
    <t>FA 1</t>
  </si>
  <si>
    <t>Annual Revenue (millions)</t>
  </si>
  <si>
    <t>Expenditure (millions)</t>
  </si>
  <si>
    <t>Yearly Cap (millions)</t>
  </si>
  <si>
    <t>NPV Discount Rate % decrease:</t>
  </si>
  <si>
    <t>FA 2</t>
  </si>
  <si>
    <t xml:space="preserve">Requirement Checks </t>
  </si>
  <si>
    <t>Capital Ex. Under 4000 (Y1)</t>
  </si>
  <si>
    <t>Capital Ex. under 4000 (Y2)</t>
  </si>
  <si>
    <t>Capital Ex. under 4000 (Y3)</t>
  </si>
  <si>
    <t>FA 3</t>
  </si>
  <si>
    <t>Under $10,000 (year 1-3)</t>
  </si>
  <si>
    <t xml:space="preserve">Each FA has at least 1 project approved </t>
  </si>
  <si>
    <t>Number of Approved Project for FA 1</t>
  </si>
  <si>
    <t>Number of Approved Project for FA 2</t>
  </si>
  <si>
    <t>Adjusted based on % Partnership:</t>
  </si>
  <si>
    <t>Number of Approved Project for FA 3</t>
  </si>
  <si>
    <t>Cap Ex. Yr1</t>
  </si>
  <si>
    <t>Cap Ex. Yr2</t>
  </si>
  <si>
    <t>Cap Ex. Yr3</t>
  </si>
  <si>
    <t xml:space="preserve">Total Cost </t>
  </si>
  <si>
    <t>New NPV</t>
  </si>
  <si>
    <t>ROI</t>
  </si>
  <si>
    <t xml:space="preserve">Approval Rating </t>
  </si>
  <si>
    <t xml:space="preserve">Total Number of Approved Projects </t>
  </si>
  <si>
    <t>Are the Conditions Met?</t>
  </si>
  <si>
    <t>FA 1 Approved Totals: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</si>
  <si>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</si>
  <si>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</si>
  <si>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</si>
  <si>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</si>
  <si>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</si>
  <si>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 xml:space="preserve">FA 1 </t>
  </si>
  <si>
    <t>FA 2  Approved Totals:</t>
  </si>
  <si>
    <t>FA 3 Approved Totals:</t>
  </si>
  <si>
    <t>Total Approved NPV:</t>
  </si>
  <si>
    <t>Overall Totals for Approved Projects:</t>
  </si>
  <si>
    <t xml:space="preserve">ROI </t>
  </si>
  <si>
    <t xml:space="preserve">% Change 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</si>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</sst>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  <numFmt numFmtId="167" formatCode="0.0%"/>
    <numFmt numFmtId="168" formatCode="0.0E+00"/>
    <numFmt numFmtId="169" formatCode="&quot;$&quot;#,##0.00"/>
    <numFmt numFmtId="170" formatCode="_(&quot;$&quot;* #,##0_);_(&quot;$&quot;* \(#,##0\);_(&quot;$&quot;* &quot;-&quot;??_);_(@_)"/>
  </numFmts>
  <fonts count="2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F1114"/>
      <name val="Arial"/>
      <family val="2"/>
    </font>
    <font>
      <sz val="10"/>
      <color rgb="FF0F1114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44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0" fillId="0" borderId="3" applyNumberFormat="0" applyFill="0" applyAlignment="0" applyProtection="0"/>
    <xf numFmtId="9" fontId="5" fillId="0" borderId="0" applyFont="0" applyFill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</cellStyleXfs>
  <cellXfs count="139">
    <xf numFmtId="0" fontId="0" fillId="0" borderId="0" xfId="0"/>
    <xf numFmtId="0" fontId="3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10" fontId="4" fillId="2" borderId="2" xfId="0" applyNumberFormat="1" applyFont="1" applyFill="1" applyBorder="1" applyAlignment="1">
      <alignment horizontal="left" vertical="center" wrapText="1" indent="1"/>
    </xf>
    <xf numFmtId="2" fontId="4" fillId="2" borderId="2" xfId="0" applyNumberFormat="1" applyFont="1" applyFill="1" applyBorder="1" applyAlignment="1">
      <alignment horizontal="left" vertical="center" wrapText="1" indent="1"/>
    </xf>
    <xf numFmtId="0" fontId="1" fillId="0" borderId="1" xfId="1"/>
    <xf numFmtId="10" fontId="0" fillId="0" borderId="0" xfId="0" applyNumberFormat="1"/>
    <xf numFmtId="0" fontId="0" fillId="0" borderId="2" xfId="0" applyBorder="1"/>
    <xf numFmtId="0" fontId="2" fillId="0" borderId="2" xfId="0" applyFont="1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right" vertical="top" indent="1"/>
    </xf>
    <xf numFmtId="9" fontId="0" fillId="0" borderId="0" xfId="0" applyNumberFormat="1"/>
    <xf numFmtId="164" fontId="0" fillId="0" borderId="0" xfId="2" applyNumberFormat="1" applyFont="1"/>
    <xf numFmtId="3" fontId="0" fillId="0" borderId="0" xfId="0" applyNumberFormat="1"/>
    <xf numFmtId="10" fontId="6" fillId="3" borderId="0" xfId="3" applyNumberFormat="1"/>
    <xf numFmtId="164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0" fontId="1" fillId="3" borderId="1" xfId="1" applyFill="1"/>
    <xf numFmtId="1" fontId="0" fillId="0" borderId="0" xfId="0" applyNumberFormat="1"/>
    <xf numFmtId="0" fontId="0" fillId="4" borderId="0" xfId="0" applyFill="1"/>
    <xf numFmtId="164" fontId="9" fillId="0" borderId="2" xfId="0" applyNumberFormat="1" applyFont="1" applyBorder="1"/>
    <xf numFmtId="1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10" fillId="0" borderId="3" xfId="4"/>
    <xf numFmtId="165" fontId="9" fillId="0" borderId="0" xfId="0" applyNumberFormat="1" applyFont="1"/>
    <xf numFmtId="1" fontId="0" fillId="5" borderId="0" xfId="0" applyNumberFormat="1" applyFill="1"/>
    <xf numFmtId="0" fontId="0" fillId="0" borderId="0" xfId="0" applyAlignment="1">
      <alignment horizontal="center"/>
    </xf>
    <xf numFmtId="166" fontId="0" fillId="0" borderId="2" xfId="0" applyNumberFormat="1" applyBorder="1"/>
    <xf numFmtId="0" fontId="11" fillId="2" borderId="2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center" wrapText="1" indent="1"/>
    </xf>
    <xf numFmtId="167" fontId="0" fillId="0" borderId="2" xfId="5" applyNumberFormat="1" applyFont="1" applyBorder="1"/>
    <xf numFmtId="167" fontId="2" fillId="0" borderId="2" xfId="0" applyNumberFormat="1" applyFont="1" applyBorder="1"/>
    <xf numFmtId="167" fontId="2" fillId="5" borderId="2" xfId="0" applyNumberFormat="1" applyFont="1" applyFill="1" applyBorder="1"/>
    <xf numFmtId="164" fontId="0" fillId="5" borderId="0" xfId="0" applyNumberFormat="1" applyFill="1"/>
    <xf numFmtId="165" fontId="2" fillId="0" borderId="0" xfId="0" applyNumberFormat="1" applyFont="1"/>
    <xf numFmtId="165" fontId="13" fillId="0" borderId="0" xfId="0" applyNumberFormat="1" applyFont="1"/>
    <xf numFmtId="0" fontId="5" fillId="6" borderId="0" xfId="6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/>
    <xf numFmtId="0" fontId="0" fillId="0" borderId="2" xfId="5" applyNumberFormat="1" applyFont="1" applyBorder="1"/>
    <xf numFmtId="166" fontId="0" fillId="0" borderId="2" xfId="2" applyNumberFormat="1" applyFont="1" applyBorder="1" applyAlignment="1">
      <alignment horizontal="center"/>
    </xf>
    <xf numFmtId="2" fontId="0" fillId="0" borderId="2" xfId="0" applyNumberFormat="1" applyBorder="1"/>
    <xf numFmtId="10" fontId="0" fillId="0" borderId="2" xfId="5" applyNumberFormat="1" applyFont="1" applyBorder="1"/>
    <xf numFmtId="10" fontId="0" fillId="7" borderId="2" xfId="0" applyNumberFormat="1" applyFill="1" applyBorder="1"/>
    <xf numFmtId="10" fontId="0" fillId="0" borderId="2" xfId="0" applyNumberFormat="1" applyBorder="1"/>
    <xf numFmtId="166" fontId="0" fillId="0" borderId="6" xfId="2" applyNumberFormat="1" applyFont="1" applyFill="1" applyBorder="1" applyAlignment="1">
      <alignment horizontal="center"/>
    </xf>
    <xf numFmtId="9" fontId="0" fillId="0" borderId="2" xfId="0" applyNumberFormat="1" applyBorder="1"/>
    <xf numFmtId="164" fontId="2" fillId="0" borderId="2" xfId="0" applyNumberFormat="1" applyFont="1" applyBorder="1"/>
    <xf numFmtId="0" fontId="2" fillId="8" borderId="7" xfId="0" applyFont="1" applyFill="1" applyBorder="1" applyAlignment="1">
      <alignment horizontal="center"/>
    </xf>
    <xf numFmtId="169" fontId="2" fillId="8" borderId="7" xfId="2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10" fontId="0" fillId="0" borderId="0" xfId="5" applyNumberFormat="1" applyFont="1"/>
    <xf numFmtId="164" fontId="0" fillId="0" borderId="0" xfId="5" applyNumberFormat="1" applyFont="1"/>
    <xf numFmtId="169" fontId="2" fillId="8" borderId="0" xfId="2" applyNumberFormat="1" applyFont="1" applyFill="1" applyBorder="1" applyAlignment="1">
      <alignment horizontal="center"/>
    </xf>
    <xf numFmtId="9" fontId="0" fillId="0" borderId="0" xfId="5" applyFont="1" applyAlignment="1">
      <alignment horizontal="center"/>
    </xf>
    <xf numFmtId="167" fontId="0" fillId="0" borderId="0" xfId="5" applyNumberFormat="1" applyFont="1"/>
    <xf numFmtId="0" fontId="5" fillId="9" borderId="0" xfId="7"/>
    <xf numFmtId="2" fontId="0" fillId="0" borderId="0" xfId="0" applyNumberFormat="1"/>
    <xf numFmtId="166" fontId="0" fillId="0" borderId="0" xfId="0" applyNumberFormat="1"/>
    <xf numFmtId="2" fontId="0" fillId="0" borderId="0" xfId="5" applyNumberFormat="1" applyFont="1"/>
    <xf numFmtId="164" fontId="0" fillId="7" borderId="0" xfId="0" applyNumberFormat="1" applyFill="1"/>
    <xf numFmtId="165" fontId="0" fillId="0" borderId="2" xfId="0" applyNumberFormat="1" applyBorder="1"/>
    <xf numFmtId="165" fontId="0" fillId="7" borderId="2" xfId="0" applyNumberFormat="1" applyFill="1" applyBorder="1"/>
    <xf numFmtId="165" fontId="2" fillId="0" borderId="2" xfId="0" applyNumberFormat="1" applyFont="1" applyBorder="1"/>
    <xf numFmtId="9" fontId="0" fillId="0" borderId="2" xfId="5" applyFont="1" applyBorder="1"/>
    <xf numFmtId="9" fontId="0" fillId="0" borderId="2" xfId="5" applyFont="1" applyBorder="1" applyAlignment="1"/>
    <xf numFmtId="167" fontId="0" fillId="7" borderId="2" xfId="5" applyNumberFormat="1" applyFont="1" applyFill="1" applyBorder="1"/>
    <xf numFmtId="0" fontId="0" fillId="0" borderId="2" xfId="0" applyBorder="1" applyAlignment="1">
      <alignment horizontal="center"/>
    </xf>
    <xf numFmtId="0" fontId="1" fillId="0" borderId="1" xfId="1" applyAlignment="1">
      <alignment wrapText="1"/>
    </xf>
    <xf numFmtId="165" fontId="9" fillId="0" borderId="2" xfId="0" applyNumberFormat="1" applyFont="1" applyBorder="1"/>
    <xf numFmtId="0" fontId="15" fillId="0" borderId="0" xfId="0" applyFont="1"/>
    <xf numFmtId="0" fontId="16" fillId="0" borderId="2" xfId="0" applyFont="1" applyBorder="1"/>
    <xf numFmtId="0" fontId="15" fillId="0" borderId="2" xfId="0" applyFont="1" applyBorder="1"/>
    <xf numFmtId="0" fontId="15" fillId="0" borderId="5" xfId="0" applyFont="1" applyBorder="1"/>
    <xf numFmtId="0" fontId="18" fillId="10" borderId="2" xfId="0" applyFont="1" applyFill="1" applyBorder="1"/>
    <xf numFmtId="0" fontId="0" fillId="10" borderId="2" xfId="0" applyFill="1" applyBorder="1"/>
    <xf numFmtId="9" fontId="0" fillId="10" borderId="2" xfId="5" applyFont="1" applyFill="1" applyBorder="1"/>
    <xf numFmtId="170" fontId="0" fillId="10" borderId="2" xfId="2" applyNumberFormat="1" applyFont="1" applyFill="1" applyBorder="1"/>
    <xf numFmtId="170" fontId="0" fillId="10" borderId="5" xfId="2" applyNumberFormat="1" applyFont="1" applyFill="1" applyBorder="1"/>
    <xf numFmtId="0" fontId="19" fillId="0" borderId="2" xfId="0" applyFont="1" applyBorder="1"/>
    <xf numFmtId="170" fontId="19" fillId="0" borderId="2" xfId="0" applyNumberFormat="1" applyFont="1" applyBorder="1"/>
    <xf numFmtId="0" fontId="20" fillId="0" borderId="0" xfId="0" applyFont="1"/>
    <xf numFmtId="9" fontId="21" fillId="5" borderId="2" xfId="0" applyNumberFormat="1" applyFont="1" applyFill="1" applyBorder="1"/>
    <xf numFmtId="0" fontId="18" fillId="11" borderId="2" xfId="0" applyFont="1" applyFill="1" applyBorder="1"/>
    <xf numFmtId="0" fontId="0" fillId="11" borderId="2" xfId="0" applyFill="1" applyBorder="1"/>
    <xf numFmtId="9" fontId="0" fillId="11" borderId="2" xfId="5" applyFont="1" applyFill="1" applyBorder="1"/>
    <xf numFmtId="170" fontId="0" fillId="11" borderId="2" xfId="2" applyNumberFormat="1" applyFont="1" applyFill="1" applyBorder="1"/>
    <xf numFmtId="170" fontId="0" fillId="11" borderId="5" xfId="2" applyNumberFormat="1" applyFont="1" applyFill="1" applyBorder="1"/>
    <xf numFmtId="0" fontId="18" fillId="12" borderId="2" xfId="0" applyFont="1" applyFill="1" applyBorder="1"/>
    <xf numFmtId="0" fontId="0" fillId="12" borderId="2" xfId="0" applyFill="1" applyBorder="1"/>
    <xf numFmtId="9" fontId="0" fillId="12" borderId="2" xfId="5" applyFont="1" applyFill="1" applyBorder="1"/>
    <xf numFmtId="170" fontId="0" fillId="12" borderId="2" xfId="2" applyNumberFormat="1" applyFont="1" applyFill="1" applyBorder="1"/>
    <xf numFmtId="170" fontId="0" fillId="12" borderId="5" xfId="2" applyNumberFormat="1" applyFont="1" applyFill="1" applyBorder="1"/>
    <xf numFmtId="0" fontId="16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8" fillId="0" borderId="2" xfId="0" applyFont="1" applyBorder="1"/>
    <xf numFmtId="0" fontId="0" fillId="13" borderId="2" xfId="0" applyFill="1" applyBorder="1"/>
    <xf numFmtId="170" fontId="0" fillId="0" borderId="2" xfId="2" applyNumberFormat="1" applyFont="1" applyBorder="1"/>
    <xf numFmtId="170" fontId="0" fillId="0" borderId="5" xfId="2" applyNumberFormat="1" applyFont="1" applyBorder="1"/>
    <xf numFmtId="0" fontId="0" fillId="5" borderId="12" xfId="0" applyFill="1" applyBorder="1" applyAlignment="1">
      <alignment horizontal="center"/>
    </xf>
    <xf numFmtId="9" fontId="0" fillId="0" borderId="2" xfId="5" applyFont="1" applyFill="1" applyBorder="1"/>
    <xf numFmtId="9" fontId="0" fillId="0" borderId="5" xfId="5" applyFont="1" applyBorder="1"/>
    <xf numFmtId="0" fontId="15" fillId="0" borderId="0" xfId="0" applyFont="1" applyAlignment="1">
      <alignment horizontal="right"/>
    </xf>
    <xf numFmtId="170" fontId="0" fillId="0" borderId="2" xfId="2" applyNumberFormat="1" applyFont="1" applyFill="1" applyBorder="1"/>
    <xf numFmtId="0" fontId="0" fillId="14" borderId="2" xfId="0" applyFill="1" applyBorder="1"/>
    <xf numFmtId="170" fontId="0" fillId="0" borderId="2" xfId="0" applyNumberFormat="1" applyBorder="1"/>
    <xf numFmtId="0" fontId="0" fillId="15" borderId="2" xfId="0" applyFill="1" applyBorder="1"/>
    <xf numFmtId="170" fontId="0" fillId="0" borderId="13" xfId="2" applyNumberFormat="1" applyFont="1" applyBorder="1"/>
    <xf numFmtId="170" fontId="0" fillId="0" borderId="0" xfId="2" applyNumberFormat="1" applyFont="1"/>
    <xf numFmtId="0" fontId="15" fillId="0" borderId="9" xfId="0" applyFont="1" applyBorder="1" applyAlignment="1">
      <alignment horizontal="center"/>
    </xf>
    <xf numFmtId="170" fontId="0" fillId="0" borderId="14" xfId="2" applyNumberFormat="1" applyFont="1" applyBorder="1"/>
    <xf numFmtId="170" fontId="0" fillId="16" borderId="0" xfId="2" applyNumberFormat="1" applyFont="1" applyFill="1"/>
    <xf numFmtId="9" fontId="22" fillId="0" borderId="2" xfId="0" applyNumberFormat="1" applyFont="1" applyBorder="1"/>
    <xf numFmtId="0" fontId="1" fillId="0" borderId="0" xfId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wrapText="1"/>
    </xf>
    <xf numFmtId="0" fontId="1" fillId="0" borderId="0" xfId="1" applyBorder="1" applyAlignment="1">
      <alignment horizontal="center"/>
    </xf>
    <xf numFmtId="0" fontId="0" fillId="0" borderId="8" xfId="0" applyBorder="1" applyAlignment="1">
      <alignment horizontal="center" vertical="center" textRotation="90" wrapText="1"/>
    </xf>
    <xf numFmtId="0" fontId="1" fillId="0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3" xfId="4" applyAlignment="1">
      <alignment horizontal="center"/>
    </xf>
    <xf numFmtId="0" fontId="2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8">
    <cellStyle name="40% - Accent1" xfId="7" builtinId="31"/>
    <cellStyle name="60% - Accent5" xfId="6" builtinId="48"/>
    <cellStyle name="Currency" xfId="2" builtinId="4"/>
    <cellStyle name="Good" xfId="3" builtinId="26"/>
    <cellStyle name="Heading 1" xfId="1" builtinId="16"/>
    <cellStyle name="Heading 2" xfId="4" builtinId="17"/>
    <cellStyle name="Normal" xfId="0" builtinId="0"/>
    <cellStyle name="Per cent" xfId="5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Woodworks Bookworks Co Cost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1'!$B$17</c:f>
              <c:strCache>
                <c:ptCount val="1"/>
                <c:pt idx="0">
                  <c:v>Cherry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 1'!$A$18:$A$23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1'!$B$18:$B$23</c:f>
              <c:numCache>
                <c:formatCode>_-[$$-409]* #,##0.00_ ;_-[$$-409]* \-#,##0.00\ ;_-[$$-409]* "-"??_ ;_-@_ </c:formatCode>
                <c:ptCount val="6"/>
                <c:pt idx="0">
                  <c:v>165</c:v>
                </c:pt>
                <c:pt idx="1">
                  <c:v>168.96</c:v>
                </c:pt>
                <c:pt idx="2">
                  <c:v>173.01504</c:v>
                </c:pt>
                <c:pt idx="3">
                  <c:v>177.16740096000001</c:v>
                </c:pt>
                <c:pt idx="4">
                  <c:v>181.41941858304003</c:v>
                </c:pt>
                <c:pt idx="5">
                  <c:v>185.77348462903299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0-47CA-BA8C-FC0A72A78996}"/>
            </c:ext>
          </c:extLst>
        </c:ser>
        <c:ser>
          <c:idx val="1"/>
          <c:order val="1"/>
          <c:tx>
            <c:strRef>
              <c:f>'Scenario 1'!$C$17</c:f>
              <c:strCache>
                <c:ptCount val="1"/>
                <c:pt idx="0">
                  <c:v>Oak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 1'!$A$18:$A$23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1'!$C$18:$C$23</c:f>
              <c:numCache>
                <c:formatCode>_-[$$-409]* #,##0.00_ ;_-[$$-409]* \-#,##0.00\ ;_-[$$-409]* "-"??_ ;_-@_ </c:formatCode>
                <c:ptCount val="6"/>
                <c:pt idx="0">
                  <c:v>129</c:v>
                </c:pt>
                <c:pt idx="1">
                  <c:v>131.19299999999998</c:v>
                </c:pt>
                <c:pt idx="2">
                  <c:v>133.42328099999997</c:v>
                </c:pt>
                <c:pt idx="3">
                  <c:v>135.69147677699996</c:v>
                </c:pt>
                <c:pt idx="4">
                  <c:v>137.99823188220896</c:v>
                </c:pt>
                <c:pt idx="5">
                  <c:v>140.34420182420649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0-47CA-BA8C-FC0A72A78996}"/>
            </c:ext>
          </c:extLst>
        </c:ser>
        <c:ser>
          <c:idx val="2"/>
          <c:order val="2"/>
          <c:tx>
            <c:strRef>
              <c:f>'Scenario 1'!$D$17</c:f>
              <c:strCache>
                <c:ptCount val="1"/>
                <c:pt idx="0">
                  <c:v>Labor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 1'!$A$18:$A$23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1'!$D$18:$D$23</c:f>
              <c:numCache>
                <c:formatCode>_-[$$-409]* #,##0.00_ ;_-[$$-409]* \-#,##0.00\ ;_-[$$-409]* "-"??_ ;_-@_ </c:formatCode>
                <c:ptCount val="6"/>
                <c:pt idx="0">
                  <c:v>296</c:v>
                </c:pt>
                <c:pt idx="1">
                  <c:v>300.44</c:v>
                </c:pt>
                <c:pt idx="2">
                  <c:v>304.94659999999999</c:v>
                </c:pt>
                <c:pt idx="3">
                  <c:v>309.52079899999995</c:v>
                </c:pt>
                <c:pt idx="4">
                  <c:v>314.16361098499993</c:v>
                </c:pt>
                <c:pt idx="5">
                  <c:v>318.87606514977489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E0-47CA-BA8C-FC0A72A78996}"/>
            </c:ext>
          </c:extLst>
        </c:ser>
        <c:ser>
          <c:idx val="3"/>
          <c:order val="3"/>
          <c:tx>
            <c:strRef>
              <c:f>'Scenario 1'!$E$17</c:f>
              <c:strCache>
                <c:ptCount val="1"/>
                <c:pt idx="0">
                  <c:v>Total Cherry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'Scenario 1'!$A$18:$A$23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1'!$E$18:$E$23</c:f>
              <c:numCache>
                <c:formatCode>_-[$$-409]* #,##0.00_ ;_-[$$-409]* \-#,##0.00\ ;_-[$$-409]* "-"??_ ;_-@_ 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E0-47CA-BA8C-FC0A72A78996}"/>
            </c:ext>
          </c:extLst>
        </c:ser>
        <c:ser>
          <c:idx val="4"/>
          <c:order val="4"/>
          <c:tx>
            <c:strRef>
              <c:f>'Scenario 1'!$F$17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'Scenario 1'!$A$18:$A$23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1'!$F$18:$F$23</c:f>
              <c:numCache>
                <c:formatCode>_-[$$-409]* #,##0.00_ ;_-[$$-409]* \-#,##0.00\ ;_-[$$-409]* "-"??_ ;_-@_ 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E0-47CA-BA8C-FC0A72A78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490895"/>
        <c:axId val="889953231"/>
      </c:lineChart>
      <c:catAx>
        <c:axId val="72849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53231"/>
        <c:crosses val="autoZero"/>
        <c:auto val="1"/>
        <c:lblAlgn val="ctr"/>
        <c:lblOffset val="100"/>
        <c:noMultiLvlLbl val="0"/>
      </c:catAx>
      <c:valAx>
        <c:axId val="8899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9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2'!$B$13</c:f>
              <c:strCache>
                <c:ptCount val="1"/>
                <c:pt idx="0">
                  <c:v>Cotton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 2'!$A$14:$A$19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2'!$B$14:$B$19</c:f>
              <c:numCache>
                <c:formatCode>_-[$$-409]* #,##0.00_ ;_-[$$-409]* \-#,##0.00\ ;_-[$$-409]* "-"??_ ;_-@_ </c:formatCode>
                <c:ptCount val="6"/>
                <c:pt idx="0">
                  <c:v>1.9799999999999998</c:v>
                </c:pt>
                <c:pt idx="1">
                  <c:v>2.0195999999999996</c:v>
                </c:pt>
                <c:pt idx="2">
                  <c:v>2.0599919999999998</c:v>
                </c:pt>
                <c:pt idx="3">
                  <c:v>2.1011918399999998</c:v>
                </c:pt>
                <c:pt idx="4">
                  <c:v>2.1432156767999997</c:v>
                </c:pt>
                <c:pt idx="5">
                  <c:v>2.1860799903359998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7-4B6A-8710-611BEFB6FEC7}"/>
            </c:ext>
          </c:extLst>
        </c:ser>
        <c:ser>
          <c:idx val="1"/>
          <c:order val="1"/>
          <c:tx>
            <c:strRef>
              <c:f>'Scenario 2'!$C$13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 2'!$A$14:$A$19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2'!$C$14:$C$19</c:f>
              <c:numCache>
                <c:formatCode>_-[$$-409]* #,##0.00_ ;_-[$$-409]* \-#,##0.00\ ;_-[$$-409]* "-"??_ ;_-@_ </c:formatCode>
                <c:ptCount val="6"/>
                <c:pt idx="0">
                  <c:v>1.42</c:v>
                </c:pt>
                <c:pt idx="1">
                  <c:v>1.4625999999999999</c:v>
                </c:pt>
                <c:pt idx="2">
                  <c:v>1.506478</c:v>
                </c:pt>
                <c:pt idx="3">
                  <c:v>1.5516723400000001</c:v>
                </c:pt>
                <c:pt idx="4">
                  <c:v>1.5982225102000001</c:v>
                </c:pt>
                <c:pt idx="5">
                  <c:v>1.6461691855060001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7-4B6A-8710-611BEFB6FEC7}"/>
            </c:ext>
          </c:extLst>
        </c:ser>
        <c:ser>
          <c:idx val="2"/>
          <c:order val="2"/>
          <c:tx>
            <c:strRef>
              <c:f>'Scenario 2'!$D$13</c:f>
              <c:strCache>
                <c:ptCount val="1"/>
                <c:pt idx="0">
                  <c:v>Labor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 2'!$A$14:$A$19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2'!$D$14:$D$19</c:f>
              <c:numCache>
                <c:formatCode>_-[$$-409]* #,##0.00_ ;_-[$$-409]* \-#,##0.00\ ;_-[$$-409]* "-"??_ ;_-@_ </c:formatCode>
                <c:ptCount val="6"/>
                <c:pt idx="0">
                  <c:v>54</c:v>
                </c:pt>
                <c:pt idx="1">
                  <c:v>55.349999999999994</c:v>
                </c:pt>
                <c:pt idx="2">
                  <c:v>56.733749999999986</c:v>
                </c:pt>
                <c:pt idx="3">
                  <c:v>58.152093749999977</c:v>
                </c:pt>
                <c:pt idx="4">
                  <c:v>59.605896093749969</c:v>
                </c:pt>
                <c:pt idx="5">
                  <c:v>61.096043496093714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67-4B6A-8710-611BEFB6FEC7}"/>
            </c:ext>
          </c:extLst>
        </c:ser>
        <c:ser>
          <c:idx val="3"/>
          <c:order val="3"/>
          <c:tx>
            <c:strRef>
              <c:f>'Scenario 2'!$E$13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'Scenario 2'!$A$14:$A$19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2'!$E$14:$E$19</c:f>
              <c:numCache>
                <c:formatCode>_-[$$-409]* #,##0.00_ ;_-[$$-409]* \-#,##0.00\ ;_-[$$-409]* "-"??_ ;_-@_ </c:formatCode>
                <c:ptCount val="6"/>
                <c:pt idx="0">
                  <c:v>55.98</c:v>
                </c:pt>
                <c:pt idx="1">
                  <c:v>57.369599999999991</c:v>
                </c:pt>
                <c:pt idx="2">
                  <c:v>58.793741999999988</c:v>
                </c:pt>
                <c:pt idx="3">
                  <c:v>60.253285589999976</c:v>
                </c:pt>
                <c:pt idx="4">
                  <c:v>61.749111770549966</c:v>
                </c:pt>
                <c:pt idx="5">
                  <c:v>63.282123486429711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67-4B6A-8710-611BEFB6FEC7}"/>
            </c:ext>
          </c:extLst>
        </c:ser>
        <c:ser>
          <c:idx val="4"/>
          <c:order val="4"/>
          <c:tx>
            <c:strRef>
              <c:f>'Scenario 2'!$F$13</c:f>
              <c:strCache>
                <c:ptCount val="1"/>
                <c:pt idx="0">
                  <c:v>Total 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'Scenario 2'!$A$14:$A$19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'Scenario 2'!$F$14:$F$19</c:f>
              <c:numCache>
                <c:formatCode>_-[$$-409]* #,##0.00_ ;_-[$$-409]* \-#,##0.00\ ;_-[$$-409]* "-"??_ ;_-@_ </c:formatCode>
                <c:ptCount val="6"/>
                <c:pt idx="0">
                  <c:v>57.4</c:v>
                </c:pt>
                <c:pt idx="1">
                  <c:v>58.832199999999993</c:v>
                </c:pt>
                <c:pt idx="2">
                  <c:v>60.300219999999989</c:v>
                </c:pt>
                <c:pt idx="3">
                  <c:v>61.804957929999979</c:v>
                </c:pt>
                <c:pt idx="4">
                  <c:v>63.347334280749969</c:v>
                </c:pt>
                <c:pt idx="5">
                  <c:v>64.928292671935708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67-4B6A-8710-611BEFB6F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768991"/>
        <c:axId val="957770911"/>
      </c:lineChart>
      <c:catAx>
        <c:axId val="95776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70911"/>
        <c:crosses val="autoZero"/>
        <c:auto val="1"/>
        <c:lblAlgn val="ctr"/>
        <c:lblOffset val="100"/>
        <c:noMultiLvlLbl val="0"/>
      </c:catAx>
      <c:valAx>
        <c:axId val="95777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6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'Scenario 3'!$F$7:$F$17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'Scenario 3'!$G$7:$G$17</c:f>
              <c:numCache>
                <c:formatCode>_-[$$-409]* #,##0_ ;_-[$$-409]* \-#,##0\ ;_-[$$-409]* "-"??_ ;_-@_ 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6-46B5-8345-9593631D2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735887"/>
        <c:axId val="2106734927"/>
      </c:barChart>
      <c:catAx>
        <c:axId val="2106735887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34927"/>
        <c:crosses val="autoZero"/>
        <c:auto val="1"/>
        <c:lblAlgn val="ctr"/>
        <c:lblOffset val="100"/>
        <c:noMultiLvlLbl val="0"/>
      </c:catAx>
      <c:valAx>
        <c:axId val="210673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3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</a:t>
            </a:r>
            <a:r>
              <a:rPr lang="en-US"/>
              <a:t>(00s)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 6'!$C$3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323395232432408"/>
                  <c:y val="-0.516354613488185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2531170506614256E-2"/>
                  <c:y val="-0.396737681613682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73104190173454"/>
                  <c:y val="-0.3195754933528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'Scenario 6'!$B$4:$B$15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'Scenario 6'!$C$4:$C$15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9-4947-B418-48D0CE4C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576496"/>
        <c:axId val="889584656"/>
      </c:scatterChart>
      <c:valAx>
        <c:axId val="88957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84656"/>
        <c:crosses val="autoZero"/>
        <c:crossBetween val="midCat"/>
      </c:valAx>
      <c:valAx>
        <c:axId val="8895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7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6'!$G$39:$G$100</c:f>
              <c:numCache>
                <c:formatCode>General</c:formatCode>
                <c:ptCount val="62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</c:numCache>
            </c:numRef>
          </c:xVal>
          <c:yVal>
            <c:numRef>
              <c:f>'Scenario 6'!$H$39:$H$100</c:f>
              <c:numCache>
                <c:formatCode>0</c:formatCode>
                <c:ptCount val="62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EF-413C-B4B5-B52D37C7A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218303"/>
        <c:axId val="1802201983"/>
      </c:scatterChart>
      <c:valAx>
        <c:axId val="18022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201983"/>
        <c:crosses val="autoZero"/>
        <c:crossBetween val="midCat"/>
      </c:valAx>
      <c:valAx>
        <c:axId val="18022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2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earned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 7'!$B$16</c:f>
              <c:strCache>
                <c:ptCount val="1"/>
                <c:pt idx="0">
                  <c:v>Revenue (Millionsof USD)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2897025371828522"/>
                  <c:y val="-0.28710557013706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3224803149606298"/>
                  <c:y val="-0.19392898804316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'Scenario 7'!$A$17:$A$22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'Scenario 7'!$B$17:$B$22</c:f>
              <c:numCache>
                <c:formatCode>0.0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6F-414F-A078-C6356690F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859423"/>
        <c:axId val="1241858463"/>
      </c:scatterChart>
      <c:valAx>
        <c:axId val="124185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58463"/>
        <c:crosses val="autoZero"/>
        <c:crossBetween val="midCat"/>
      </c:valAx>
      <c:valAx>
        <c:axId val="124185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5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 9'!$C$2</c:f>
              <c:strCache>
                <c:ptCount val="1"/>
                <c:pt idx="0">
                  <c:v>Average of Seasonally Adjusted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6901159230096238"/>
                  <c:y val="-8.8379629629629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813082045965612"/>
                  <c:y val="-0.18534635085134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9.9774070812298971E-2"/>
                  <c:y val="0.523102479251240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'Scenario 9'!$B$3:$B$22</c:f>
              <c:numCache>
                <c:formatCode>General</c:formatCode>
                <c:ptCount val="20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 formatCode="0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 formatCode="0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 formatCode="0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 formatCode="0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'Scenario 9'!$C$3:$C$22</c:f>
              <c:numCache>
                <c:formatCode>_-[$$-409]* #,##0.00_ ;_-[$$-409]* \-#,##0.00\ ;_-[$$-409]* "-"??_ ;_-@_ </c:formatCode>
                <c:ptCount val="20"/>
                <c:pt idx="0">
                  <c:v>150781.16666666666</c:v>
                </c:pt>
                <c:pt idx="1">
                  <c:v>161696.25</c:v>
                </c:pt>
                <c:pt idx="2">
                  <c:v>175688.83333333334</c:v>
                </c:pt>
                <c:pt idx="3">
                  <c:v>185437.25</c:v>
                </c:pt>
                <c:pt idx="4">
                  <c:v>196728.16666666666</c:v>
                </c:pt>
                <c:pt idx="5">
                  <c:v>206334.08333333334</c:v>
                </c:pt>
                <c:pt idx="6">
                  <c:v>215657.66666666666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261272.41666666666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307826.08333333331</c:v>
                </c:pt>
                <c:pt idx="14">
                  <c:v>323823.08333333331</c:v>
                </c:pt>
                <c:pt idx="15">
                  <c:v>334008</c:v>
                </c:pt>
                <c:pt idx="16">
                  <c:v>328780.33333333331</c:v>
                </c:pt>
                <c:pt idx="17">
                  <c:v>303288.91666666669</c:v>
                </c:pt>
                <c:pt idx="18">
                  <c:v>323964.16666666669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7-405F-B9E9-69FDD7D8B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905040"/>
        <c:axId val="745901200"/>
      </c:scatterChart>
      <c:valAx>
        <c:axId val="74590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01200"/>
        <c:crosses val="autoZero"/>
        <c:crossBetween val="midCat"/>
      </c:valAx>
      <c:valAx>
        <c:axId val="7459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0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'[1]Project Model'!$O$26:$Q$26</c:f>
              <c:numCache>
                <c:formatCode>General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4-4A6E-86C1-B199C8926FA6}"/>
            </c:ext>
          </c:extLst>
        </c:ser>
        <c:ser>
          <c:idx val="1"/>
          <c:order val="1"/>
          <c:tx>
            <c:strRef>
              <c:f>'[1]Project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'[1]Project Model'!$O$27:$Q$27</c:f>
              <c:numCache>
                <c:formatCode>General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4-4A6E-86C1-B199C8926FA6}"/>
            </c:ext>
          </c:extLst>
        </c:ser>
        <c:ser>
          <c:idx val="2"/>
          <c:order val="2"/>
          <c:tx>
            <c:strRef>
              <c:f>'[1]Project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'[1]Project Model'!$O$28:$Q$28</c:f>
              <c:numCache>
                <c:formatCode>General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4-4A6E-86C1-B199C8926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'[1]Project Model'!$O$26:$Q$26</c:f>
              <c:numCache>
                <c:formatCode>General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D-43B1-BACB-A134E2AFE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'[1]Project Model'!$O$27:$Q$27</c:f>
              <c:numCache>
                <c:formatCode>General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D-44E6-A21C-E8B6D0E66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'[1]Project Model'!$O$27:$Q$27</c:f>
              <c:numCache>
                <c:formatCode>General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A-4D9A-8DF0-ADDC51104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6</xdr:row>
      <xdr:rowOff>11430</xdr:rowOff>
    </xdr:from>
    <xdr:to>
      <xdr:col>15</xdr:col>
      <xdr:colOff>60960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6E70A-6AE3-3C07-879A-322C20486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8</xdr:row>
      <xdr:rowOff>3810</xdr:rowOff>
    </xdr:from>
    <xdr:to>
      <xdr:col>13</xdr:col>
      <xdr:colOff>1242060</xdr:colOff>
      <xdr:row>23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AFD5C-5BEF-3A2D-950B-202A17F95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554467</xdr:colOff>
      <xdr:row>2</xdr:row>
      <xdr:rowOff>166521</xdr:rowOff>
    </xdr:from>
    <xdr:to>
      <xdr:col>16</xdr:col>
      <xdr:colOff>251012</xdr:colOff>
      <xdr:row>17</xdr:row>
      <xdr:rowOff>157555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087225-99BE-1D70-0CEA-127A9418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9</xdr:row>
      <xdr:rowOff>72390</xdr:rowOff>
    </xdr:from>
    <xdr:to>
      <xdr:col>18</xdr:col>
      <xdr:colOff>419100</xdr:colOff>
      <xdr:row>26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733C9-861F-0225-4FFB-23A2723A3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110436</xdr:colOff>
      <xdr:row>65</xdr:row>
      <xdr:rowOff>119270</xdr:rowOff>
    </xdr:from>
    <xdr:to>
      <xdr:col>15</xdr:col>
      <xdr:colOff>430697</xdr:colOff>
      <xdr:row>80</xdr:row>
      <xdr:rowOff>46383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82E81B-2D10-45CF-5846-AC55B94FB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331679</xdr:colOff>
      <xdr:row>3</xdr:row>
      <xdr:rowOff>139462</xdr:rowOff>
    </xdr:from>
    <xdr:to>
      <xdr:col>15</xdr:col>
      <xdr:colOff>26879</xdr:colOff>
      <xdr:row>18</xdr:row>
      <xdr:rowOff>139463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EE837-B761-D495-2F28-18D28941C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226548</xdr:colOff>
      <xdr:row>6</xdr:row>
      <xdr:rowOff>62630</xdr:rowOff>
    </xdr:from>
    <xdr:to>
      <xdr:col>21</xdr:col>
      <xdr:colOff>156575</xdr:colOff>
      <xdr:row>24</xdr:row>
      <xdr:rowOff>48357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9A224-1E08-3C40-7372-65F3608C0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653143</xdr:colOff>
      <xdr:row>1</xdr:row>
      <xdr:rowOff>31103</xdr:rowOff>
    </xdr:from>
    <xdr:to>
      <xdr:col>28</xdr:col>
      <xdr:colOff>95146</xdr:colOff>
      <xdr:row>21</xdr:row>
      <xdr:rowOff>159761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79627-63B9-49AB-A9B7-8478714E4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326572</xdr:colOff>
      <xdr:row>24</xdr:row>
      <xdr:rowOff>93307</xdr:rowOff>
    </xdr:from>
    <xdr:to>
      <xdr:col>28</xdr:col>
      <xdr:colOff>308999</xdr:colOff>
      <xdr:row>45</xdr:row>
      <xdr:rowOff>175312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96359-5163-4C5C-BF0F-9F89FACD3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1041918</xdr:colOff>
      <xdr:row>40</xdr:row>
      <xdr:rowOff>31103</xdr:rowOff>
    </xdr:from>
    <xdr:to>
      <xdr:col>16</xdr:col>
      <xdr:colOff>484569</xdr:colOff>
      <xdr:row>62</xdr:row>
      <xdr:rowOff>113471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9FF4FA-06BA-4AA0-B7D3-869D241C0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</xdr:row>
      <xdr:rowOff>0</xdr:rowOff>
    </xdr:from>
    <xdr:to>
      <xdr:col>40</xdr:col>
      <xdr:colOff>181329</xdr:colOff>
      <xdr:row>23</xdr:row>
      <xdr:rowOff>6639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65FC6A-633D-4EA0-A836-E3FAFF22B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sh\Downloads\Bluejay_Natural_Gas_Solution_Midterm.xlsx" TargetMode="External"/><Relationship Id="rId1" Type="http://schemas.openxmlformats.org/officeDocument/2006/relationships/externalLinkPath" Target="/Users/krish/Downloads/Bluejay_Natural_Gas_Solution_Midte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Model"/>
      <sheetName val="Approved Line Charts"/>
    </sheetNames>
    <sheetDataSet>
      <sheetData sheetId="0">
        <row r="25">
          <cell r="O25" t="str">
            <v>Year 1</v>
          </cell>
          <cell r="P25" t="str">
            <v xml:space="preserve">Year 2 </v>
          </cell>
          <cell r="Q25" t="str">
            <v xml:space="preserve">Year 3 </v>
          </cell>
        </row>
        <row r="26">
          <cell r="N26" t="str">
            <v xml:space="preserve">FA 1 </v>
          </cell>
          <cell r="O26">
            <v>1115</v>
          </cell>
          <cell r="P26">
            <v>999</v>
          </cell>
          <cell r="Q26">
            <v>1199</v>
          </cell>
        </row>
        <row r="27">
          <cell r="N27" t="str">
            <v>FA 2</v>
          </cell>
          <cell r="O27">
            <v>1518</v>
          </cell>
          <cell r="P27">
            <v>1302</v>
          </cell>
          <cell r="Q27">
            <v>986</v>
          </cell>
        </row>
        <row r="28">
          <cell r="N28" t="str">
            <v>FA 3</v>
          </cell>
          <cell r="O28">
            <v>1850</v>
          </cell>
          <cell r="P28">
            <v>650</v>
          </cell>
          <cell r="Q28">
            <v>550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DA71-1306-41F8-A114-92DF2E99E456}">
  <dimension ref="A1:O23"/>
  <sheetViews>
    <sheetView workbookViewId="0">
      <selection activeCell="N25" sqref="N25"/>
    </sheetView>
  </sheetViews>
  <sheetFormatPr defaultRowHeight="14.4"/>
  <cols>
    <col min="1" max="1" width="21.21875" customWidth="1"/>
    <col min="2" max="2" width="11.44140625" bestFit="1" customWidth="1"/>
    <col min="3" max="3" width="10" bestFit="1" customWidth="1"/>
    <col min="4" max="4" width="16.33203125" customWidth="1"/>
    <col min="5" max="5" width="11.109375" bestFit="1" customWidth="1"/>
    <col min="6" max="6" width="10" bestFit="1" customWidth="1"/>
    <col min="10" max="10" width="8.5546875" customWidth="1"/>
    <col min="11" max="11" width="8.88671875" hidden="1" customWidth="1"/>
    <col min="12" max="12" width="30.33203125" customWidth="1"/>
  </cols>
  <sheetData>
    <row r="1" spans="1:15" ht="20.399999999999999" thickBot="1">
      <c r="A1" s="5" t="s">
        <v>7</v>
      </c>
    </row>
    <row r="2" spans="1:15" ht="15" thickTop="1">
      <c r="L2" s="1" t="s">
        <v>0</v>
      </c>
      <c r="M2" s="1" t="s">
        <v>1</v>
      </c>
      <c r="N2" s="1" t="s">
        <v>2</v>
      </c>
      <c r="O2" s="1" t="s">
        <v>3</v>
      </c>
    </row>
    <row r="3" spans="1:15">
      <c r="A3" s="8" t="s">
        <v>8</v>
      </c>
      <c r="B3" s="8" t="s">
        <v>1</v>
      </c>
      <c r="C3" s="8" t="s">
        <v>2</v>
      </c>
      <c r="L3" s="2" t="s">
        <v>4</v>
      </c>
      <c r="M3" s="2">
        <v>30</v>
      </c>
      <c r="N3" s="2">
        <v>30</v>
      </c>
      <c r="O3" s="2">
        <v>16</v>
      </c>
    </row>
    <row r="4" spans="1:15">
      <c r="A4" s="7" t="s">
        <v>9</v>
      </c>
      <c r="B4" s="7">
        <v>5.5</v>
      </c>
      <c r="C4" s="7">
        <v>4.3</v>
      </c>
      <c r="L4" s="2" t="s">
        <v>5</v>
      </c>
      <c r="M4" s="4">
        <v>5.5</v>
      </c>
      <c r="N4" s="4">
        <v>4.3</v>
      </c>
      <c r="O4" s="4">
        <v>18.5</v>
      </c>
    </row>
    <row r="5" spans="1:15">
      <c r="A5" s="7" t="s">
        <v>10</v>
      </c>
      <c r="B5" s="7">
        <v>30</v>
      </c>
      <c r="C5" s="7">
        <v>30</v>
      </c>
      <c r="L5" s="2" t="s">
        <v>6</v>
      </c>
      <c r="M5" s="3">
        <v>2.4E-2</v>
      </c>
      <c r="N5" s="3">
        <v>1.7000000000000001E-2</v>
      </c>
      <c r="O5" s="3">
        <v>1.4999999999999999E-2</v>
      </c>
    </row>
    <row r="6" spans="1:15">
      <c r="A6" s="8" t="s">
        <v>11</v>
      </c>
      <c r="B6" s="7">
        <f>B4*B5</f>
        <v>165</v>
      </c>
      <c r="C6" s="7">
        <f>C4*C5</f>
        <v>129</v>
      </c>
    </row>
    <row r="7" spans="1:15" ht="12" customHeight="1">
      <c r="A7" s="7"/>
      <c r="B7" s="7"/>
      <c r="C7" s="7"/>
    </row>
    <row r="8" spans="1:15">
      <c r="A8" s="7"/>
      <c r="B8" s="7"/>
      <c r="C8" s="7"/>
    </row>
    <row r="9" spans="1:15">
      <c r="A9" s="7" t="s">
        <v>9</v>
      </c>
      <c r="B9" s="7">
        <v>18.5</v>
      </c>
      <c r="C9" s="7">
        <v>18.5</v>
      </c>
    </row>
    <row r="10" spans="1:15">
      <c r="A10" s="7" t="s">
        <v>10</v>
      </c>
      <c r="B10" s="7">
        <v>16</v>
      </c>
      <c r="C10" s="7">
        <v>16</v>
      </c>
    </row>
    <row r="11" spans="1:15">
      <c r="A11" s="8" t="s">
        <v>12</v>
      </c>
      <c r="B11" s="7">
        <f>B9*B10</f>
        <v>296</v>
      </c>
      <c r="C11" s="7">
        <f>C9*C10</f>
        <v>296</v>
      </c>
    </row>
    <row r="12" spans="1:15">
      <c r="A12" s="7"/>
      <c r="B12" s="7"/>
      <c r="C12" s="7"/>
    </row>
    <row r="13" spans="1:15">
      <c r="A13" s="8" t="s">
        <v>13</v>
      </c>
      <c r="B13" s="9">
        <f>B6+B11</f>
        <v>461</v>
      </c>
      <c r="C13" s="9">
        <f>C6+C11</f>
        <v>425</v>
      </c>
    </row>
    <row r="15" spans="1:15">
      <c r="A15" t="s">
        <v>14</v>
      </c>
      <c r="B15" s="6">
        <v>2.4E-2</v>
      </c>
      <c r="C15" s="6">
        <v>1.7000000000000001E-2</v>
      </c>
      <c r="D15" s="6">
        <v>1.4999999999999999E-2</v>
      </c>
    </row>
    <row r="17" spans="1:6">
      <c r="A17" s="8" t="s">
        <v>15</v>
      </c>
      <c r="B17" s="8" t="s">
        <v>1</v>
      </c>
      <c r="C17" s="8" t="s">
        <v>2</v>
      </c>
      <c r="D17" s="8" t="s">
        <v>3</v>
      </c>
      <c r="E17" s="8" t="s">
        <v>16</v>
      </c>
      <c r="F17" s="8" t="s">
        <v>17</v>
      </c>
    </row>
    <row r="18" spans="1:6">
      <c r="A18" s="7">
        <v>0</v>
      </c>
      <c r="B18" s="10">
        <f>B6</f>
        <v>165</v>
      </c>
      <c r="C18" s="10">
        <f>C6</f>
        <v>129</v>
      </c>
      <c r="D18" s="11">
        <f>B11</f>
        <v>296</v>
      </c>
      <c r="E18" s="10">
        <f>B18+D18</f>
        <v>461</v>
      </c>
      <c r="F18" s="10">
        <f>C18+D18</f>
        <v>425</v>
      </c>
    </row>
    <row r="19" spans="1:6">
      <c r="A19" s="7">
        <v>1</v>
      </c>
      <c r="B19" s="10">
        <f>B18*(1+$B$15)</f>
        <v>168.96</v>
      </c>
      <c r="C19" s="10">
        <f>C18*(1+$C$15)</f>
        <v>131.19299999999998</v>
      </c>
      <c r="D19" s="10">
        <f>D18*(1+$D$15)</f>
        <v>300.44</v>
      </c>
      <c r="E19" s="10">
        <f t="shared" ref="E19" si="0">B19+D19</f>
        <v>469.4</v>
      </c>
      <c r="F19" s="10">
        <f t="shared" ref="F19" si="1">C19+D19</f>
        <v>431.63299999999998</v>
      </c>
    </row>
    <row r="20" spans="1:6">
      <c r="A20" s="7">
        <v>2</v>
      </c>
      <c r="B20" s="10">
        <f t="shared" ref="B20:B23" si="2">B19*(1+$B$15)</f>
        <v>173.01504</v>
      </c>
      <c r="C20" s="10">
        <f t="shared" ref="C20:C23" si="3">C19*(1+$C$15)</f>
        <v>133.42328099999997</v>
      </c>
      <c r="D20" s="10">
        <f t="shared" ref="D20:D23" si="4">D19*(1+$D$15)</f>
        <v>304.94659999999999</v>
      </c>
      <c r="E20" s="10">
        <f t="shared" ref="E20:E23" si="5">B20+D20</f>
        <v>477.96163999999999</v>
      </c>
      <c r="F20" s="10">
        <f t="shared" ref="F20:F23" si="6">C20+D20</f>
        <v>438.36988099999996</v>
      </c>
    </row>
    <row r="21" spans="1:6">
      <c r="A21" s="7">
        <v>3</v>
      </c>
      <c r="B21" s="10">
        <f t="shared" si="2"/>
        <v>177.16740096000001</v>
      </c>
      <c r="C21" s="10">
        <f t="shared" si="3"/>
        <v>135.69147677699996</v>
      </c>
      <c r="D21" s="10">
        <f t="shared" si="4"/>
        <v>309.52079899999995</v>
      </c>
      <c r="E21" s="10">
        <f t="shared" si="5"/>
        <v>486.68819995999996</v>
      </c>
      <c r="F21" s="10">
        <f t="shared" si="6"/>
        <v>445.21227577699995</v>
      </c>
    </row>
    <row r="22" spans="1:6">
      <c r="A22" s="7">
        <v>4</v>
      </c>
      <c r="B22" s="10">
        <f t="shared" si="2"/>
        <v>181.41941858304003</v>
      </c>
      <c r="C22" s="10">
        <f t="shared" si="3"/>
        <v>137.99823188220896</v>
      </c>
      <c r="D22" s="10">
        <f t="shared" si="4"/>
        <v>314.16361098499993</v>
      </c>
      <c r="E22" s="10">
        <f t="shared" si="5"/>
        <v>495.58302956803993</v>
      </c>
      <c r="F22" s="10">
        <f t="shared" si="6"/>
        <v>452.16184286720886</v>
      </c>
    </row>
    <row r="23" spans="1:6">
      <c r="A23" s="7">
        <v>5</v>
      </c>
      <c r="B23" s="10">
        <f t="shared" si="2"/>
        <v>185.77348462903299</v>
      </c>
      <c r="C23" s="10">
        <f t="shared" si="3"/>
        <v>140.34420182420649</v>
      </c>
      <c r="D23" s="10">
        <f t="shared" si="4"/>
        <v>318.87606514977489</v>
      </c>
      <c r="E23" s="10">
        <f t="shared" si="5"/>
        <v>504.64954977880791</v>
      </c>
      <c r="F23" s="10">
        <f t="shared" si="6"/>
        <v>459.22026697398138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5FB0-EA89-4624-8FE5-74F5FA6DA40D}">
  <dimension ref="A1:O21"/>
  <sheetViews>
    <sheetView workbookViewId="0">
      <selection activeCell="I23" sqref="I23"/>
    </sheetView>
  </sheetViews>
  <sheetFormatPr defaultRowHeight="14.4"/>
  <cols>
    <col min="1" max="1" width="14.21875" bestFit="1" customWidth="1"/>
    <col min="4" max="4" width="9.77734375" bestFit="1" customWidth="1"/>
    <col min="5" max="5" width="9.33203125" bestFit="1" customWidth="1"/>
    <col min="6" max="6" width="13.88671875" bestFit="1" customWidth="1"/>
    <col min="14" max="14" width="28.33203125" bestFit="1" customWidth="1"/>
    <col min="15" max="15" width="16.21875" bestFit="1" customWidth="1"/>
  </cols>
  <sheetData>
    <row r="1" spans="1:15" ht="20.399999999999999" thickBot="1">
      <c r="A1" s="5" t="s">
        <v>18</v>
      </c>
    </row>
    <row r="2" spans="1:15" ht="15" thickTop="1">
      <c r="N2" s="8" t="s">
        <v>0</v>
      </c>
      <c r="O2" s="8" t="s">
        <v>9</v>
      </c>
    </row>
    <row r="3" spans="1:15">
      <c r="A3" t="s">
        <v>25</v>
      </c>
      <c r="B3" t="s">
        <v>19</v>
      </c>
      <c r="C3" t="s">
        <v>26</v>
      </c>
      <c r="D3" t="s">
        <v>28</v>
      </c>
      <c r="E3" t="s">
        <v>30</v>
      </c>
      <c r="N3" s="7" t="s">
        <v>19</v>
      </c>
      <c r="O3" s="7" t="s">
        <v>20</v>
      </c>
    </row>
    <row r="4" spans="1:15">
      <c r="A4" t="s">
        <v>9</v>
      </c>
      <c r="B4">
        <v>1.2</v>
      </c>
      <c r="C4">
        <v>1</v>
      </c>
      <c r="D4">
        <v>4.5</v>
      </c>
      <c r="N4" s="7" t="s">
        <v>21</v>
      </c>
      <c r="O4" s="7" t="s">
        <v>22</v>
      </c>
    </row>
    <row r="5" spans="1:15">
      <c r="A5" t="s">
        <v>27</v>
      </c>
      <c r="B5">
        <v>1.65</v>
      </c>
      <c r="C5">
        <v>1.42</v>
      </c>
      <c r="D5">
        <v>12</v>
      </c>
      <c r="N5" s="7" t="s">
        <v>3</v>
      </c>
      <c r="O5" s="7" t="s">
        <v>23</v>
      </c>
    </row>
    <row r="6" spans="1:15">
      <c r="A6" t="s">
        <v>29</v>
      </c>
      <c r="B6">
        <f>B4*B5</f>
        <v>1.9799999999999998</v>
      </c>
      <c r="C6">
        <f>C4*C5</f>
        <v>1.42</v>
      </c>
      <c r="D6">
        <f>D4*D5</f>
        <v>54</v>
      </c>
      <c r="E6">
        <f>SUM(B6:D6)</f>
        <v>57.4</v>
      </c>
    </row>
    <row r="7" spans="1:15">
      <c r="N7" t="s">
        <v>24</v>
      </c>
    </row>
    <row r="8" spans="1:15">
      <c r="A8" t="s">
        <v>31</v>
      </c>
      <c r="B8">
        <v>150</v>
      </c>
    </row>
    <row r="9" spans="1:15">
      <c r="A9" t="s">
        <v>32</v>
      </c>
      <c r="B9">
        <f>B8-E6</f>
        <v>92.6</v>
      </c>
    </row>
    <row r="11" spans="1:15">
      <c r="A11" t="s">
        <v>33</v>
      </c>
      <c r="B11" s="12">
        <v>0.02</v>
      </c>
      <c r="C11" s="12">
        <v>0.03</v>
      </c>
      <c r="D11" s="6">
        <v>2.5000000000000001E-2</v>
      </c>
    </row>
    <row r="13" spans="1:15">
      <c r="A13" s="8" t="s">
        <v>15</v>
      </c>
      <c r="B13" s="8" t="s">
        <v>19</v>
      </c>
      <c r="C13" s="8" t="s">
        <v>26</v>
      </c>
      <c r="D13" s="8" t="s">
        <v>28</v>
      </c>
      <c r="E13" s="8" t="s">
        <v>29</v>
      </c>
      <c r="F13" s="8" t="s">
        <v>34</v>
      </c>
    </row>
    <row r="14" spans="1:15">
      <c r="A14" s="7">
        <v>0</v>
      </c>
      <c r="B14" s="9">
        <f>B6</f>
        <v>1.9799999999999998</v>
      </c>
      <c r="C14" s="9">
        <f>C6</f>
        <v>1.42</v>
      </c>
      <c r="D14" s="9">
        <f>D6</f>
        <v>54</v>
      </c>
      <c r="E14" s="9">
        <f>B14+D14</f>
        <v>55.98</v>
      </c>
      <c r="F14" s="9">
        <f>C14+E14</f>
        <v>57.4</v>
      </c>
    </row>
    <row r="15" spans="1:15">
      <c r="A15" s="7">
        <v>1</v>
      </c>
      <c r="B15" s="9">
        <f>B14*(1+$B$11)</f>
        <v>2.0195999999999996</v>
      </c>
      <c r="C15" s="9">
        <f>C14*(1+$C$11)</f>
        <v>1.4625999999999999</v>
      </c>
      <c r="D15" s="9">
        <f>D14*(1+$D$11)</f>
        <v>55.349999999999994</v>
      </c>
      <c r="E15" s="9">
        <f>B15+D15</f>
        <v>57.369599999999991</v>
      </c>
      <c r="F15" s="9">
        <f>C15+E15</f>
        <v>58.832199999999993</v>
      </c>
    </row>
    <row r="16" spans="1:15">
      <c r="A16" s="7">
        <v>2</v>
      </c>
      <c r="B16" s="9">
        <f t="shared" ref="B16:B21" si="0">B15*(1+$B$11)</f>
        <v>2.0599919999999998</v>
      </c>
      <c r="C16" s="9">
        <f t="shared" ref="C16:C21" si="1">C15*(1+$C$11)</f>
        <v>1.506478</v>
      </c>
      <c r="D16" s="9">
        <f t="shared" ref="D16:D21" si="2">D15*(1+$D$11)</f>
        <v>56.733749999999986</v>
      </c>
      <c r="E16" s="9">
        <f t="shared" ref="E16:F16" si="3">B16+D16</f>
        <v>58.793741999999988</v>
      </c>
      <c r="F16" s="9">
        <f t="shared" si="3"/>
        <v>60.300219999999989</v>
      </c>
    </row>
    <row r="17" spans="1:6">
      <c r="A17" s="7">
        <v>3</v>
      </c>
      <c r="B17" s="9">
        <f t="shared" si="0"/>
        <v>2.1011918399999998</v>
      </c>
      <c r="C17" s="9">
        <f t="shared" si="1"/>
        <v>1.5516723400000001</v>
      </c>
      <c r="D17" s="9">
        <f t="shared" si="2"/>
        <v>58.152093749999977</v>
      </c>
      <c r="E17" s="9">
        <f t="shared" ref="E17:F17" si="4">B17+D17</f>
        <v>60.253285589999976</v>
      </c>
      <c r="F17" s="9">
        <f t="shared" si="4"/>
        <v>61.804957929999979</v>
      </c>
    </row>
    <row r="18" spans="1:6">
      <c r="A18" s="7">
        <v>4</v>
      </c>
      <c r="B18" s="9">
        <f t="shared" si="0"/>
        <v>2.1432156767999997</v>
      </c>
      <c r="C18" s="9">
        <f t="shared" si="1"/>
        <v>1.5982225102000001</v>
      </c>
      <c r="D18" s="9">
        <f t="shared" si="2"/>
        <v>59.605896093749969</v>
      </c>
      <c r="E18" s="9">
        <f t="shared" ref="E18:F18" si="5">B18+D18</f>
        <v>61.749111770549966</v>
      </c>
      <c r="F18" s="9">
        <f t="shared" si="5"/>
        <v>63.347334280749969</v>
      </c>
    </row>
    <row r="19" spans="1:6">
      <c r="A19" s="7">
        <v>5</v>
      </c>
      <c r="B19" s="9">
        <f t="shared" si="0"/>
        <v>2.1860799903359998</v>
      </c>
      <c r="C19" s="9">
        <f t="shared" si="1"/>
        <v>1.6461691855060001</v>
      </c>
      <c r="D19" s="9">
        <f t="shared" si="2"/>
        <v>61.096043496093714</v>
      </c>
      <c r="E19" s="9">
        <f t="shared" ref="E19:F19" si="6">B19+D19</f>
        <v>63.282123486429711</v>
      </c>
      <c r="F19" s="9">
        <f t="shared" si="6"/>
        <v>64.928292671935708</v>
      </c>
    </row>
    <row r="20" spans="1:6">
      <c r="A20" s="7">
        <v>6</v>
      </c>
      <c r="B20" s="9">
        <f t="shared" si="0"/>
        <v>2.2298015901427197</v>
      </c>
      <c r="C20" s="9">
        <f t="shared" si="1"/>
        <v>1.6955542610711802</v>
      </c>
      <c r="D20" s="9">
        <f t="shared" si="2"/>
        <v>62.623444583496052</v>
      </c>
      <c r="E20" s="9">
        <f t="shared" ref="E20:F20" si="7">B20+D20</f>
        <v>64.853246173638766</v>
      </c>
      <c r="F20" s="9">
        <f t="shared" si="7"/>
        <v>66.548800434709946</v>
      </c>
    </row>
    <row r="21" spans="1:6">
      <c r="A21" s="7">
        <v>7</v>
      </c>
      <c r="B21" s="9">
        <f t="shared" si="0"/>
        <v>2.2743976219455742</v>
      </c>
      <c r="C21" s="9">
        <f t="shared" si="1"/>
        <v>1.7464208889033157</v>
      </c>
      <c r="D21" s="9">
        <f t="shared" si="2"/>
        <v>64.189030698083442</v>
      </c>
      <c r="E21" s="9">
        <f t="shared" ref="E21:F21" si="8">B21+D21</f>
        <v>66.46342832002901</v>
      </c>
      <c r="F21" s="9">
        <f t="shared" si="8"/>
        <v>68.209849208932326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E123-C4E6-47D3-825A-5EB031C9F7B0}">
  <dimension ref="A1:R21"/>
  <sheetViews>
    <sheetView zoomScale="85" workbookViewId="0">
      <selection activeCell="C29" sqref="C29"/>
    </sheetView>
  </sheetViews>
  <sheetFormatPr defaultRowHeight="14.4"/>
  <cols>
    <col min="1" max="1" width="23.5546875" customWidth="1"/>
    <col min="2" max="2" width="12.5546875" bestFit="1" customWidth="1"/>
    <col min="6" max="6" width="13.109375" bestFit="1" customWidth="1"/>
    <col min="7" max="7" width="9.21875" bestFit="1" customWidth="1"/>
    <col min="11" max="11" width="35.44140625" customWidth="1"/>
  </cols>
  <sheetData>
    <row r="1" spans="1:18" ht="46.2" customHeight="1">
      <c r="A1" s="120" t="s">
        <v>206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ht="20.399999999999999" thickBot="1">
      <c r="A2" s="5" t="s">
        <v>35</v>
      </c>
    </row>
    <row r="3" spans="1:18" ht="15" thickTop="1">
      <c r="F3" t="s">
        <v>53</v>
      </c>
    </row>
    <row r="4" spans="1:18">
      <c r="A4" t="s">
        <v>25</v>
      </c>
    </row>
    <row r="5" spans="1:18">
      <c r="A5" t="s">
        <v>38</v>
      </c>
      <c r="F5" t="s">
        <v>47</v>
      </c>
      <c r="G5" t="s">
        <v>54</v>
      </c>
    </row>
    <row r="6" spans="1:18">
      <c r="A6" t="s">
        <v>36</v>
      </c>
      <c r="B6" s="13">
        <v>20000</v>
      </c>
      <c r="G6" s="18">
        <f>B21</f>
        <v>0</v>
      </c>
    </row>
    <row r="7" spans="1:18">
      <c r="A7" t="s">
        <v>39</v>
      </c>
      <c r="B7" s="13"/>
      <c r="F7" s="6">
        <v>0.03</v>
      </c>
      <c r="G7" s="17">
        <f t="dataTable" ref="G7:G17" dt2D="0" dtr="0" r1="B15"/>
        <v>-21600</v>
      </c>
    </row>
    <row r="8" spans="1:18">
      <c r="A8" t="s">
        <v>36</v>
      </c>
      <c r="B8" s="13">
        <v>0.1</v>
      </c>
      <c r="C8" t="s">
        <v>40</v>
      </c>
      <c r="F8" s="6">
        <v>3.5000000000000003E-2</v>
      </c>
      <c r="G8" s="17">
        <v>-17700</v>
      </c>
    </row>
    <row r="9" spans="1:18">
      <c r="A9" t="s">
        <v>37</v>
      </c>
      <c r="B9" s="13">
        <v>0.15</v>
      </c>
      <c r="C9" t="s">
        <v>40</v>
      </c>
      <c r="F9" s="6">
        <v>0.04</v>
      </c>
      <c r="G9" s="17">
        <v>-13800</v>
      </c>
    </row>
    <row r="10" spans="1:18">
      <c r="A10" t="s">
        <v>41</v>
      </c>
      <c r="B10" s="13">
        <v>0.2</v>
      </c>
      <c r="C10" t="s">
        <v>42</v>
      </c>
      <c r="F10" s="6">
        <v>4.4999999999999998E-2</v>
      </c>
      <c r="G10" s="17">
        <v>-9900</v>
      </c>
    </row>
    <row r="11" spans="1:18">
      <c r="A11" t="s">
        <v>45</v>
      </c>
      <c r="B11" s="13">
        <v>32</v>
      </c>
      <c r="C11" t="s">
        <v>42</v>
      </c>
      <c r="F11" s="6">
        <v>0.05</v>
      </c>
      <c r="G11" s="17">
        <v>-6000</v>
      </c>
    </row>
    <row r="12" spans="1:18">
      <c r="A12" t="s">
        <v>48</v>
      </c>
      <c r="B12" s="17">
        <f>B6+(B8+B9)*B14+(B10+B11)*B16</f>
        <v>230769.23076923061</v>
      </c>
      <c r="C12" t="str">
        <f ca="1">_xlfn.FORMULATEXT(B12)</f>
        <v>=B6+(B8+B9)*B14+(B10+B11)*B16</v>
      </c>
      <c r="F12" s="6">
        <v>5.5E-2</v>
      </c>
      <c r="G12" s="17">
        <v>-2100.0000000000291</v>
      </c>
    </row>
    <row r="13" spans="1:18">
      <c r="F13" s="6">
        <v>0.06</v>
      </c>
      <c r="G13" s="17">
        <v>1799.9999999999709</v>
      </c>
    </row>
    <row r="14" spans="1:18">
      <c r="A14" t="s">
        <v>46</v>
      </c>
      <c r="B14" s="14">
        <v>100000</v>
      </c>
      <c r="F14" s="6">
        <v>6.5000000000000002E-2</v>
      </c>
      <c r="G14" s="17">
        <v>5699.9999999999709</v>
      </c>
    </row>
    <row r="15" spans="1:18">
      <c r="A15" t="s">
        <v>47</v>
      </c>
      <c r="B15" s="15">
        <v>5.769230769230764E-2</v>
      </c>
      <c r="C15" t="s">
        <v>50</v>
      </c>
      <c r="F15" s="6">
        <v>7.0000000000000007E-2</v>
      </c>
      <c r="G15" s="17">
        <v>9600</v>
      </c>
    </row>
    <row r="16" spans="1:18">
      <c r="A16" t="s">
        <v>49</v>
      </c>
      <c r="B16">
        <f>B15*B14</f>
        <v>5769.2307692307641</v>
      </c>
      <c r="C16" t="str">
        <f ca="1">_xlfn.FORMULATEXT(B16)</f>
        <v>=B15*B14</v>
      </c>
      <c r="F16" s="6">
        <v>7.4999999999999997E-2</v>
      </c>
      <c r="G16" s="17">
        <v>13500</v>
      </c>
    </row>
    <row r="17" spans="1:7">
      <c r="F17" s="6">
        <v>0.08</v>
      </c>
      <c r="G17" s="17">
        <v>17400</v>
      </c>
    </row>
    <row r="18" spans="1:7">
      <c r="A18" t="s">
        <v>44</v>
      </c>
    </row>
    <row r="19" spans="1:7">
      <c r="A19" t="s">
        <v>43</v>
      </c>
      <c r="B19" s="13">
        <v>40</v>
      </c>
    </row>
    <row r="20" spans="1:7">
      <c r="A20" t="s">
        <v>51</v>
      </c>
      <c r="B20" s="17">
        <f>B16*B19</f>
        <v>230769.23076923058</v>
      </c>
    </row>
    <row r="21" spans="1:7">
      <c r="A21" t="s">
        <v>52</v>
      </c>
      <c r="B21" s="17">
        <f>B20-B12</f>
        <v>0</v>
      </c>
    </row>
  </sheetData>
  <mergeCells count="1">
    <mergeCell ref="A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80D8-CDCC-4D58-B40A-E01EB777780B}">
  <dimension ref="A1:G16"/>
  <sheetViews>
    <sheetView workbookViewId="0">
      <selection activeCell="K8" sqref="K8"/>
    </sheetView>
  </sheetViews>
  <sheetFormatPr defaultRowHeight="14.4"/>
  <cols>
    <col min="1" max="1" width="18.5546875" customWidth="1"/>
    <col min="2" max="2" width="10.109375" bestFit="1" customWidth="1"/>
    <col min="7" max="7" width="10.109375" bestFit="1" customWidth="1"/>
  </cols>
  <sheetData>
    <row r="1" spans="1:7" ht="20.399999999999999" thickBot="1">
      <c r="A1" s="19" t="s">
        <v>55</v>
      </c>
    </row>
    <row r="2" spans="1:7" ht="15" thickTop="1">
      <c r="F2" s="7" t="s">
        <v>59</v>
      </c>
      <c r="G2" s="7" t="s">
        <v>70</v>
      </c>
    </row>
    <row r="3" spans="1:7">
      <c r="A3" t="s">
        <v>56</v>
      </c>
      <c r="F3" s="7"/>
      <c r="G3" s="9">
        <f>B16</f>
        <v>550</v>
      </c>
    </row>
    <row r="4" spans="1:7">
      <c r="A4" t="s">
        <v>57</v>
      </c>
      <c r="B4">
        <v>6</v>
      </c>
      <c r="C4" t="s">
        <v>58</v>
      </c>
      <c r="F4" s="7">
        <v>10</v>
      </c>
      <c r="G4" s="9">
        <f t="dataTable" ref="G4:G14" dt2D="0" dtr="0" r1="B5"/>
        <v>-290</v>
      </c>
    </row>
    <row r="5" spans="1:7">
      <c r="A5" t="s">
        <v>59</v>
      </c>
      <c r="B5" s="20">
        <v>50</v>
      </c>
      <c r="C5" t="s">
        <v>60</v>
      </c>
      <c r="F5" s="7">
        <v>20</v>
      </c>
      <c r="G5" s="9">
        <v>-80</v>
      </c>
    </row>
    <row r="6" spans="1:7">
      <c r="F6" s="7">
        <v>30</v>
      </c>
      <c r="G6" s="9">
        <v>130</v>
      </c>
    </row>
    <row r="7" spans="1:7">
      <c r="A7" t="s">
        <v>61</v>
      </c>
      <c r="F7" s="7">
        <v>40</v>
      </c>
      <c r="G7" s="9">
        <v>340</v>
      </c>
    </row>
    <row r="8" spans="1:7">
      <c r="A8" t="s">
        <v>62</v>
      </c>
      <c r="B8" s="16">
        <v>500</v>
      </c>
      <c r="F8" s="7">
        <v>50</v>
      </c>
      <c r="G8" s="9">
        <v>550</v>
      </c>
    </row>
    <row r="9" spans="1:7">
      <c r="A9" t="s">
        <v>63</v>
      </c>
      <c r="B9" s="13">
        <v>0.5</v>
      </c>
      <c r="C9" t="s">
        <v>64</v>
      </c>
      <c r="F9" s="7">
        <v>60</v>
      </c>
      <c r="G9" s="9">
        <v>760</v>
      </c>
    </row>
    <row r="10" spans="1:7">
      <c r="A10" t="s">
        <v>65</v>
      </c>
      <c r="B10" s="16">
        <f>B8+(B9*B4*B5)</f>
        <v>650</v>
      </c>
      <c r="C10" t="str">
        <f ca="1">_xlfn.FORMULATEXT(B10)</f>
        <v>=B8+(B9*B4*B5)</v>
      </c>
      <c r="F10" s="7">
        <v>70</v>
      </c>
      <c r="G10" s="9">
        <v>970</v>
      </c>
    </row>
    <row r="11" spans="1:7">
      <c r="F11" s="7">
        <v>80</v>
      </c>
      <c r="G11" s="9">
        <v>1180</v>
      </c>
    </row>
    <row r="12" spans="1:7">
      <c r="A12" t="s">
        <v>66</v>
      </c>
      <c r="F12" s="7">
        <v>90</v>
      </c>
      <c r="G12" s="9">
        <v>1390</v>
      </c>
    </row>
    <row r="13" spans="1:7">
      <c r="A13" t="s">
        <v>67</v>
      </c>
      <c r="B13" s="13">
        <v>4</v>
      </c>
      <c r="C13" t="s">
        <v>68</v>
      </c>
      <c r="F13" s="7">
        <v>100</v>
      </c>
      <c r="G13" s="9">
        <v>1600</v>
      </c>
    </row>
    <row r="14" spans="1:7">
      <c r="A14" t="s">
        <v>69</v>
      </c>
      <c r="B14" s="13">
        <f>B13*B5*B4</f>
        <v>1200</v>
      </c>
      <c r="F14" s="7">
        <v>110</v>
      </c>
      <c r="G14" s="9">
        <v>1810</v>
      </c>
    </row>
    <row r="15" spans="1:7">
      <c r="B15" s="13"/>
    </row>
    <row r="16" spans="1:7">
      <c r="A16" t="s">
        <v>70</v>
      </c>
      <c r="B16" s="16">
        <f>B14-B10</f>
        <v>550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9A31-AE3C-4444-9083-D11B222FEB1F}">
  <dimension ref="A1:U20"/>
  <sheetViews>
    <sheetView workbookViewId="0">
      <selection activeCell="I27" sqref="I27"/>
    </sheetView>
  </sheetViews>
  <sheetFormatPr defaultRowHeight="14.4"/>
  <cols>
    <col min="1" max="1" width="17" bestFit="1" customWidth="1"/>
    <col min="2" max="2" width="11.109375" bestFit="1" customWidth="1"/>
    <col min="9" max="9" width="5.6640625" bestFit="1" customWidth="1"/>
    <col min="10" max="10" width="11.33203125" customWidth="1"/>
  </cols>
  <sheetData>
    <row r="1" spans="1:21" ht="20.399999999999999" thickBot="1">
      <c r="A1" s="123" t="s">
        <v>207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</row>
    <row r="2" spans="1:21" ht="21" thickTop="1" thickBot="1">
      <c r="A2" s="5" t="s">
        <v>71</v>
      </c>
    </row>
    <row r="3" spans="1:21" ht="15" thickTop="1"/>
    <row r="4" spans="1:21">
      <c r="K4" s="121" t="s">
        <v>80</v>
      </c>
      <c r="L4" s="121"/>
      <c r="M4" s="121"/>
      <c r="N4" s="121"/>
      <c r="O4" s="121"/>
      <c r="P4" s="121"/>
      <c r="Q4" s="121"/>
      <c r="R4" s="121"/>
      <c r="S4" s="121"/>
    </row>
    <row r="5" spans="1:21">
      <c r="A5" t="s">
        <v>72</v>
      </c>
      <c r="B5" s="16">
        <v>30</v>
      </c>
      <c r="F5" t="s">
        <v>79</v>
      </c>
      <c r="G5" t="s">
        <v>9</v>
      </c>
      <c r="J5" s="22">
        <f>B20</f>
        <v>3000</v>
      </c>
      <c r="K5" s="7">
        <v>500</v>
      </c>
      <c r="L5" s="7">
        <v>1000</v>
      </c>
      <c r="M5" s="7">
        <v>1500</v>
      </c>
      <c r="N5" s="7">
        <v>2000</v>
      </c>
      <c r="O5" s="7">
        <v>2500</v>
      </c>
      <c r="P5" s="7">
        <v>3000</v>
      </c>
      <c r="Q5" s="7">
        <v>3500</v>
      </c>
      <c r="R5" s="7">
        <v>4000</v>
      </c>
      <c r="S5" s="7">
        <v>4500</v>
      </c>
    </row>
    <row r="6" spans="1:21">
      <c r="A6" t="s">
        <v>73</v>
      </c>
      <c r="B6" s="16">
        <v>10</v>
      </c>
      <c r="F6">
        <v>0</v>
      </c>
      <c r="G6" s="16">
        <v>24</v>
      </c>
      <c r="I6" s="122" t="s">
        <v>81</v>
      </c>
      <c r="J6" s="7">
        <v>500</v>
      </c>
      <c r="K6" s="7">
        <f t="dataTable" ref="K6:S14" dt2D="1" dtr="1" r1="B10" r2="B11"/>
        <v>3000</v>
      </c>
      <c r="L6" s="7">
        <v>3000</v>
      </c>
      <c r="M6" s="7">
        <v>3000</v>
      </c>
      <c r="N6" s="7">
        <v>3000</v>
      </c>
      <c r="O6" s="7">
        <v>3000</v>
      </c>
      <c r="P6" s="7">
        <v>3000</v>
      </c>
      <c r="Q6" s="7">
        <v>3000</v>
      </c>
      <c r="R6" s="7">
        <v>3000</v>
      </c>
      <c r="S6" s="7">
        <v>3000</v>
      </c>
    </row>
    <row r="7" spans="1:21">
      <c r="F7">
        <v>1000</v>
      </c>
      <c r="G7" s="16">
        <v>23</v>
      </c>
      <c r="I7" s="122"/>
      <c r="J7" s="7">
        <v>1000</v>
      </c>
      <c r="K7" s="7">
        <v>-3000</v>
      </c>
      <c r="L7" s="7">
        <v>7000</v>
      </c>
      <c r="M7" s="7">
        <v>7000</v>
      </c>
      <c r="N7" s="7">
        <v>7000</v>
      </c>
      <c r="O7" s="7">
        <v>7000</v>
      </c>
      <c r="P7" s="7">
        <v>7000</v>
      </c>
      <c r="Q7" s="7">
        <v>7000</v>
      </c>
      <c r="R7" s="7">
        <v>7000</v>
      </c>
      <c r="S7" s="7">
        <v>7000</v>
      </c>
    </row>
    <row r="8" spans="1:21">
      <c r="F8">
        <v>2000</v>
      </c>
      <c r="G8" s="16">
        <v>22.25</v>
      </c>
      <c r="I8" s="122"/>
      <c r="J8" s="7">
        <v>1500</v>
      </c>
      <c r="K8" s="7">
        <v>-9500</v>
      </c>
      <c r="L8" s="7">
        <v>500</v>
      </c>
      <c r="M8" s="7">
        <v>10500</v>
      </c>
      <c r="N8" s="7">
        <v>10500</v>
      </c>
      <c r="O8" s="7">
        <v>10500</v>
      </c>
      <c r="P8" s="7">
        <v>10500</v>
      </c>
      <c r="Q8" s="7">
        <v>10500</v>
      </c>
      <c r="R8" s="7">
        <v>10500</v>
      </c>
      <c r="S8" s="7">
        <v>10500</v>
      </c>
    </row>
    <row r="9" spans="1:21">
      <c r="F9">
        <v>3000</v>
      </c>
      <c r="G9" s="16">
        <v>21.75</v>
      </c>
      <c r="I9" s="122"/>
      <c r="J9" s="7">
        <v>2000</v>
      </c>
      <c r="K9" s="7">
        <v>-14500</v>
      </c>
      <c r="L9" s="7">
        <v>-4500</v>
      </c>
      <c r="M9" s="7">
        <v>5500</v>
      </c>
      <c r="N9" s="7">
        <v>15500</v>
      </c>
      <c r="O9" s="7">
        <v>15500</v>
      </c>
      <c r="P9" s="7">
        <v>15500</v>
      </c>
      <c r="Q9" s="7">
        <v>15500</v>
      </c>
      <c r="R9" s="7">
        <v>15500</v>
      </c>
      <c r="S9" s="7">
        <v>15500</v>
      </c>
    </row>
    <row r="10" spans="1:21">
      <c r="A10" t="s">
        <v>74</v>
      </c>
      <c r="B10" s="21">
        <v>500</v>
      </c>
      <c r="C10" t="s">
        <v>78</v>
      </c>
      <c r="F10">
        <v>4000</v>
      </c>
      <c r="G10" s="16">
        <v>21.3</v>
      </c>
      <c r="I10" s="122"/>
      <c r="J10" s="7">
        <v>2500</v>
      </c>
      <c r="K10" s="7">
        <v>-20625</v>
      </c>
      <c r="L10" s="7">
        <v>-10625</v>
      </c>
      <c r="M10" s="7">
        <v>-625</v>
      </c>
      <c r="N10" s="7">
        <v>9375</v>
      </c>
      <c r="O10" s="7">
        <v>19375</v>
      </c>
      <c r="P10" s="7">
        <v>19375</v>
      </c>
      <c r="Q10" s="7">
        <v>19375</v>
      </c>
      <c r="R10" s="7">
        <v>19375</v>
      </c>
      <c r="S10" s="7">
        <v>19375</v>
      </c>
    </row>
    <row r="11" spans="1:21">
      <c r="A11" t="s">
        <v>75</v>
      </c>
      <c r="B11" s="21">
        <v>500</v>
      </c>
      <c r="I11" s="122"/>
      <c r="J11" s="7">
        <v>3000</v>
      </c>
      <c r="K11" s="7">
        <v>-25250</v>
      </c>
      <c r="L11" s="7">
        <v>-15250</v>
      </c>
      <c r="M11" s="7">
        <v>-5250</v>
      </c>
      <c r="N11" s="7">
        <v>4750</v>
      </c>
      <c r="O11" s="7">
        <v>14750</v>
      </c>
      <c r="P11" s="7">
        <v>24750</v>
      </c>
      <c r="Q11" s="7">
        <v>24750</v>
      </c>
      <c r="R11" s="7">
        <v>24750</v>
      </c>
      <c r="S11" s="7">
        <v>24750</v>
      </c>
    </row>
    <row r="12" spans="1:21">
      <c r="I12" s="122"/>
      <c r="J12" s="7">
        <v>3500</v>
      </c>
      <c r="K12" s="7">
        <v>-31125</v>
      </c>
      <c r="L12" s="7">
        <v>-21125</v>
      </c>
      <c r="M12" s="7">
        <v>-11125</v>
      </c>
      <c r="N12" s="7">
        <v>-1125</v>
      </c>
      <c r="O12" s="7">
        <v>8875</v>
      </c>
      <c r="P12" s="7">
        <v>18875</v>
      </c>
      <c r="Q12" s="7">
        <v>28875</v>
      </c>
      <c r="R12" s="7">
        <v>28875</v>
      </c>
      <c r="S12" s="7">
        <v>28875</v>
      </c>
    </row>
    <row r="13" spans="1:21">
      <c r="A13" t="s">
        <v>76</v>
      </c>
      <c r="B13" s="16">
        <f>MAX(B11-B10,0)</f>
        <v>0</v>
      </c>
      <c r="C13" t="str">
        <f ca="1">_xlfn.FORMULATEXT(B13)</f>
        <v>=MAX(B11-B10,0)</v>
      </c>
      <c r="I13" s="122"/>
      <c r="J13" s="7">
        <v>4000</v>
      </c>
      <c r="K13" s="7">
        <v>-35200</v>
      </c>
      <c r="L13" s="7">
        <v>-25200</v>
      </c>
      <c r="M13" s="7">
        <v>-15200</v>
      </c>
      <c r="N13" s="7">
        <v>-5200</v>
      </c>
      <c r="O13" s="7">
        <v>4800</v>
      </c>
      <c r="P13" s="7">
        <v>14800</v>
      </c>
      <c r="Q13" s="7">
        <v>24800</v>
      </c>
      <c r="R13" s="7">
        <v>34800</v>
      </c>
      <c r="S13" s="7">
        <v>34800</v>
      </c>
    </row>
    <row r="14" spans="1:21">
      <c r="A14" t="s">
        <v>77</v>
      </c>
      <c r="B14" s="16">
        <f>IF(B10&gt;B11,0,B11-B10)</f>
        <v>0</v>
      </c>
      <c r="C14" t="str">
        <f ca="1">_xlfn.FORMULATEXT(B14)</f>
        <v>=IF(B10&gt;B11,0,B11-B10)</v>
      </c>
      <c r="I14" s="122"/>
      <c r="J14" s="7">
        <v>4500</v>
      </c>
      <c r="K14" s="7">
        <v>-40850</v>
      </c>
      <c r="L14" s="7">
        <v>-30850</v>
      </c>
      <c r="M14" s="7">
        <v>-20850</v>
      </c>
      <c r="N14" s="7">
        <v>-10850</v>
      </c>
      <c r="O14" s="7">
        <v>-850</v>
      </c>
      <c r="P14" s="7">
        <v>9150</v>
      </c>
      <c r="Q14" s="7">
        <v>19150</v>
      </c>
      <c r="R14" s="7">
        <v>29150</v>
      </c>
      <c r="S14" s="7">
        <v>39150</v>
      </c>
    </row>
    <row r="16" spans="1:21">
      <c r="A16" t="s">
        <v>61</v>
      </c>
      <c r="B16">
        <f>VLOOKUP(B11,F5:G10,2,TRUE)*B11</f>
        <v>12000</v>
      </c>
      <c r="C16" t="str">
        <f ca="1">_xlfn.FORMULATEXT(B16)</f>
        <v>=VLOOKUP(B11,F5:G10,2,TRUE)*B11</v>
      </c>
    </row>
    <row r="18" spans="1:3">
      <c r="A18" t="s">
        <v>66</v>
      </c>
      <c r="B18" s="16">
        <f>MIN(B10:B11)*B5+B13*B6</f>
        <v>15000</v>
      </c>
      <c r="C18" t="str">
        <f ca="1">_xlfn.FORMULATEXT(B18)</f>
        <v>=MIN(B10:B11)*B5+B13*B6</v>
      </c>
    </row>
    <row r="20" spans="1:3">
      <c r="A20" t="s">
        <v>54</v>
      </c>
      <c r="B20" s="16">
        <f>B18-B16</f>
        <v>3000</v>
      </c>
      <c r="C20" t="str">
        <f ca="1">_xlfn.FORMULATEXT(B20)</f>
        <v>=B18-B16</v>
      </c>
    </row>
  </sheetData>
  <mergeCells count="3">
    <mergeCell ref="K4:S4"/>
    <mergeCell ref="I6:I14"/>
    <mergeCell ref="A1:U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9171-B3CA-47EB-A7F5-413E0B2F95B2}">
  <dimension ref="A1:L27"/>
  <sheetViews>
    <sheetView workbookViewId="0">
      <selection activeCell="I5" sqref="I5"/>
    </sheetView>
  </sheetViews>
  <sheetFormatPr defaultRowHeight="14.4"/>
  <cols>
    <col min="1" max="1" width="22.21875" bestFit="1" customWidth="1"/>
    <col min="2" max="2" width="9.5546875" bestFit="1" customWidth="1"/>
    <col min="3" max="3" width="15" bestFit="1" customWidth="1"/>
  </cols>
  <sheetData>
    <row r="1" spans="1:12" ht="19.8">
      <c r="A1" s="124" t="s">
        <v>82</v>
      </c>
      <c r="B1" s="124"/>
    </row>
    <row r="3" spans="1:12">
      <c r="A3" t="s">
        <v>83</v>
      </c>
      <c r="B3" s="21">
        <v>3</v>
      </c>
    </row>
    <row r="4" spans="1:12">
      <c r="A4" t="s">
        <v>84</v>
      </c>
      <c r="B4">
        <f>100000*B3</f>
        <v>300000</v>
      </c>
      <c r="C4" t="str">
        <f ca="1">_xlfn.FORMULATEXT(B4)</f>
        <v>=100000*B3</v>
      </c>
    </row>
    <row r="6" spans="1:12">
      <c r="A6" t="s">
        <v>85</v>
      </c>
      <c r="B6" s="23">
        <v>774.95107632093936</v>
      </c>
    </row>
    <row r="7" spans="1:12">
      <c r="A7" t="s">
        <v>86</v>
      </c>
      <c r="B7">
        <f>365*B6</f>
        <v>282857.14285714284</v>
      </c>
      <c r="C7" t="str">
        <f ca="1">_xlfn.FORMULATEXT(B7)</f>
        <v>=365*B6</v>
      </c>
    </row>
    <row r="9" spans="1:12">
      <c r="A9" t="s">
        <v>87</v>
      </c>
      <c r="B9">
        <f>IF(B7&gt;B4,B4,B7)</f>
        <v>282857.14285714284</v>
      </c>
      <c r="C9" t="str">
        <f ca="1">_xlfn.FORMULATEXT(B9)</f>
        <v>=IF(B7&gt;B4,B4,B7)</v>
      </c>
    </row>
    <row r="10" spans="1:12">
      <c r="B10">
        <f>MIN(B4,B7)</f>
        <v>282857.14285714284</v>
      </c>
      <c r="C10" t="str">
        <f ca="1">_xlfn.FORMULATEXT(B10)</f>
        <v>=MIN(B4,B7)</v>
      </c>
    </row>
    <row r="12" spans="1:12">
      <c r="A12" t="s">
        <v>61</v>
      </c>
    </row>
    <row r="14" spans="1:12">
      <c r="A14" t="s">
        <v>38</v>
      </c>
      <c r="B14">
        <v>400</v>
      </c>
      <c r="C14" t="s">
        <v>90</v>
      </c>
      <c r="H14" s="121" t="s">
        <v>80</v>
      </c>
      <c r="I14" s="121"/>
      <c r="J14" s="121"/>
      <c r="K14" s="121"/>
      <c r="L14" s="121"/>
    </row>
    <row r="15" spans="1:12" ht="14.4" customHeight="1">
      <c r="A15" t="s">
        <v>63</v>
      </c>
      <c r="G15" s="125" t="s">
        <v>97</v>
      </c>
      <c r="H15" s="7">
        <f>B27</f>
        <v>0</v>
      </c>
      <c r="I15" s="7">
        <v>500</v>
      </c>
      <c r="J15" s="7">
        <v>1000</v>
      </c>
      <c r="K15" s="7">
        <v>1500</v>
      </c>
      <c r="L15" s="7">
        <v>2000</v>
      </c>
    </row>
    <row r="16" spans="1:12">
      <c r="A16" t="s">
        <v>88</v>
      </c>
      <c r="B16">
        <v>5000</v>
      </c>
      <c r="C16" t="s">
        <v>89</v>
      </c>
      <c r="G16" s="125"/>
      <c r="H16" s="7">
        <v>1</v>
      </c>
      <c r="I16" s="7">
        <f t="dataTable" ref="I16:L20" dt2D="1" dtr="1" r1="B6" r2="B3"/>
        <v>-2800</v>
      </c>
      <c r="J16" s="7">
        <v>-2800</v>
      </c>
      <c r="K16" s="7">
        <v>-2800</v>
      </c>
      <c r="L16" s="7">
        <v>-2800</v>
      </c>
    </row>
    <row r="17" spans="1:12">
      <c r="A17" t="s">
        <v>91</v>
      </c>
      <c r="B17">
        <v>0.03</v>
      </c>
      <c r="C17" t="s">
        <v>92</v>
      </c>
      <c r="G17" s="125"/>
      <c r="H17" s="7">
        <v>2</v>
      </c>
      <c r="I17" s="7">
        <v>-2025</v>
      </c>
      <c r="J17" s="7">
        <v>-800</v>
      </c>
      <c r="K17" s="7">
        <v>-800</v>
      </c>
      <c r="L17" s="7">
        <v>-800</v>
      </c>
    </row>
    <row r="18" spans="1:12">
      <c r="G18" s="125"/>
      <c r="H18" s="7">
        <v>3</v>
      </c>
      <c r="I18" s="7">
        <v>-7025</v>
      </c>
      <c r="J18" s="7">
        <v>1200</v>
      </c>
      <c r="K18" s="7">
        <v>1200</v>
      </c>
      <c r="L18" s="7">
        <v>1200</v>
      </c>
    </row>
    <row r="19" spans="1:12">
      <c r="A19" t="s">
        <v>93</v>
      </c>
      <c r="B19">
        <f>B14*12+B16*B3+B17*B9</f>
        <v>28285.714285714283</v>
      </c>
      <c r="C19" t="str">
        <f ca="1">_xlfn.FORMULATEXT(B19)</f>
        <v>=B14*12+B16*B3+B17*B9</v>
      </c>
      <c r="G19" s="125"/>
      <c r="H19" s="7">
        <v>4</v>
      </c>
      <c r="I19" s="7">
        <v>-12025</v>
      </c>
      <c r="J19" s="7">
        <v>750</v>
      </c>
      <c r="K19" s="7">
        <v>3200</v>
      </c>
      <c r="L19" s="7">
        <v>3200</v>
      </c>
    </row>
    <row r="20" spans="1:12">
      <c r="G20" s="125"/>
      <c r="H20" s="7">
        <v>5</v>
      </c>
      <c r="I20" s="7">
        <v>-17025</v>
      </c>
      <c r="J20" s="7">
        <v>-4250</v>
      </c>
      <c r="K20" s="7">
        <v>5200</v>
      </c>
      <c r="L20" s="7">
        <v>5200</v>
      </c>
    </row>
    <row r="21" spans="1:12">
      <c r="A21" t="s">
        <v>66</v>
      </c>
      <c r="G21" s="125"/>
      <c r="H21" s="7">
        <f>B33</f>
        <v>0</v>
      </c>
      <c r="I21" s="7">
        <v>500</v>
      </c>
      <c r="J21" s="7">
        <v>1000</v>
      </c>
      <c r="K21" s="7">
        <v>1500</v>
      </c>
      <c r="L21" s="7">
        <v>2000</v>
      </c>
    </row>
    <row r="22" spans="1:12">
      <c r="G22" s="125"/>
      <c r="H22" s="7">
        <v>6</v>
      </c>
      <c r="I22" s="7">
        <v>-2800</v>
      </c>
      <c r="J22" s="7">
        <v>-2800</v>
      </c>
      <c r="K22" s="7">
        <v>-2800</v>
      </c>
      <c r="L22" s="7">
        <v>-2800</v>
      </c>
    </row>
    <row r="23" spans="1:12">
      <c r="A23" t="s">
        <v>94</v>
      </c>
      <c r="B23">
        <v>0.1</v>
      </c>
      <c r="C23" t="s">
        <v>92</v>
      </c>
      <c r="G23" s="125"/>
      <c r="H23" s="7">
        <v>7</v>
      </c>
      <c r="I23" s="7">
        <v>-2025</v>
      </c>
      <c r="J23" s="7">
        <v>-800</v>
      </c>
      <c r="K23" s="7">
        <v>-800</v>
      </c>
      <c r="L23" s="7">
        <v>-800</v>
      </c>
    </row>
    <row r="25" spans="1:12">
      <c r="A25" t="s">
        <v>95</v>
      </c>
      <c r="B25">
        <f>B9*B23</f>
        <v>28285.714285714286</v>
      </c>
    </row>
    <row r="27" spans="1:12">
      <c r="A27" t="s">
        <v>96</v>
      </c>
      <c r="B27">
        <f>B25-B19</f>
        <v>0</v>
      </c>
    </row>
  </sheetData>
  <mergeCells count="3">
    <mergeCell ref="A1:B1"/>
    <mergeCell ref="H14:L14"/>
    <mergeCell ref="G15:G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1894-595B-451D-A21F-068973DF8EC9}">
  <dimension ref="A1:P26"/>
  <sheetViews>
    <sheetView workbookViewId="0">
      <selection activeCell="I8" sqref="I8"/>
    </sheetView>
  </sheetViews>
  <sheetFormatPr defaultRowHeight="14.4"/>
  <cols>
    <col min="1" max="1" width="25.88671875" bestFit="1" customWidth="1"/>
    <col min="2" max="2" width="13.6640625" bestFit="1" customWidth="1"/>
    <col min="6" max="6" width="11.77734375" bestFit="1" customWidth="1"/>
    <col min="7" max="7" width="11" bestFit="1" customWidth="1"/>
  </cols>
  <sheetData>
    <row r="1" spans="1:16" ht="20.399999999999999" thickBot="1">
      <c r="A1" s="123" t="s">
        <v>210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16" ht="20.399999999999999" thickTop="1">
      <c r="A2" s="124" t="s">
        <v>98</v>
      </c>
      <c r="B2" s="124"/>
      <c r="C2" s="124"/>
      <c r="D2" s="124"/>
    </row>
    <row r="3" spans="1:16">
      <c r="F3" s="7" t="s">
        <v>115</v>
      </c>
      <c r="G3" s="7" t="s">
        <v>32</v>
      </c>
    </row>
    <row r="4" spans="1:16" ht="18" thickBot="1">
      <c r="A4" s="26" t="s">
        <v>99</v>
      </c>
      <c r="F4" s="7"/>
      <c r="G4" s="74">
        <f>B24</f>
        <v>4088000</v>
      </c>
    </row>
    <row r="5" spans="1:16" ht="15" thickTop="1">
      <c r="A5" t="s">
        <v>100</v>
      </c>
      <c r="B5" s="24">
        <v>5</v>
      </c>
      <c r="F5" s="50">
        <v>0.4</v>
      </c>
      <c r="G5" s="7">
        <f t="dataTable" ref="G5:G11" dt2D="0" dtr="0" r1="B11"/>
        <v>-856000</v>
      </c>
    </row>
    <row r="6" spans="1:16">
      <c r="A6" t="s">
        <v>101</v>
      </c>
      <c r="B6" s="28">
        <v>60</v>
      </c>
      <c r="F6" s="50">
        <v>0.5</v>
      </c>
      <c r="G6" s="7">
        <v>380000</v>
      </c>
    </row>
    <row r="7" spans="1:16">
      <c r="A7" t="s">
        <v>102</v>
      </c>
      <c r="B7">
        <f>B6*B5</f>
        <v>300</v>
      </c>
      <c r="C7" t="str">
        <f ca="1">_xlfn.FORMULATEXT(B7)</f>
        <v>=B6*B5</v>
      </c>
      <c r="F7" s="50">
        <v>0.6</v>
      </c>
      <c r="G7" s="7">
        <v>1616000</v>
      </c>
    </row>
    <row r="8" spans="1:16">
      <c r="F8" s="50">
        <v>0.7</v>
      </c>
      <c r="G8" s="7">
        <v>2852000</v>
      </c>
    </row>
    <row r="9" spans="1:16" ht="18" thickBot="1">
      <c r="A9" s="26" t="s">
        <v>103</v>
      </c>
      <c r="F9" s="50">
        <v>0.8</v>
      </c>
      <c r="G9" s="7">
        <v>4088000</v>
      </c>
    </row>
    <row r="10" spans="1:16" ht="15" thickTop="1">
      <c r="A10" t="s">
        <v>104</v>
      </c>
      <c r="B10">
        <v>800</v>
      </c>
      <c r="F10" s="50">
        <v>0.9</v>
      </c>
      <c r="G10" s="7">
        <v>5324000</v>
      </c>
    </row>
    <row r="11" spans="1:16">
      <c r="A11" t="s">
        <v>105</v>
      </c>
      <c r="B11" s="25">
        <v>0.8</v>
      </c>
      <c r="F11" s="50">
        <v>1</v>
      </c>
      <c r="G11" s="7">
        <v>6560000</v>
      </c>
    </row>
    <row r="12" spans="1:16">
      <c r="A12" t="s">
        <v>106</v>
      </c>
      <c r="B12">
        <f>B11*B10</f>
        <v>640</v>
      </c>
      <c r="C12" t="str">
        <f ca="1">_xlfn.FORMULATEXT(B12)</f>
        <v>=B11*B10</v>
      </c>
    </row>
    <row r="14" spans="1:16" ht="18" thickBot="1">
      <c r="A14" s="26" t="s">
        <v>8</v>
      </c>
    </row>
    <row r="15" spans="1:16" ht="15" thickTop="1">
      <c r="A15" t="s">
        <v>107</v>
      </c>
      <c r="B15" s="17">
        <v>5500000</v>
      </c>
      <c r="F15" s="66">
        <f>B24</f>
        <v>4088000</v>
      </c>
      <c r="G15" s="66">
        <v>40</v>
      </c>
      <c r="H15" s="66">
        <v>45</v>
      </c>
      <c r="I15" s="66">
        <v>50</v>
      </c>
      <c r="J15" s="66">
        <v>55</v>
      </c>
      <c r="K15" s="66">
        <v>60</v>
      </c>
      <c r="L15" s="66">
        <v>65</v>
      </c>
    </row>
    <row r="16" spans="1:16">
      <c r="A16" t="s">
        <v>108</v>
      </c>
      <c r="B16" s="17">
        <v>1000</v>
      </c>
      <c r="C16" t="s">
        <v>109</v>
      </c>
      <c r="F16" s="7">
        <v>30</v>
      </c>
      <c r="G16" s="7">
        <f t="dataTable" ref="G16:L21" dt2D="1" dtr="1" r1="B20" r2="B6" ca="1"/>
        <v>-1666000</v>
      </c>
      <c r="H16" s="7">
        <v>-1186000</v>
      </c>
      <c r="I16" s="7">
        <v>-706000</v>
      </c>
      <c r="J16" s="7">
        <v>-226000</v>
      </c>
      <c r="K16" s="7">
        <v>254000</v>
      </c>
      <c r="L16" s="7">
        <v>734000</v>
      </c>
    </row>
    <row r="17" spans="1:12">
      <c r="A17" t="s">
        <v>110</v>
      </c>
      <c r="B17" s="17">
        <f>B15+B16*B7</f>
        <v>5800000</v>
      </c>
      <c r="C17" t="str">
        <f ca="1">_xlfn.FORMULATEXT(B17)</f>
        <v>=B15+B16*B7</v>
      </c>
      <c r="F17" s="7">
        <v>35</v>
      </c>
      <c r="G17" s="7">
        <v>-1027000</v>
      </c>
      <c r="H17" s="7">
        <v>-467000</v>
      </c>
      <c r="I17" s="7">
        <v>93000</v>
      </c>
      <c r="J17" s="7">
        <v>653000</v>
      </c>
      <c r="K17" s="7">
        <v>1213000</v>
      </c>
      <c r="L17" s="7">
        <v>1773000</v>
      </c>
    </row>
    <row r="18" spans="1:12">
      <c r="B18" s="17"/>
      <c r="F18" s="7">
        <v>40</v>
      </c>
      <c r="G18" s="7">
        <v>-388000</v>
      </c>
      <c r="H18" s="7">
        <v>252000</v>
      </c>
      <c r="I18" s="7">
        <v>892000</v>
      </c>
      <c r="J18" s="7">
        <v>1532000</v>
      </c>
      <c r="K18" s="7">
        <v>2172000</v>
      </c>
      <c r="L18" s="7">
        <v>2812000</v>
      </c>
    </row>
    <row r="19" spans="1:12" ht="18" thickBot="1">
      <c r="A19" s="26" t="s">
        <v>44</v>
      </c>
      <c r="B19" s="17"/>
      <c r="F19" s="7">
        <v>45</v>
      </c>
      <c r="G19" s="7">
        <v>251000</v>
      </c>
      <c r="H19" s="7">
        <v>971000</v>
      </c>
      <c r="I19" s="7">
        <v>1691000</v>
      </c>
      <c r="J19" s="7">
        <v>2411000</v>
      </c>
      <c r="K19" s="7">
        <v>3131000</v>
      </c>
      <c r="L19" s="7">
        <v>3851000</v>
      </c>
    </row>
    <row r="20" spans="1:12" ht="15" thickTop="1">
      <c r="A20" t="s">
        <v>111</v>
      </c>
      <c r="B20" s="17">
        <v>50</v>
      </c>
      <c r="C20" t="s">
        <v>112</v>
      </c>
      <c r="F20" s="7">
        <v>50</v>
      </c>
      <c r="G20" s="7">
        <v>890000</v>
      </c>
      <c r="H20" s="7">
        <v>1690000</v>
      </c>
      <c r="I20" s="7">
        <v>2490000</v>
      </c>
      <c r="J20" s="7">
        <v>3290000</v>
      </c>
      <c r="K20" s="7">
        <v>4090000</v>
      </c>
      <c r="L20" s="7">
        <v>4890000</v>
      </c>
    </row>
    <row r="21" spans="1:12">
      <c r="A21" t="s">
        <v>113</v>
      </c>
      <c r="B21" s="17">
        <v>1.5</v>
      </c>
      <c r="C21" t="s">
        <v>112</v>
      </c>
      <c r="F21" s="7">
        <v>55</v>
      </c>
      <c r="G21" s="7">
        <v>1529000</v>
      </c>
      <c r="H21" s="7">
        <v>2409000</v>
      </c>
      <c r="I21" s="7">
        <v>3289000</v>
      </c>
      <c r="J21" s="7">
        <v>4169000</v>
      </c>
      <c r="K21" s="7">
        <v>5049000</v>
      </c>
      <c r="L21" s="7">
        <v>5929000</v>
      </c>
    </row>
    <row r="22" spans="1:12">
      <c r="A22" t="s">
        <v>114</v>
      </c>
      <c r="B22" s="17">
        <f>B7*B12*(B20+B21)</f>
        <v>9888000</v>
      </c>
      <c r="C22" t="str">
        <f ca="1">_xlfn.FORMULATEXT(B22)</f>
        <v>=B7*B12*(B20+B21)</v>
      </c>
    </row>
    <row r="24" spans="1:12" ht="20.399999999999999" thickBot="1">
      <c r="A24" s="5" t="s">
        <v>54</v>
      </c>
      <c r="B24" s="17">
        <f>B22-B17</f>
        <v>4088000</v>
      </c>
    </row>
    <row r="25" spans="1:12" ht="15" thickTop="1"/>
    <row r="26" spans="1:12">
      <c r="B26">
        <v>5324000</v>
      </c>
    </row>
  </sheetData>
  <mergeCells count="2">
    <mergeCell ref="A2:D2"/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AA0E-9AC2-4A93-9146-EB05519DAA27}">
  <dimension ref="A1:X166"/>
  <sheetViews>
    <sheetView zoomScale="74" zoomScaleNormal="55" workbookViewId="0">
      <selection activeCell="J9" sqref="J9"/>
    </sheetView>
  </sheetViews>
  <sheetFormatPr defaultRowHeight="14.4"/>
  <cols>
    <col min="1" max="1" width="13.33203125" customWidth="1"/>
    <col min="2" max="2" width="16.6640625" bestFit="1" customWidth="1"/>
    <col min="3" max="3" width="12.21875" customWidth="1"/>
    <col min="4" max="4" width="13" bestFit="1" customWidth="1"/>
    <col min="5" max="5" width="11.88671875" bestFit="1" customWidth="1"/>
    <col min="6" max="7" width="12.77734375" bestFit="1" customWidth="1"/>
    <col min="8" max="8" width="13" bestFit="1" customWidth="1"/>
    <col min="9" max="9" width="12.77734375" bestFit="1" customWidth="1"/>
    <col min="10" max="10" width="13.6640625" customWidth="1"/>
    <col min="11" max="11" width="14.5546875" customWidth="1"/>
  </cols>
  <sheetData>
    <row r="1" spans="1:24" s="73" customFormat="1" ht="20.399999999999999" customHeight="1" thickBot="1">
      <c r="A1" s="123" t="s">
        <v>208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</row>
    <row r="2" spans="1:24" ht="21" thickTop="1" thickBot="1">
      <c r="A2" s="126" t="s">
        <v>118</v>
      </c>
      <c r="B2" s="126"/>
      <c r="C2" s="126"/>
      <c r="D2" s="126"/>
    </row>
    <row r="3" spans="1:24" ht="27" thickTop="1">
      <c r="A3" s="31" t="s">
        <v>116</v>
      </c>
      <c r="B3" s="31" t="s">
        <v>67</v>
      </c>
      <c r="C3" s="31" t="s">
        <v>117</v>
      </c>
    </row>
    <row r="4" spans="1:24">
      <c r="A4" s="32">
        <v>1</v>
      </c>
      <c r="B4" s="32">
        <v>450</v>
      </c>
      <c r="C4" s="32">
        <v>45</v>
      </c>
    </row>
    <row r="5" spans="1:24">
      <c r="A5" s="32">
        <v>2</v>
      </c>
      <c r="B5" s="32">
        <v>300</v>
      </c>
      <c r="C5" s="32">
        <v>103</v>
      </c>
    </row>
    <row r="6" spans="1:24">
      <c r="A6" s="32">
        <v>3</v>
      </c>
      <c r="B6" s="32">
        <v>440</v>
      </c>
      <c r="C6" s="32">
        <v>49</v>
      </c>
    </row>
    <row r="7" spans="1:24">
      <c r="A7" s="32">
        <v>4</v>
      </c>
      <c r="B7" s="32">
        <v>360</v>
      </c>
      <c r="C7" s="32">
        <v>86</v>
      </c>
    </row>
    <row r="8" spans="1:24">
      <c r="A8" s="32">
        <v>5</v>
      </c>
      <c r="B8" s="32">
        <v>290</v>
      </c>
      <c r="C8" s="32">
        <v>125</v>
      </c>
    </row>
    <row r="9" spans="1:24">
      <c r="A9" s="32">
        <v>6</v>
      </c>
      <c r="B9" s="32">
        <v>450</v>
      </c>
      <c r="C9" s="32">
        <v>52</v>
      </c>
    </row>
    <row r="10" spans="1:24">
      <c r="A10" s="32">
        <v>7</v>
      </c>
      <c r="B10" s="32">
        <v>340</v>
      </c>
      <c r="C10" s="32">
        <v>87</v>
      </c>
    </row>
    <row r="11" spans="1:24">
      <c r="A11" s="32">
        <v>8</v>
      </c>
      <c r="B11" s="32">
        <v>370</v>
      </c>
      <c r="C11" s="32">
        <v>68</v>
      </c>
    </row>
    <row r="12" spans="1:24">
      <c r="A12" s="32">
        <v>9</v>
      </c>
      <c r="B12" s="32">
        <v>500</v>
      </c>
      <c r="C12" s="32">
        <v>45</v>
      </c>
    </row>
    <row r="13" spans="1:24">
      <c r="A13" s="32">
        <v>10</v>
      </c>
      <c r="B13" s="32">
        <v>490</v>
      </c>
      <c r="C13" s="32">
        <v>44</v>
      </c>
    </row>
    <row r="14" spans="1:24">
      <c r="A14" s="32">
        <v>11</v>
      </c>
      <c r="B14" s="32">
        <v>430</v>
      </c>
      <c r="C14" s="32">
        <v>58</v>
      </c>
    </row>
    <row r="15" spans="1:24">
      <c r="A15" s="32">
        <v>12</v>
      </c>
      <c r="B15" s="32">
        <v>390</v>
      </c>
      <c r="C15" s="32">
        <v>68</v>
      </c>
    </row>
    <row r="17" spans="1:8">
      <c r="A17" s="127" t="s">
        <v>121</v>
      </c>
      <c r="B17" s="127"/>
      <c r="C17" s="127" t="s">
        <v>122</v>
      </c>
      <c r="D17" s="127"/>
      <c r="E17" s="127" t="s">
        <v>123</v>
      </c>
      <c r="F17" s="127"/>
    </row>
    <row r="18" spans="1:8">
      <c r="A18" s="7" t="s">
        <v>119</v>
      </c>
      <c r="B18" s="2">
        <v>211.31</v>
      </c>
      <c r="C18" s="7" t="s">
        <v>126</v>
      </c>
      <c r="D18" s="7">
        <v>5871064</v>
      </c>
      <c r="E18" s="7" t="s">
        <v>124</v>
      </c>
      <c r="F18" s="7">
        <v>466.51</v>
      </c>
    </row>
    <row r="19" spans="1:8">
      <c r="A19" s="7" t="s">
        <v>120</v>
      </c>
      <c r="B19" s="2">
        <v>-0.35460000000000003</v>
      </c>
      <c r="C19" s="7" t="s">
        <v>127</v>
      </c>
      <c r="D19" s="7">
        <v>-1.9079999999999999</v>
      </c>
      <c r="E19" s="7" t="s">
        <v>125</v>
      </c>
      <c r="F19" s="7">
        <v>-5.0000000000000001E-3</v>
      </c>
    </row>
    <row r="21" spans="1:8">
      <c r="A21" s="128" t="s">
        <v>128</v>
      </c>
      <c r="B21" s="128"/>
      <c r="C21" s="128"/>
      <c r="D21" s="128"/>
      <c r="E21" s="128"/>
      <c r="F21" s="128" t="s">
        <v>133</v>
      </c>
      <c r="G21" s="128"/>
      <c r="H21" s="128"/>
    </row>
    <row r="22" spans="1:8" ht="26.4">
      <c r="A22" s="31" t="s">
        <v>132</v>
      </c>
      <c r="B22" s="7" t="s">
        <v>129</v>
      </c>
      <c r="C22" s="7" t="s">
        <v>130</v>
      </c>
      <c r="D22" s="7" t="s">
        <v>131</v>
      </c>
      <c r="E22" s="31" t="s">
        <v>117</v>
      </c>
      <c r="F22" s="7" t="s">
        <v>129</v>
      </c>
      <c r="G22" s="7" t="s">
        <v>130</v>
      </c>
      <c r="H22" s="7" t="s">
        <v>131</v>
      </c>
    </row>
    <row r="23" spans="1:8">
      <c r="A23" s="32">
        <v>450</v>
      </c>
      <c r="B23" s="30">
        <f>$B$19*A23+$B$18</f>
        <v>51.739999999999981</v>
      </c>
      <c r="C23" s="30">
        <f>$D$18*A23^$D$19</f>
        <v>50.861286169919921</v>
      </c>
      <c r="D23" s="30">
        <f>$F$18*EXP($F$19*A23)</f>
        <v>49.169792250355329</v>
      </c>
      <c r="E23" s="33">
        <v>45</v>
      </c>
      <c r="F23" s="34">
        <f>ABS(B23-E23)/E23</f>
        <v>0.14977777777777734</v>
      </c>
      <c r="G23" s="34">
        <f>ABS(C23-E23)/E23</f>
        <v>0.13025080377599826</v>
      </c>
      <c r="H23" s="34">
        <f>ABS(D23-E23)/E23</f>
        <v>9.2662050007896193E-2</v>
      </c>
    </row>
    <row r="24" spans="1:8">
      <c r="A24" s="32">
        <v>300</v>
      </c>
      <c r="B24" s="30">
        <f t="shared" ref="B24:B34" si="0">$B$19*A24+$B$18</f>
        <v>104.92999999999999</v>
      </c>
      <c r="C24" s="30">
        <f t="shared" ref="C24:C34" si="1">$D$18*A24^$D$19</f>
        <v>110.2476803704582</v>
      </c>
      <c r="D24" s="30">
        <f>$F$18*EXP($F$19*A24)</f>
        <v>104.09245101084399</v>
      </c>
      <c r="E24" s="33">
        <v>103</v>
      </c>
      <c r="F24" s="34">
        <f t="shared" ref="F24:F34" si="2">ABS(B24-E24)/E24</f>
        <v>1.8737864077669832E-2</v>
      </c>
      <c r="G24" s="34">
        <f t="shared" ref="G24:G34" si="3">ABS(C24-E24)/E24</f>
        <v>7.0365828839399985E-2</v>
      </c>
      <c r="H24" s="34">
        <f t="shared" ref="H24:H34" si="4">ABS(D24-E24)/E24</f>
        <v>1.0606320493630948E-2</v>
      </c>
    </row>
    <row r="25" spans="1:8">
      <c r="A25" s="32">
        <v>440</v>
      </c>
      <c r="B25" s="30">
        <f t="shared" si="0"/>
        <v>55.286000000000001</v>
      </c>
      <c r="C25" s="30">
        <f t="shared" si="1"/>
        <v>53.089557787712614</v>
      </c>
      <c r="D25" s="30">
        <f t="shared" ref="D25:D34" si="5">$F$18*EXP($F$19*A25)</f>
        <v>51.69078140761237</v>
      </c>
      <c r="E25" s="33">
        <v>49</v>
      </c>
      <c r="F25" s="34">
        <f t="shared" si="2"/>
        <v>0.12828571428571431</v>
      </c>
      <c r="G25" s="34">
        <f t="shared" si="3"/>
        <v>8.3460363014543154E-2</v>
      </c>
      <c r="H25" s="34">
        <f t="shared" si="4"/>
        <v>5.4913906277803466E-2</v>
      </c>
    </row>
    <row r="26" spans="1:8">
      <c r="A26" s="32">
        <v>360</v>
      </c>
      <c r="B26" s="30">
        <f t="shared" si="0"/>
        <v>83.653999999999996</v>
      </c>
      <c r="C26" s="30">
        <f t="shared" si="1"/>
        <v>77.85592038588905</v>
      </c>
      <c r="D26" s="30">
        <f t="shared" si="5"/>
        <v>77.113584344252331</v>
      </c>
      <c r="E26" s="33">
        <v>86</v>
      </c>
      <c r="F26" s="34">
        <f t="shared" si="2"/>
        <v>2.7279069767441901E-2</v>
      </c>
      <c r="G26" s="34">
        <f t="shared" si="3"/>
        <v>9.4698600164080812E-2</v>
      </c>
      <c r="H26" s="34">
        <f t="shared" si="4"/>
        <v>0.10333041460171709</v>
      </c>
    </row>
    <row r="27" spans="1:8">
      <c r="A27" s="32">
        <v>290</v>
      </c>
      <c r="B27" s="30">
        <f t="shared" si="0"/>
        <v>108.476</v>
      </c>
      <c r="C27" s="30">
        <f t="shared" si="1"/>
        <v>117.61465381582187</v>
      </c>
      <c r="D27" s="30">
        <f t="shared" si="5"/>
        <v>109.42938509863754</v>
      </c>
      <c r="E27" s="33">
        <v>125</v>
      </c>
      <c r="F27" s="34">
        <f t="shared" si="2"/>
        <v>0.132192</v>
      </c>
      <c r="G27" s="34">
        <f t="shared" si="3"/>
        <v>5.9082769473425063E-2</v>
      </c>
      <c r="H27" s="34">
        <f t="shared" si="4"/>
        <v>0.12456491921089968</v>
      </c>
    </row>
    <row r="28" spans="1:8">
      <c r="A28" s="32">
        <v>450</v>
      </c>
      <c r="B28" s="30">
        <f t="shared" si="0"/>
        <v>51.739999999999981</v>
      </c>
      <c r="C28" s="30">
        <f t="shared" si="1"/>
        <v>50.861286169919921</v>
      </c>
      <c r="D28" s="30">
        <f t="shared" si="5"/>
        <v>49.169792250355329</v>
      </c>
      <c r="E28" s="33">
        <v>52</v>
      </c>
      <c r="F28" s="34">
        <f t="shared" si="2"/>
        <v>5.0000000000003713E-3</v>
      </c>
      <c r="G28" s="34">
        <f t="shared" si="3"/>
        <v>2.1898342886155355E-2</v>
      </c>
      <c r="H28" s="34">
        <f t="shared" si="4"/>
        <v>5.4427072108551369E-2</v>
      </c>
    </row>
    <row r="29" spans="1:8">
      <c r="A29" s="32">
        <v>340</v>
      </c>
      <c r="B29" s="30">
        <f t="shared" si="0"/>
        <v>90.745999999999995</v>
      </c>
      <c r="C29" s="30">
        <f t="shared" si="1"/>
        <v>86.827049006961417</v>
      </c>
      <c r="D29" s="30">
        <f t="shared" si="5"/>
        <v>85.223690805841244</v>
      </c>
      <c r="E29" s="33">
        <v>87</v>
      </c>
      <c r="F29" s="34">
        <f t="shared" si="2"/>
        <v>4.3057471264367757E-2</v>
      </c>
      <c r="G29" s="34">
        <f t="shared" si="3"/>
        <v>1.9879424487193459E-3</v>
      </c>
      <c r="H29" s="34">
        <f t="shared" si="4"/>
        <v>2.0417347059296046E-2</v>
      </c>
    </row>
    <row r="30" spans="1:8">
      <c r="A30" s="32">
        <v>370</v>
      </c>
      <c r="B30" s="30">
        <f t="shared" si="0"/>
        <v>80.108000000000004</v>
      </c>
      <c r="C30" s="30">
        <f t="shared" si="1"/>
        <v>73.890384263545585</v>
      </c>
      <c r="D30" s="30">
        <f t="shared" si="5"/>
        <v>73.352710456970414</v>
      </c>
      <c r="E30" s="33">
        <v>68</v>
      </c>
      <c r="F30" s="34">
        <f t="shared" si="2"/>
        <v>0.17805882352941182</v>
      </c>
      <c r="G30" s="34">
        <f t="shared" si="3"/>
        <v>8.6623297993317416E-2</v>
      </c>
      <c r="H30" s="34">
        <f t="shared" si="4"/>
        <v>7.8716330249564911E-2</v>
      </c>
    </row>
    <row r="31" spans="1:8">
      <c r="A31" s="32">
        <v>500</v>
      </c>
      <c r="B31" s="30">
        <f t="shared" si="0"/>
        <v>34.009999999999991</v>
      </c>
      <c r="C31" s="30">
        <f t="shared" si="1"/>
        <v>41.59891911995917</v>
      </c>
      <c r="D31" s="30">
        <f t="shared" si="5"/>
        <v>38.293472708035026</v>
      </c>
      <c r="E31" s="33">
        <v>45</v>
      </c>
      <c r="F31" s="34">
        <f t="shared" si="2"/>
        <v>0.24422222222222242</v>
      </c>
      <c r="G31" s="34">
        <f t="shared" si="3"/>
        <v>7.5579575112018446E-2</v>
      </c>
      <c r="H31" s="34">
        <f t="shared" si="4"/>
        <v>0.14903393982144386</v>
      </c>
    </row>
    <row r="32" spans="1:8">
      <c r="A32" s="32">
        <v>490</v>
      </c>
      <c r="B32" s="30">
        <f t="shared" si="0"/>
        <v>37.555999999999983</v>
      </c>
      <c r="C32" s="30">
        <f t="shared" si="1"/>
        <v>43.233728796663705</v>
      </c>
      <c r="D32" s="30">
        <f t="shared" si="5"/>
        <v>40.256821037821332</v>
      </c>
      <c r="E32" s="33">
        <v>44</v>
      </c>
      <c r="F32" s="34">
        <f t="shared" si="2"/>
        <v>0.14645454545454584</v>
      </c>
      <c r="G32" s="34">
        <f t="shared" si="3"/>
        <v>1.7415254621279432E-2</v>
      </c>
      <c r="H32" s="34">
        <f t="shared" si="4"/>
        <v>8.5072249140424272E-2</v>
      </c>
    </row>
    <row r="33" spans="1:10">
      <c r="A33" s="32">
        <v>430</v>
      </c>
      <c r="B33" s="30">
        <f t="shared" si="0"/>
        <v>58.831999999999994</v>
      </c>
      <c r="C33" s="30">
        <f t="shared" si="1"/>
        <v>55.470106712335337</v>
      </c>
      <c r="D33" s="30">
        <f t="shared" si="5"/>
        <v>54.341024442914069</v>
      </c>
      <c r="E33" s="33">
        <v>58</v>
      </c>
      <c r="F33" s="34">
        <f t="shared" si="2"/>
        <v>1.4344827586206787E-2</v>
      </c>
      <c r="G33" s="34">
        <f t="shared" si="3"/>
        <v>4.3618849787321778E-2</v>
      </c>
      <c r="H33" s="34">
        <f t="shared" si="4"/>
        <v>6.3085785466998806E-2</v>
      </c>
    </row>
    <row r="34" spans="1:10">
      <c r="A34" s="32">
        <v>390</v>
      </c>
      <c r="B34" s="30">
        <f t="shared" si="0"/>
        <v>73.015999999999991</v>
      </c>
      <c r="C34" s="30">
        <f t="shared" si="1"/>
        <v>66.829089531318985</v>
      </c>
      <c r="D34" s="30">
        <f t="shared" si="5"/>
        <v>66.372277135824447</v>
      </c>
      <c r="E34" s="33">
        <v>68</v>
      </c>
      <c r="F34" s="34">
        <f t="shared" si="2"/>
        <v>7.3764705882352816E-2</v>
      </c>
      <c r="G34" s="34">
        <f t="shared" si="3"/>
        <v>1.7219271598250221E-2</v>
      </c>
      <c r="H34" s="34">
        <f t="shared" si="4"/>
        <v>2.393710094375813E-2</v>
      </c>
    </row>
    <row r="35" spans="1:10">
      <c r="E35" t="s">
        <v>134</v>
      </c>
      <c r="F35" s="35">
        <f>AVERAGE(F23:F34)</f>
        <v>9.6764585153975916E-2</v>
      </c>
      <c r="G35" s="36">
        <f t="shared" ref="G35:H35" si="6">AVERAGE(G23:G34)</f>
        <v>5.8516741642875771E-2</v>
      </c>
      <c r="H35" s="35">
        <f t="shared" si="6"/>
        <v>7.17306196151654E-2</v>
      </c>
    </row>
    <row r="37" spans="1:10">
      <c r="A37" t="s">
        <v>135</v>
      </c>
      <c r="G37" t="s">
        <v>67</v>
      </c>
      <c r="H37" t="s">
        <v>32</v>
      </c>
    </row>
    <row r="38" spans="1:10">
      <c r="A38" t="s">
        <v>136</v>
      </c>
      <c r="B38" s="37">
        <v>250</v>
      </c>
      <c r="C38" t="s">
        <v>137</v>
      </c>
      <c r="H38" s="27">
        <f>B45</f>
        <v>955163.26238462282</v>
      </c>
      <c r="J38" t="s">
        <v>144</v>
      </c>
    </row>
    <row r="39" spans="1:10">
      <c r="A39" t="s">
        <v>138</v>
      </c>
      <c r="B39" s="37">
        <v>400</v>
      </c>
      <c r="C39" t="s">
        <v>139</v>
      </c>
      <c r="G39">
        <v>260</v>
      </c>
      <c r="H39" s="20">
        <f t="dataTable" ref="H39:H100" dt2D="0" dtr="0" r1="B39" ca="1"/>
        <v>144859.72842847556</v>
      </c>
      <c r="J39" t="s">
        <v>145</v>
      </c>
    </row>
    <row r="40" spans="1:10">
      <c r="A40" t="s">
        <v>74</v>
      </c>
      <c r="B40" s="20">
        <f>D18*B39^D19</f>
        <v>63.677550825641511</v>
      </c>
      <c r="C40" t="s">
        <v>140</v>
      </c>
      <c r="E40" t="str">
        <f ca="1">_xlfn.FORMULATEXT(B40)</f>
        <v>=D18*B39^D19</v>
      </c>
      <c r="G40">
        <v>270</v>
      </c>
      <c r="H40" s="20">
        <v>269590.60184817808</v>
      </c>
    </row>
    <row r="41" spans="1:10">
      <c r="A41" t="s">
        <v>141</v>
      </c>
      <c r="B41" s="20">
        <f>B40*100</f>
        <v>6367.7550825641511</v>
      </c>
      <c r="E41" t="str">
        <f ca="1">_xlfn.FORMULATEXT(B41)</f>
        <v>=B40*100</v>
      </c>
      <c r="G41">
        <v>280</v>
      </c>
      <c r="H41" s="20">
        <v>377277.18719872413</v>
      </c>
    </row>
    <row r="42" spans="1:10">
      <c r="G42">
        <v>290</v>
      </c>
      <c r="H42" s="20">
        <v>470458.61526328744</v>
      </c>
    </row>
    <row r="43" spans="1:10">
      <c r="A43" t="s">
        <v>142</v>
      </c>
      <c r="B43" s="17">
        <f>B41*B38</f>
        <v>1591938.7706410377</v>
      </c>
      <c r="E43" t="str">
        <f t="shared" ref="E43:E45" ca="1" si="7">_xlfn.FORMULATEXT(B43)</f>
        <v>=B41*B38</v>
      </c>
      <c r="G43">
        <v>300</v>
      </c>
      <c r="H43" s="20">
        <v>551238.40185229108</v>
      </c>
    </row>
    <row r="44" spans="1:10">
      <c r="A44" t="s">
        <v>66</v>
      </c>
      <c r="B44" s="17">
        <f>B41*B39</f>
        <v>2547102.0330256606</v>
      </c>
      <c r="E44" t="str">
        <f t="shared" ca="1" si="7"/>
        <v>=B41*B39</v>
      </c>
      <c r="G44">
        <v>310</v>
      </c>
      <c r="H44" s="20">
        <v>621369.53021456813</v>
      </c>
    </row>
    <row r="45" spans="1:10">
      <c r="A45" t="s">
        <v>54</v>
      </c>
      <c r="B45" s="38">
        <f>B44-B43</f>
        <v>955163.26238462282</v>
      </c>
      <c r="E45" t="str">
        <f t="shared" ca="1" si="7"/>
        <v>=B44-B43</v>
      </c>
      <c r="G45">
        <v>320</v>
      </c>
      <c r="H45" s="20">
        <v>682320.93416212313</v>
      </c>
    </row>
    <row r="46" spans="1:10">
      <c r="G46">
        <v>330</v>
      </c>
      <c r="H46" s="20">
        <v>735329.86392835062</v>
      </c>
    </row>
    <row r="47" spans="1:10">
      <c r="G47">
        <v>340</v>
      </c>
      <c r="H47" s="20">
        <v>781443.44106265297</v>
      </c>
    </row>
    <row r="48" spans="1:10">
      <c r="G48">
        <v>350</v>
      </c>
      <c r="H48" s="20">
        <v>821551.86522268457</v>
      </c>
    </row>
    <row r="49" spans="7:8">
      <c r="G49">
        <v>360</v>
      </c>
      <c r="H49" s="20">
        <v>856415.12424477958</v>
      </c>
    </row>
    <row r="50" spans="7:8">
      <c r="G50">
        <v>370</v>
      </c>
      <c r="H50" s="20">
        <v>886684.61116254725</v>
      </c>
    </row>
    <row r="51" spans="7:8">
      <c r="G51">
        <v>380</v>
      </c>
      <c r="H51" s="20">
        <v>912920.72098907013</v>
      </c>
    </row>
    <row r="52" spans="7:8">
      <c r="G52">
        <v>390</v>
      </c>
      <c r="H52" s="20">
        <v>935607.253438466</v>
      </c>
    </row>
    <row r="53" spans="7:8">
      <c r="G53">
        <v>400</v>
      </c>
      <c r="H53" s="20">
        <v>955163.26238462282</v>
      </c>
    </row>
    <row r="54" spans="7:8">
      <c r="G54">
        <v>410</v>
      </c>
      <c r="H54" s="20">
        <v>971952.85243747453</v>
      </c>
    </row>
    <row r="55" spans="7:8">
      <c r="G55">
        <v>420</v>
      </c>
      <c r="H55" s="20">
        <v>986293.31587235699</v>
      </c>
    </row>
    <row r="56" spans="7:8">
      <c r="G56">
        <v>430</v>
      </c>
      <c r="H56" s="20">
        <v>998461.92082203622</v>
      </c>
    </row>
    <row r="57" spans="7:8">
      <c r="G57">
        <v>440</v>
      </c>
      <c r="H57" s="20">
        <v>1008701.5979665397</v>
      </c>
    </row>
    <row r="58" spans="7:8">
      <c r="G58">
        <v>450</v>
      </c>
      <c r="H58" s="20">
        <v>1017225.7233983984</v>
      </c>
    </row>
    <row r="59" spans="7:8">
      <c r="G59">
        <v>460</v>
      </c>
      <c r="H59" s="20">
        <v>1024222.1565401531</v>
      </c>
    </row>
    <row r="60" spans="7:8">
      <c r="G60">
        <v>470</v>
      </c>
      <c r="H60" s="20">
        <v>1029856.6614397548</v>
      </c>
    </row>
    <row r="61" spans="7:8">
      <c r="G61">
        <v>480</v>
      </c>
      <c r="H61" s="20">
        <v>1034275.8155834542</v>
      </c>
    </row>
    <row r="62" spans="7:8">
      <c r="G62">
        <v>490</v>
      </c>
      <c r="H62" s="20">
        <v>1037609.4911199291</v>
      </c>
    </row>
    <row r="63" spans="7:8">
      <c r="G63">
        <v>500</v>
      </c>
      <c r="H63" s="20">
        <v>1039972.9779989794</v>
      </c>
    </row>
    <row r="64" spans="7:8">
      <c r="G64">
        <v>510</v>
      </c>
      <c r="H64" s="20">
        <v>1041468.8061629091</v>
      </c>
    </row>
    <row r="65" spans="7:8">
      <c r="G65">
        <v>520</v>
      </c>
      <c r="H65" s="20">
        <v>1042188.3139489595</v>
      </c>
    </row>
    <row r="66" spans="7:8">
      <c r="G66">
        <v>530</v>
      </c>
      <c r="H66" s="20">
        <v>1042213.0017719698</v>
      </c>
    </row>
    <row r="67" spans="7:8">
      <c r="G67">
        <v>540</v>
      </c>
      <c r="H67" s="20">
        <v>1041615.7035724644</v>
      </c>
    </row>
    <row r="68" spans="7:8">
      <c r="G68">
        <v>550</v>
      </c>
      <c r="H68" s="20">
        <v>1040461.6031350964</v>
      </c>
    </row>
    <row r="69" spans="7:8">
      <c r="G69">
        <v>560</v>
      </c>
      <c r="H69" s="20">
        <v>1038809.1179690239</v>
      </c>
    </row>
    <row r="70" spans="7:8">
      <c r="G70">
        <v>570</v>
      </c>
      <c r="H70" s="20">
        <v>1036710.669808225</v>
      </c>
    </row>
    <row r="71" spans="7:8">
      <c r="G71">
        <v>580</v>
      </c>
      <c r="H71" s="20">
        <v>1034213.3577876764</v>
      </c>
    </row>
    <row r="72" spans="7:8">
      <c r="G72">
        <v>590</v>
      </c>
      <c r="H72" s="20">
        <v>1031359.5478624469</v>
      </c>
    </row>
    <row r="73" spans="7:8">
      <c r="G73">
        <v>600</v>
      </c>
      <c r="H73" s="20">
        <v>1028187.3899667513</v>
      </c>
    </row>
    <row r="74" spans="7:8">
      <c r="G74">
        <v>610</v>
      </c>
      <c r="H74" s="20">
        <v>1024731.2726827315</v>
      </c>
    </row>
    <row r="75" spans="7:8">
      <c r="G75">
        <v>620</v>
      </c>
      <c r="H75" s="20">
        <v>1021022.2237432048</v>
      </c>
    </row>
    <row r="76" spans="7:8">
      <c r="G76">
        <v>630</v>
      </c>
      <c r="H76" s="20">
        <v>1017088.2634793159</v>
      </c>
    </row>
    <row r="77" spans="7:8">
      <c r="G77">
        <v>640</v>
      </c>
      <c r="H77" s="20">
        <v>1012954.7173026291</v>
      </c>
    </row>
    <row r="78" spans="7:8">
      <c r="G78">
        <v>650</v>
      </c>
      <c r="H78" s="20">
        <v>1008644.4924491229</v>
      </c>
    </row>
    <row r="79" spans="7:8">
      <c r="G79">
        <v>660</v>
      </c>
      <c r="H79" s="20">
        <v>1004178.3234829371</v>
      </c>
    </row>
    <row r="80" spans="7:8">
      <c r="G80">
        <v>670</v>
      </c>
      <c r="H80" s="20">
        <v>999574.99043870345</v>
      </c>
    </row>
    <row r="81" spans="7:12">
      <c r="G81">
        <v>680</v>
      </c>
      <c r="H81" s="20">
        <v>994851.51295467373</v>
      </c>
    </row>
    <row r="82" spans="7:12">
      <c r="G82">
        <v>690</v>
      </c>
      <c r="H82" s="20">
        <v>990023.32329994719</v>
      </c>
    </row>
    <row r="83" spans="7:12">
      <c r="G83">
        <v>700</v>
      </c>
      <c r="H83" s="20">
        <v>985104.42081539321</v>
      </c>
    </row>
    <row r="84" spans="7:12">
      <c r="G84">
        <v>710</v>
      </c>
      <c r="H84" s="20">
        <v>980107.50995916908</v>
      </c>
    </row>
    <row r="85" spans="7:12">
      <c r="G85">
        <v>720</v>
      </c>
      <c r="H85" s="20">
        <v>975044.1238656675</v>
      </c>
    </row>
    <row r="86" spans="7:12">
      <c r="G86">
        <v>730</v>
      </c>
      <c r="H86" s="20">
        <v>969924.73508398188</v>
      </c>
    </row>
    <row r="87" spans="7:12">
      <c r="G87">
        <v>740</v>
      </c>
      <c r="H87" s="20">
        <v>964758.8549528002</v>
      </c>
    </row>
    <row r="88" spans="7:12">
      <c r="G88">
        <v>750</v>
      </c>
      <c r="H88" s="20">
        <v>959555.12288789009</v>
      </c>
    </row>
    <row r="89" spans="7:12">
      <c r="G89">
        <v>760</v>
      </c>
      <c r="H89" s="20">
        <v>954321.38670201262</v>
      </c>
      <c r="L89" t="s">
        <v>143</v>
      </c>
    </row>
    <row r="90" spans="7:12">
      <c r="G90">
        <v>770</v>
      </c>
      <c r="H90" s="20">
        <v>949064.7749414182</v>
      </c>
    </row>
    <row r="91" spans="7:12">
      <c r="G91">
        <v>780</v>
      </c>
      <c r="H91" s="20">
        <v>943791.76210536808</v>
      </c>
    </row>
    <row r="92" spans="7:12">
      <c r="G92">
        <v>790</v>
      </c>
      <c r="H92" s="20">
        <v>938508.22751260083</v>
      </c>
    </row>
    <row r="93" spans="7:12">
      <c r="G93">
        <v>800</v>
      </c>
      <c r="H93" s="20">
        <v>933219.50848926988</v>
      </c>
    </row>
    <row r="94" spans="7:12">
      <c r="G94">
        <v>810</v>
      </c>
      <c r="H94" s="20">
        <v>927930.44847494666</v>
      </c>
    </row>
    <row r="95" spans="7:12">
      <c r="G95">
        <v>820</v>
      </c>
      <c r="H95" s="20">
        <v>922645.44057495799</v>
      </c>
    </row>
    <row r="96" spans="7:12">
      <c r="G96">
        <v>830</v>
      </c>
      <c r="H96" s="20">
        <v>917368.46702761366</v>
      </c>
    </row>
    <row r="97" spans="2:11">
      <c r="G97">
        <v>840</v>
      </c>
      <c r="H97" s="20">
        <v>912103.13500239153</v>
      </c>
    </row>
    <row r="98" spans="2:11">
      <c r="G98">
        <v>850</v>
      </c>
      <c r="H98" s="20">
        <v>906852.70909909625</v>
      </c>
    </row>
    <row r="99" spans="2:11">
      <c r="G99">
        <v>860</v>
      </c>
      <c r="H99" s="20">
        <v>901620.14087741717</v>
      </c>
    </row>
    <row r="100" spans="2:11">
      <c r="G100">
        <v>870</v>
      </c>
      <c r="H100" s="20">
        <v>896408.09571059258</v>
      </c>
    </row>
    <row r="101" spans="2:11">
      <c r="H101" s="20"/>
    </row>
    <row r="102" spans="2:11">
      <c r="B102" t="s">
        <v>146</v>
      </c>
    </row>
    <row r="104" spans="2:11">
      <c r="C104" s="27">
        <f>B45</f>
        <v>955163.26238462282</v>
      </c>
      <c r="D104">
        <v>250</v>
      </c>
      <c r="E104">
        <v>300</v>
      </c>
      <c r="F104">
        <v>350</v>
      </c>
      <c r="G104">
        <v>400</v>
      </c>
      <c r="H104">
        <v>450</v>
      </c>
      <c r="I104">
        <v>500</v>
      </c>
      <c r="J104">
        <v>550</v>
      </c>
      <c r="K104">
        <v>600</v>
      </c>
    </row>
    <row r="105" spans="2:11">
      <c r="B105" t="s">
        <v>67</v>
      </c>
      <c r="C105">
        <v>260</v>
      </c>
      <c r="D105" s="39">
        <f t="dataTable" ref="D105:K166" dt2D="1" dtr="1" r1="B38" r2="B39"/>
        <v>144859.72842847556</v>
      </c>
      <c r="E105" s="39">
        <v>-579438.91371390224</v>
      </c>
      <c r="F105" s="39">
        <v>-1303737.5558562791</v>
      </c>
      <c r="G105" s="39">
        <v>-2028036.1979986569</v>
      </c>
      <c r="H105" s="39">
        <v>-2752334.8401410338</v>
      </c>
      <c r="I105" s="39">
        <v>-3476633.4822834115</v>
      </c>
      <c r="J105" s="39">
        <v>-4200932.1244257884</v>
      </c>
      <c r="K105" s="39">
        <v>-4925230.7665681671</v>
      </c>
    </row>
    <row r="106" spans="2:11">
      <c r="C106">
        <v>270</v>
      </c>
      <c r="D106" s="39">
        <v>269590.60184817808</v>
      </c>
      <c r="E106" s="39">
        <v>-404385.90277226688</v>
      </c>
      <c r="F106" s="39">
        <v>-1078362.4073927123</v>
      </c>
      <c r="G106" s="39">
        <v>-1752338.9120131573</v>
      </c>
      <c r="H106" s="39">
        <v>-2426315.4166336022</v>
      </c>
      <c r="I106" s="39">
        <v>-3100291.9212540481</v>
      </c>
      <c r="J106" s="39">
        <v>-3774268.4258744931</v>
      </c>
      <c r="K106" s="39">
        <v>-4448244.930494938</v>
      </c>
    </row>
    <row r="107" spans="2:11">
      <c r="C107">
        <v>280</v>
      </c>
      <c r="D107" s="39">
        <v>377277.18719872413</v>
      </c>
      <c r="E107" s="39">
        <v>-251518.12479914958</v>
      </c>
      <c r="F107" s="39">
        <v>-880313.43679702282</v>
      </c>
      <c r="G107" s="39">
        <v>-1509108.7487948965</v>
      </c>
      <c r="H107" s="39">
        <v>-2137904.0607927702</v>
      </c>
      <c r="I107" s="39">
        <v>-2766699.3727906439</v>
      </c>
      <c r="J107" s="39">
        <v>-3395494.6847885177</v>
      </c>
      <c r="K107" s="39">
        <v>-4024289.9967863914</v>
      </c>
    </row>
    <row r="108" spans="2:11">
      <c r="C108">
        <v>290</v>
      </c>
      <c r="D108" s="39">
        <v>470458.61526328744</v>
      </c>
      <c r="E108" s="39">
        <v>-117614.65381582174</v>
      </c>
      <c r="F108" s="39">
        <v>-705687.9228949314</v>
      </c>
      <c r="G108" s="39">
        <v>-1293761.1919740411</v>
      </c>
      <c r="H108" s="39">
        <v>-1881834.4610531498</v>
      </c>
      <c r="I108" s="39">
        <v>-2469907.7301322594</v>
      </c>
      <c r="J108" s="39">
        <v>-3057980.9992113691</v>
      </c>
      <c r="K108" s="39">
        <v>-3646054.2682904778</v>
      </c>
    </row>
    <row r="109" spans="2:11">
      <c r="C109">
        <v>300</v>
      </c>
      <c r="D109" s="39">
        <v>551238.40185229108</v>
      </c>
      <c r="E109" s="39">
        <v>0</v>
      </c>
      <c r="F109" s="39">
        <v>-551238.40185229108</v>
      </c>
      <c r="G109" s="39">
        <v>-1102476.8037045817</v>
      </c>
      <c r="H109" s="39">
        <v>-1653715.2055568728</v>
      </c>
      <c r="I109" s="39">
        <v>-2204953.6074091638</v>
      </c>
      <c r="J109" s="39">
        <v>-2756192.0092614549</v>
      </c>
      <c r="K109" s="39">
        <v>-3307430.411113746</v>
      </c>
    </row>
    <row r="110" spans="2:11">
      <c r="C110">
        <v>310</v>
      </c>
      <c r="D110" s="39">
        <v>621369.53021456813</v>
      </c>
      <c r="E110" s="39">
        <v>103561.58836909477</v>
      </c>
      <c r="F110" s="39">
        <v>-414246.3534763786</v>
      </c>
      <c r="G110" s="39">
        <v>-932054.2953218515</v>
      </c>
      <c r="H110" s="39">
        <v>-1449862.2371673249</v>
      </c>
      <c r="I110" s="39">
        <v>-1967670.1790127978</v>
      </c>
      <c r="J110" s="39">
        <v>-2485478.1208582716</v>
      </c>
      <c r="K110" s="39">
        <v>-3003286.0627037445</v>
      </c>
    </row>
    <row r="111" spans="2:11">
      <c r="C111">
        <v>320</v>
      </c>
      <c r="D111" s="39">
        <v>682320.93416212313</v>
      </c>
      <c r="E111" s="39">
        <v>194948.83833203511</v>
      </c>
      <c r="F111" s="39">
        <v>-292423.2574980529</v>
      </c>
      <c r="G111" s="39">
        <v>-779795.35332814092</v>
      </c>
      <c r="H111" s="39">
        <v>-1267167.4491582289</v>
      </c>
      <c r="I111" s="39">
        <v>-1754539.5449883174</v>
      </c>
      <c r="J111" s="39">
        <v>-2241911.640818405</v>
      </c>
      <c r="K111" s="39">
        <v>-2729283.7366484934</v>
      </c>
    </row>
    <row r="112" spans="2:11">
      <c r="C112">
        <v>330</v>
      </c>
      <c r="D112" s="39">
        <v>735329.86392835062</v>
      </c>
      <c r="E112" s="39">
        <v>275748.69897313137</v>
      </c>
      <c r="F112" s="39">
        <v>-183832.46598208742</v>
      </c>
      <c r="G112" s="39">
        <v>-643413.63093730668</v>
      </c>
      <c r="H112" s="39">
        <v>-1102994.7958925259</v>
      </c>
      <c r="I112" s="39">
        <v>-1562575.9608477447</v>
      </c>
      <c r="J112" s="39">
        <v>-2022157.125802964</v>
      </c>
      <c r="K112" s="39">
        <v>-2481738.2907581832</v>
      </c>
    </row>
    <row r="113" spans="3:11">
      <c r="C113">
        <v>340</v>
      </c>
      <c r="D113" s="39">
        <v>781443.44106265297</v>
      </c>
      <c r="E113" s="39">
        <v>347308.19602784561</v>
      </c>
      <c r="F113" s="39">
        <v>-86827.049006961286</v>
      </c>
      <c r="G113" s="39">
        <v>-520962.29404176865</v>
      </c>
      <c r="H113" s="39">
        <v>-955097.53907657554</v>
      </c>
      <c r="I113" s="39">
        <v>-1389232.7841113824</v>
      </c>
      <c r="J113" s="39">
        <v>-1823368.0291461898</v>
      </c>
      <c r="K113" s="39">
        <v>-2257503.2741809972</v>
      </c>
    </row>
    <row r="114" spans="3:11">
      <c r="C114">
        <v>350</v>
      </c>
      <c r="D114" s="39">
        <v>821551.86522268457</v>
      </c>
      <c r="E114" s="39">
        <v>410775.93261134205</v>
      </c>
      <c r="F114" s="39">
        <v>0</v>
      </c>
      <c r="G114" s="39">
        <v>-410775.93261134205</v>
      </c>
      <c r="H114" s="39">
        <v>-821551.86522268457</v>
      </c>
      <c r="I114" s="39">
        <v>-1232327.7978340266</v>
      </c>
      <c r="J114" s="39">
        <v>-1643103.7304453691</v>
      </c>
      <c r="K114" s="39">
        <v>-2053879.6630567117</v>
      </c>
    </row>
    <row r="115" spans="3:11">
      <c r="C115">
        <v>360</v>
      </c>
      <c r="D115" s="39">
        <v>856415.12424477958</v>
      </c>
      <c r="E115" s="39">
        <v>467135.52231533453</v>
      </c>
      <c r="F115" s="39">
        <v>77855.920385889243</v>
      </c>
      <c r="G115" s="39">
        <v>-311423.68154355604</v>
      </c>
      <c r="H115" s="39">
        <v>-700703.28347300133</v>
      </c>
      <c r="I115" s="39">
        <v>-1089982.8854024466</v>
      </c>
      <c r="J115" s="39">
        <v>-1479262.4873318919</v>
      </c>
      <c r="K115" s="39">
        <v>-1868542.0892613367</v>
      </c>
    </row>
    <row r="116" spans="3:11">
      <c r="C116">
        <v>370</v>
      </c>
      <c r="D116" s="39">
        <v>886684.61116254725</v>
      </c>
      <c r="E116" s="39">
        <v>517232.68984481925</v>
      </c>
      <c r="F116" s="39">
        <v>147780.76852709148</v>
      </c>
      <c r="G116" s="39">
        <v>-221671.15279063676</v>
      </c>
      <c r="H116" s="39">
        <v>-591123.07410836453</v>
      </c>
      <c r="I116" s="39">
        <v>-960574.9954260923</v>
      </c>
      <c r="J116" s="39">
        <v>-1330026.9167438205</v>
      </c>
      <c r="K116" s="39">
        <v>-1699478.8380615483</v>
      </c>
    </row>
    <row r="117" spans="3:11">
      <c r="C117">
        <v>380</v>
      </c>
      <c r="D117" s="39">
        <v>912920.72098907013</v>
      </c>
      <c r="E117" s="39">
        <v>561797.36676250491</v>
      </c>
      <c r="F117" s="39">
        <v>210674.01253593946</v>
      </c>
      <c r="G117" s="39">
        <v>-140449.341690626</v>
      </c>
      <c r="H117" s="39">
        <v>-491572.69591719145</v>
      </c>
      <c r="I117" s="39">
        <v>-842696.05014375644</v>
      </c>
      <c r="J117" s="39">
        <v>-1193819.4043703219</v>
      </c>
      <c r="K117" s="39">
        <v>-1544942.7585968869</v>
      </c>
    </row>
    <row r="118" spans="3:11">
      <c r="C118">
        <v>390</v>
      </c>
      <c r="D118" s="39">
        <v>935607.253438466</v>
      </c>
      <c r="E118" s="39">
        <v>601461.80578187108</v>
      </c>
      <c r="F118" s="39">
        <v>267316.35812527593</v>
      </c>
      <c r="G118" s="39">
        <v>-66829.08953131875</v>
      </c>
      <c r="H118" s="39">
        <v>-400974.5371879139</v>
      </c>
      <c r="I118" s="39">
        <v>-735119.98484450858</v>
      </c>
      <c r="J118" s="39">
        <v>-1069265.4325011037</v>
      </c>
      <c r="K118" s="39">
        <v>-1403410.8801576984</v>
      </c>
    </row>
    <row r="119" spans="3:11">
      <c r="C119">
        <v>400</v>
      </c>
      <c r="D119" s="39">
        <v>955163.26238462282</v>
      </c>
      <c r="E119" s="39">
        <v>636775.50825641514</v>
      </c>
      <c r="F119" s="39">
        <v>318387.75412820745</v>
      </c>
      <c r="G119" s="39">
        <v>0</v>
      </c>
      <c r="H119" s="39">
        <v>-318387.75412820745</v>
      </c>
      <c r="I119" s="39">
        <v>-636775.50825641491</v>
      </c>
      <c r="J119" s="39">
        <v>-955163.26238462236</v>
      </c>
      <c r="K119" s="39">
        <v>-1273551.0165128303</v>
      </c>
    </row>
    <row r="120" spans="3:11">
      <c r="C120">
        <v>410</v>
      </c>
      <c r="D120" s="39">
        <v>971952.85243747453</v>
      </c>
      <c r="E120" s="39">
        <v>668217.58605076349</v>
      </c>
      <c r="F120" s="39">
        <v>364482.31966405269</v>
      </c>
      <c r="G120" s="39">
        <v>60747.053277342115</v>
      </c>
      <c r="H120" s="39">
        <v>-242988.21310936892</v>
      </c>
      <c r="I120" s="39">
        <v>-546723.4794960795</v>
      </c>
      <c r="J120" s="39">
        <v>-850458.74588279054</v>
      </c>
      <c r="K120" s="39">
        <v>-1154194.0122695016</v>
      </c>
    </row>
    <row r="121" spans="3:11">
      <c r="C121">
        <v>420</v>
      </c>
      <c r="D121" s="39">
        <v>986293.31587235699</v>
      </c>
      <c r="E121" s="39">
        <v>696207.04649813427</v>
      </c>
      <c r="F121" s="39">
        <v>406120.77712391177</v>
      </c>
      <c r="G121" s="39">
        <v>116034.50774968928</v>
      </c>
      <c r="H121" s="39">
        <v>-174051.76162453368</v>
      </c>
      <c r="I121" s="39">
        <v>-464138.03099875618</v>
      </c>
      <c r="J121" s="39">
        <v>-754224.30037297867</v>
      </c>
      <c r="K121" s="39">
        <v>-1044310.5697472016</v>
      </c>
    </row>
    <row r="122" spans="3:11">
      <c r="C122">
        <v>430</v>
      </c>
      <c r="D122" s="39">
        <v>998461.92082203622</v>
      </c>
      <c r="E122" s="39">
        <v>721111.38726035948</v>
      </c>
      <c r="F122" s="39">
        <v>443760.85369868297</v>
      </c>
      <c r="G122" s="39">
        <v>166410.32013700623</v>
      </c>
      <c r="H122" s="39">
        <v>-110940.21342467051</v>
      </c>
      <c r="I122" s="39">
        <v>-388290.74698634725</v>
      </c>
      <c r="J122" s="39">
        <v>-665641.28054802399</v>
      </c>
      <c r="K122" s="39">
        <v>-942991.81410970073</v>
      </c>
    </row>
    <row r="123" spans="3:11">
      <c r="C123">
        <v>440</v>
      </c>
      <c r="D123" s="39">
        <v>1008701.5979665397</v>
      </c>
      <c r="E123" s="39">
        <v>743253.80902797659</v>
      </c>
      <c r="F123" s="39">
        <v>477806.02008941351</v>
      </c>
      <c r="G123" s="39">
        <v>212358.23115085065</v>
      </c>
      <c r="H123" s="39">
        <v>-53089.557787712663</v>
      </c>
      <c r="I123" s="39">
        <v>-318537.34672627551</v>
      </c>
      <c r="J123" s="39">
        <v>-583985.13566483883</v>
      </c>
      <c r="K123" s="39">
        <v>-849432.92460340168</v>
      </c>
    </row>
    <row r="124" spans="3:11">
      <c r="C124">
        <v>450</v>
      </c>
      <c r="D124" s="39">
        <v>1017225.7233983984</v>
      </c>
      <c r="E124" s="39">
        <v>762919.29254879872</v>
      </c>
      <c r="F124" s="39">
        <v>508612.86169919907</v>
      </c>
      <c r="G124" s="39">
        <v>254306.43084959942</v>
      </c>
      <c r="H124" s="39">
        <v>0</v>
      </c>
      <c r="I124" s="39">
        <v>-254306.43084959965</v>
      </c>
      <c r="J124" s="39">
        <v>-508612.8616991993</v>
      </c>
      <c r="K124" s="39">
        <v>-762919.29254879896</v>
      </c>
    </row>
    <row r="125" spans="3:11">
      <c r="C125">
        <v>460</v>
      </c>
      <c r="D125" s="39">
        <v>1024222.1565401531</v>
      </c>
      <c r="E125" s="39">
        <v>780359.73831630708</v>
      </c>
      <c r="F125" s="39">
        <v>536497.3200924613</v>
      </c>
      <c r="G125" s="39">
        <v>292634.9018686153</v>
      </c>
      <c r="H125" s="39">
        <v>48772.483644769527</v>
      </c>
      <c r="I125" s="39">
        <v>-195089.93457907671</v>
      </c>
      <c r="J125" s="39">
        <v>-438952.35280292248</v>
      </c>
      <c r="K125" s="39">
        <v>-682814.77102676872</v>
      </c>
    </row>
    <row r="126" spans="3:11">
      <c r="C126">
        <v>470</v>
      </c>
      <c r="D126" s="39">
        <v>1029856.6614397548</v>
      </c>
      <c r="E126" s="39">
        <v>795798.32929435605</v>
      </c>
      <c r="F126" s="39">
        <v>561739.9971489571</v>
      </c>
      <c r="G126" s="39">
        <v>327681.66500355839</v>
      </c>
      <c r="H126" s="39">
        <v>93623.332858159672</v>
      </c>
      <c r="I126" s="39">
        <v>-140434.99928723928</v>
      </c>
      <c r="J126" s="39">
        <v>-374493.33143263776</v>
      </c>
      <c r="K126" s="39">
        <v>-608551.66357803671</v>
      </c>
    </row>
    <row r="127" spans="3:11">
      <c r="C127">
        <v>480</v>
      </c>
      <c r="D127" s="39">
        <v>1034275.8155834542</v>
      </c>
      <c r="E127" s="39">
        <v>809433.24697835557</v>
      </c>
      <c r="F127" s="39">
        <v>584590.67837325693</v>
      </c>
      <c r="G127" s="39">
        <v>359748.10976815806</v>
      </c>
      <c r="H127" s="39">
        <v>134905.54116305942</v>
      </c>
      <c r="I127" s="39">
        <v>-89937.027442039456</v>
      </c>
      <c r="J127" s="39">
        <v>-314779.59604713786</v>
      </c>
      <c r="K127" s="39">
        <v>-539622.16465223674</v>
      </c>
    </row>
    <row r="128" spans="3:11">
      <c r="C128">
        <v>490</v>
      </c>
      <c r="D128" s="39">
        <v>1037609.4911199291</v>
      </c>
      <c r="E128" s="39">
        <v>821440.84713661065</v>
      </c>
      <c r="F128" s="39">
        <v>605272.20315329218</v>
      </c>
      <c r="G128" s="39">
        <v>389103.55916997371</v>
      </c>
      <c r="H128" s="39">
        <v>172934.91518665501</v>
      </c>
      <c r="I128" s="39">
        <v>-43233.728796663694</v>
      </c>
      <c r="J128" s="39">
        <v>-259402.37277998216</v>
      </c>
      <c r="K128" s="39">
        <v>-475571.01676330063</v>
      </c>
    </row>
    <row r="129" spans="3:11">
      <c r="C129">
        <v>500</v>
      </c>
      <c r="D129" s="39">
        <v>1039972.9779989794</v>
      </c>
      <c r="E129" s="39">
        <v>831978.3823991837</v>
      </c>
      <c r="F129" s="39">
        <v>623983.78679938777</v>
      </c>
      <c r="G129" s="39">
        <v>415989.19119959185</v>
      </c>
      <c r="H129" s="39">
        <v>207994.59559979592</v>
      </c>
      <c r="I129" s="39">
        <v>0</v>
      </c>
      <c r="J129" s="39">
        <v>-207994.59559979569</v>
      </c>
      <c r="K129" s="39">
        <v>-415989.19119959138</v>
      </c>
    </row>
    <row r="130" spans="3:11">
      <c r="C130">
        <v>510</v>
      </c>
      <c r="D130" s="39">
        <v>1041468.8061629091</v>
      </c>
      <c r="E130" s="39">
        <v>841186.34343927284</v>
      </c>
      <c r="F130" s="39">
        <v>640903.8807156363</v>
      </c>
      <c r="G130" s="39">
        <v>440621.417992</v>
      </c>
      <c r="H130" s="39">
        <v>240338.9552683637</v>
      </c>
      <c r="I130" s="39">
        <v>40056.4925447274</v>
      </c>
      <c r="J130" s="39">
        <v>-160225.97017890913</v>
      </c>
      <c r="K130" s="39">
        <v>-360508.4329025452</v>
      </c>
    </row>
    <row r="131" spans="3:11">
      <c r="C131">
        <v>520</v>
      </c>
      <c r="D131" s="39">
        <v>1042188.3139489595</v>
      </c>
      <c r="E131" s="39">
        <v>849190.47803248558</v>
      </c>
      <c r="F131" s="39">
        <v>656192.64211601159</v>
      </c>
      <c r="G131" s="39">
        <v>463194.80619953759</v>
      </c>
      <c r="H131" s="39">
        <v>270196.97028306359</v>
      </c>
      <c r="I131" s="39">
        <v>77199.134366589598</v>
      </c>
      <c r="J131" s="39">
        <v>-115798.70154988416</v>
      </c>
      <c r="K131" s="39">
        <v>-308796.53746635816</v>
      </c>
    </row>
    <row r="132" spans="3:11">
      <c r="C132">
        <v>530</v>
      </c>
      <c r="D132" s="39">
        <v>1042213.0017719698</v>
      </c>
      <c r="E132" s="39">
        <v>856103.53716983227</v>
      </c>
      <c r="F132" s="39">
        <v>669994.07256769482</v>
      </c>
      <c r="G132" s="39">
        <v>483884.60796555737</v>
      </c>
      <c r="H132" s="39">
        <v>297775.14336341992</v>
      </c>
      <c r="I132" s="39">
        <v>111665.67876128247</v>
      </c>
      <c r="J132" s="39">
        <v>-74443.78584085498</v>
      </c>
      <c r="K132" s="39">
        <v>-260553.25044299266</v>
      </c>
    </row>
    <row r="133" spans="3:11">
      <c r="C133">
        <v>540</v>
      </c>
      <c r="D133" s="39">
        <v>1041615.7035724644</v>
      </c>
      <c r="E133" s="39">
        <v>862026.78916341881</v>
      </c>
      <c r="F133" s="39">
        <v>682437.87475437322</v>
      </c>
      <c r="G133" s="39">
        <v>502848.96034532762</v>
      </c>
      <c r="H133" s="39">
        <v>323260.04593628203</v>
      </c>
      <c r="I133" s="39">
        <v>143671.13152723666</v>
      </c>
      <c r="J133" s="39">
        <v>-35917.782881808933</v>
      </c>
      <c r="K133" s="39">
        <v>-215506.69729085453</v>
      </c>
    </row>
    <row r="134" spans="3:11">
      <c r="C134">
        <v>550</v>
      </c>
      <c r="D134" s="39">
        <v>1040461.6031350964</v>
      </c>
      <c r="E134" s="39">
        <v>867051.33594591368</v>
      </c>
      <c r="F134" s="39">
        <v>693641.06875673099</v>
      </c>
      <c r="G134" s="39">
        <v>520230.80156754819</v>
      </c>
      <c r="H134" s="39">
        <v>346820.53437836538</v>
      </c>
      <c r="I134" s="39">
        <v>173410.26718918281</v>
      </c>
      <c r="J134" s="39">
        <v>0</v>
      </c>
      <c r="K134" s="39">
        <v>-173410.26718918257</v>
      </c>
    </row>
    <row r="135" spans="3:11">
      <c r="C135">
        <v>560</v>
      </c>
      <c r="D135" s="39">
        <v>1038809.1179690239</v>
      </c>
      <c r="E135" s="39">
        <v>871259.26023208455</v>
      </c>
      <c r="F135" s="39">
        <v>703709.4024951451</v>
      </c>
      <c r="G135" s="39">
        <v>536159.544758206</v>
      </c>
      <c r="H135" s="39">
        <v>368609.68702126667</v>
      </c>
      <c r="I135" s="39">
        <v>201059.82928432734</v>
      </c>
      <c r="J135" s="39">
        <v>33509.971547388006</v>
      </c>
      <c r="K135" s="39">
        <v>-134039.88618955133</v>
      </c>
    </row>
    <row r="136" spans="3:11">
      <c r="C136">
        <v>570</v>
      </c>
      <c r="D136" s="39">
        <v>1036710.669808225</v>
      </c>
      <c r="E136" s="39">
        <v>874724.6276506898</v>
      </c>
      <c r="F136" s="39">
        <v>712738.58549315459</v>
      </c>
      <c r="G136" s="39">
        <v>550752.54333561938</v>
      </c>
      <c r="H136" s="39">
        <v>388766.50117808441</v>
      </c>
      <c r="I136" s="39">
        <v>226780.4590205492</v>
      </c>
      <c r="J136" s="39">
        <v>64794.41686301399</v>
      </c>
      <c r="K136" s="39">
        <v>-97191.625294521218</v>
      </c>
    </row>
    <row r="137" spans="3:11">
      <c r="C137">
        <v>580</v>
      </c>
      <c r="D137" s="39">
        <v>1034213.3577876764</v>
      </c>
      <c r="E137" s="39">
        <v>877514.36418348295</v>
      </c>
      <c r="F137" s="39">
        <v>720815.37057928951</v>
      </c>
      <c r="G137" s="39">
        <v>564116.37697509606</v>
      </c>
      <c r="H137" s="39">
        <v>407417.38337090285</v>
      </c>
      <c r="I137" s="39">
        <v>250718.38976670941</v>
      </c>
      <c r="J137" s="39">
        <v>94019.396162515972</v>
      </c>
      <c r="K137" s="39">
        <v>-62679.59744167747</v>
      </c>
    </row>
    <row r="138" spans="3:11">
      <c r="C138">
        <v>590</v>
      </c>
      <c r="D138" s="39">
        <v>1031359.5478624469</v>
      </c>
      <c r="E138" s="39">
        <v>879689.02611796942</v>
      </c>
      <c r="F138" s="39">
        <v>728018.50437349197</v>
      </c>
      <c r="G138" s="39">
        <v>576347.98262901441</v>
      </c>
      <c r="H138" s="39">
        <v>424677.46088453708</v>
      </c>
      <c r="I138" s="39">
        <v>273006.93914005952</v>
      </c>
      <c r="J138" s="39">
        <v>121336.41739558196</v>
      </c>
      <c r="K138" s="39">
        <v>-30334.104348895373</v>
      </c>
    </row>
    <row r="139" spans="3:11">
      <c r="C139">
        <v>600</v>
      </c>
      <c r="D139" s="39">
        <v>1028187.3899667513</v>
      </c>
      <c r="E139" s="39">
        <v>881303.47711435833</v>
      </c>
      <c r="F139" s="39">
        <v>734419.56426196522</v>
      </c>
      <c r="G139" s="39">
        <v>587535.65140957222</v>
      </c>
      <c r="H139" s="39">
        <v>440651.73855717899</v>
      </c>
      <c r="I139" s="39">
        <v>293767.825704786</v>
      </c>
      <c r="J139" s="39">
        <v>146883.912852393</v>
      </c>
      <c r="K139" s="39">
        <v>0</v>
      </c>
    </row>
    <row r="140" spans="3:11">
      <c r="C140">
        <v>610</v>
      </c>
      <c r="D140" s="39">
        <v>1024731.2726827315</v>
      </c>
      <c r="E140" s="39">
        <v>882407.48481012986</v>
      </c>
      <c r="F140" s="39">
        <v>740083.69693752832</v>
      </c>
      <c r="G140" s="39">
        <v>597759.90906492667</v>
      </c>
      <c r="H140" s="39">
        <v>455436.12119232514</v>
      </c>
      <c r="I140" s="39">
        <v>313112.33331972361</v>
      </c>
      <c r="J140" s="39">
        <v>170788.54544712184</v>
      </c>
      <c r="K140" s="39">
        <v>28464.757574520307</v>
      </c>
    </row>
    <row r="141" spans="3:11">
      <c r="C141">
        <v>620</v>
      </c>
      <c r="D141" s="39">
        <v>1021022.2237432048</v>
      </c>
      <c r="E141" s="39">
        <v>883046.24756169063</v>
      </c>
      <c r="F141" s="39">
        <v>745070.27138017653</v>
      </c>
      <c r="G141" s="39">
        <v>607094.29519866221</v>
      </c>
      <c r="H141" s="39">
        <v>469118.31901714811</v>
      </c>
      <c r="I141" s="39">
        <v>331142.34283563402</v>
      </c>
      <c r="J141" s="39">
        <v>193166.36665411969</v>
      </c>
      <c r="K141" s="39">
        <v>55190.390472605592</v>
      </c>
    </row>
    <row r="142" spans="3:11">
      <c r="C142">
        <v>630</v>
      </c>
      <c r="D142" s="39">
        <v>1017088.2634793159</v>
      </c>
      <c r="E142" s="39">
        <v>883260.86038993229</v>
      </c>
      <c r="F142" s="39">
        <v>749433.45730054856</v>
      </c>
      <c r="G142" s="39">
        <v>615606.05421116482</v>
      </c>
      <c r="H142" s="39">
        <v>481778.65112178121</v>
      </c>
      <c r="I142" s="39">
        <v>347951.24803239759</v>
      </c>
      <c r="J142" s="39">
        <v>214123.84494301397</v>
      </c>
      <c r="K142" s="39">
        <v>80296.441853630356</v>
      </c>
    </row>
    <row r="143" spans="3:11">
      <c r="C143">
        <v>640</v>
      </c>
      <c r="D143" s="39">
        <v>1012954.7173026291</v>
      </c>
      <c r="E143" s="39">
        <v>883088.7279048562</v>
      </c>
      <c r="F143" s="39">
        <v>753222.73850708327</v>
      </c>
      <c r="G143" s="39">
        <v>623356.74910931021</v>
      </c>
      <c r="H143" s="39">
        <v>493490.75971153728</v>
      </c>
      <c r="I143" s="39">
        <v>363624.77031376422</v>
      </c>
      <c r="J143" s="39">
        <v>233758.7809159914</v>
      </c>
      <c r="K143" s="39">
        <v>103892.79151821835</v>
      </c>
    </row>
    <row r="144" spans="3:11">
      <c r="C144">
        <v>650</v>
      </c>
      <c r="D144" s="39">
        <v>1008644.4924491229</v>
      </c>
      <c r="E144" s="39">
        <v>882563.93089298252</v>
      </c>
      <c r="F144" s="39">
        <v>756483.36933684221</v>
      </c>
      <c r="G144" s="39">
        <v>630402.80778070178</v>
      </c>
      <c r="H144" s="39">
        <v>504322.24622456147</v>
      </c>
      <c r="I144" s="39">
        <v>378241.68466842105</v>
      </c>
      <c r="J144" s="39">
        <v>252161.12311228062</v>
      </c>
      <c r="K144" s="39">
        <v>126080.56155614019</v>
      </c>
    </row>
    <row r="145" spans="3:11">
      <c r="C145">
        <v>660</v>
      </c>
      <c r="D145" s="39">
        <v>1004178.3234829371</v>
      </c>
      <c r="E145" s="39">
        <v>881717.55232648132</v>
      </c>
      <c r="F145" s="39">
        <v>759256.78117002558</v>
      </c>
      <c r="G145" s="39">
        <v>636796.01001356984</v>
      </c>
      <c r="H145" s="39">
        <v>514335.23885711422</v>
      </c>
      <c r="I145" s="39">
        <v>391874.46770065837</v>
      </c>
      <c r="J145" s="39">
        <v>269413.69654420274</v>
      </c>
      <c r="K145" s="39">
        <v>146952.92538774689</v>
      </c>
    </row>
    <row r="146" spans="3:11">
      <c r="C146">
        <v>670</v>
      </c>
      <c r="D146" s="39">
        <v>999574.99043870345</v>
      </c>
      <c r="E146" s="39">
        <v>880577.96776742931</v>
      </c>
      <c r="F146" s="39">
        <v>761580.94509615505</v>
      </c>
      <c r="G146" s="39">
        <v>642583.92242488079</v>
      </c>
      <c r="H146" s="39">
        <v>523586.89975360665</v>
      </c>
      <c r="I146" s="39">
        <v>404589.87708233227</v>
      </c>
      <c r="J146" s="39">
        <v>285592.85441105813</v>
      </c>
      <c r="K146" s="39">
        <v>166595.83173978399</v>
      </c>
    </row>
    <row r="147" spans="3:11">
      <c r="C147">
        <v>680</v>
      </c>
      <c r="D147" s="39">
        <v>994851.51295467373</v>
      </c>
      <c r="E147" s="39">
        <v>879171.10447157209</v>
      </c>
      <c r="F147" s="39">
        <v>763490.69598847057</v>
      </c>
      <c r="G147" s="39">
        <v>647810.28750536893</v>
      </c>
      <c r="H147" s="39">
        <v>532129.8790222673</v>
      </c>
      <c r="I147" s="39">
        <v>416449.47053916566</v>
      </c>
      <c r="J147" s="39">
        <v>300769.06205606414</v>
      </c>
      <c r="K147" s="39">
        <v>185088.65357296239</v>
      </c>
    </row>
    <row r="148" spans="3:11">
      <c r="C148">
        <v>690</v>
      </c>
      <c r="D148" s="39">
        <v>990023.32329994719</v>
      </c>
      <c r="E148" s="39">
        <v>877520.67292495316</v>
      </c>
      <c r="F148" s="39">
        <v>765018.02254995925</v>
      </c>
      <c r="G148" s="39">
        <v>652515.37217496522</v>
      </c>
      <c r="H148" s="39">
        <v>540012.72179997119</v>
      </c>
      <c r="I148" s="39">
        <v>427510.07142497716</v>
      </c>
      <c r="J148" s="39">
        <v>315007.42104998324</v>
      </c>
      <c r="K148" s="39">
        <v>202504.77067498909</v>
      </c>
    </row>
    <row r="149" spans="3:11">
      <c r="C149">
        <v>700</v>
      </c>
      <c r="D149" s="39">
        <v>985104.42081539321</v>
      </c>
      <c r="E149" s="39">
        <v>875648.37405812729</v>
      </c>
      <c r="F149" s="39">
        <v>766192.32730086136</v>
      </c>
      <c r="G149" s="39">
        <v>656736.28054359555</v>
      </c>
      <c r="H149" s="39">
        <v>547280.23378632963</v>
      </c>
      <c r="I149" s="39">
        <v>437824.1870290637</v>
      </c>
      <c r="J149" s="39">
        <v>328368.14027179778</v>
      </c>
      <c r="K149" s="39">
        <v>218912.09351453185</v>
      </c>
    </row>
    <row r="150" spans="3:11">
      <c r="C150">
        <v>710</v>
      </c>
      <c r="D150" s="39">
        <v>980107.50995916908</v>
      </c>
      <c r="E150" s="39">
        <v>873574.08496360714</v>
      </c>
      <c r="F150" s="39">
        <v>767040.65996804531</v>
      </c>
      <c r="G150" s="39">
        <v>660507.23497248348</v>
      </c>
      <c r="H150" s="39">
        <v>553973.80997692165</v>
      </c>
      <c r="I150" s="39">
        <v>447440.38498135982</v>
      </c>
      <c r="J150" s="39">
        <v>340906.95998579799</v>
      </c>
      <c r="K150" s="39">
        <v>234373.53499023593</v>
      </c>
    </row>
    <row r="151" spans="3:11">
      <c r="C151">
        <v>720</v>
      </c>
      <c r="D151" s="39">
        <v>975044.1238656675</v>
      </c>
      <c r="E151" s="39">
        <v>871316.02558208595</v>
      </c>
      <c r="F151" s="39">
        <v>767587.92729850428</v>
      </c>
      <c r="G151" s="39">
        <v>663859.82901492261</v>
      </c>
      <c r="H151" s="39">
        <v>560131.73073134094</v>
      </c>
      <c r="I151" s="39">
        <v>456403.63244775927</v>
      </c>
      <c r="J151" s="39">
        <v>352675.53416417772</v>
      </c>
      <c r="K151" s="39">
        <v>248947.43588059605</v>
      </c>
    </row>
    <row r="152" spans="3:11">
      <c r="C152">
        <v>730</v>
      </c>
      <c r="D152" s="39">
        <v>969924.73508398188</v>
      </c>
      <c r="E152" s="39">
        <v>868890.90851273388</v>
      </c>
      <c r="F152" s="39">
        <v>767857.08194148575</v>
      </c>
      <c r="G152" s="39">
        <v>666823.25537023752</v>
      </c>
      <c r="H152" s="39">
        <v>565789.42879898939</v>
      </c>
      <c r="I152" s="39">
        <v>464755.60222774127</v>
      </c>
      <c r="J152" s="39">
        <v>363721.77565649315</v>
      </c>
      <c r="K152" s="39">
        <v>262687.94908524514</v>
      </c>
    </row>
    <row r="153" spans="3:11">
      <c r="C153">
        <v>740</v>
      </c>
      <c r="D153" s="39">
        <v>964758.8549528002</v>
      </c>
      <c r="E153" s="39">
        <v>866314.07383516757</v>
      </c>
      <c r="F153" s="39">
        <v>767869.29271753482</v>
      </c>
      <c r="G153" s="39">
        <v>669424.51159990218</v>
      </c>
      <c r="H153" s="39">
        <v>570979.73048226954</v>
      </c>
      <c r="I153" s="39">
        <v>472534.94936463679</v>
      </c>
      <c r="J153" s="39">
        <v>374090.16824700404</v>
      </c>
      <c r="K153" s="39">
        <v>275645.38712937152</v>
      </c>
    </row>
    <row r="154" spans="3:11">
      <c r="C154">
        <v>750</v>
      </c>
      <c r="D154" s="39">
        <v>959555.12288789009</v>
      </c>
      <c r="E154" s="39">
        <v>863599.61059910117</v>
      </c>
      <c r="F154" s="39">
        <v>767644.09831031214</v>
      </c>
      <c r="G154" s="39">
        <v>671688.58602152311</v>
      </c>
      <c r="H154" s="39">
        <v>575733.07373273408</v>
      </c>
      <c r="I154" s="39">
        <v>479777.56144394504</v>
      </c>
      <c r="J154" s="39">
        <v>383822.04915515613</v>
      </c>
      <c r="K154" s="39">
        <v>287866.5368663671</v>
      </c>
    </row>
    <row r="155" spans="3:11">
      <c r="C155">
        <v>760</v>
      </c>
      <c r="D155" s="39">
        <v>954321.38670201262</v>
      </c>
      <c r="E155" s="39">
        <v>860760.4664371094</v>
      </c>
      <c r="F155" s="39">
        <v>767199.54617220617</v>
      </c>
      <c r="G155" s="39">
        <v>673638.62590730307</v>
      </c>
      <c r="H155" s="39">
        <v>580077.70564239984</v>
      </c>
      <c r="I155" s="39">
        <v>486516.78537749662</v>
      </c>
      <c r="J155" s="39">
        <v>392955.8651125934</v>
      </c>
      <c r="K155" s="39">
        <v>299394.94484769017</v>
      </c>
    </row>
    <row r="156" spans="3:11">
      <c r="C156">
        <v>770</v>
      </c>
      <c r="D156" s="39">
        <v>949064.7749414182</v>
      </c>
      <c r="E156" s="39">
        <v>857808.54658166645</v>
      </c>
      <c r="F156" s="39">
        <v>766552.3182219147</v>
      </c>
      <c r="G156" s="39">
        <v>675296.08986216295</v>
      </c>
      <c r="H156" s="39">
        <v>584039.86150241119</v>
      </c>
      <c r="I156" s="39">
        <v>492783.63314265944</v>
      </c>
      <c r="J156" s="39">
        <v>401527.40478290769</v>
      </c>
      <c r="K156" s="39">
        <v>310271.17642315594</v>
      </c>
    </row>
    <row r="157" spans="3:11">
      <c r="C157">
        <v>780</v>
      </c>
      <c r="D157" s="39">
        <v>943791.76210536808</v>
      </c>
      <c r="E157" s="39">
        <v>854754.80341618229</v>
      </c>
      <c r="F157" s="39">
        <v>765717.84472699661</v>
      </c>
      <c r="G157" s="39">
        <v>676680.88603781094</v>
      </c>
      <c r="H157" s="39">
        <v>587643.92734862538</v>
      </c>
      <c r="I157" s="39">
        <v>498606.96865943971</v>
      </c>
      <c r="J157" s="39">
        <v>409570.00997025403</v>
      </c>
      <c r="K157" s="39">
        <v>320533.05128106824</v>
      </c>
    </row>
    <row r="158" spans="3:11">
      <c r="C158">
        <v>790</v>
      </c>
      <c r="D158" s="39">
        <v>938508.22751260083</v>
      </c>
      <c r="E158" s="39">
        <v>851609.31755773036</v>
      </c>
      <c r="F158" s="39">
        <v>764710.40760285989</v>
      </c>
      <c r="G158" s="39">
        <v>677811.49764798942</v>
      </c>
      <c r="H158" s="39">
        <v>590912.58769311896</v>
      </c>
      <c r="I158" s="39">
        <v>504013.67773824849</v>
      </c>
      <c r="J158" s="39">
        <v>417114.76778337813</v>
      </c>
      <c r="K158" s="39">
        <v>330215.85782850767</v>
      </c>
    </row>
    <row r="159" spans="3:11">
      <c r="C159">
        <v>800</v>
      </c>
      <c r="D159" s="39">
        <v>933219.50848926988</v>
      </c>
      <c r="E159" s="39">
        <v>848381.37135388167</v>
      </c>
      <c r="F159" s="39">
        <v>763543.23421849345</v>
      </c>
      <c r="G159" s="39">
        <v>678705.09708310536</v>
      </c>
      <c r="H159" s="39">
        <v>593866.95994771714</v>
      </c>
      <c r="I159" s="39">
        <v>509028.82281232905</v>
      </c>
      <c r="J159" s="39">
        <v>424190.68567694083</v>
      </c>
      <c r="K159" s="39">
        <v>339352.54854155262</v>
      </c>
    </row>
    <row r="160" spans="3:11">
      <c r="C160">
        <v>810</v>
      </c>
      <c r="D160" s="39">
        <v>927930.44847494666</v>
      </c>
      <c r="E160" s="39">
        <v>845079.51557539788</v>
      </c>
      <c r="F160" s="39">
        <v>762228.58267584909</v>
      </c>
      <c r="G160" s="39">
        <v>679377.6497763003</v>
      </c>
      <c r="H160" s="39">
        <v>596526.71687675139</v>
      </c>
      <c r="I160" s="39">
        <v>513675.78397720261</v>
      </c>
      <c r="J160" s="39">
        <v>430824.85107765382</v>
      </c>
      <c r="K160" s="39">
        <v>347973.91817810503</v>
      </c>
    </row>
    <row r="161" spans="3:11">
      <c r="C161">
        <v>820</v>
      </c>
      <c r="D161" s="39">
        <v>922645.44057495799</v>
      </c>
      <c r="E161" s="39">
        <v>841711.62999820733</v>
      </c>
      <c r="F161" s="39">
        <v>760777.81942145666</v>
      </c>
      <c r="G161" s="39">
        <v>679844.00884470588</v>
      </c>
      <c r="H161" s="39">
        <v>598910.19826795522</v>
      </c>
      <c r="I161" s="39">
        <v>517976.38769120455</v>
      </c>
      <c r="J161" s="39">
        <v>437042.57711445377</v>
      </c>
      <c r="K161" s="39">
        <v>356108.76653770311</v>
      </c>
    </row>
    <row r="162" spans="3:11">
      <c r="C162">
        <v>830</v>
      </c>
      <c r="D162" s="39">
        <v>917368.46702761366</v>
      </c>
      <c r="E162" s="39">
        <v>838284.97849075054</v>
      </c>
      <c r="F162" s="39">
        <v>759201.48995388718</v>
      </c>
      <c r="G162" s="39">
        <v>680118.00141702394</v>
      </c>
      <c r="H162" s="39">
        <v>601034.51288016071</v>
      </c>
      <c r="I162" s="39">
        <v>521951.02434329747</v>
      </c>
      <c r="J162" s="39">
        <v>442867.53580643423</v>
      </c>
      <c r="K162" s="39">
        <v>363784.04726957099</v>
      </c>
    </row>
    <row r="163" spans="3:11">
      <c r="C163">
        <v>840</v>
      </c>
      <c r="D163" s="39">
        <v>912103.13500239153</v>
      </c>
      <c r="E163" s="39">
        <v>834806.25915473117</v>
      </c>
      <c r="F163" s="39">
        <v>757509.38330707094</v>
      </c>
      <c r="G163" s="39">
        <v>680212.50745941058</v>
      </c>
      <c r="H163" s="39">
        <v>602915.63161175034</v>
      </c>
      <c r="I163" s="39">
        <v>525618.75576408999</v>
      </c>
      <c r="J163" s="39">
        <v>448321.87991642975</v>
      </c>
      <c r="K163" s="39">
        <v>371025.0040687694</v>
      </c>
    </row>
    <row r="164" spans="3:11">
      <c r="C164">
        <v>850</v>
      </c>
      <c r="D164" s="39">
        <v>906852.70909909625</v>
      </c>
      <c r="E164" s="39">
        <v>831281.65000750497</v>
      </c>
      <c r="F164" s="39">
        <v>755710.59091591358</v>
      </c>
      <c r="G164" s="39">
        <v>680139.53182432218</v>
      </c>
      <c r="H164" s="39">
        <v>604568.47273273091</v>
      </c>
      <c r="I164" s="39">
        <v>528997.41364113952</v>
      </c>
      <c r="J164" s="39">
        <v>453426.35454954812</v>
      </c>
      <c r="K164" s="39">
        <v>377855.29545795673</v>
      </c>
    </row>
    <row r="165" spans="3:11">
      <c r="C165">
        <v>860</v>
      </c>
      <c r="D165" s="39">
        <v>901620.14087741717</v>
      </c>
      <c r="E165" s="39">
        <v>827716.8506415633</v>
      </c>
      <c r="F165" s="39">
        <v>753813.56040570955</v>
      </c>
      <c r="G165" s="39">
        <v>679910.27016985556</v>
      </c>
      <c r="H165" s="39">
        <v>606006.97993400169</v>
      </c>
      <c r="I165" s="39">
        <v>532103.68969814782</v>
      </c>
      <c r="J165" s="39">
        <v>458200.39946229407</v>
      </c>
      <c r="K165" s="39">
        <v>384297.1092264402</v>
      </c>
    </row>
    <row r="166" spans="3:11">
      <c r="C166">
        <v>870</v>
      </c>
      <c r="D166" s="39">
        <v>896408.09571059258</v>
      </c>
      <c r="E166" s="39">
        <v>824117.12025006092</v>
      </c>
      <c r="F166" s="39">
        <v>751826.14478952927</v>
      </c>
      <c r="G166" s="39">
        <v>679535.16932899761</v>
      </c>
      <c r="H166" s="39">
        <v>607244.19386846595</v>
      </c>
      <c r="I166" s="39">
        <v>534953.2184079343</v>
      </c>
      <c r="J166" s="39">
        <v>462662.24294740264</v>
      </c>
      <c r="K166" s="39">
        <v>390371.26748687087</v>
      </c>
    </row>
  </sheetData>
  <mergeCells count="7">
    <mergeCell ref="A21:E21"/>
    <mergeCell ref="F21:H21"/>
    <mergeCell ref="A1:X1"/>
    <mergeCell ref="A2:D2"/>
    <mergeCell ref="A17:B17"/>
    <mergeCell ref="C17:D17"/>
    <mergeCell ref="E17:F17"/>
  </mergeCells>
  <conditionalFormatting sqref="D105:D166">
    <cfRule type="cellIs" dxfId="15" priority="2" operator="equal">
      <formula>MAX($D$105:$D$166)</formula>
    </cfRule>
  </conditionalFormatting>
  <conditionalFormatting sqref="E105:E166">
    <cfRule type="cellIs" dxfId="14" priority="1" operator="equal">
      <formula>MAX($E$105:$E$166)</formula>
    </cfRule>
  </conditionalFormatting>
  <conditionalFormatting sqref="H39:H100">
    <cfRule type="cellIs" dxfId="13" priority="3" operator="equal">
      <formula>MAX($H$39:$H$100)</formula>
    </cfRule>
    <cfRule type="cellIs" dxfId="12" priority="4" operator="equal">
      <formula>MAX($H$39:$H$100)</formula>
    </cfRule>
    <cfRule type="cellIs" dxfId="11" priority="5" operator="equal">
      <formula>"Max"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69C6-ED5C-42E6-8656-E99E4A1B95B1}">
  <dimension ref="A1:Q25"/>
  <sheetViews>
    <sheetView zoomScale="91" workbookViewId="0">
      <selection activeCell="A11" sqref="A11:B11"/>
    </sheetView>
  </sheetViews>
  <sheetFormatPr defaultRowHeight="14.4"/>
  <cols>
    <col min="1" max="1" width="11.109375" bestFit="1" customWidth="1"/>
    <col min="2" max="2" width="21.88671875" bestFit="1" customWidth="1"/>
    <col min="3" max="3" width="23.21875" bestFit="1" customWidth="1"/>
    <col min="4" max="4" width="11.77734375" customWidth="1"/>
    <col min="5" max="5" width="11.77734375" bestFit="1" customWidth="1"/>
  </cols>
  <sheetData>
    <row r="1" spans="1:17" ht="20.399999999999999" thickBot="1">
      <c r="A1" s="123" t="s">
        <v>211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18.600000000000001" thickTop="1" thickBot="1">
      <c r="A2" s="129" t="s">
        <v>148</v>
      </c>
      <c r="B2" s="129"/>
      <c r="C2" s="129"/>
    </row>
    <row r="3" spans="1:17" ht="15" thickTop="1">
      <c r="A3" s="40" t="s">
        <v>149</v>
      </c>
      <c r="B3" s="40" t="s">
        <v>15</v>
      </c>
      <c r="C3" s="40" t="s">
        <v>147</v>
      </c>
    </row>
    <row r="4" spans="1:17">
      <c r="A4">
        <v>1</v>
      </c>
      <c r="B4" s="29">
        <v>2017</v>
      </c>
      <c r="C4" s="41">
        <v>218.6</v>
      </c>
    </row>
    <row r="5" spans="1:17">
      <c r="A5">
        <v>2</v>
      </c>
      <c r="B5" s="29">
        <v>2018</v>
      </c>
      <c r="C5" s="41">
        <v>435</v>
      </c>
    </row>
    <row r="6" spans="1:17">
      <c r="A6">
        <v>3</v>
      </c>
      <c r="B6" s="29">
        <v>2019</v>
      </c>
      <c r="C6" s="41">
        <v>915</v>
      </c>
    </row>
    <row r="7" spans="1:17">
      <c r="A7">
        <v>4</v>
      </c>
      <c r="B7" s="29">
        <v>2020</v>
      </c>
      <c r="C7" s="41">
        <v>1825.9</v>
      </c>
    </row>
    <row r="8" spans="1:17">
      <c r="A8">
        <v>5</v>
      </c>
      <c r="B8" s="29">
        <v>2021</v>
      </c>
      <c r="C8" s="41">
        <v>4021.8</v>
      </c>
    </row>
    <row r="11" spans="1:17">
      <c r="A11" s="127" t="s">
        <v>123</v>
      </c>
      <c r="B11" s="127"/>
      <c r="C11" s="127" t="s">
        <v>122</v>
      </c>
      <c r="D11" s="127"/>
    </row>
    <row r="12" spans="1:17">
      <c r="A12" s="7" t="s">
        <v>155</v>
      </c>
      <c r="B12" s="7">
        <v>135.80000000000001</v>
      </c>
      <c r="C12" s="7" t="s">
        <v>155</v>
      </c>
      <c r="D12" s="7">
        <v>173.94</v>
      </c>
    </row>
    <row r="13" spans="1:17">
      <c r="A13" s="7" t="s">
        <v>156</v>
      </c>
      <c r="B13" s="7">
        <v>0.6099</v>
      </c>
      <c r="C13" s="7" t="s">
        <v>156</v>
      </c>
      <c r="D13" s="7">
        <v>1.7209000000000001</v>
      </c>
    </row>
    <row r="15" spans="1:17">
      <c r="A15" s="7" t="s">
        <v>150</v>
      </c>
      <c r="B15" s="7"/>
      <c r="C15" s="7" t="s">
        <v>152</v>
      </c>
      <c r="D15" s="7"/>
      <c r="E15" s="7" t="s">
        <v>133</v>
      </c>
      <c r="F15" s="7"/>
    </row>
    <row r="16" spans="1:17">
      <c r="A16" s="7" t="s">
        <v>151</v>
      </c>
      <c r="B16" s="7" t="s">
        <v>154</v>
      </c>
      <c r="C16" s="7" t="s">
        <v>153</v>
      </c>
      <c r="D16" s="7" t="s">
        <v>130</v>
      </c>
      <c r="E16" s="7" t="s">
        <v>131</v>
      </c>
      <c r="F16" s="7" t="s">
        <v>130</v>
      </c>
    </row>
    <row r="17" spans="1:6">
      <c r="A17" s="7">
        <v>1</v>
      </c>
      <c r="B17" s="44">
        <v>218.6</v>
      </c>
      <c r="C17" s="43">
        <f>$B$12*EXP($B$13*A17)</f>
        <v>249.9055921457622</v>
      </c>
      <c r="D17" s="45">
        <f>$D$12*A17^$D$13</f>
        <v>173.94</v>
      </c>
      <c r="E17" s="46">
        <f>ABS(C17-B17)/B17</f>
        <v>0.14320947916634127</v>
      </c>
      <c r="F17" s="46">
        <f>ABS(D17-B17)/B17</f>
        <v>0.20430009149130832</v>
      </c>
    </row>
    <row r="18" spans="1:6">
      <c r="A18" s="7">
        <v>2</v>
      </c>
      <c r="B18" s="44">
        <v>435</v>
      </c>
      <c r="C18" s="43">
        <f t="shared" ref="C18:C22" si="0">$B$12*EXP($B$13*A18)</f>
        <v>459.88810740592078</v>
      </c>
      <c r="D18" s="45">
        <f t="shared" ref="D18:D22" si="1">$D$12*A18^$D$13</f>
        <v>573.3792672273787</v>
      </c>
      <c r="E18" s="46">
        <f t="shared" ref="E18:E22" si="2">ABS(C18-B18)/B18</f>
        <v>5.7214040013610981E-2</v>
      </c>
      <c r="F18" s="46">
        <f t="shared" ref="F18:F22" si="3">ABS(D18-B18)/B18</f>
        <v>0.31811325799397405</v>
      </c>
    </row>
    <row r="19" spans="1:6">
      <c r="A19" s="7">
        <v>3</v>
      </c>
      <c r="B19" s="44">
        <v>915</v>
      </c>
      <c r="C19" s="43">
        <f t="shared" si="0"/>
        <v>846.30787777666035</v>
      </c>
      <c r="D19" s="45">
        <f t="shared" si="1"/>
        <v>1152.0661940645791</v>
      </c>
      <c r="E19" s="46">
        <f t="shared" si="2"/>
        <v>7.5073357621136233E-2</v>
      </c>
      <c r="F19" s="46">
        <f t="shared" si="3"/>
        <v>0.25908873668260013</v>
      </c>
    </row>
    <row r="20" spans="1:6">
      <c r="A20" s="7">
        <v>4</v>
      </c>
      <c r="B20" s="44">
        <v>1825.9</v>
      </c>
      <c r="C20" s="43">
        <f t="shared" si="0"/>
        <v>1557.415841924887</v>
      </c>
      <c r="D20" s="45">
        <f t="shared" si="1"/>
        <v>1890.0987931827399</v>
      </c>
      <c r="E20" s="46">
        <f t="shared" si="2"/>
        <v>0.14704209325544285</v>
      </c>
      <c r="F20" s="46">
        <f t="shared" si="3"/>
        <v>3.5160081703674781E-2</v>
      </c>
    </row>
    <row r="21" spans="1:6">
      <c r="A21" s="7">
        <v>5</v>
      </c>
      <c r="B21" s="44">
        <v>4021.8</v>
      </c>
      <c r="C21" s="43">
        <f t="shared" si="0"/>
        <v>2866.0303990679654</v>
      </c>
      <c r="D21" s="45">
        <f t="shared" si="1"/>
        <v>2774.9613986002573</v>
      </c>
      <c r="E21" s="46">
        <f t="shared" si="2"/>
        <v>0.28737619994331759</v>
      </c>
      <c r="F21" s="46">
        <f t="shared" si="3"/>
        <v>0.31002004112580012</v>
      </c>
    </row>
    <row r="22" spans="1:6">
      <c r="A22" s="7">
        <v>6</v>
      </c>
      <c r="B22" s="44">
        <v>3582.1</v>
      </c>
      <c r="C22" s="43">
        <f t="shared" si="0"/>
        <v>5274.2048894464997</v>
      </c>
      <c r="D22" s="45">
        <f t="shared" si="1"/>
        <v>3797.6938608151286</v>
      </c>
      <c r="E22" s="46">
        <f t="shared" si="2"/>
        <v>0.47237790386826156</v>
      </c>
      <c r="F22" s="46">
        <f t="shared" si="3"/>
        <v>6.0186443933761949E-2</v>
      </c>
    </row>
    <row r="23" spans="1:6">
      <c r="A23" s="7"/>
      <c r="B23" s="7"/>
      <c r="C23" s="7"/>
      <c r="D23" s="7" t="s">
        <v>157</v>
      </c>
      <c r="E23" s="47">
        <f>AVERAGE(E17:E22)</f>
        <v>0.19704884564468508</v>
      </c>
      <c r="F23" s="48">
        <f>AVERAGE(F17:F22)</f>
        <v>0.19781144215518656</v>
      </c>
    </row>
    <row r="24" spans="1:6">
      <c r="A24" t="s">
        <v>15</v>
      </c>
      <c r="B24" s="49">
        <v>7</v>
      </c>
    </row>
    <row r="25" spans="1:6">
      <c r="A25" t="s">
        <v>158</v>
      </c>
      <c r="B25">
        <f>$B$12*EXP($B$13*B24)</f>
        <v>9705.8416494492085</v>
      </c>
      <c r="C25" s="42"/>
    </row>
  </sheetData>
  <mergeCells count="4">
    <mergeCell ref="A2:C2"/>
    <mergeCell ref="A11:B11"/>
    <mergeCell ref="C11:D11"/>
    <mergeCell ref="A1:Q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CD87-31C4-4614-93C0-6661E8C7F30A}">
  <dimension ref="A1:U24"/>
  <sheetViews>
    <sheetView workbookViewId="0">
      <selection activeCell="J5" sqref="J5"/>
    </sheetView>
  </sheetViews>
  <sheetFormatPr defaultRowHeight="14.4"/>
  <cols>
    <col min="1" max="1" width="20.44140625" bestFit="1" customWidth="1"/>
    <col min="7" max="7" width="16.77734375" bestFit="1" customWidth="1"/>
    <col min="8" max="8" width="13.5546875" bestFit="1" customWidth="1"/>
  </cols>
  <sheetData>
    <row r="1" spans="1:21" ht="20.399999999999999" thickBot="1">
      <c r="A1" s="123" t="s">
        <v>209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</row>
    <row r="2" spans="1:21" ht="20.399999999999999" thickTop="1">
      <c r="A2" s="124" t="s">
        <v>159</v>
      </c>
      <c r="B2" s="124"/>
      <c r="C2" s="124"/>
      <c r="D2" s="124"/>
      <c r="E2" s="124"/>
    </row>
    <row r="3" spans="1:21">
      <c r="F3" s="130" t="s">
        <v>169</v>
      </c>
      <c r="G3" s="130"/>
    </row>
    <row r="4" spans="1:21">
      <c r="A4" s="7" t="s">
        <v>160</v>
      </c>
      <c r="B4" s="7">
        <v>9.3000000000000007</v>
      </c>
      <c r="C4" s="7" t="s">
        <v>161</v>
      </c>
      <c r="F4" s="8" t="s">
        <v>15</v>
      </c>
      <c r="G4" s="8" t="s">
        <v>170</v>
      </c>
    </row>
    <row r="5" spans="1:21">
      <c r="A5" s="7" t="s">
        <v>163</v>
      </c>
      <c r="B5" s="7">
        <v>20</v>
      </c>
      <c r="C5" s="7" t="s">
        <v>164</v>
      </c>
      <c r="F5" s="7">
        <v>1</v>
      </c>
      <c r="G5" s="9">
        <f>B6</f>
        <v>1.2</v>
      </c>
      <c r="H5" t="str">
        <f ca="1">_xlfn.FORMULATEXT(G5)</f>
        <v>=B6</v>
      </c>
    </row>
    <row r="6" spans="1:21">
      <c r="A6" s="7" t="s">
        <v>162</v>
      </c>
      <c r="B6" s="7">
        <v>1.2</v>
      </c>
      <c r="C6" s="7" t="s">
        <v>161</v>
      </c>
      <c r="F6" s="7">
        <v>2</v>
      </c>
      <c r="G6" s="9">
        <f>IF(F6&lt;$B$7,G5*(1+$B$8), G5*(1-$B$9))</f>
        <v>1.32</v>
      </c>
      <c r="H6" t="str">
        <f t="shared" ref="H6:H24" ca="1" si="0">_xlfn.FORMULATEXT(G6)</f>
        <v>=IF(F6&lt;$B$7,G5*(1+$B$8), G5*(1-$B$9))</v>
      </c>
    </row>
    <row r="7" spans="1:21">
      <c r="A7" s="7" t="s">
        <v>167</v>
      </c>
      <c r="B7" s="7">
        <v>8</v>
      </c>
      <c r="C7" s="7" t="s">
        <v>164</v>
      </c>
      <c r="F7" s="7">
        <v>3</v>
      </c>
      <c r="G7" s="9">
        <f t="shared" ref="G7:G24" si="1">IF(F7&lt;$B$7,G6*(1+$B$8), G6*(1-$B$9))</f>
        <v>1.4520000000000002</v>
      </c>
      <c r="H7" t="str">
        <f t="shared" ca="1" si="0"/>
        <v>=IF(F7&lt;$B$7,G6*(1+$B$8), G6*(1-$B$9))</v>
      </c>
    </row>
    <row r="8" spans="1:21">
      <c r="A8" s="7" t="s">
        <v>165</v>
      </c>
      <c r="B8" s="50">
        <v>0.1</v>
      </c>
      <c r="C8" s="7"/>
      <c r="F8" s="7">
        <v>4</v>
      </c>
      <c r="G8" s="9">
        <f t="shared" si="1"/>
        <v>1.5972000000000004</v>
      </c>
      <c r="H8" t="str">
        <f t="shared" ca="1" si="0"/>
        <v>=IF(F8&lt;$B$7,G7*(1+$B$8), G7*(1-$B$9))</v>
      </c>
    </row>
    <row r="9" spans="1:21">
      <c r="A9" s="7" t="s">
        <v>166</v>
      </c>
      <c r="B9" s="50">
        <v>0.05</v>
      </c>
      <c r="C9" s="7"/>
      <c r="F9" s="7">
        <v>5</v>
      </c>
      <c r="G9" s="9">
        <f t="shared" si="1"/>
        <v>1.7569200000000005</v>
      </c>
      <c r="H9" t="str">
        <f t="shared" ca="1" si="0"/>
        <v>=IF(F9&lt;$B$7,G8*(1+$B$8), G8*(1-$B$9))</v>
      </c>
    </row>
    <row r="10" spans="1:21">
      <c r="A10" s="7" t="s">
        <v>168</v>
      </c>
      <c r="B10" s="50">
        <v>0.12</v>
      </c>
      <c r="C10" s="7"/>
      <c r="F10" s="7">
        <v>6</v>
      </c>
      <c r="G10" s="9">
        <f t="shared" si="1"/>
        <v>1.9326120000000007</v>
      </c>
      <c r="H10" t="str">
        <f t="shared" ca="1" si="0"/>
        <v>=IF(F10&lt;$B$7,G9*(1+$B$8), G9*(1-$B$9))</v>
      </c>
    </row>
    <row r="11" spans="1:21">
      <c r="A11" s="7"/>
      <c r="B11" s="7"/>
      <c r="C11" s="7"/>
      <c r="F11" s="7">
        <v>7</v>
      </c>
      <c r="G11" s="9">
        <f t="shared" si="1"/>
        <v>2.1258732000000009</v>
      </c>
      <c r="H11" t="str">
        <f t="shared" ca="1" si="0"/>
        <v>=IF(F11&lt;$B$7,G10*(1+$B$8), G10*(1-$B$9))</v>
      </c>
    </row>
    <row r="12" spans="1:21">
      <c r="A12" s="7" t="s">
        <v>171</v>
      </c>
      <c r="B12" s="9">
        <f>NPV(B10,G5:G24)</f>
        <v>11.851609399230441</v>
      </c>
      <c r="C12" s="7"/>
      <c r="F12" s="7">
        <v>8</v>
      </c>
      <c r="G12" s="9">
        <f t="shared" si="1"/>
        <v>2.019579540000001</v>
      </c>
      <c r="H12" t="str">
        <f t="shared" ca="1" si="0"/>
        <v>=IF(F12&lt;$B$7,G11*(1+$B$8), G11*(1-$B$9))</v>
      </c>
    </row>
    <row r="13" spans="1:21">
      <c r="A13" s="7" t="s">
        <v>160</v>
      </c>
      <c r="B13" s="7">
        <v>9.3000000000000007</v>
      </c>
      <c r="C13" s="7" t="s">
        <v>161</v>
      </c>
      <c r="F13" s="7">
        <v>9</v>
      </c>
      <c r="G13" s="9">
        <f t="shared" si="1"/>
        <v>1.9186005630000007</v>
      </c>
      <c r="H13" t="str">
        <f t="shared" ca="1" si="0"/>
        <v>=IF(F13&lt;$B$7,G12*(1+$B$8), G12*(1-$B$9))</v>
      </c>
    </row>
    <row r="14" spans="1:21">
      <c r="A14" s="8" t="s">
        <v>173</v>
      </c>
      <c r="B14" s="51">
        <f>B12-B13</f>
        <v>2.5516093992304398</v>
      </c>
      <c r="C14" s="8" t="s">
        <v>161</v>
      </c>
      <c r="F14" s="7">
        <v>10</v>
      </c>
      <c r="G14" s="9">
        <f t="shared" si="1"/>
        <v>1.8226705348500005</v>
      </c>
      <c r="H14" t="str">
        <f t="shared" ca="1" si="0"/>
        <v>=IF(F14&lt;$B$7,G13*(1+$B$8), G13*(1-$B$9))</v>
      </c>
    </row>
    <row r="15" spans="1:21">
      <c r="F15" s="7">
        <v>11</v>
      </c>
      <c r="G15" s="9">
        <f t="shared" si="1"/>
        <v>1.7315370081075003</v>
      </c>
      <c r="H15" t="str">
        <f t="shared" ca="1" si="0"/>
        <v>=IF(F15&lt;$B$7,G14*(1+$B$8), G14*(1-$B$9))</v>
      </c>
    </row>
    <row r="16" spans="1:21">
      <c r="F16" s="7">
        <v>12</v>
      </c>
      <c r="G16" s="9">
        <f t="shared" si="1"/>
        <v>1.6449601577021253</v>
      </c>
      <c r="H16" t="str">
        <f t="shared" ca="1" si="0"/>
        <v>=IF(F16&lt;$B$7,G15*(1+$B$8), G15*(1-$B$9))</v>
      </c>
    </row>
    <row r="17" spans="6:8">
      <c r="F17" s="7">
        <v>13</v>
      </c>
      <c r="G17" s="9">
        <f t="shared" si="1"/>
        <v>1.5627121498170189</v>
      </c>
      <c r="H17" t="str">
        <f t="shared" ca="1" si="0"/>
        <v>=IF(F17&lt;$B$7,G16*(1+$B$8), G16*(1-$B$9))</v>
      </c>
    </row>
    <row r="18" spans="6:8">
      <c r="F18" s="7">
        <v>14</v>
      </c>
      <c r="G18" s="9">
        <f t="shared" si="1"/>
        <v>1.4845765423261679</v>
      </c>
      <c r="H18" t="str">
        <f t="shared" ca="1" si="0"/>
        <v>=IF(F18&lt;$B$7,G17*(1+$B$8), G17*(1-$B$9))</v>
      </c>
    </row>
    <row r="19" spans="6:8">
      <c r="F19" s="7">
        <v>15</v>
      </c>
      <c r="G19" s="9">
        <f t="shared" si="1"/>
        <v>1.4103477152098594</v>
      </c>
      <c r="H19" t="str">
        <f t="shared" ca="1" si="0"/>
        <v>=IF(F19&lt;$B$7,G18*(1+$B$8), G18*(1-$B$9))</v>
      </c>
    </row>
    <row r="20" spans="6:8">
      <c r="F20" s="7">
        <v>16</v>
      </c>
      <c r="G20" s="9">
        <f t="shared" si="1"/>
        <v>1.3398303294493663</v>
      </c>
      <c r="H20" t="str">
        <f t="shared" ca="1" si="0"/>
        <v>=IF(F20&lt;$B$7,G19*(1+$B$8), G19*(1-$B$9))</v>
      </c>
    </row>
    <row r="21" spans="6:8">
      <c r="F21" s="7">
        <v>17</v>
      </c>
      <c r="G21" s="9">
        <f t="shared" si="1"/>
        <v>1.2728388129768979</v>
      </c>
      <c r="H21" t="str">
        <f t="shared" ca="1" si="0"/>
        <v>=IF(F21&lt;$B$7,G20*(1+$B$8), G20*(1-$B$9))</v>
      </c>
    </row>
    <row r="22" spans="6:8">
      <c r="F22" s="7">
        <v>18</v>
      </c>
      <c r="G22" s="9">
        <f t="shared" si="1"/>
        <v>1.2091968723280531</v>
      </c>
      <c r="H22" t="str">
        <f t="shared" ca="1" si="0"/>
        <v>=IF(F22&lt;$B$7,G21*(1+$B$8), G21*(1-$B$9))</v>
      </c>
    </row>
    <row r="23" spans="6:8">
      <c r="F23" s="7">
        <v>19</v>
      </c>
      <c r="G23" s="9">
        <f t="shared" si="1"/>
        <v>1.1487370287116503</v>
      </c>
      <c r="H23" t="str">
        <f t="shared" ca="1" si="0"/>
        <v>=IF(F23&lt;$B$7,G22*(1+$B$8), G22*(1-$B$9))</v>
      </c>
    </row>
    <row r="24" spans="6:8">
      <c r="F24" s="7">
        <v>20</v>
      </c>
      <c r="G24" s="9">
        <f t="shared" si="1"/>
        <v>1.0913001772760678</v>
      </c>
      <c r="H24" t="str">
        <f t="shared" ca="1" si="0"/>
        <v>=IF(F24&lt;$B$7,G23*(1+$B$8), G23*(1-$B$9))</v>
      </c>
    </row>
  </sheetData>
  <mergeCells count="3">
    <mergeCell ref="A2:E2"/>
    <mergeCell ref="F3:G3"/>
    <mergeCell ref="A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8312-0406-4C13-A2D3-E77A51F60BC6}">
  <dimension ref="A1:J14"/>
  <sheetViews>
    <sheetView workbookViewId="0">
      <selection activeCell="I4" sqref="I4"/>
    </sheetView>
  </sheetViews>
  <sheetFormatPr defaultRowHeight="14.4"/>
  <cols>
    <col min="1" max="1" width="20.6640625" bestFit="1" customWidth="1"/>
    <col min="2" max="2" width="12.5546875" bestFit="1" customWidth="1"/>
    <col min="3" max="3" width="11.109375" bestFit="1" customWidth="1"/>
  </cols>
  <sheetData>
    <row r="1" spans="1:10" ht="20.399999999999999" thickBot="1">
      <c r="A1" s="123" t="s">
        <v>172</v>
      </c>
      <c r="B1" s="123"/>
      <c r="C1" s="123"/>
      <c r="D1" s="123"/>
      <c r="E1" s="123"/>
      <c r="F1" s="123"/>
      <c r="G1" s="123"/>
    </row>
    <row r="2" spans="1:10" ht="15" thickTop="1">
      <c r="A2" s="8" t="s">
        <v>15</v>
      </c>
      <c r="B2" s="8" t="s">
        <v>174</v>
      </c>
    </row>
    <row r="3" spans="1:10">
      <c r="A3" s="7">
        <v>1</v>
      </c>
      <c r="B3" s="9">
        <v>30000</v>
      </c>
    </row>
    <row r="4" spans="1:10">
      <c r="A4" s="7">
        <v>2</v>
      </c>
      <c r="B4" s="9">
        <v>65000</v>
      </c>
    </row>
    <row r="5" spans="1:10">
      <c r="A5" s="7">
        <v>3</v>
      </c>
      <c r="B5" s="9">
        <v>80000</v>
      </c>
      <c r="J5" s="16"/>
    </row>
    <row r="6" spans="1:10">
      <c r="A6" s="7">
        <v>4</v>
      </c>
      <c r="B6" s="9">
        <v>75000</v>
      </c>
    </row>
    <row r="7" spans="1:10">
      <c r="A7" s="7">
        <v>5</v>
      </c>
      <c r="B7" s="9">
        <v>55000</v>
      </c>
    </row>
    <row r="10" spans="1:10">
      <c r="A10" s="7" t="s">
        <v>175</v>
      </c>
      <c r="B10" s="9">
        <v>150000</v>
      </c>
    </row>
    <row r="11" spans="1:10">
      <c r="A11" s="7" t="s">
        <v>176</v>
      </c>
      <c r="B11" s="50">
        <v>0.15</v>
      </c>
    </row>
    <row r="12" spans="1:10">
      <c r="A12" s="7" t="s">
        <v>172</v>
      </c>
      <c r="B12" s="9">
        <f>NPV(B11,B3:B7)</f>
        <v>198063.80735147279</v>
      </c>
      <c r="C12" s="16" t="str">
        <f ca="1">_xlfn.FORMULATEXT(B12)</f>
        <v>=NPV(B11,B3:B7)</v>
      </c>
    </row>
    <row r="13" spans="1:10">
      <c r="A13" s="7"/>
      <c r="B13" s="7"/>
    </row>
    <row r="14" spans="1:10">
      <c r="A14" s="7" t="s">
        <v>177</v>
      </c>
      <c r="B14" s="9">
        <f>B12-B10</f>
        <v>48063.807351472788</v>
      </c>
      <c r="C14" t="str">
        <f ca="1">_xlfn.FORMULATEXT(B14)</f>
        <v>=B12-B10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DB72-AFC8-4AF4-A247-518038FF4A4B}">
  <dimension ref="A1:W48"/>
  <sheetViews>
    <sheetView zoomScale="79" zoomScaleNormal="99" workbookViewId="0">
      <selection activeCell="H22" sqref="H22"/>
    </sheetView>
  </sheetViews>
  <sheetFormatPr defaultRowHeight="14.4"/>
  <cols>
    <col min="1" max="1" width="13.21875" bestFit="1" customWidth="1"/>
    <col min="2" max="2" width="15.77734375" bestFit="1" customWidth="1"/>
    <col min="3" max="3" width="32.6640625" bestFit="1" customWidth="1"/>
    <col min="4" max="4" width="32.6640625" customWidth="1"/>
    <col min="5" max="5" width="14.33203125" bestFit="1" customWidth="1"/>
    <col min="6" max="6" width="22.44140625" bestFit="1" customWidth="1"/>
    <col min="7" max="7" width="20.88671875" bestFit="1" customWidth="1"/>
  </cols>
  <sheetData>
    <row r="1" spans="1:23" ht="20.399999999999999" thickBot="1">
      <c r="A1" s="123" t="s">
        <v>212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</row>
    <row r="2" spans="1:23" ht="15" thickTop="1">
      <c r="A2" s="52" t="s">
        <v>15</v>
      </c>
      <c r="B2" s="52" t="s">
        <v>179</v>
      </c>
      <c r="C2" s="53" t="s">
        <v>178</v>
      </c>
      <c r="D2" s="58" t="s">
        <v>185</v>
      </c>
      <c r="E2" s="61" t="s">
        <v>183</v>
      </c>
      <c r="F2" s="61" t="s">
        <v>184</v>
      </c>
    </row>
    <row r="3" spans="1:23">
      <c r="A3" s="54">
        <v>1992</v>
      </c>
      <c r="B3" s="54">
        <v>1</v>
      </c>
      <c r="C3" s="55">
        <v>150781.16666666666</v>
      </c>
      <c r="D3" s="55"/>
      <c r="E3" s="55">
        <f t="shared" ref="E3:E24" si="0">$H$5*EXP($H$6*B3)</f>
        <v>165143.66740010298</v>
      </c>
      <c r="F3" s="56">
        <f>ABS(E3-C3)/C3</f>
        <v>9.5253943519270107E-2</v>
      </c>
      <c r="G3" t="s">
        <v>153</v>
      </c>
      <c r="H3" t="s">
        <v>180</v>
      </c>
    </row>
    <row r="4" spans="1:23">
      <c r="A4" s="29">
        <v>1993</v>
      </c>
      <c r="B4" s="29">
        <v>2</v>
      </c>
      <c r="C4" s="55">
        <v>161696.25</v>
      </c>
      <c r="D4" s="59">
        <f>(C4-C3)/C3</f>
        <v>7.2390229991146179E-2</v>
      </c>
      <c r="E4" s="55">
        <f t="shared" si="0"/>
        <v>172399.73249357322</v>
      </c>
      <c r="F4" s="56">
        <f t="shared" ref="F4:F21" si="1">ABS(E4-C4)/C4</f>
        <v>6.6194995205969331E-2</v>
      </c>
    </row>
    <row r="5" spans="1:23">
      <c r="A5" s="29">
        <v>1994</v>
      </c>
      <c r="B5" s="29">
        <v>3</v>
      </c>
      <c r="C5" s="55">
        <v>175688.83333333334</v>
      </c>
      <c r="D5" s="59">
        <f t="shared" ref="D5:D22" si="2">(C5-C4)/C4</f>
        <v>8.6536226618325052E-2</v>
      </c>
      <c r="E5" s="55">
        <f t="shared" si="0"/>
        <v>179974.61381214956</v>
      </c>
      <c r="F5" s="56">
        <f t="shared" si="1"/>
        <v>2.4394154127512661E-2</v>
      </c>
      <c r="G5" t="s">
        <v>181</v>
      </c>
      <c r="H5">
        <v>158193</v>
      </c>
    </row>
    <row r="6" spans="1:23">
      <c r="A6" s="29">
        <v>1995</v>
      </c>
      <c r="B6" s="29">
        <v>4</v>
      </c>
      <c r="C6" s="55">
        <v>185437.25</v>
      </c>
      <c r="D6" s="59">
        <f t="shared" si="2"/>
        <v>5.5486831358092327E-2</v>
      </c>
      <c r="E6" s="55">
        <f t="shared" si="0"/>
        <v>187882.31946960744</v>
      </c>
      <c r="F6" s="56">
        <f t="shared" si="1"/>
        <v>1.3185427790842644E-2</v>
      </c>
      <c r="G6" t="s">
        <v>182</v>
      </c>
      <c r="H6">
        <v>4.2999999999999997E-2</v>
      </c>
    </row>
    <row r="7" spans="1:23">
      <c r="A7" s="29">
        <v>1996</v>
      </c>
      <c r="B7" s="54">
        <v>5</v>
      </c>
      <c r="C7" s="55">
        <v>196728.16666666666</v>
      </c>
      <c r="D7" s="59">
        <f t="shared" si="2"/>
        <v>6.0888072200524203E-2</v>
      </c>
      <c r="E7" s="55">
        <f t="shared" si="0"/>
        <v>196137.47306675219</v>
      </c>
      <c r="F7" s="56">
        <f t="shared" si="1"/>
        <v>3.0025878343863449E-3</v>
      </c>
      <c r="G7" s="6"/>
    </row>
    <row r="8" spans="1:23">
      <c r="A8" s="29">
        <v>1997</v>
      </c>
      <c r="B8" s="29">
        <v>6</v>
      </c>
      <c r="C8" s="55">
        <v>206334.08333333334</v>
      </c>
      <c r="D8" s="59">
        <f t="shared" si="2"/>
        <v>4.8828374855659648E-2</v>
      </c>
      <c r="E8" s="55">
        <f t="shared" si="0"/>
        <v>204755.34073462404</v>
      </c>
      <c r="F8" s="56">
        <f t="shared" si="1"/>
        <v>7.6513902754439152E-3</v>
      </c>
      <c r="G8" s="6"/>
      <c r="H8" s="127" t="s">
        <v>122</v>
      </c>
      <c r="I8" s="127"/>
    </row>
    <row r="9" spans="1:23">
      <c r="A9" s="29">
        <v>1998</v>
      </c>
      <c r="B9" s="29">
        <v>7</v>
      </c>
      <c r="C9" s="55">
        <v>215657.66666666666</v>
      </c>
      <c r="D9" s="59">
        <f t="shared" si="2"/>
        <v>4.5186830904087892E-2</v>
      </c>
      <c r="E9" s="55">
        <f t="shared" si="0"/>
        <v>213751.8593659233</v>
      </c>
      <c r="F9" s="56">
        <f t="shared" si="1"/>
        <v>8.8371877995373337E-3</v>
      </c>
      <c r="G9" s="6" t="s">
        <v>143</v>
      </c>
      <c r="H9">
        <v>1286193</v>
      </c>
    </row>
    <row r="10" spans="1:23">
      <c r="A10" s="29">
        <v>1999</v>
      </c>
      <c r="B10" s="29">
        <v>8</v>
      </c>
      <c r="C10" s="55">
        <v>233872</v>
      </c>
      <c r="D10" s="59">
        <f t="shared" si="2"/>
        <v>8.4459475124927977E-2</v>
      </c>
      <c r="E10" s="55">
        <f t="shared" si="0"/>
        <v>223143.66608686617</v>
      </c>
      <c r="F10" s="56">
        <f t="shared" si="1"/>
        <v>4.5872673569875101E-2</v>
      </c>
      <c r="G10" s="6" t="s">
        <v>187</v>
      </c>
      <c r="H10">
        <v>0.31069999999999998</v>
      </c>
    </row>
    <row r="11" spans="1:23">
      <c r="A11" s="29">
        <v>2000</v>
      </c>
      <c r="B11" s="54">
        <v>9</v>
      </c>
      <c r="C11" s="55">
        <v>248748.25</v>
      </c>
      <c r="D11" s="59">
        <f t="shared" si="2"/>
        <v>6.3608512348635154E-2</v>
      </c>
      <c r="E11" s="55">
        <f t="shared" si="0"/>
        <v>232948.12902397109</v>
      </c>
      <c r="F11" s="56">
        <f t="shared" si="1"/>
        <v>6.3518521139460909E-2</v>
      </c>
      <c r="G11" s="6"/>
    </row>
    <row r="12" spans="1:23">
      <c r="A12" s="29">
        <v>2001</v>
      </c>
      <c r="B12" s="29">
        <v>10</v>
      </c>
      <c r="C12" s="55">
        <v>255663.75</v>
      </c>
      <c r="D12" s="59">
        <f t="shared" si="2"/>
        <v>2.7801200611461588E-2</v>
      </c>
      <c r="E12" s="55">
        <f t="shared" si="0"/>
        <v>243183.37942267326</v>
      </c>
      <c r="F12" s="56">
        <f t="shared" si="1"/>
        <v>4.88155656690741E-2</v>
      </c>
      <c r="G12" s="6"/>
      <c r="H12" s="127" t="s">
        <v>121</v>
      </c>
      <c r="I12" s="127"/>
    </row>
    <row r="13" spans="1:23">
      <c r="A13" s="29">
        <v>2002</v>
      </c>
      <c r="B13" s="29">
        <v>11</v>
      </c>
      <c r="C13" s="55">
        <v>261272.41666666666</v>
      </c>
      <c r="D13" s="59">
        <f t="shared" si="2"/>
        <v>2.1937668780445632E-2</v>
      </c>
      <c r="E13" s="55">
        <f t="shared" si="0"/>
        <v>253868.34517716331</v>
      </c>
      <c r="F13" s="56">
        <f t="shared" si="1"/>
        <v>2.833851190250028E-2</v>
      </c>
      <c r="G13" s="6" t="s">
        <v>188</v>
      </c>
      <c r="H13">
        <v>10436</v>
      </c>
    </row>
    <row r="14" spans="1:23">
      <c r="A14" s="29">
        <v>2003</v>
      </c>
      <c r="B14" s="29">
        <v>12</v>
      </c>
      <c r="C14" s="55">
        <v>272232.5</v>
      </c>
      <c r="D14" s="59">
        <f t="shared" si="2"/>
        <v>4.1948872648567039E-2</v>
      </c>
      <c r="E14" s="55">
        <f t="shared" si="0"/>
        <v>265022.78583345655</v>
      </c>
      <c r="F14" s="56">
        <f t="shared" si="1"/>
        <v>2.6483664391810113E-2</v>
      </c>
      <c r="G14" s="6" t="s">
        <v>187</v>
      </c>
      <c r="H14">
        <v>146646</v>
      </c>
    </row>
    <row r="15" spans="1:23">
      <c r="A15" s="29">
        <v>2004</v>
      </c>
      <c r="B15" s="54">
        <v>13</v>
      </c>
      <c r="C15" s="55">
        <v>288987.5</v>
      </c>
      <c r="D15" s="59">
        <f t="shared" si="2"/>
        <v>6.154665589156328E-2</v>
      </c>
      <c r="E15" s="55">
        <f t="shared" si="0"/>
        <v>276667.32913042337</v>
      </c>
      <c r="F15" s="56">
        <f t="shared" si="1"/>
        <v>4.2632192982660591E-2</v>
      </c>
      <c r="G15" s="6"/>
    </row>
    <row r="16" spans="1:23">
      <c r="A16" s="29">
        <v>2005</v>
      </c>
      <c r="B16" s="29">
        <v>14</v>
      </c>
      <c r="C16" s="55">
        <v>307826.08333333331</v>
      </c>
      <c r="D16" s="59">
        <f t="shared" si="2"/>
        <v>6.5188229017979368E-2</v>
      </c>
      <c r="E16" s="55">
        <f t="shared" si="0"/>
        <v>288823.50914635573</v>
      </c>
      <c r="F16" s="56">
        <f t="shared" si="1"/>
        <v>6.1731527040222924E-2</v>
      </c>
      <c r="G16" s="6"/>
    </row>
    <row r="17" spans="1:7">
      <c r="A17" s="29">
        <v>2006</v>
      </c>
      <c r="B17" s="29">
        <v>15</v>
      </c>
      <c r="C17" s="55">
        <v>323823.08333333331</v>
      </c>
      <c r="D17" s="59">
        <f t="shared" si="2"/>
        <v>5.1967655978903675E-2</v>
      </c>
      <c r="E17" s="55">
        <f t="shared" si="0"/>
        <v>301513.80612161325</v>
      </c>
      <c r="F17" s="56">
        <f t="shared" si="1"/>
        <v>6.8893412359845876E-2</v>
      </c>
      <c r="G17" s="6"/>
    </row>
    <row r="18" spans="1:7">
      <c r="A18" s="29">
        <v>2007</v>
      </c>
      <c r="B18" s="29">
        <v>16</v>
      </c>
      <c r="C18" s="55">
        <v>334008</v>
      </c>
      <c r="D18" s="59">
        <f t="shared" si="2"/>
        <v>3.1452102060873323E-2</v>
      </c>
      <c r="E18" s="55">
        <f t="shared" si="0"/>
        <v>314761.68803099269</v>
      </c>
      <c r="F18" s="56">
        <f t="shared" si="1"/>
        <v>5.7622308354911583E-2</v>
      </c>
      <c r="G18" s="6"/>
    </row>
    <row r="19" spans="1:7">
      <c r="A19" s="29">
        <v>2008</v>
      </c>
      <c r="B19" s="54">
        <v>17</v>
      </c>
      <c r="C19" s="55">
        <v>328780.33333333331</v>
      </c>
      <c r="D19" s="59">
        <f t="shared" si="2"/>
        <v>-1.5651321724829005E-2</v>
      </c>
      <c r="E19" s="55">
        <f t="shared" si="0"/>
        <v>328591.65398269973</v>
      </c>
      <c r="F19" s="56">
        <f t="shared" si="1"/>
        <v>5.7387663282855005E-4</v>
      </c>
      <c r="G19" s="6"/>
    </row>
    <row r="20" spans="1:7">
      <c r="A20" s="29">
        <v>2009</v>
      </c>
      <c r="B20" s="29">
        <v>18</v>
      </c>
      <c r="C20" s="55">
        <v>303288.91666666669</v>
      </c>
      <c r="D20" s="59">
        <f t="shared" si="2"/>
        <v>-7.7533277030965853E-2</v>
      </c>
      <c r="E20" s="55">
        <f t="shared" si="0"/>
        <v>343029.27952418046</v>
      </c>
      <c r="F20" s="56">
        <f t="shared" si="1"/>
        <v>0.13103137198116241</v>
      </c>
      <c r="G20" s="6"/>
    </row>
    <row r="21" spans="1:7">
      <c r="A21" s="29">
        <v>2010</v>
      </c>
      <c r="B21" s="29">
        <v>19</v>
      </c>
      <c r="C21" s="55">
        <v>323964.16666666669</v>
      </c>
      <c r="D21" s="59">
        <f t="shared" si="2"/>
        <v>6.8170146892388359E-2</v>
      </c>
      <c r="E21" s="55">
        <f t="shared" si="0"/>
        <v>358101.26393859531</v>
      </c>
      <c r="F21" s="56">
        <f t="shared" si="1"/>
        <v>0.10537306524722216</v>
      </c>
      <c r="G21" s="6"/>
    </row>
    <row r="22" spans="1:7">
      <c r="A22" s="29">
        <v>2011</v>
      </c>
      <c r="B22" s="29">
        <v>20</v>
      </c>
      <c r="C22" s="55">
        <v>349717.75</v>
      </c>
      <c r="D22" s="59">
        <f t="shared" si="2"/>
        <v>7.949516021576454E-2</v>
      </c>
      <c r="E22" s="55">
        <f t="shared" si="0"/>
        <v>373835.47961940081</v>
      </c>
      <c r="F22" s="56">
        <f>ABS(E22-C22)/C22</f>
        <v>6.8963412979183375E-2</v>
      </c>
      <c r="G22" s="6"/>
    </row>
    <row r="23" spans="1:7">
      <c r="A23" s="29">
        <v>2025</v>
      </c>
      <c r="B23" s="29">
        <v>34</v>
      </c>
      <c r="E23" s="55">
        <f t="shared" si="0"/>
        <v>682536.36423284397</v>
      </c>
    </row>
    <row r="24" spans="1:7">
      <c r="A24" s="29">
        <v>2050</v>
      </c>
      <c r="B24" s="29">
        <v>59</v>
      </c>
      <c r="C24" s="16"/>
      <c r="D24" s="16"/>
      <c r="E24" s="55">
        <f t="shared" si="0"/>
        <v>1999826.7015583178</v>
      </c>
    </row>
    <row r="25" spans="1:7">
      <c r="C25" s="16" t="s">
        <v>186</v>
      </c>
      <c r="D25" s="60">
        <f ca="1">AVERAGE(D4:D27)</f>
        <v>4.5984612986502658E-2</v>
      </c>
      <c r="E25" s="57"/>
      <c r="F25" s="56">
        <f ca="1">AVERAGE(F3:F27)</f>
        <v>4.8418489540186016E-2</v>
      </c>
      <c r="G25" s="6"/>
    </row>
    <row r="27" spans="1:7">
      <c r="E27" s="63"/>
      <c r="F27" s="64"/>
    </row>
    <row r="28" spans="1:7">
      <c r="E28" s="63"/>
      <c r="F28" s="64"/>
    </row>
    <row r="29" spans="1:7">
      <c r="E29" s="63"/>
      <c r="F29" s="64"/>
    </row>
    <row r="30" spans="1:7">
      <c r="E30" s="63"/>
      <c r="F30" s="64"/>
    </row>
    <row r="31" spans="1:7">
      <c r="E31" s="63"/>
      <c r="F31" s="64"/>
    </row>
    <row r="32" spans="1:7">
      <c r="E32" s="63"/>
      <c r="F32" s="64"/>
    </row>
    <row r="33" spans="5:6">
      <c r="E33" s="63"/>
      <c r="F33" s="64"/>
    </row>
    <row r="34" spans="5:6">
      <c r="E34" s="63"/>
      <c r="F34" s="64"/>
    </row>
    <row r="35" spans="5:6">
      <c r="E35" s="63"/>
      <c r="F35" s="64"/>
    </row>
    <row r="36" spans="5:6">
      <c r="E36" s="63"/>
      <c r="F36" s="64"/>
    </row>
    <row r="37" spans="5:6">
      <c r="E37" s="63"/>
      <c r="F37" s="64"/>
    </row>
    <row r="38" spans="5:6">
      <c r="E38" s="63"/>
      <c r="F38" s="64"/>
    </row>
    <row r="39" spans="5:6">
      <c r="E39" s="63"/>
      <c r="F39" s="64"/>
    </row>
    <row r="40" spans="5:6">
      <c r="E40" s="63"/>
      <c r="F40" s="64"/>
    </row>
    <row r="41" spans="5:6">
      <c r="E41" s="63"/>
      <c r="F41" s="64"/>
    </row>
    <row r="42" spans="5:6">
      <c r="E42" s="63"/>
      <c r="F42" s="64"/>
    </row>
    <row r="43" spans="5:6">
      <c r="E43" s="63"/>
      <c r="F43" s="64"/>
    </row>
    <row r="44" spans="5:6">
      <c r="E44" s="63"/>
      <c r="F44" s="64"/>
    </row>
    <row r="45" spans="5:6">
      <c r="E45" s="63"/>
      <c r="F45" s="64"/>
    </row>
    <row r="46" spans="5:6">
      <c r="E46" s="63"/>
      <c r="F46" s="64"/>
    </row>
    <row r="47" spans="5:6">
      <c r="E47" s="63"/>
      <c r="F47" s="62"/>
    </row>
    <row r="48" spans="5:6">
      <c r="E48" s="63"/>
    </row>
  </sheetData>
  <mergeCells count="3">
    <mergeCell ref="H8:I8"/>
    <mergeCell ref="H12:I12"/>
    <mergeCell ref="A1:W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B60E-518D-4180-BB50-BED7C49301D9}">
  <dimension ref="A1:R14"/>
  <sheetViews>
    <sheetView workbookViewId="0">
      <selection activeCell="J14" sqref="J14"/>
    </sheetView>
  </sheetViews>
  <sheetFormatPr defaultRowHeight="14.4"/>
  <cols>
    <col min="1" max="1" width="16.109375" bestFit="1" customWidth="1"/>
    <col min="2" max="2" width="13.6640625" bestFit="1" customWidth="1"/>
    <col min="6" max="6" width="11.44140625" bestFit="1" customWidth="1"/>
    <col min="7" max="7" width="15.77734375" bestFit="1" customWidth="1"/>
    <col min="8" max="8" width="13.6640625" bestFit="1" customWidth="1"/>
    <col min="9" max="9" width="10.6640625" bestFit="1" customWidth="1"/>
    <col min="10" max="11" width="13.6640625" bestFit="1" customWidth="1"/>
  </cols>
  <sheetData>
    <row r="1" spans="1:18" ht="20.399999999999999" thickBot="1">
      <c r="A1" s="123" t="s">
        <v>212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ht="15" thickTop="1">
      <c r="A2" t="s">
        <v>189</v>
      </c>
      <c r="E2" s="121" t="s">
        <v>169</v>
      </c>
      <c r="F2" s="121"/>
      <c r="G2" s="121"/>
      <c r="H2" s="121"/>
      <c r="I2" s="121"/>
      <c r="J2" s="121"/>
      <c r="K2" s="121"/>
    </row>
    <row r="3" spans="1:18">
      <c r="E3" s="8" t="s">
        <v>15</v>
      </c>
      <c r="F3" s="8" t="s">
        <v>44</v>
      </c>
      <c r="G3" s="8" t="s">
        <v>201</v>
      </c>
      <c r="H3" s="8" t="s">
        <v>202</v>
      </c>
      <c r="I3" s="8" t="s">
        <v>203</v>
      </c>
      <c r="J3" s="8" t="s">
        <v>13</v>
      </c>
      <c r="K3" s="8" t="s">
        <v>32</v>
      </c>
    </row>
    <row r="4" spans="1:18">
      <c r="A4" s="7" t="s">
        <v>160</v>
      </c>
      <c r="B4" s="66">
        <v>4000000</v>
      </c>
      <c r="E4" s="7">
        <v>1</v>
      </c>
      <c r="F4" s="66">
        <f>B7</f>
        <v>2000000</v>
      </c>
      <c r="G4" s="9">
        <f>F4*0.5</f>
        <v>1000000</v>
      </c>
      <c r="H4" s="9">
        <f>F4*I4</f>
        <v>800000</v>
      </c>
      <c r="I4" s="70">
        <v>0.4</v>
      </c>
      <c r="J4" s="9">
        <f>G4+H4</f>
        <v>1800000</v>
      </c>
      <c r="K4" s="9">
        <f>F4-J4</f>
        <v>200000</v>
      </c>
    </row>
    <row r="5" spans="1:18">
      <c r="A5" s="7" t="s">
        <v>190</v>
      </c>
      <c r="B5" s="67">
        <v>80000</v>
      </c>
      <c r="C5" t="s">
        <v>191</v>
      </c>
      <c r="E5" s="7">
        <v>2</v>
      </c>
      <c r="F5" s="66">
        <f>F4*(1+$B$13)</f>
        <v>2976945.5461396165</v>
      </c>
      <c r="G5" s="9">
        <f>F5*0.5</f>
        <v>1488472.7730698083</v>
      </c>
      <c r="H5" s="9">
        <f t="shared" ref="H5:H8" si="0">F5*I5</f>
        <v>1131239.3075330544</v>
      </c>
      <c r="I5" s="70">
        <v>0.38</v>
      </c>
      <c r="J5" s="9">
        <f t="shared" ref="J5:J8" si="1">G5+H5</f>
        <v>2619712.0806028629</v>
      </c>
      <c r="K5" s="9">
        <f t="shared" ref="K5:K8" si="2">F5-J5</f>
        <v>357233.46553675365</v>
      </c>
    </row>
    <row r="6" spans="1:18">
      <c r="A6" s="7" t="s">
        <v>192</v>
      </c>
      <c r="B6" s="67">
        <v>25</v>
      </c>
      <c r="C6" t="s">
        <v>193</v>
      </c>
      <c r="E6" s="7">
        <v>3</v>
      </c>
      <c r="F6" s="66">
        <f t="shared" ref="F6:F8" si="3">F5*(1+$B$13)</f>
        <v>4431102.3923402494</v>
      </c>
      <c r="G6" s="9">
        <f t="shared" ref="G6:G8" si="4">F6*0.5</f>
        <v>2215551.1961701247</v>
      </c>
      <c r="H6" s="9">
        <f t="shared" si="0"/>
        <v>1595196.8612424897</v>
      </c>
      <c r="I6" s="70">
        <v>0.36</v>
      </c>
      <c r="J6" s="9">
        <f t="shared" si="1"/>
        <v>3810748.0574126141</v>
      </c>
      <c r="K6" s="9">
        <f t="shared" si="2"/>
        <v>620354.33492763527</v>
      </c>
    </row>
    <row r="7" spans="1:18">
      <c r="A7" s="8" t="s">
        <v>44</v>
      </c>
      <c r="B7" s="68">
        <f>B6*B5</f>
        <v>2000000</v>
      </c>
      <c r="E7" s="7">
        <v>4</v>
      </c>
      <c r="F7" s="66">
        <f t="shared" si="3"/>
        <v>6595575.2656829525</v>
      </c>
      <c r="G7" s="9">
        <f t="shared" si="4"/>
        <v>3297787.6328414762</v>
      </c>
      <c r="H7" s="9">
        <f t="shared" si="0"/>
        <v>2242495.590332204</v>
      </c>
      <c r="I7" s="70">
        <v>0.34</v>
      </c>
      <c r="J7" s="9">
        <f t="shared" si="1"/>
        <v>5540283.2231736798</v>
      </c>
      <c r="K7" s="9">
        <f t="shared" si="2"/>
        <v>1055292.0425092727</v>
      </c>
    </row>
    <row r="8" spans="1:18">
      <c r="A8" s="7" t="s">
        <v>194</v>
      </c>
      <c r="B8" s="66">
        <f>B7*0.5</f>
        <v>1000000</v>
      </c>
      <c r="E8" s="7">
        <v>5</v>
      </c>
      <c r="F8" s="66">
        <f t="shared" si="3"/>
        <v>9817334.2057017405</v>
      </c>
      <c r="G8" s="9">
        <f t="shared" si="4"/>
        <v>4908667.1028508702</v>
      </c>
      <c r="H8" s="9">
        <f t="shared" si="0"/>
        <v>3141546.945824557</v>
      </c>
      <c r="I8" s="70">
        <v>0.32</v>
      </c>
      <c r="J8" s="9">
        <f t="shared" si="1"/>
        <v>8050214.0486754272</v>
      </c>
      <c r="K8" s="9">
        <f t="shared" si="2"/>
        <v>1767120.1570263132</v>
      </c>
    </row>
    <row r="9" spans="1:18">
      <c r="A9" s="7" t="s">
        <v>199</v>
      </c>
      <c r="B9" s="69">
        <v>0.4</v>
      </c>
      <c r="F9" s="12"/>
      <c r="G9" s="16"/>
      <c r="H9" s="16"/>
    </row>
    <row r="10" spans="1:18">
      <c r="A10" s="7" t="s">
        <v>200</v>
      </c>
      <c r="B10" s="69">
        <v>-0.02</v>
      </c>
      <c r="F10" s="12"/>
      <c r="G10" s="16"/>
      <c r="H10" s="16"/>
      <c r="J10" t="s">
        <v>204</v>
      </c>
      <c r="K10" s="16">
        <f>SUM(K4:K8)</f>
        <v>3999999.9999999749</v>
      </c>
    </row>
    <row r="11" spans="1:18">
      <c r="A11" s="7" t="s">
        <v>195</v>
      </c>
      <c r="B11" s="66">
        <f>B7*40%</f>
        <v>800000</v>
      </c>
    </row>
    <row r="12" spans="1:18">
      <c r="A12" s="8" t="s">
        <v>196</v>
      </c>
      <c r="B12" s="68">
        <f>B8+B11</f>
        <v>1800000</v>
      </c>
      <c r="F12" t="s">
        <v>205</v>
      </c>
      <c r="G12" s="65">
        <f>K10-B4</f>
        <v>-2.514570951461792E-8</v>
      </c>
      <c r="H12" t="str">
        <f ca="1">_xlfn.FORMULATEXT(G12)</f>
        <v>=K10-B4</v>
      </c>
    </row>
    <row r="13" spans="1:18">
      <c r="A13" s="7" t="s">
        <v>198</v>
      </c>
      <c r="B13" s="71">
        <v>0.48847277306980819</v>
      </c>
    </row>
    <row r="14" spans="1:18">
      <c r="A14" s="8" t="s">
        <v>197</v>
      </c>
      <c r="B14" s="68">
        <f>B7-B12</f>
        <v>200000</v>
      </c>
    </row>
  </sheetData>
  <mergeCells count="2">
    <mergeCell ref="E2:K2"/>
    <mergeCell ref="A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F88D-553C-46D5-9D30-190097DE6C99}">
  <dimension ref="A1:Q49"/>
  <sheetViews>
    <sheetView tabSelected="1" zoomScale="49" workbookViewId="0">
      <selection activeCell="K9" sqref="K9"/>
    </sheetView>
  </sheetViews>
  <sheetFormatPr defaultColWidth="9.77734375" defaultRowHeight="14.4"/>
  <cols>
    <col min="1" max="1" width="13.33203125" bestFit="1" customWidth="1"/>
    <col min="2" max="2" width="15.5546875" bestFit="1" customWidth="1"/>
    <col min="3" max="3" width="15.88671875" customWidth="1"/>
    <col min="4" max="4" width="13.88671875" customWidth="1"/>
    <col min="5" max="5" width="13.33203125" bestFit="1" customWidth="1"/>
    <col min="6" max="6" width="13" bestFit="1" customWidth="1"/>
    <col min="7" max="7" width="13.109375" bestFit="1" customWidth="1"/>
    <col min="8" max="8" width="10" bestFit="1" customWidth="1"/>
    <col min="9" max="9" width="11" bestFit="1" customWidth="1"/>
    <col min="10" max="10" width="8" customWidth="1"/>
    <col min="11" max="11" width="16.33203125" bestFit="1" customWidth="1"/>
    <col min="12" max="12" width="10.77734375" customWidth="1"/>
    <col min="13" max="13" width="37.77734375" bestFit="1" customWidth="1"/>
    <col min="14" max="14" width="20.5546875" bestFit="1" customWidth="1"/>
    <col min="15" max="15" width="15.77734375" customWidth="1"/>
    <col min="16" max="16" width="15.88671875" customWidth="1"/>
  </cols>
  <sheetData>
    <row r="1" spans="1:16" ht="21">
      <c r="A1" s="132" t="s">
        <v>213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</row>
    <row r="2" spans="1:16" ht="15.6">
      <c r="A2" s="75" t="s">
        <v>214</v>
      </c>
    </row>
    <row r="3" spans="1:16" ht="15.6">
      <c r="B3" s="76" t="s">
        <v>215</v>
      </c>
      <c r="C3" s="77" t="s">
        <v>216</v>
      </c>
      <c r="D3" s="77" t="s">
        <v>217</v>
      </c>
      <c r="E3" s="77" t="s">
        <v>218</v>
      </c>
      <c r="F3" s="77" t="s">
        <v>219</v>
      </c>
      <c r="G3" s="78" t="s">
        <v>220</v>
      </c>
      <c r="H3" s="77" t="s">
        <v>221</v>
      </c>
      <c r="I3" s="75"/>
      <c r="J3" s="75"/>
      <c r="M3" s="134" t="s">
        <v>222</v>
      </c>
      <c r="N3" s="134"/>
    </row>
    <row r="4" spans="1:16" ht="20.399999999999999">
      <c r="B4" s="79">
        <v>1</v>
      </c>
      <c r="C4" s="80" t="s">
        <v>223</v>
      </c>
      <c r="D4" s="81">
        <v>1</v>
      </c>
      <c r="E4" s="82">
        <v>250</v>
      </c>
      <c r="F4" s="82">
        <v>100</v>
      </c>
      <c r="G4" s="83">
        <v>100</v>
      </c>
      <c r="H4" s="80">
        <v>60</v>
      </c>
      <c r="M4" s="84" t="s">
        <v>224</v>
      </c>
      <c r="N4" s="85">
        <v>50000</v>
      </c>
      <c r="P4" s="86"/>
    </row>
    <row r="5" spans="1:16" ht="15.6">
      <c r="B5" s="79">
        <v>2</v>
      </c>
      <c r="C5" s="80" t="s">
        <v>223</v>
      </c>
      <c r="D5" s="81">
        <v>0.33</v>
      </c>
      <c r="E5" s="82">
        <v>500</v>
      </c>
      <c r="F5" s="82">
        <v>300</v>
      </c>
      <c r="G5" s="83">
        <v>300</v>
      </c>
      <c r="H5" s="80">
        <v>180</v>
      </c>
      <c r="M5" s="84" t="s">
        <v>225</v>
      </c>
      <c r="N5" s="85">
        <v>10000</v>
      </c>
    </row>
    <row r="6" spans="1:16" ht="15.6">
      <c r="B6" s="79">
        <v>3</v>
      </c>
      <c r="C6" s="80" t="s">
        <v>223</v>
      </c>
      <c r="D6" s="81">
        <v>0.5</v>
      </c>
      <c r="E6" s="82">
        <v>100</v>
      </c>
      <c r="F6" s="82">
        <v>200</v>
      </c>
      <c r="G6" s="83">
        <v>400</v>
      </c>
      <c r="H6" s="80">
        <v>80</v>
      </c>
      <c r="M6" s="84" t="s">
        <v>226</v>
      </c>
      <c r="N6" s="85">
        <v>4000</v>
      </c>
    </row>
    <row r="7" spans="1:16" ht="15.6">
      <c r="B7" s="79">
        <v>4</v>
      </c>
      <c r="C7" s="80" t="s">
        <v>223</v>
      </c>
      <c r="D7" s="81">
        <v>1</v>
      </c>
      <c r="E7" s="82">
        <v>750</v>
      </c>
      <c r="F7" s="82">
        <v>500</v>
      </c>
      <c r="G7" s="83">
        <v>300</v>
      </c>
      <c r="H7" s="80">
        <v>310</v>
      </c>
      <c r="M7" s="84" t="s">
        <v>227</v>
      </c>
      <c r="N7" s="87">
        <v>0.12</v>
      </c>
    </row>
    <row r="8" spans="1:16">
      <c r="B8" s="79">
        <v>5</v>
      </c>
      <c r="C8" s="80" t="s">
        <v>223</v>
      </c>
      <c r="D8" s="81">
        <v>0.75</v>
      </c>
      <c r="E8" s="82">
        <v>200</v>
      </c>
      <c r="F8" s="82">
        <v>400</v>
      </c>
      <c r="G8" s="83">
        <v>800</v>
      </c>
      <c r="H8" s="80">
        <v>220</v>
      </c>
    </row>
    <row r="9" spans="1:16" ht="15.6">
      <c r="B9" s="88">
        <v>6</v>
      </c>
      <c r="C9" s="89" t="s">
        <v>228</v>
      </c>
      <c r="D9" s="90">
        <v>0.5</v>
      </c>
      <c r="E9" s="91">
        <v>1000</v>
      </c>
      <c r="F9" s="91">
        <v>300</v>
      </c>
      <c r="G9" s="92">
        <v>300</v>
      </c>
      <c r="H9" s="89">
        <v>180</v>
      </c>
      <c r="M9" s="135" t="s">
        <v>229</v>
      </c>
      <c r="N9" s="136"/>
    </row>
    <row r="10" spans="1:16">
      <c r="B10" s="88">
        <v>7</v>
      </c>
      <c r="C10" s="89" t="s">
        <v>228</v>
      </c>
      <c r="D10" s="90">
        <v>1</v>
      </c>
      <c r="E10" s="91">
        <v>750</v>
      </c>
      <c r="F10" s="91">
        <v>750</v>
      </c>
      <c r="G10" s="92">
        <v>300</v>
      </c>
      <c r="H10" s="89">
        <v>410</v>
      </c>
      <c r="M10" s="7" t="s">
        <v>230</v>
      </c>
      <c r="N10" s="7">
        <f>IF(D38&lt;4000,1,0)</f>
        <v>0</v>
      </c>
    </row>
    <row r="11" spans="1:16">
      <c r="B11" s="88">
        <v>8</v>
      </c>
      <c r="C11" s="89" t="s">
        <v>228</v>
      </c>
      <c r="D11" s="90">
        <v>1</v>
      </c>
      <c r="E11" s="91">
        <v>800</v>
      </c>
      <c r="F11" s="91">
        <v>700</v>
      </c>
      <c r="G11" s="92">
        <v>600</v>
      </c>
      <c r="H11" s="89">
        <v>280</v>
      </c>
      <c r="M11" s="7" t="s">
        <v>231</v>
      </c>
      <c r="N11" s="7">
        <f>IF(E38&lt;4000,1,0)</f>
        <v>1</v>
      </c>
    </row>
    <row r="12" spans="1:16">
      <c r="B12" s="88">
        <v>9</v>
      </c>
      <c r="C12" s="89" t="s">
        <v>228</v>
      </c>
      <c r="D12" s="90">
        <v>0.67</v>
      </c>
      <c r="E12" s="91">
        <v>400</v>
      </c>
      <c r="F12" s="91">
        <v>600</v>
      </c>
      <c r="G12" s="92">
        <v>800</v>
      </c>
      <c r="H12" s="89">
        <v>380</v>
      </c>
      <c r="M12" s="7" t="s">
        <v>232</v>
      </c>
      <c r="N12" s="7">
        <f>IF(F38&lt;4000,1,0)</f>
        <v>1</v>
      </c>
    </row>
    <row r="13" spans="1:16">
      <c r="B13" s="93">
        <v>10</v>
      </c>
      <c r="C13" s="94" t="s">
        <v>233</v>
      </c>
      <c r="D13" s="95">
        <v>1</v>
      </c>
      <c r="E13" s="96">
        <v>100</v>
      </c>
      <c r="F13" s="96">
        <v>200</v>
      </c>
      <c r="G13" s="97">
        <v>400</v>
      </c>
      <c r="H13" s="94">
        <v>100</v>
      </c>
      <c r="M13" s="7" t="s">
        <v>234</v>
      </c>
      <c r="N13" s="7">
        <f>IF(G38&lt;10000,1,0)</f>
        <v>0</v>
      </c>
    </row>
    <row r="14" spans="1:16">
      <c r="B14" s="93">
        <v>11</v>
      </c>
      <c r="C14" s="94" t="s">
        <v>233</v>
      </c>
      <c r="D14" s="95">
        <v>0.5</v>
      </c>
      <c r="E14" s="96">
        <v>700</v>
      </c>
      <c r="F14" s="96">
        <v>500</v>
      </c>
      <c r="G14" s="97">
        <v>300</v>
      </c>
      <c r="H14" s="94">
        <v>260</v>
      </c>
      <c r="M14" s="7" t="s">
        <v>235</v>
      </c>
      <c r="N14" s="7">
        <f>IF(AND(N15&gt;=1,N16&gt;=1,N17&gt;=1),1,0)</f>
        <v>1</v>
      </c>
      <c r="O14" s="7"/>
    </row>
    <row r="15" spans="1:16">
      <c r="B15" s="93">
        <v>12</v>
      </c>
      <c r="C15" s="94" t="s">
        <v>233</v>
      </c>
      <c r="D15" s="95">
        <v>1</v>
      </c>
      <c r="E15" s="96">
        <v>1500</v>
      </c>
      <c r="F15" s="96">
        <v>400</v>
      </c>
      <c r="G15" s="97">
        <v>400</v>
      </c>
      <c r="H15" s="94">
        <v>340</v>
      </c>
      <c r="M15" s="7" t="s">
        <v>236</v>
      </c>
      <c r="N15" s="7">
        <f>SUM(K19:K23)</f>
        <v>4</v>
      </c>
      <c r="O15" s="29"/>
    </row>
    <row r="16" spans="1:16" ht="16.95" customHeight="1">
      <c r="M16" s="7" t="s">
        <v>237</v>
      </c>
      <c r="N16" s="7">
        <f>SUM(K26:K29)</f>
        <v>3</v>
      </c>
      <c r="O16" s="29"/>
    </row>
    <row r="17" spans="1:17" ht="15.6">
      <c r="D17" s="137" t="s">
        <v>238</v>
      </c>
      <c r="E17" s="137"/>
      <c r="F17" s="137"/>
      <c r="G17" s="137"/>
      <c r="M17" s="7" t="s">
        <v>239</v>
      </c>
      <c r="N17" s="7">
        <f>SUM(K32:K34)</f>
        <v>2</v>
      </c>
      <c r="O17" s="29"/>
    </row>
    <row r="18" spans="1:17" ht="15.6">
      <c r="A18" s="98" t="s">
        <v>215</v>
      </c>
      <c r="B18" s="99" t="s">
        <v>216</v>
      </c>
      <c r="C18" s="99" t="s">
        <v>217</v>
      </c>
      <c r="D18" s="99" t="s">
        <v>240</v>
      </c>
      <c r="E18" s="99" t="s">
        <v>241</v>
      </c>
      <c r="F18" s="100" t="s">
        <v>242</v>
      </c>
      <c r="G18" s="99" t="s">
        <v>243</v>
      </c>
      <c r="H18" s="100" t="s">
        <v>221</v>
      </c>
      <c r="I18" s="99" t="s">
        <v>244</v>
      </c>
      <c r="J18" s="99" t="s">
        <v>245</v>
      </c>
      <c r="K18" s="101" t="s">
        <v>246</v>
      </c>
      <c r="M18" s="7" t="s">
        <v>247</v>
      </c>
      <c r="N18" s="7">
        <f>SUM(N15:N17)</f>
        <v>9</v>
      </c>
    </row>
    <row r="19" spans="1:17">
      <c r="A19" s="102">
        <v>1</v>
      </c>
      <c r="B19" s="103" t="s">
        <v>223</v>
      </c>
      <c r="C19" s="69">
        <v>1</v>
      </c>
      <c r="D19" s="104">
        <f>E4*C19</f>
        <v>250</v>
      </c>
      <c r="E19" s="104">
        <f>F4*C19</f>
        <v>100</v>
      </c>
      <c r="F19" s="105">
        <f>G4*C19</f>
        <v>100</v>
      </c>
      <c r="G19" s="105">
        <f>SUM(D19,E19,F19)</f>
        <v>450</v>
      </c>
      <c r="H19" s="105">
        <f>H4</f>
        <v>60</v>
      </c>
      <c r="I19" s="104">
        <f>H19*(1-$N$7)</f>
        <v>52.8</v>
      </c>
      <c r="J19" s="69" t="str">
        <f>IF(K19=0,"",I19/SUM(E4:G4))</f>
        <v/>
      </c>
      <c r="K19" s="106">
        <v>0</v>
      </c>
    </row>
    <row r="20" spans="1:17" ht="15.6">
      <c r="A20" s="102">
        <v>2</v>
      </c>
      <c r="B20" s="103" t="s">
        <v>223</v>
      </c>
      <c r="C20" s="69">
        <v>0.33</v>
      </c>
      <c r="D20" s="104">
        <f>E5*C20</f>
        <v>165</v>
      </c>
      <c r="E20" s="104">
        <f t="shared" ref="E20:E23" si="0">F5*C20</f>
        <v>99</v>
      </c>
      <c r="F20" s="105">
        <f t="shared" ref="F20:F23" si="1">G5*C20</f>
        <v>99</v>
      </c>
      <c r="G20" s="105">
        <f>SUM(D20,E20,F20)</f>
        <v>363</v>
      </c>
      <c r="H20" s="105">
        <f t="shared" ref="H20:H23" si="2">H5</f>
        <v>180</v>
      </c>
      <c r="I20" s="104">
        <f t="shared" ref="I20:I23" si="3">H20*(1-$N$7)</f>
        <v>158.4</v>
      </c>
      <c r="J20" s="69">
        <f t="shared" ref="J20:J23" si="4">IF(K20=0,"",I20/SUM(E5:G5))</f>
        <v>0.14400000000000002</v>
      </c>
      <c r="K20" s="106">
        <v>1</v>
      </c>
      <c r="M20" s="99" t="s">
        <v>248</v>
      </c>
      <c r="N20" s="77">
        <f>IF(SUM(N10:N14)=5,1,0)</f>
        <v>0</v>
      </c>
    </row>
    <row r="21" spans="1:17">
      <c r="A21" s="102">
        <v>3</v>
      </c>
      <c r="B21" s="103" t="s">
        <v>223</v>
      </c>
      <c r="C21" s="69">
        <v>0.5</v>
      </c>
      <c r="D21" s="104">
        <f t="shared" ref="D21:D23" si="5">E6*C21</f>
        <v>50</v>
      </c>
      <c r="E21" s="104">
        <f t="shared" si="0"/>
        <v>100</v>
      </c>
      <c r="F21" s="105">
        <f t="shared" si="1"/>
        <v>200</v>
      </c>
      <c r="G21" s="105">
        <f t="shared" ref="G21:G34" si="6">SUM(D21,E21,F21)</f>
        <v>350</v>
      </c>
      <c r="H21" s="105">
        <f t="shared" si="2"/>
        <v>80</v>
      </c>
      <c r="I21" s="104">
        <f t="shared" si="3"/>
        <v>70.400000000000006</v>
      </c>
      <c r="J21" s="69">
        <f t="shared" si="4"/>
        <v>0.10057142857142858</v>
      </c>
      <c r="K21" s="106">
        <v>1</v>
      </c>
    </row>
    <row r="22" spans="1:17">
      <c r="A22" s="102">
        <v>4</v>
      </c>
      <c r="B22" s="103" t="s">
        <v>223</v>
      </c>
      <c r="C22" s="107">
        <v>1</v>
      </c>
      <c r="D22" s="104">
        <f t="shared" si="5"/>
        <v>750</v>
      </c>
      <c r="E22" s="104">
        <f t="shared" si="0"/>
        <v>500</v>
      </c>
      <c r="F22" s="105">
        <f t="shared" si="1"/>
        <v>300</v>
      </c>
      <c r="G22" s="105">
        <f t="shared" si="6"/>
        <v>1550</v>
      </c>
      <c r="H22" s="105">
        <f t="shared" si="2"/>
        <v>310</v>
      </c>
      <c r="I22" s="104">
        <f t="shared" si="3"/>
        <v>272.8</v>
      </c>
      <c r="J22" s="69">
        <f t="shared" si="4"/>
        <v>0.17600000000000002</v>
      </c>
      <c r="K22" s="106">
        <v>1</v>
      </c>
    </row>
    <row r="23" spans="1:17">
      <c r="A23" s="102">
        <v>5</v>
      </c>
      <c r="B23" s="103" t="s">
        <v>223</v>
      </c>
      <c r="C23" s="108">
        <v>0.75</v>
      </c>
      <c r="D23" s="104">
        <f t="shared" si="5"/>
        <v>150</v>
      </c>
      <c r="E23" s="104">
        <f t="shared" si="0"/>
        <v>300</v>
      </c>
      <c r="F23" s="105">
        <f t="shared" si="1"/>
        <v>600</v>
      </c>
      <c r="G23" s="104">
        <f t="shared" si="6"/>
        <v>1050</v>
      </c>
      <c r="H23" s="105">
        <f t="shared" si="2"/>
        <v>220</v>
      </c>
      <c r="I23" s="104">
        <f t="shared" si="3"/>
        <v>193.6</v>
      </c>
      <c r="J23" s="69">
        <f t="shared" si="4"/>
        <v>0.13828571428571429</v>
      </c>
      <c r="K23" s="106">
        <v>1</v>
      </c>
    </row>
    <row r="24" spans="1:17" ht="15.6">
      <c r="C24" s="109" t="s">
        <v>249</v>
      </c>
      <c r="D24" s="110">
        <f>SUMPRODUCT(D19:D23,K19:K23)</f>
        <v>1115</v>
      </c>
      <c r="E24" s="110">
        <f>SUMPRODUCT(E19:E23,K19:K23)</f>
        <v>999</v>
      </c>
      <c r="F24" s="110">
        <f>SUMPRODUCT(F19:F23,K19:K23)</f>
        <v>1199</v>
      </c>
      <c r="G24" s="110">
        <f t="shared" si="6"/>
        <v>3313</v>
      </c>
      <c r="K24" s="29"/>
      <c r="O24" s="127" t="s">
        <v>250</v>
      </c>
      <c r="P24" s="127"/>
      <c r="Q24" s="127"/>
    </row>
    <row r="25" spans="1:17">
      <c r="K25" s="29"/>
      <c r="N25" s="7"/>
      <c r="O25" s="72" t="s">
        <v>251</v>
      </c>
      <c r="P25" s="72" t="s">
        <v>252</v>
      </c>
      <c r="Q25" s="72" t="s">
        <v>253</v>
      </c>
    </row>
    <row r="26" spans="1:17">
      <c r="A26" s="102">
        <v>6</v>
      </c>
      <c r="B26" s="111" t="s">
        <v>228</v>
      </c>
      <c r="C26" s="69">
        <v>0.5</v>
      </c>
      <c r="D26" s="104">
        <f>E9*C26</f>
        <v>500</v>
      </c>
      <c r="E26" s="104">
        <f>F9*C26</f>
        <v>150</v>
      </c>
      <c r="F26" s="105">
        <f>G9*C26</f>
        <v>150</v>
      </c>
      <c r="G26" s="105">
        <f t="shared" si="6"/>
        <v>800</v>
      </c>
      <c r="H26" s="105">
        <f>H9</f>
        <v>180</v>
      </c>
      <c r="I26" s="104">
        <f>H26*(1-$N$7)</f>
        <v>158.4</v>
      </c>
      <c r="J26" s="69">
        <f>IF(K26=0,"",I26/SUM(E9:G9))</f>
        <v>9.9000000000000005E-2</v>
      </c>
      <c r="K26" s="106">
        <v>1</v>
      </c>
      <c r="M26" s="138" t="s">
        <v>254</v>
      </c>
      <c r="N26" s="72" t="s">
        <v>255</v>
      </c>
      <c r="O26" s="112">
        <f>D24</f>
        <v>1115</v>
      </c>
      <c r="P26" s="112">
        <f>E24</f>
        <v>999</v>
      </c>
      <c r="Q26" s="112">
        <f>F24</f>
        <v>1199</v>
      </c>
    </row>
    <row r="27" spans="1:17">
      <c r="A27" s="102">
        <v>7</v>
      </c>
      <c r="B27" s="111" t="s">
        <v>228</v>
      </c>
      <c r="C27" s="69">
        <v>1</v>
      </c>
      <c r="D27" s="104">
        <f>E10*C27</f>
        <v>750</v>
      </c>
      <c r="E27" s="104">
        <f>F10*C27</f>
        <v>750</v>
      </c>
      <c r="F27" s="105">
        <f>G10*C27</f>
        <v>300</v>
      </c>
      <c r="G27" s="105">
        <f t="shared" si="6"/>
        <v>1800</v>
      </c>
      <c r="H27" s="105">
        <f t="shared" ref="H27:H29" si="7">H10</f>
        <v>410</v>
      </c>
      <c r="I27" s="104">
        <f t="shared" ref="I27:I29" si="8">H27*(1-$N$7)</f>
        <v>360.8</v>
      </c>
      <c r="J27" s="69">
        <f t="shared" ref="J27:J29" si="9">IF(K27=0,"",I27/SUM(E10:G10))</f>
        <v>0.20044444444444445</v>
      </c>
      <c r="K27" s="106">
        <v>1</v>
      </c>
      <c r="M27" s="138"/>
      <c r="N27" s="72" t="s">
        <v>228</v>
      </c>
      <c r="O27" s="112">
        <f>D30</f>
        <v>1518</v>
      </c>
      <c r="P27" s="112">
        <f>E30</f>
        <v>1302</v>
      </c>
      <c r="Q27" s="112">
        <f>F30</f>
        <v>986</v>
      </c>
    </row>
    <row r="28" spans="1:17">
      <c r="A28" s="102">
        <v>8</v>
      </c>
      <c r="B28" s="111" t="s">
        <v>228</v>
      </c>
      <c r="C28" s="69">
        <v>1</v>
      </c>
      <c r="D28" s="104">
        <f>E11*C28</f>
        <v>800</v>
      </c>
      <c r="E28" s="104">
        <f>F11*C28</f>
        <v>700</v>
      </c>
      <c r="F28" s="105">
        <f>G11*C28</f>
        <v>600</v>
      </c>
      <c r="G28" s="105">
        <f t="shared" si="6"/>
        <v>2100</v>
      </c>
      <c r="H28" s="105">
        <f t="shared" si="7"/>
        <v>280</v>
      </c>
      <c r="I28" s="104">
        <f t="shared" si="8"/>
        <v>246.4</v>
      </c>
      <c r="J28" s="69" t="str">
        <f t="shared" si="9"/>
        <v/>
      </c>
      <c r="K28" s="106">
        <v>0</v>
      </c>
      <c r="M28" s="138"/>
      <c r="N28" s="72" t="s">
        <v>233</v>
      </c>
      <c r="O28" s="112">
        <f>D35</f>
        <v>1850</v>
      </c>
      <c r="P28" s="112">
        <f>E35</f>
        <v>650</v>
      </c>
      <c r="Q28" s="112">
        <f>F35</f>
        <v>550</v>
      </c>
    </row>
    <row r="29" spans="1:17">
      <c r="A29" s="102">
        <v>9</v>
      </c>
      <c r="B29" s="111" t="s">
        <v>228</v>
      </c>
      <c r="C29" s="69">
        <v>0.67</v>
      </c>
      <c r="D29" s="104">
        <f>E12*C29</f>
        <v>268</v>
      </c>
      <c r="E29" s="104">
        <f>F12*C29</f>
        <v>402</v>
      </c>
      <c r="F29" s="105">
        <f>G12*C29</f>
        <v>536</v>
      </c>
      <c r="G29" s="105">
        <f t="shared" si="6"/>
        <v>1206</v>
      </c>
      <c r="H29" s="105">
        <f t="shared" si="7"/>
        <v>380</v>
      </c>
      <c r="I29" s="104">
        <f t="shared" si="8"/>
        <v>334.4</v>
      </c>
      <c r="J29" s="69">
        <f t="shared" si="9"/>
        <v>0.18577777777777776</v>
      </c>
      <c r="K29" s="106">
        <v>1</v>
      </c>
    </row>
    <row r="30" spans="1:17" ht="15.6">
      <c r="C30" s="109" t="s">
        <v>256</v>
      </c>
      <c r="D30" s="110">
        <f>SUMPRODUCT(D26:D29,$K$26:$K$29)</f>
        <v>1518</v>
      </c>
      <c r="E30" s="110">
        <f t="shared" ref="E30:F30" si="10">SUMPRODUCT(E26:E29,$K$26:$K$29)</f>
        <v>1302</v>
      </c>
      <c r="F30" s="110">
        <f t="shared" si="10"/>
        <v>986</v>
      </c>
      <c r="G30" s="112">
        <f>SUM(D30:F30)</f>
        <v>3806</v>
      </c>
      <c r="K30" s="29"/>
    </row>
    <row r="31" spans="1:17">
      <c r="K31" s="29"/>
    </row>
    <row r="32" spans="1:17">
      <c r="A32" s="102">
        <v>10</v>
      </c>
      <c r="B32" s="113" t="s">
        <v>233</v>
      </c>
      <c r="C32" s="69">
        <v>1</v>
      </c>
      <c r="D32" s="104">
        <f>E13*C32</f>
        <v>100</v>
      </c>
      <c r="E32" s="104">
        <f>F13*C32</f>
        <v>200</v>
      </c>
      <c r="F32" s="105">
        <f>G13*C32</f>
        <v>400</v>
      </c>
      <c r="G32" s="105">
        <f t="shared" si="6"/>
        <v>700</v>
      </c>
      <c r="H32" s="114">
        <f>H13</f>
        <v>100</v>
      </c>
      <c r="I32" s="104">
        <f>H32*(1-$N$7)</f>
        <v>88</v>
      </c>
      <c r="J32" s="69" t="str">
        <f>IF(K32=0,"",I32/SUM(E13:G13))</f>
        <v/>
      </c>
      <c r="K32" s="106">
        <v>0</v>
      </c>
    </row>
    <row r="33" spans="1:11">
      <c r="A33" s="102">
        <v>11</v>
      </c>
      <c r="B33" s="113" t="s">
        <v>233</v>
      </c>
      <c r="C33" s="69">
        <v>0.5</v>
      </c>
      <c r="D33" s="104">
        <f>E14*C33</f>
        <v>350</v>
      </c>
      <c r="E33" s="104">
        <f>F14*C33</f>
        <v>250</v>
      </c>
      <c r="F33" s="105">
        <f>G14*C33</f>
        <v>150</v>
      </c>
      <c r="G33" s="105">
        <f t="shared" si="6"/>
        <v>750</v>
      </c>
      <c r="H33" s="114">
        <f t="shared" ref="H33:H34" si="11">H14</f>
        <v>260</v>
      </c>
      <c r="I33" s="104">
        <f t="shared" ref="I33" si="12">H33*(1-$N$7)</f>
        <v>228.8</v>
      </c>
      <c r="J33" s="69">
        <f t="shared" ref="J33:J34" si="13">IF(K33=0,"",I33/SUM(E14:G14))</f>
        <v>0.15253333333333335</v>
      </c>
      <c r="K33" s="106">
        <v>1</v>
      </c>
    </row>
    <row r="34" spans="1:11">
      <c r="A34" s="102">
        <v>12</v>
      </c>
      <c r="B34" s="113" t="s">
        <v>233</v>
      </c>
      <c r="C34" s="69">
        <v>1</v>
      </c>
      <c r="D34" s="104">
        <f>E15*C34</f>
        <v>1500</v>
      </c>
      <c r="E34" s="104">
        <f>F15*C34</f>
        <v>400</v>
      </c>
      <c r="F34" s="105">
        <f>G15*C34</f>
        <v>400</v>
      </c>
      <c r="G34" s="105">
        <f t="shared" si="6"/>
        <v>2300</v>
      </c>
      <c r="H34" s="114">
        <f t="shared" si="11"/>
        <v>340</v>
      </c>
      <c r="I34" s="104">
        <f>H34*(1-$N$7)</f>
        <v>299.2</v>
      </c>
      <c r="J34" s="69">
        <f t="shared" si="13"/>
        <v>0.13008695652173913</v>
      </c>
      <c r="K34" s="106">
        <v>1</v>
      </c>
    </row>
    <row r="35" spans="1:11" ht="15.6">
      <c r="C35" s="109" t="s">
        <v>257</v>
      </c>
      <c r="D35" s="104">
        <f>SUMPRODUCT(D32:D34,$K$32:$K$34)</f>
        <v>1850</v>
      </c>
      <c r="E35" s="104">
        <f t="shared" ref="E35:F35" si="14">SUMPRODUCT(E32:E34,$K$32:$K$34)</f>
        <v>650</v>
      </c>
      <c r="F35" s="104">
        <f t="shared" si="14"/>
        <v>550</v>
      </c>
      <c r="G35" s="104">
        <f>SUM(D35:F35)</f>
        <v>3050</v>
      </c>
    </row>
    <row r="36" spans="1:11">
      <c r="F36" s="115"/>
      <c r="G36" s="115"/>
    </row>
    <row r="37" spans="1:11" ht="15.6">
      <c r="D37" s="99" t="s">
        <v>240</v>
      </c>
      <c r="E37" s="99" t="s">
        <v>241</v>
      </c>
      <c r="F37" s="100" t="s">
        <v>242</v>
      </c>
      <c r="G37" s="99" t="s">
        <v>243</v>
      </c>
      <c r="I37" s="116" t="s">
        <v>258</v>
      </c>
    </row>
    <row r="38" spans="1:11" ht="15.6">
      <c r="C38" s="109" t="s">
        <v>259</v>
      </c>
      <c r="D38" s="117">
        <f>SUMPRODUCT(D19:D23,$K$19:$K$23)+SUMPRODUCT(D26:D29,$K$26:$K$29)+SUMPRODUCT(D32:D34,$K$32:$K$34)</f>
        <v>4483</v>
      </c>
      <c r="E38" s="117">
        <f>SUMPRODUCT(E19:E23,$K$19:$K$23)+SUMPRODUCT(E26:E29,$K$26:$K$29)+SUMPRODUCT(E32:E34,$K$32:$K$34)</f>
        <v>2951</v>
      </c>
      <c r="F38" s="117">
        <f t="shared" ref="F38" si="15">SUMPRODUCT(F19:F23,$K$19:$K$23)+SUMPRODUCT(F26:F29,$K$26:$K$29)+SUMPRODUCT(F32:F34,$K$32:$K$34)</f>
        <v>2735</v>
      </c>
      <c r="G38" s="117">
        <f>SUM(D38:F38)</f>
        <v>10169</v>
      </c>
      <c r="I38" s="118">
        <f>SUMPRODUCT(I19:I34,K19:K34)</f>
        <v>2076.8000000000002</v>
      </c>
    </row>
    <row r="40" spans="1:11" ht="15.6">
      <c r="E40" s="131" t="s">
        <v>260</v>
      </c>
      <c r="F40" s="131"/>
      <c r="G40" s="131"/>
    </row>
    <row r="41" spans="1:11" ht="15.6">
      <c r="D41" s="99" t="s">
        <v>261</v>
      </c>
      <c r="E41" s="99" t="s">
        <v>134</v>
      </c>
      <c r="F41" s="99" t="s">
        <v>262</v>
      </c>
      <c r="G41" s="99" t="s">
        <v>263</v>
      </c>
    </row>
    <row r="42" spans="1:11" ht="15.6">
      <c r="D42" s="50"/>
      <c r="E42" s="119">
        <f>AVERAGE(J19:J34)</f>
        <v>0.14741107277049306</v>
      </c>
      <c r="F42" s="119">
        <f>MIN(J19:J34)</f>
        <v>9.9000000000000005E-2</v>
      </c>
      <c r="G42" s="119">
        <f>MAX(J19:J34)</f>
        <v>0.20044444444444445</v>
      </c>
    </row>
    <row r="43" spans="1:11">
      <c r="D43" s="69">
        <v>0</v>
      </c>
      <c r="E43" s="69">
        <v>0.16751258269374214</v>
      </c>
      <c r="F43" s="69">
        <v>0.1125</v>
      </c>
      <c r="G43" s="69">
        <v>0.22777777777777777</v>
      </c>
    </row>
    <row r="44" spans="1:11">
      <c r="D44" s="69">
        <v>0.05</v>
      </c>
      <c r="E44" s="69">
        <v>0.15913695355905499</v>
      </c>
      <c r="F44" s="69">
        <v>0.106875</v>
      </c>
      <c r="G44" s="69">
        <v>0.21638888888888888</v>
      </c>
    </row>
    <row r="45" spans="1:11">
      <c r="D45" s="69">
        <v>0.1</v>
      </c>
      <c r="E45" s="69">
        <v>0.1507613244243679</v>
      </c>
      <c r="F45" s="69">
        <v>0.10125000000000001</v>
      </c>
      <c r="G45" s="69">
        <v>0.20499999999999999</v>
      </c>
    </row>
    <row r="46" spans="1:11">
      <c r="D46" s="69">
        <v>0.15</v>
      </c>
      <c r="E46" s="69">
        <v>0.14238569528968081</v>
      </c>
      <c r="F46" s="69">
        <v>9.5625000000000002E-2</v>
      </c>
      <c r="G46" s="69">
        <v>0.19361111111111112</v>
      </c>
    </row>
    <row r="47" spans="1:11">
      <c r="D47" s="69">
        <v>0.2</v>
      </c>
      <c r="E47" s="69">
        <v>0.1340100661549937</v>
      </c>
      <c r="F47" s="69">
        <v>0.09</v>
      </c>
      <c r="G47" s="69">
        <v>0.18222222222222223</v>
      </c>
    </row>
    <row r="48" spans="1:11">
      <c r="D48" s="69">
        <v>0.25</v>
      </c>
      <c r="E48" s="69">
        <v>0.12563443702030658</v>
      </c>
      <c r="F48" s="69">
        <v>8.4375000000000006E-2</v>
      </c>
      <c r="G48" s="69">
        <v>0.17083333333333334</v>
      </c>
    </row>
    <row r="49" spans="4:7">
      <c r="D49" s="69">
        <v>0.3</v>
      </c>
      <c r="E49" s="69">
        <v>0.11725880788561947</v>
      </c>
      <c r="F49" s="69">
        <v>7.8749999999999987E-2</v>
      </c>
      <c r="G49" s="69">
        <v>0.15944444444444444</v>
      </c>
    </row>
  </sheetData>
  <mergeCells count="7">
    <mergeCell ref="O24:Q24"/>
    <mergeCell ref="M26:M28"/>
    <mergeCell ref="E40:G40"/>
    <mergeCell ref="A1:L1"/>
    <mergeCell ref="M3:N3"/>
    <mergeCell ref="M9:N9"/>
    <mergeCell ref="D17:G17"/>
  </mergeCells>
  <conditionalFormatting sqref="D38:F38">
    <cfRule type="cellIs" dxfId="10" priority="7" operator="greaterThan">
      <formula>4000</formula>
    </cfRule>
    <cfRule type="cellIs" dxfId="9" priority="8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10" operator="equal">
      <formula>MIN($K$19:$K$29)</formula>
    </cfRule>
    <cfRule type="cellIs" dxfId="5" priority="11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9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Scenario 1</vt:lpstr>
      <vt:lpstr>Scenario 2</vt:lpstr>
      <vt:lpstr>Scenario 3</vt:lpstr>
      <vt:lpstr>Practice Sheet 1</vt:lpstr>
      <vt:lpstr>Scenario 4</vt:lpstr>
      <vt:lpstr>Practice Sheet 2</vt:lpstr>
      <vt:lpstr>Scenario 5</vt:lpstr>
      <vt:lpstr>Scenario 6</vt:lpstr>
      <vt:lpstr>Scenario 7</vt:lpstr>
      <vt:lpstr>Scenario 8</vt:lpstr>
      <vt:lpstr>Practice Sheet 3</vt:lpstr>
      <vt:lpstr>Scenario 9</vt:lpstr>
      <vt:lpstr>Scenario 10</vt:lpstr>
      <vt:lpstr>Scenario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Krishnendra Singh</dc:creator>
  <cp:lastModifiedBy>Krishnendra Singh</cp:lastModifiedBy>
  <dcterms:created xsi:type="dcterms:W3CDTF">2025-07-19T11:45:33Z</dcterms:created>
  <dcterms:modified xsi:type="dcterms:W3CDTF">2025-08-09T18:10:43Z</dcterms:modified>
</cp:coreProperties>
</file>