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udraCircle\Nehali\"/>
    </mc:Choice>
  </mc:AlternateContent>
  <bookViews>
    <workbookView xWindow="0" yWindow="0" windowWidth="19200" windowHeight="11460" firstSheet="1" activeTab="2"/>
  </bookViews>
  <sheets>
    <sheet name="AutoLoanCalculator" sheetId="3" r:id="rId1"/>
    <sheet name="PaymentCalculator" sheetId="1" r:id="rId2"/>
    <sheet name="LoanComparisons" sheetId="5" r:id="rId3"/>
    <sheet name="Help" sheetId="6" r:id="rId4"/>
    <sheet name="©" sheetId="7" r:id="rId5"/>
  </sheets>
  <definedNames>
    <definedName name="chart_balance">OFFSET(PaymentCalculator!$G$19,2,0,PaymentCalculator!$G$8,1)</definedName>
    <definedName name="chart_balance_noextra">FV(rate,chart_nper,payment,-loan_amount)</definedName>
    <definedName name="chart_date">OFFSET(PaymentCalculator!$B$19,2,0,PaymentCalculator!$G$8,1)</definedName>
    <definedName name="chart_nper">ROW(OFFSET(PaymentCalculator!$A$1,0,0,nper,1))</definedName>
    <definedName name="fpdate">PaymentCalculator!$D$8</definedName>
    <definedName name="frequency">{"Annually";"Semi-Annually";"Quarterly";"Bi-Monthly";"Monthly";"Semi-Monthly";"Bi-Weekly"}</definedName>
    <definedName name="loan_amount">PaymentCalculator!$D$5</definedName>
    <definedName name="months_per_period">INDEX({12,6,3,2,1,0.5,0.5},MATCH(PaymentCalculator!$D$9,frequency,0))</definedName>
    <definedName name="nper">term*periods_per_year</definedName>
    <definedName name="payment">PaymentCalculator!$D$14</definedName>
    <definedName name="periods_per_year">INDEX({1,2,4,6,12,24,26},MATCH(PaymentCalculator!$D$9,frequency,0))</definedName>
    <definedName name="_xlnm.Print_Area" localSheetId="0">AutoLoanCalculator!$A$1:$F$39</definedName>
    <definedName name="_xlnm.Print_Area" localSheetId="2">LoanComparisons!$A$1:$H$57</definedName>
    <definedName name="_xlnm.Print_Area" localSheetId="1">OFFSET(PaymentCalculator!$A$1,0,0,ROW(PaymentCalculator!$A$19)+1+PaymentCalculator!$G$8,8)</definedName>
    <definedName name="_xlnm.Print_Titles" localSheetId="1">PaymentCalculator!$19:$19</definedName>
    <definedName name="rate">PaymentCalculator!$D$13</definedName>
    <definedName name="term">PaymentCalculator!$D$7</definedName>
    <definedName name="valuevx">42.314159</definedName>
  </definedNames>
  <calcPr calcId="162913"/>
</workbook>
</file>

<file path=xl/calcChain.xml><?xml version="1.0" encoding="utf-8"?>
<calcChain xmlns="http://schemas.openxmlformats.org/spreadsheetml/2006/main">
  <c r="B6" i="7" l="1"/>
  <c r="E2" i="3"/>
  <c r="F2" i="1"/>
  <c r="F2" i="5"/>
  <c r="C2" i="6"/>
  <c r="D12" i="1" l="1"/>
  <c r="D13" i="1"/>
  <c r="D14" i="1" s="1"/>
  <c r="C10" i="5"/>
  <c r="B10" i="5" s="1"/>
  <c r="D10" i="5" s="1"/>
  <c r="C11" i="5"/>
  <c r="B11" i="5" s="1"/>
  <c r="D11" i="5" s="1"/>
  <c r="C12" i="5"/>
  <c r="B12" i="5" s="1"/>
  <c r="D12" i="5" s="1"/>
  <c r="C13" i="5"/>
  <c r="B13" i="5" s="1"/>
  <c r="D13" i="5" s="1"/>
  <c r="C14" i="5"/>
  <c r="B14" i="5" s="1"/>
  <c r="D14" i="5" s="1"/>
  <c r="C15" i="5"/>
  <c r="B15" i="5" s="1"/>
  <c r="D15" i="5" s="1"/>
  <c r="C16" i="5"/>
  <c r="B16" i="5" s="1"/>
  <c r="D16" i="5" s="1"/>
  <c r="C17" i="5"/>
  <c r="B17" i="5" s="1"/>
  <c r="D17" i="5" s="1"/>
  <c r="C9" i="5"/>
  <c r="B9" i="5" s="1"/>
  <c r="D9" i="5" s="1"/>
  <c r="C4" i="5"/>
  <c r="C5" i="5"/>
  <c r="F4" i="5"/>
  <c r="F5" i="5"/>
  <c r="B48" i="5"/>
  <c r="C48" i="5"/>
  <c r="B49" i="5"/>
  <c r="C49" i="5"/>
  <c r="B50" i="5"/>
  <c r="C50" i="5"/>
  <c r="B51" i="5"/>
  <c r="C51" i="5"/>
  <c r="B52" i="5"/>
  <c r="C52" i="5"/>
  <c r="B53" i="5"/>
  <c r="C53" i="5"/>
  <c r="B54" i="5"/>
  <c r="C54" i="5"/>
  <c r="C21" i="5"/>
  <c r="B21" i="5" s="1"/>
  <c r="D21" i="5" s="1"/>
  <c r="A22" i="5"/>
  <c r="C22" i="5" s="1"/>
  <c r="B22" i="5" s="1"/>
  <c r="D22" i="5" s="1"/>
  <c r="B36" i="5"/>
  <c r="C36" i="5"/>
  <c r="D36" i="5" s="1"/>
  <c r="A37" i="5"/>
  <c r="B37" i="5" s="1"/>
  <c r="C37" i="5"/>
  <c r="D37" i="5" s="1"/>
  <c r="A38" i="5"/>
  <c r="A39" i="5"/>
  <c r="A40" i="5"/>
  <c r="A41" i="5"/>
  <c r="B41" i="5" s="1"/>
  <c r="D9" i="3"/>
  <c r="D15" i="3" s="1"/>
  <c r="D16" i="3" s="1"/>
  <c r="D28" i="3"/>
  <c r="G20" i="1"/>
  <c r="A21" i="1" s="1"/>
  <c r="D51" i="5" l="1"/>
  <c r="C41" i="5"/>
  <c r="D41" i="5" s="1"/>
  <c r="D38" i="3"/>
  <c r="C21" i="1"/>
  <c r="E21" i="1"/>
  <c r="B40" i="5"/>
  <c r="C40" i="5"/>
  <c r="D40" i="5" s="1"/>
  <c r="B21" i="1"/>
  <c r="B39" i="5"/>
  <c r="C39" i="5"/>
  <c r="D39" i="5" s="1"/>
  <c r="B38" i="5"/>
  <c r="C38" i="5"/>
  <c r="D38" i="5" s="1"/>
  <c r="D16" i="1"/>
  <c r="D15" i="1" s="1"/>
  <c r="D54" i="5"/>
  <c r="D50" i="5"/>
  <c r="D53" i="5"/>
  <c r="A23" i="5"/>
  <c r="D52" i="5"/>
  <c r="D49" i="5"/>
  <c r="D48" i="5"/>
  <c r="F21" i="1" l="1"/>
  <c r="G21" i="1" s="1"/>
  <c r="A22" i="1" s="1"/>
  <c r="C22" i="1" s="1"/>
  <c r="A24" i="5"/>
  <c r="C23" i="5"/>
  <c r="B23" i="5" s="1"/>
  <c r="D23" i="5" s="1"/>
  <c r="E22" i="1" l="1"/>
  <c r="F22" i="1" s="1"/>
  <c r="G22" i="1" s="1"/>
  <c r="A23" i="1" s="1"/>
  <c r="B22" i="1"/>
  <c r="C24" i="5"/>
  <c r="B24" i="5" s="1"/>
  <c r="D24" i="5" s="1"/>
  <c r="A25" i="5"/>
  <c r="B23" i="1" l="1"/>
  <c r="C23" i="1"/>
  <c r="E23" i="1"/>
  <c r="A26" i="5"/>
  <c r="C25" i="5"/>
  <c r="B25" i="5" s="1"/>
  <c r="D25" i="5" s="1"/>
  <c r="F23" i="1" l="1"/>
  <c r="G23" i="1" s="1"/>
  <c r="A24" i="1" s="1"/>
  <c r="C26" i="5"/>
  <c r="B26" i="5" s="1"/>
  <c r="D26" i="5" s="1"/>
  <c r="A27" i="5"/>
  <c r="C24" i="1" l="1"/>
  <c r="B24" i="1"/>
  <c r="E24" i="1"/>
  <c r="A28" i="5"/>
  <c r="C27" i="5"/>
  <c r="B27" i="5" s="1"/>
  <c r="D27" i="5" s="1"/>
  <c r="F24" i="1" l="1"/>
  <c r="G24" i="1" s="1"/>
  <c r="A25" i="1" s="1"/>
  <c r="C28" i="5"/>
  <c r="B28" i="5" s="1"/>
  <c r="D28" i="5" s="1"/>
  <c r="A29" i="5"/>
  <c r="C25" i="1" l="1"/>
  <c r="E25" i="1"/>
  <c r="B25" i="1"/>
  <c r="A30" i="5"/>
  <c r="C29" i="5"/>
  <c r="B29" i="5" s="1"/>
  <c r="D29" i="5" s="1"/>
  <c r="F25" i="1" l="1"/>
  <c r="G25" i="1" s="1"/>
  <c r="A26" i="1" s="1"/>
  <c r="B26" i="1" s="1"/>
  <c r="C30" i="5"/>
  <c r="B30" i="5" s="1"/>
  <c r="D30" i="5" s="1"/>
  <c r="A31" i="5"/>
  <c r="C26" i="1" l="1"/>
  <c r="E26" i="1"/>
  <c r="A32" i="5"/>
  <c r="C32" i="5" s="1"/>
  <c r="B32" i="5" s="1"/>
  <c r="D32" i="5" s="1"/>
  <c r="C31" i="5"/>
  <c r="B31" i="5" s="1"/>
  <c r="D31" i="5" s="1"/>
  <c r="F26" i="1" l="1"/>
  <c r="G26" i="1" s="1"/>
  <c r="A27" i="1" s="1"/>
  <c r="E27" i="1" s="1"/>
  <c r="B27" i="1" l="1"/>
  <c r="C27" i="1"/>
  <c r="F27" i="1" s="1"/>
  <c r="G27" i="1" s="1"/>
  <c r="A28" i="1" s="1"/>
  <c r="B28" i="1" l="1"/>
  <c r="C28" i="1"/>
  <c r="E28" i="1"/>
  <c r="F28" i="1" l="1"/>
  <c r="G28" i="1" s="1"/>
  <c r="A29" i="1" s="1"/>
  <c r="C29" i="1" l="1"/>
  <c r="B29" i="1"/>
  <c r="E29" i="1"/>
  <c r="F29" i="1" l="1"/>
  <c r="G29" i="1" s="1"/>
  <c r="A30" i="1" s="1"/>
  <c r="E30" i="1" s="1"/>
  <c r="C30" i="1" l="1"/>
  <c r="F30" i="1" s="1"/>
  <c r="G30" i="1" s="1"/>
  <c r="A31" i="1" s="1"/>
  <c r="B31" i="1" s="1"/>
  <c r="B30" i="1"/>
  <c r="C31" i="1" l="1"/>
  <c r="E31" i="1"/>
  <c r="F31" i="1" l="1"/>
  <c r="G31" i="1" s="1"/>
  <c r="A32" i="1" s="1"/>
  <c r="C32" i="1" s="1"/>
  <c r="B32" i="1" l="1"/>
  <c r="E32" i="1"/>
  <c r="F32" i="1" s="1"/>
  <c r="G32" i="1" s="1"/>
  <c r="A33" i="1" s="1"/>
  <c r="E33" i="1" l="1"/>
  <c r="C33" i="1"/>
  <c r="F33" i="1" s="1"/>
  <c r="G33" i="1" s="1"/>
  <c r="A34" i="1" s="1"/>
  <c r="B33" i="1"/>
  <c r="E34" i="1" l="1"/>
  <c r="C34" i="1"/>
  <c r="F34" i="1" s="1"/>
  <c r="G34" i="1" s="1"/>
  <c r="A35" i="1" s="1"/>
  <c r="C35" i="1" s="1"/>
  <c r="B34" i="1"/>
  <c r="E35" i="1" l="1"/>
  <c r="F35" i="1" s="1"/>
  <c r="G35" i="1" s="1"/>
  <c r="A36" i="1" s="1"/>
  <c r="E36" i="1" s="1"/>
  <c r="B35" i="1"/>
  <c r="C36" i="1" l="1"/>
  <c r="F36" i="1" s="1"/>
  <c r="G36" i="1" s="1"/>
  <c r="A37" i="1" s="1"/>
  <c r="C37" i="1" s="1"/>
  <c r="B36" i="1"/>
  <c r="E37" i="1" l="1"/>
  <c r="F37" i="1" s="1"/>
  <c r="G37" i="1" s="1"/>
  <c r="A38" i="1" s="1"/>
  <c r="B37" i="1"/>
  <c r="B38" i="1" l="1"/>
  <c r="E38" i="1"/>
  <c r="C38" i="1"/>
  <c r="F38" i="1" l="1"/>
  <c r="G38" i="1" s="1"/>
  <c r="A39" i="1" s="1"/>
  <c r="E39" i="1" s="1"/>
  <c r="C39" i="1" l="1"/>
  <c r="F39" i="1" s="1"/>
  <c r="G39" i="1" s="1"/>
  <c r="A40" i="1" s="1"/>
  <c r="E40" i="1" s="1"/>
  <c r="B39" i="1"/>
  <c r="C40" i="1" l="1"/>
  <c r="F40" i="1" s="1"/>
  <c r="G40" i="1" s="1"/>
  <c r="A41" i="1" s="1"/>
  <c r="E41" i="1" s="1"/>
  <c r="B40" i="1"/>
  <c r="C41" i="1" l="1"/>
  <c r="F41" i="1" s="1"/>
  <c r="G41" i="1" s="1"/>
  <c r="A42" i="1" s="1"/>
  <c r="E42" i="1" s="1"/>
  <c r="B41" i="1"/>
  <c r="C42" i="1" l="1"/>
  <c r="F42" i="1" s="1"/>
  <c r="G42" i="1" s="1"/>
  <c r="A43" i="1" s="1"/>
  <c r="B42" i="1"/>
  <c r="B43" i="1" l="1"/>
  <c r="C43" i="1"/>
  <c r="E43" i="1"/>
  <c r="F43" i="1" l="1"/>
  <c r="G43" i="1" s="1"/>
  <c r="A44" i="1" s="1"/>
  <c r="B44" i="1" s="1"/>
  <c r="C44" i="1" l="1"/>
  <c r="F44" i="1" s="1"/>
  <c r="G44" i="1" s="1"/>
  <c r="A45" i="1" s="1"/>
  <c r="B45" i="1" s="1"/>
  <c r="E44" i="1"/>
  <c r="E45" i="1" l="1"/>
  <c r="C45" i="1"/>
  <c r="F45" i="1" s="1"/>
  <c r="G45" i="1" s="1"/>
  <c r="A46" i="1" s="1"/>
  <c r="C46" i="1" s="1"/>
  <c r="E46" i="1" l="1"/>
  <c r="F46" i="1" s="1"/>
  <c r="G46" i="1" s="1"/>
  <c r="A47" i="1" s="1"/>
  <c r="B46" i="1"/>
  <c r="C47" i="1" l="1"/>
  <c r="E47" i="1"/>
  <c r="B47" i="1"/>
  <c r="F47" i="1" l="1"/>
  <c r="G47" i="1" s="1"/>
  <c r="A48" i="1" s="1"/>
  <c r="C48" i="1" l="1"/>
  <c r="B48" i="1"/>
  <c r="E48" i="1"/>
  <c r="F48" i="1" l="1"/>
  <c r="G48" i="1" s="1"/>
  <c r="A49" i="1" s="1"/>
  <c r="C49" i="1" s="1"/>
  <c r="B49" i="1" l="1"/>
  <c r="E49" i="1"/>
  <c r="F49" i="1" s="1"/>
  <c r="G49" i="1" s="1"/>
  <c r="A50" i="1" s="1"/>
  <c r="C50" i="1" l="1"/>
  <c r="E50" i="1"/>
  <c r="B50" i="1"/>
  <c r="F50" i="1" l="1"/>
  <c r="G50" i="1" s="1"/>
  <c r="A51" i="1" s="1"/>
  <c r="B51" i="1" l="1"/>
  <c r="C51" i="1"/>
  <c r="E51" i="1"/>
  <c r="F51" i="1" l="1"/>
  <c r="G51" i="1" s="1"/>
  <c r="A52" i="1" s="1"/>
  <c r="E52" i="1" l="1"/>
  <c r="B52" i="1"/>
  <c r="C52" i="1"/>
  <c r="F52" i="1" s="1"/>
  <c r="G52" i="1" s="1"/>
  <c r="A53" i="1" s="1"/>
  <c r="C53" i="1" l="1"/>
  <c r="E53" i="1"/>
  <c r="B53" i="1"/>
  <c r="F53" i="1" l="1"/>
  <c r="G53" i="1" s="1"/>
  <c r="A54" i="1" s="1"/>
  <c r="B54" i="1" l="1"/>
  <c r="E54" i="1"/>
  <c r="C54" i="1"/>
  <c r="F54" i="1" s="1"/>
  <c r="G54" i="1" s="1"/>
  <c r="A55" i="1" s="1"/>
  <c r="B55" i="1" l="1"/>
  <c r="C55" i="1"/>
  <c r="E55" i="1"/>
  <c r="F55" i="1" l="1"/>
  <c r="G55" i="1" s="1"/>
  <c r="A56" i="1" s="1"/>
  <c r="C56" i="1" s="1"/>
  <c r="B56" i="1" l="1"/>
  <c r="E56" i="1"/>
  <c r="F56" i="1" s="1"/>
  <c r="G56" i="1" s="1"/>
  <c r="A57" i="1" s="1"/>
  <c r="C57" i="1" l="1"/>
  <c r="B57" i="1"/>
  <c r="E57" i="1"/>
  <c r="F57" i="1" l="1"/>
  <c r="G57" i="1" s="1"/>
  <c r="A58" i="1" s="1"/>
  <c r="B58" i="1" l="1"/>
  <c r="C58" i="1"/>
  <c r="E58" i="1"/>
  <c r="F58" i="1" l="1"/>
  <c r="G58" i="1" s="1"/>
  <c r="A59" i="1" s="1"/>
  <c r="B59" i="1" l="1"/>
  <c r="E59" i="1"/>
  <c r="C59" i="1"/>
  <c r="F59" i="1" s="1"/>
  <c r="G59" i="1" s="1"/>
  <c r="A60" i="1" s="1"/>
  <c r="B60" i="1" l="1"/>
  <c r="C60" i="1"/>
  <c r="E60" i="1"/>
  <c r="F60" i="1" l="1"/>
  <c r="G60" i="1" s="1"/>
  <c r="A61" i="1" s="1"/>
  <c r="E61" i="1" s="1"/>
  <c r="B61" i="1" l="1"/>
  <c r="C61" i="1"/>
  <c r="F61" i="1" s="1"/>
  <c r="G61" i="1" s="1"/>
  <c r="A62" i="1" s="1"/>
  <c r="E62" i="1" s="1"/>
  <c r="C62" i="1" l="1"/>
  <c r="F62" i="1" s="1"/>
  <c r="G62" i="1" s="1"/>
  <c r="A63" i="1" s="1"/>
  <c r="E63" i="1" s="1"/>
  <c r="B62" i="1"/>
  <c r="C63" i="1" l="1"/>
  <c r="F63" i="1" s="1"/>
  <c r="G63" i="1" s="1"/>
  <c r="A64" i="1" s="1"/>
  <c r="B63" i="1"/>
  <c r="C64" i="1" l="1"/>
  <c r="B64" i="1"/>
  <c r="E64" i="1"/>
  <c r="F64" i="1" l="1"/>
  <c r="G64" i="1" s="1"/>
  <c r="A65" i="1" s="1"/>
  <c r="B65" i="1" l="1"/>
  <c r="C65" i="1"/>
  <c r="E65" i="1"/>
  <c r="F65" i="1" l="1"/>
  <c r="G65" i="1" s="1"/>
  <c r="A66" i="1" s="1"/>
  <c r="E66" i="1" s="1"/>
  <c r="B66" i="1" l="1"/>
  <c r="C66" i="1"/>
  <c r="F66" i="1" s="1"/>
  <c r="G66" i="1" s="1"/>
  <c r="A67" i="1" s="1"/>
  <c r="E67" i="1" s="1"/>
  <c r="C67" i="1" l="1"/>
  <c r="F67" i="1" s="1"/>
  <c r="G67" i="1" s="1"/>
  <c r="A68" i="1" s="1"/>
  <c r="B68" i="1" s="1"/>
  <c r="B67" i="1"/>
  <c r="E68" i="1" l="1"/>
  <c r="C68" i="1"/>
  <c r="F68" i="1" s="1"/>
  <c r="G68" i="1" s="1"/>
  <c r="A69" i="1" s="1"/>
  <c r="B69" i="1" s="1"/>
  <c r="C69" i="1" l="1"/>
  <c r="F69" i="1" s="1"/>
  <c r="G69" i="1" s="1"/>
  <c r="A70" i="1" s="1"/>
  <c r="E70" i="1" s="1"/>
  <c r="E69" i="1"/>
  <c r="C70" i="1" l="1"/>
  <c r="F70" i="1" s="1"/>
  <c r="G70" i="1" s="1"/>
  <c r="A71" i="1" s="1"/>
  <c r="E71" i="1" s="1"/>
  <c r="B70" i="1"/>
  <c r="B71" i="1" l="1"/>
  <c r="C71" i="1"/>
  <c r="F71" i="1" s="1"/>
  <c r="G71" i="1" s="1"/>
  <c r="A72" i="1" s="1"/>
  <c r="E72" i="1" s="1"/>
  <c r="C72" i="1" l="1"/>
  <c r="F72" i="1" s="1"/>
  <c r="G72" i="1" s="1"/>
  <c r="A73" i="1" s="1"/>
  <c r="E73" i="1" s="1"/>
  <c r="B72" i="1"/>
  <c r="C73" i="1" l="1"/>
  <c r="F73" i="1" s="1"/>
  <c r="G73" i="1" s="1"/>
  <c r="A74" i="1" s="1"/>
  <c r="C74" i="1" s="1"/>
  <c r="B73" i="1"/>
  <c r="B74" i="1" l="1"/>
  <c r="E74" i="1"/>
  <c r="F74" i="1" s="1"/>
  <c r="G74" i="1" s="1"/>
  <c r="A75" i="1" s="1"/>
  <c r="C75" i="1" l="1"/>
  <c r="B75" i="1"/>
  <c r="E75" i="1"/>
  <c r="F75" i="1" l="1"/>
  <c r="G75" i="1" s="1"/>
  <c r="A76" i="1" s="1"/>
  <c r="B76" i="1" s="1"/>
  <c r="E76" i="1" l="1"/>
  <c r="C76" i="1"/>
  <c r="F76" i="1" s="1"/>
  <c r="G76" i="1" s="1"/>
  <c r="A77" i="1" s="1"/>
  <c r="C77" i="1" s="1"/>
  <c r="E77" i="1" l="1"/>
  <c r="F77" i="1" s="1"/>
  <c r="G77" i="1" s="1"/>
  <c r="A78" i="1" s="1"/>
  <c r="C78" i="1" s="1"/>
  <c r="B77" i="1"/>
  <c r="E78" i="1" l="1"/>
  <c r="B78" i="1"/>
  <c r="F78" i="1"/>
  <c r="G78" i="1" s="1"/>
  <c r="A79" i="1" s="1"/>
  <c r="B79" i="1" s="1"/>
  <c r="E79" i="1" l="1"/>
  <c r="C79" i="1"/>
  <c r="F79" i="1" l="1"/>
  <c r="G79" i="1" s="1"/>
  <c r="A80" i="1" s="1"/>
  <c r="C80" i="1" s="1"/>
  <c r="E80" i="1" l="1"/>
  <c r="B80" i="1"/>
  <c r="F80" i="1"/>
  <c r="G80" i="1" s="1"/>
  <c r="A81" i="1" s="1"/>
  <c r="C81" i="1" l="1"/>
  <c r="B81" i="1"/>
  <c r="F81" i="1"/>
  <c r="E81" i="1"/>
  <c r="G81" i="1"/>
  <c r="A82" i="1" s="1"/>
  <c r="B82" i="1" l="1"/>
  <c r="G82" i="1"/>
  <c r="A83" i="1" s="1"/>
  <c r="C82" i="1"/>
  <c r="F82" i="1"/>
  <c r="E82" i="1"/>
  <c r="G83" i="1" l="1"/>
  <c r="A84" i="1" s="1"/>
  <c r="E83" i="1"/>
  <c r="C83" i="1"/>
  <c r="B83" i="1"/>
  <c r="F83" i="1"/>
  <c r="F84" i="1" l="1"/>
  <c r="G84" i="1"/>
  <c r="A85" i="1" s="1"/>
  <c r="E84" i="1"/>
  <c r="C84" i="1"/>
  <c r="B84" i="1"/>
  <c r="B85" i="1" l="1"/>
  <c r="C85" i="1"/>
  <c r="E85" i="1"/>
  <c r="F85" i="1"/>
  <c r="G85" i="1"/>
  <c r="A86" i="1" s="1"/>
  <c r="E86" i="1" l="1"/>
  <c r="B86" i="1"/>
  <c r="F86" i="1"/>
  <c r="C86" i="1"/>
  <c r="G86" i="1"/>
  <c r="A87" i="1" s="1"/>
  <c r="B87" i="1" l="1"/>
  <c r="F87" i="1"/>
  <c r="C87" i="1"/>
  <c r="G87" i="1"/>
  <c r="A88" i="1" s="1"/>
  <c r="E87" i="1"/>
  <c r="F88" i="1" l="1"/>
  <c r="C88" i="1"/>
  <c r="B88" i="1"/>
  <c r="G88" i="1"/>
  <c r="A89" i="1" s="1"/>
  <c r="E88" i="1"/>
  <c r="G89" i="1" l="1"/>
  <c r="A90" i="1" s="1"/>
  <c r="C89" i="1"/>
  <c r="B89" i="1"/>
  <c r="E89" i="1"/>
  <c r="F89" i="1"/>
  <c r="G90" i="1" l="1"/>
  <c r="A91" i="1" s="1"/>
  <c r="E90" i="1"/>
  <c r="C90" i="1"/>
  <c r="B90" i="1"/>
  <c r="F90" i="1"/>
  <c r="G91" i="1" l="1"/>
  <c r="A92" i="1" s="1"/>
  <c r="C91" i="1"/>
  <c r="B91" i="1"/>
  <c r="E91" i="1"/>
  <c r="F91" i="1"/>
  <c r="F92" i="1" l="1"/>
  <c r="G92" i="1"/>
  <c r="A93" i="1" s="1"/>
  <c r="B92" i="1"/>
  <c r="C92" i="1"/>
  <c r="E92" i="1"/>
  <c r="B93" i="1" l="1"/>
  <c r="C93" i="1"/>
  <c r="G93" i="1"/>
  <c r="A94" i="1" s="1"/>
  <c r="E93" i="1"/>
  <c r="F93" i="1"/>
  <c r="F94" i="1" l="1"/>
  <c r="E94" i="1"/>
  <c r="G94" i="1"/>
  <c r="A95" i="1" s="1"/>
  <c r="C94" i="1"/>
  <c r="B94" i="1"/>
  <c r="E95" i="1" l="1"/>
  <c r="F95" i="1"/>
  <c r="C95" i="1"/>
  <c r="B95" i="1"/>
  <c r="G95" i="1"/>
  <c r="A96" i="1" s="1"/>
  <c r="E96" i="1" l="1"/>
  <c r="G96" i="1"/>
  <c r="A97" i="1" s="1"/>
  <c r="F96" i="1"/>
  <c r="B96" i="1"/>
  <c r="C96" i="1"/>
  <c r="F97" i="1" l="1"/>
  <c r="E97" i="1"/>
  <c r="B97" i="1"/>
  <c r="G97" i="1"/>
  <c r="A98" i="1" s="1"/>
  <c r="C97" i="1"/>
  <c r="F98" i="1" l="1"/>
  <c r="B98" i="1"/>
  <c r="G98" i="1"/>
  <c r="A99" i="1" s="1"/>
  <c r="C98" i="1"/>
  <c r="E98" i="1"/>
  <c r="C99" i="1" l="1"/>
  <c r="E99" i="1"/>
  <c r="B99" i="1"/>
  <c r="G99" i="1"/>
  <c r="A100" i="1" s="1"/>
  <c r="F99" i="1"/>
  <c r="F100" i="1" l="1"/>
  <c r="G100" i="1"/>
  <c r="A101" i="1" s="1"/>
  <c r="E100" i="1"/>
  <c r="C100" i="1"/>
  <c r="B100" i="1"/>
  <c r="C101" i="1" l="1"/>
  <c r="E101" i="1"/>
  <c r="B101" i="1"/>
  <c r="G101" i="1"/>
  <c r="A102" i="1" s="1"/>
  <c r="F101" i="1"/>
  <c r="B102" i="1" l="1"/>
  <c r="E102" i="1"/>
  <c r="G102" i="1"/>
  <c r="A103" i="1" s="1"/>
  <c r="C102" i="1"/>
  <c r="F102" i="1"/>
  <c r="C103" i="1" l="1"/>
  <c r="F103" i="1"/>
  <c r="G103" i="1"/>
  <c r="A104" i="1" s="1"/>
  <c r="E103" i="1"/>
  <c r="B103" i="1"/>
  <c r="G104" i="1" l="1"/>
  <c r="A105" i="1" s="1"/>
  <c r="F104" i="1"/>
  <c r="C104" i="1"/>
  <c r="E104" i="1"/>
  <c r="B104" i="1"/>
  <c r="F105" i="1" l="1"/>
  <c r="C105" i="1"/>
  <c r="G105" i="1"/>
  <c r="A106" i="1" s="1"/>
  <c r="E105" i="1"/>
  <c r="B105" i="1"/>
  <c r="B106" i="1" l="1"/>
  <c r="F106" i="1"/>
  <c r="E106" i="1"/>
  <c r="C106" i="1"/>
  <c r="G106" i="1"/>
  <c r="A107" i="1" s="1"/>
  <c r="B107" i="1" l="1"/>
  <c r="E107" i="1"/>
  <c r="G107" i="1"/>
  <c r="A108" i="1" s="1"/>
  <c r="F107" i="1"/>
  <c r="C107" i="1"/>
  <c r="F108" i="1" l="1"/>
  <c r="E108" i="1"/>
  <c r="C108" i="1"/>
  <c r="G108" i="1"/>
  <c r="A109" i="1" s="1"/>
  <c r="B108" i="1"/>
  <c r="B109" i="1" l="1"/>
  <c r="C109" i="1"/>
  <c r="E109" i="1"/>
  <c r="F109" i="1"/>
  <c r="G109" i="1"/>
  <c r="A110" i="1" s="1"/>
  <c r="F110" i="1" l="1"/>
  <c r="B110" i="1"/>
  <c r="G110" i="1"/>
  <c r="A111" i="1" s="1"/>
  <c r="C110" i="1"/>
  <c r="E110" i="1"/>
  <c r="G111" i="1" l="1"/>
  <c r="A112" i="1" s="1"/>
  <c r="C111" i="1"/>
  <c r="E111" i="1"/>
  <c r="B111" i="1"/>
  <c r="F111" i="1"/>
  <c r="F112" i="1" l="1"/>
  <c r="C112" i="1"/>
  <c r="E112" i="1"/>
  <c r="G112" i="1"/>
  <c r="A113" i="1" s="1"/>
  <c r="B112" i="1"/>
  <c r="E113" i="1" l="1"/>
  <c r="F113" i="1"/>
  <c r="G113" i="1"/>
  <c r="A114" i="1" s="1"/>
  <c r="C113" i="1"/>
  <c r="B113" i="1"/>
  <c r="E114" i="1" l="1"/>
  <c r="C114" i="1"/>
  <c r="G114" i="1"/>
  <c r="A115" i="1" s="1"/>
  <c r="B114" i="1"/>
  <c r="F114" i="1"/>
  <c r="E115" i="1" l="1"/>
  <c r="C115" i="1"/>
  <c r="B115" i="1"/>
  <c r="F115" i="1"/>
  <c r="G115" i="1"/>
  <c r="A116" i="1" s="1"/>
  <c r="E116" i="1" l="1"/>
  <c r="B116" i="1"/>
  <c r="F116" i="1"/>
  <c r="C116" i="1"/>
  <c r="G116" i="1"/>
  <c r="A117" i="1" s="1"/>
  <c r="G117" i="1" l="1"/>
  <c r="A118" i="1" s="1"/>
  <c r="E117" i="1"/>
  <c r="C117" i="1"/>
  <c r="F117" i="1"/>
  <c r="B117" i="1"/>
  <c r="F118" i="1" l="1"/>
  <c r="G118" i="1"/>
  <c r="A119" i="1" s="1"/>
  <c r="C118" i="1"/>
  <c r="B118" i="1"/>
  <c r="E118" i="1"/>
  <c r="G119" i="1" l="1"/>
  <c r="A120" i="1" s="1"/>
  <c r="F119" i="1"/>
  <c r="C119" i="1"/>
  <c r="E119" i="1"/>
  <c r="B119" i="1"/>
  <c r="B120" i="1" l="1"/>
  <c r="G120" i="1"/>
  <c r="A121" i="1" s="1"/>
  <c r="E120" i="1"/>
  <c r="F120" i="1"/>
  <c r="C120" i="1"/>
  <c r="E121" i="1" l="1"/>
  <c r="C121" i="1"/>
  <c r="F121" i="1"/>
  <c r="B121" i="1"/>
  <c r="G121" i="1"/>
  <c r="A122" i="1" s="1"/>
  <c r="G122" i="1" l="1"/>
  <c r="A123" i="1" s="1"/>
  <c r="C122" i="1"/>
  <c r="B122" i="1"/>
  <c r="E122" i="1"/>
  <c r="F122" i="1"/>
  <c r="C123" i="1" l="1"/>
  <c r="F123" i="1"/>
  <c r="G123" i="1"/>
  <c r="A124" i="1" s="1"/>
  <c r="E123" i="1"/>
  <c r="B123" i="1"/>
  <c r="B124" i="1" l="1"/>
  <c r="G124" i="1"/>
  <c r="A125" i="1" s="1"/>
  <c r="E124" i="1"/>
  <c r="C124" i="1"/>
  <c r="F124" i="1"/>
  <c r="E125" i="1" l="1"/>
  <c r="C125" i="1"/>
  <c r="F125" i="1"/>
  <c r="G125" i="1"/>
  <c r="A126" i="1" s="1"/>
  <c r="B125" i="1"/>
  <c r="F126" i="1" l="1"/>
  <c r="B126" i="1"/>
  <c r="E126" i="1"/>
  <c r="C126" i="1"/>
  <c r="G126" i="1"/>
  <c r="A127" i="1" s="1"/>
  <c r="B127" i="1" l="1"/>
  <c r="E127" i="1"/>
  <c r="C127" i="1"/>
  <c r="F127" i="1"/>
  <c r="G127" i="1"/>
  <c r="A128" i="1" s="1"/>
  <c r="F128" i="1" l="1"/>
  <c r="G128" i="1"/>
  <c r="A129" i="1" s="1"/>
  <c r="B128" i="1"/>
  <c r="C128" i="1"/>
  <c r="E128" i="1"/>
  <c r="E129" i="1" l="1"/>
  <c r="F129" i="1"/>
  <c r="B129" i="1"/>
  <c r="G129" i="1"/>
  <c r="A130" i="1" s="1"/>
  <c r="C129" i="1"/>
  <c r="C130" i="1" l="1"/>
  <c r="F130" i="1"/>
  <c r="G130" i="1"/>
  <c r="A131" i="1" s="1"/>
  <c r="E130" i="1"/>
  <c r="B130" i="1"/>
  <c r="B131" i="1" l="1"/>
  <c r="C131" i="1"/>
  <c r="G131" i="1"/>
  <c r="A132" i="1" s="1"/>
  <c r="F131" i="1"/>
  <c r="E131" i="1"/>
  <c r="G132" i="1" l="1"/>
  <c r="A133" i="1" s="1"/>
  <c r="B132" i="1"/>
  <c r="F132" i="1"/>
  <c r="E132" i="1"/>
  <c r="C132" i="1"/>
  <c r="G133" i="1" l="1"/>
  <c r="A134" i="1" s="1"/>
  <c r="C133" i="1"/>
  <c r="B133" i="1"/>
  <c r="E133" i="1"/>
  <c r="F133" i="1"/>
  <c r="E134" i="1" l="1"/>
  <c r="C134" i="1"/>
  <c r="F134" i="1"/>
  <c r="G134" i="1"/>
  <c r="A135" i="1" s="1"/>
  <c r="B134" i="1"/>
  <c r="B135" i="1" l="1"/>
  <c r="G135" i="1"/>
  <c r="A136" i="1" s="1"/>
  <c r="E135" i="1"/>
  <c r="F135" i="1"/>
  <c r="C135" i="1"/>
  <c r="E136" i="1" l="1"/>
  <c r="B136" i="1"/>
  <c r="C136" i="1"/>
  <c r="F136" i="1"/>
  <c r="G136" i="1"/>
  <c r="A137" i="1" s="1"/>
  <c r="B137" i="1" l="1"/>
  <c r="E137" i="1"/>
  <c r="G137" i="1"/>
  <c r="A138" i="1" s="1"/>
  <c r="C137" i="1"/>
  <c r="F137" i="1"/>
  <c r="C138" i="1" l="1"/>
  <c r="F138" i="1"/>
  <c r="G138" i="1"/>
  <c r="A139" i="1" s="1"/>
  <c r="B138" i="1"/>
  <c r="E138" i="1"/>
  <c r="F139" i="1" l="1"/>
  <c r="G139" i="1"/>
  <c r="A140" i="1" s="1"/>
  <c r="E139" i="1"/>
  <c r="C139" i="1"/>
  <c r="B139" i="1"/>
  <c r="E140" i="1" l="1"/>
  <c r="F140" i="1"/>
  <c r="B140" i="1"/>
  <c r="C140" i="1"/>
  <c r="G140" i="1"/>
  <c r="A141" i="1" s="1"/>
  <c r="F141" i="1" l="1"/>
  <c r="B141" i="1"/>
  <c r="G141" i="1"/>
  <c r="A142" i="1" s="1"/>
  <c r="C141" i="1"/>
  <c r="E141" i="1"/>
  <c r="C142" i="1" l="1"/>
  <c r="F142" i="1"/>
  <c r="G142" i="1"/>
  <c r="A143" i="1" s="1"/>
  <c r="E142" i="1"/>
  <c r="B142" i="1"/>
  <c r="C143" i="1" l="1"/>
  <c r="G143" i="1"/>
  <c r="A144" i="1" s="1"/>
  <c r="B143" i="1"/>
  <c r="E143" i="1"/>
  <c r="F143" i="1"/>
  <c r="G144" i="1" l="1"/>
  <c r="A145" i="1" s="1"/>
  <c r="E144" i="1"/>
  <c r="C144" i="1"/>
  <c r="B144" i="1"/>
  <c r="F144" i="1"/>
  <c r="B145" i="1" l="1"/>
  <c r="C145" i="1"/>
  <c r="F145" i="1"/>
  <c r="E145" i="1"/>
  <c r="G145" i="1"/>
  <c r="A146" i="1" s="1"/>
  <c r="F146" i="1" l="1"/>
  <c r="B146" i="1"/>
  <c r="C146" i="1"/>
  <c r="G146" i="1"/>
  <c r="A147" i="1" s="1"/>
  <c r="E146" i="1"/>
  <c r="F147" i="1" l="1"/>
  <c r="E147" i="1"/>
  <c r="G147" i="1"/>
  <c r="A148" i="1" s="1"/>
  <c r="C147" i="1"/>
  <c r="B147" i="1"/>
  <c r="F148" i="1" l="1"/>
  <c r="B148" i="1"/>
  <c r="G148" i="1"/>
  <c r="A149" i="1" s="1"/>
  <c r="E148" i="1"/>
  <c r="C148" i="1"/>
  <c r="C149" i="1" l="1"/>
  <c r="E149" i="1"/>
  <c r="G149" i="1"/>
  <c r="A150" i="1" s="1"/>
  <c r="F149" i="1"/>
  <c r="B149" i="1"/>
  <c r="F150" i="1" l="1"/>
  <c r="B150" i="1"/>
  <c r="G150" i="1"/>
  <c r="A151" i="1" s="1"/>
  <c r="C150" i="1"/>
  <c r="E150" i="1"/>
  <c r="F151" i="1" l="1"/>
  <c r="B151" i="1"/>
  <c r="G151" i="1"/>
  <c r="A152" i="1" s="1"/>
  <c r="E151" i="1"/>
  <c r="C151" i="1"/>
  <c r="B152" i="1" l="1"/>
  <c r="C152" i="1"/>
  <c r="E152" i="1"/>
  <c r="G152" i="1"/>
  <c r="A153" i="1" s="1"/>
  <c r="F152" i="1"/>
  <c r="G153" i="1" l="1"/>
  <c r="A154" i="1" s="1"/>
  <c r="B153" i="1"/>
  <c r="E153" i="1"/>
  <c r="C153" i="1"/>
  <c r="F153" i="1"/>
  <c r="F154" i="1" l="1"/>
  <c r="E154" i="1"/>
  <c r="B154" i="1"/>
  <c r="C154" i="1"/>
  <c r="G154" i="1"/>
  <c r="A155" i="1" s="1"/>
  <c r="E155" i="1" l="1"/>
  <c r="B155" i="1"/>
  <c r="F155" i="1"/>
  <c r="G155" i="1"/>
  <c r="A156" i="1" s="1"/>
  <c r="C155" i="1"/>
  <c r="G156" i="1" l="1"/>
  <c r="A157" i="1" s="1"/>
  <c r="C156" i="1"/>
  <c r="B156" i="1"/>
  <c r="E156" i="1"/>
  <c r="F156" i="1"/>
  <c r="F157" i="1" l="1"/>
  <c r="E157" i="1"/>
  <c r="C157" i="1"/>
  <c r="G157" i="1"/>
  <c r="A158" i="1" s="1"/>
  <c r="B157" i="1"/>
  <c r="F158" i="1" l="1"/>
  <c r="C158" i="1"/>
  <c r="G158" i="1"/>
  <c r="A159" i="1" s="1"/>
  <c r="E158" i="1"/>
  <c r="B158" i="1"/>
  <c r="C159" i="1" l="1"/>
  <c r="E159" i="1"/>
  <c r="G159" i="1"/>
  <c r="A160" i="1" s="1"/>
  <c r="F159" i="1"/>
  <c r="B159" i="1"/>
  <c r="B160" i="1" l="1"/>
  <c r="G160" i="1"/>
  <c r="A161" i="1" s="1"/>
  <c r="E160" i="1"/>
  <c r="F160" i="1"/>
  <c r="C160" i="1"/>
  <c r="E161" i="1" l="1"/>
  <c r="F161" i="1"/>
  <c r="B161" i="1"/>
  <c r="C161" i="1"/>
  <c r="G161" i="1"/>
  <c r="A162" i="1" s="1"/>
  <c r="E162" i="1" l="1"/>
  <c r="B162" i="1"/>
  <c r="C162" i="1"/>
  <c r="F162" i="1"/>
  <c r="G162" i="1"/>
  <c r="A163" i="1" s="1"/>
  <c r="B163" i="1" l="1"/>
  <c r="E163" i="1"/>
  <c r="C163" i="1"/>
  <c r="G163" i="1"/>
  <c r="A164" i="1" s="1"/>
  <c r="F163" i="1"/>
  <c r="G164" i="1" l="1"/>
  <c r="A165" i="1" s="1"/>
  <c r="E164" i="1"/>
  <c r="F164" i="1"/>
  <c r="C164" i="1"/>
  <c r="B164" i="1"/>
  <c r="G165" i="1" l="1"/>
  <c r="A166" i="1" s="1"/>
  <c r="E165" i="1"/>
  <c r="F165" i="1"/>
  <c r="B165" i="1"/>
  <c r="C165" i="1"/>
  <c r="E166" i="1" l="1"/>
  <c r="F166" i="1"/>
  <c r="G166" i="1"/>
  <c r="A167" i="1" s="1"/>
  <c r="B166" i="1"/>
  <c r="C166" i="1"/>
  <c r="G167" i="1" l="1"/>
  <c r="A168" i="1" s="1"/>
  <c r="B167" i="1"/>
  <c r="E167" i="1"/>
  <c r="F167" i="1"/>
  <c r="C167" i="1"/>
  <c r="B168" i="1" l="1"/>
  <c r="G168" i="1"/>
  <c r="A169" i="1" s="1"/>
  <c r="E168" i="1"/>
  <c r="C168" i="1"/>
  <c r="F168" i="1"/>
  <c r="G169" i="1" l="1"/>
  <c r="A170" i="1" s="1"/>
  <c r="F169" i="1"/>
  <c r="C169" i="1"/>
  <c r="E169" i="1"/>
  <c r="B169" i="1"/>
  <c r="C170" i="1" l="1"/>
  <c r="B170" i="1"/>
  <c r="F170" i="1"/>
  <c r="E170" i="1"/>
  <c r="G170" i="1"/>
  <c r="A171" i="1" s="1"/>
  <c r="G171" i="1" l="1"/>
  <c r="A172" i="1" s="1"/>
  <c r="E171" i="1"/>
  <c r="C171" i="1"/>
  <c r="B171" i="1"/>
  <c r="F171" i="1"/>
  <c r="C172" i="1" l="1"/>
  <c r="G172" i="1"/>
  <c r="A173" i="1" s="1"/>
  <c r="F172" i="1"/>
  <c r="E172" i="1"/>
  <c r="B172" i="1"/>
  <c r="C173" i="1" l="1"/>
  <c r="B173" i="1"/>
  <c r="G173" i="1"/>
  <c r="A174" i="1" s="1"/>
  <c r="E173" i="1"/>
  <c r="F173" i="1"/>
  <c r="C174" i="1" l="1"/>
  <c r="E174" i="1"/>
  <c r="B174" i="1"/>
  <c r="G174" i="1"/>
  <c r="A175" i="1" s="1"/>
  <c r="F174" i="1"/>
  <c r="B175" i="1" l="1"/>
  <c r="C175" i="1"/>
  <c r="E175" i="1"/>
  <c r="G175" i="1"/>
  <c r="A176" i="1" s="1"/>
  <c r="F175" i="1"/>
  <c r="F176" i="1" l="1"/>
  <c r="B176" i="1"/>
  <c r="G9" i="1" s="1"/>
  <c r="E176" i="1"/>
  <c r="G6" i="1" s="1"/>
  <c r="G7" i="1" s="1"/>
  <c r="G176" i="1"/>
  <c r="G177" i="1" s="1"/>
  <c r="D17" i="1" s="1"/>
  <c r="C176" i="1"/>
  <c r="G8" i="1"/>
  <c r="G5" i="1" l="1"/>
</calcChain>
</file>

<file path=xl/comments1.xml><?xml version="1.0" encoding="utf-8"?>
<comments xmlns="http://schemas.openxmlformats.org/spreadsheetml/2006/main">
  <authors>
    <author>Jon</author>
  </authors>
  <commentList>
    <comment ref="C5" authorId="0" shapeId="0">
      <text>
        <r>
          <rPr>
            <b/>
            <sz val="8"/>
            <color indexed="81"/>
            <rFont val="Tahoma"/>
            <family val="2"/>
          </rPr>
          <t>Sale Price</t>
        </r>
        <r>
          <rPr>
            <sz val="8"/>
            <color indexed="81"/>
            <rFont val="Tahoma"/>
            <family val="2"/>
          </rPr>
          <t xml:space="preserve">
Include the sale price of the new car plus any additional options. Do not include the sales tax.</t>
        </r>
      </text>
    </comment>
    <comment ref="C6" authorId="0" shapeId="0">
      <text>
        <r>
          <rPr>
            <b/>
            <sz val="8"/>
            <color indexed="81"/>
            <rFont val="Tahoma"/>
            <family val="2"/>
          </rPr>
          <t>Destination Charge:</t>
        </r>
        <r>
          <rPr>
            <sz val="8"/>
            <color indexed="81"/>
            <rFont val="Tahoma"/>
            <family val="2"/>
          </rPr>
          <t xml:space="preserve">
The cost that the automaker charges to deliver the auto to the dealer. This amount is usually a fixed charge and is not negotiable. It varies depending on the car.</t>
        </r>
      </text>
    </comment>
    <comment ref="C7" authorId="0" shapeId="0">
      <text>
        <r>
          <rPr>
            <b/>
            <sz val="8"/>
            <color indexed="81"/>
            <rFont val="Tahoma"/>
            <family val="2"/>
          </rPr>
          <t>Title Transfer Fee:</t>
        </r>
        <r>
          <rPr>
            <sz val="8"/>
            <color indexed="81"/>
            <rFont val="Tahoma"/>
            <family val="2"/>
          </rPr>
          <t xml:space="preserve">
The title transfer fee is payable by the new owner to the state's DMV. This fee is usually taxable.</t>
        </r>
      </text>
    </comment>
    <comment ref="C8" authorId="0" shapeId="0">
      <text>
        <r>
          <rPr>
            <b/>
            <sz val="8"/>
            <color indexed="81"/>
            <rFont val="Tahoma"/>
            <family val="2"/>
          </rPr>
          <t>Taxable Fees:</t>
        </r>
        <r>
          <rPr>
            <sz val="8"/>
            <color indexed="81"/>
            <rFont val="Tahoma"/>
            <family val="2"/>
          </rPr>
          <t xml:space="preserve">
Fees that are subject to State Sales Tax, such as </t>
        </r>
        <r>
          <rPr>
            <sz val="8"/>
            <color indexed="81"/>
            <rFont val="Tahoma"/>
            <family val="2"/>
          </rPr>
          <t>fees that are due at delivery.</t>
        </r>
      </text>
    </comment>
    <comment ref="C12" authorId="0" shapeId="0">
      <text>
        <r>
          <rPr>
            <b/>
            <sz val="8"/>
            <color indexed="81"/>
            <rFont val="Tahoma"/>
            <family val="2"/>
          </rPr>
          <t>Check Your State:</t>
        </r>
        <r>
          <rPr>
            <sz val="8"/>
            <color indexed="81"/>
            <rFont val="Tahoma"/>
            <family val="2"/>
          </rPr>
          <t xml:space="preserve">
In some states, the value of the trade-in is not tax deductible. If you choose TRUE, then the trade-in value is subtracted from the sale price BEFORE calculating the taxes.
At the time of creation of this calculator, the following states DO NOT allow the trade-in value to be deducted:
California, District of Columbia, Hawaii, Maryland, Michigan</t>
        </r>
      </text>
    </comment>
    <comment ref="C13" authorId="0" shapeId="0">
      <text>
        <r>
          <rPr>
            <b/>
            <sz val="8"/>
            <color indexed="81"/>
            <rFont val="Tahoma"/>
            <family val="2"/>
          </rPr>
          <t>Check Your State:</t>
        </r>
        <r>
          <rPr>
            <sz val="8"/>
            <color indexed="81"/>
            <rFont val="Tahoma"/>
            <family val="2"/>
          </rPr>
          <t xml:space="preserve">
In some states, the manufacturer's Cash Rebate can be substracted from the sale price before the sales tax is calculated.</t>
        </r>
      </text>
    </comment>
    <comment ref="C19" authorId="0" shapeId="0">
      <text>
        <r>
          <rPr>
            <b/>
            <sz val="8"/>
            <color indexed="81"/>
            <rFont val="Tahoma"/>
            <family val="2"/>
          </rPr>
          <t>Registration Fee:</t>
        </r>
        <r>
          <rPr>
            <sz val="8"/>
            <color indexed="81"/>
            <rFont val="Tahoma"/>
            <family val="2"/>
          </rPr>
          <t xml:space="preserve">
The registration fee usually varies depending on the vehicle type, fuel type, county, and other factors. Call your DMV to find out the registration cost.</t>
        </r>
      </text>
    </comment>
    <comment ref="C20" authorId="0" shapeId="0">
      <text>
        <r>
          <rPr>
            <b/>
            <sz val="8"/>
            <color indexed="81"/>
            <rFont val="Tahoma"/>
            <family val="2"/>
          </rPr>
          <t>Late Registration:</t>
        </r>
        <r>
          <rPr>
            <sz val="8"/>
            <color indexed="81"/>
            <rFont val="Tahoma"/>
            <family val="2"/>
          </rPr>
          <t xml:space="preserve">
Many states due not have a grace period after registration has expired, so make sue you get the titled transferred and the registration fee paid right away.</t>
        </r>
      </text>
    </comment>
    <comment ref="C21" authorId="0" shapeId="0">
      <text>
        <r>
          <rPr>
            <b/>
            <sz val="8"/>
            <color indexed="81"/>
            <rFont val="Tahoma"/>
            <family val="2"/>
          </rPr>
          <t>Service Contract:</t>
        </r>
        <r>
          <rPr>
            <sz val="8"/>
            <color indexed="81"/>
            <rFont val="Tahoma"/>
            <family val="2"/>
          </rPr>
          <t xml:space="preserve">
Very likely, the dealer will try to get you to purchase a service contract. This can be a very significant cost, so don't neglect considering it in your calculation.</t>
        </r>
      </text>
    </comment>
    <comment ref="C25" authorId="0" shapeId="0">
      <text>
        <r>
          <rPr>
            <b/>
            <sz val="8"/>
            <color indexed="81"/>
            <rFont val="Tahoma"/>
            <family val="2"/>
          </rPr>
          <t>Late Title Transfer Fee:</t>
        </r>
        <r>
          <rPr>
            <sz val="8"/>
            <color indexed="81"/>
            <rFont val="Tahoma"/>
            <family val="2"/>
          </rPr>
          <t xml:space="preserve">
In many states, you have a limited amount of time (often 30 days) to transfer the title of the new car. If you don't meet the deadline, you end up paying late fees. Don't be late! The fees can add up quickly.
e.g. $25 to $200</t>
        </r>
      </text>
    </comment>
    <comment ref="C27" authorId="0" shapeId="0">
      <text>
        <r>
          <rPr>
            <b/>
            <sz val="8"/>
            <color indexed="81"/>
            <rFont val="Tahoma"/>
            <family val="2"/>
          </rPr>
          <t>Non-Taxable Fees</t>
        </r>
        <r>
          <rPr>
            <sz val="8"/>
            <color indexed="81"/>
            <rFont val="Tahoma"/>
            <family val="2"/>
          </rPr>
          <t xml:space="preserve">
Fees that are NOT subject to sales tax, such as document fees or fees due at delivery.</t>
        </r>
      </text>
    </comment>
    <comment ref="C32" authorId="0" shapeId="0">
      <text>
        <r>
          <rPr>
            <b/>
            <sz val="8"/>
            <color indexed="81"/>
            <rFont val="Tahoma"/>
            <family val="2"/>
          </rPr>
          <t>Unpaid Balance on Previous Loan:</t>
        </r>
        <r>
          <rPr>
            <sz val="8"/>
            <color indexed="81"/>
            <rFont val="Tahoma"/>
            <family val="2"/>
          </rPr>
          <t xml:space="preserve">
If you have an unpaid balance on a loan for a car that you are trading in, enter the unpaid loan balance here.</t>
        </r>
      </text>
    </comment>
    <comment ref="C34" authorId="0" shapeId="0">
      <text>
        <r>
          <rPr>
            <b/>
            <sz val="8"/>
            <color indexed="81"/>
            <rFont val="Tahoma"/>
            <family val="2"/>
          </rPr>
          <t>Down Payment:</t>
        </r>
        <r>
          <rPr>
            <sz val="8"/>
            <color indexed="81"/>
            <rFont val="Tahoma"/>
            <family val="2"/>
          </rPr>
          <t xml:space="preserve">
The amount you pay in cash (or by check). </t>
        </r>
      </text>
    </comment>
    <comment ref="C35" authorId="0" shapeId="0">
      <text>
        <r>
          <rPr>
            <b/>
            <sz val="8"/>
            <color indexed="81"/>
            <rFont val="Tahoma"/>
            <family val="2"/>
          </rPr>
          <t>Trade-In:</t>
        </r>
        <r>
          <rPr>
            <sz val="8"/>
            <color indexed="81"/>
            <rFont val="Tahoma"/>
            <family val="2"/>
          </rPr>
          <t xml:space="preserve">
If you are trading in an older car, enter the value accepted by the dealer here. In some states, the trade-in value can be deducted from the purchase price prior to calculating the sales tax.</t>
        </r>
      </text>
    </comment>
    <comment ref="C36" authorId="0" shapeId="0">
      <text>
        <r>
          <rPr>
            <b/>
            <sz val="8"/>
            <color indexed="81"/>
            <rFont val="Tahoma"/>
            <family val="2"/>
          </rPr>
          <t>Manufacturere's Cash Rebate</t>
        </r>
        <r>
          <rPr>
            <sz val="8"/>
            <color indexed="81"/>
            <rFont val="Tahoma"/>
            <family val="2"/>
          </rPr>
          <t>:
Sometimes, the manufacturer will provide a cash rebate or low-interest financing. In some states, the cash rebate can be deducted from the purchase price before calculating the sales tax.</t>
        </r>
      </text>
    </comment>
  </commentList>
</comments>
</file>

<file path=xl/comments2.xml><?xml version="1.0" encoding="utf-8"?>
<comments xmlns="http://schemas.openxmlformats.org/spreadsheetml/2006/main">
  <authors>
    <author>Jon</author>
    <author>Maria</author>
  </authors>
  <commentList>
    <comment ref="C5" authorId="0" shapeId="0">
      <text>
        <r>
          <rPr>
            <b/>
            <sz val="8"/>
            <color indexed="81"/>
            <rFont val="Tahoma"/>
            <family val="2"/>
          </rPr>
          <t>Loan Amount:</t>
        </r>
        <r>
          <rPr>
            <sz val="8"/>
            <color indexed="81"/>
            <rFont val="Tahoma"/>
            <family val="2"/>
          </rPr>
          <t xml:space="preserve">
This is the amount that you have borrowed.
It is NOT the price of the automobile. It is the amount financed, which often consists of the price of the auto + fees + sales tax - down payment.</t>
        </r>
      </text>
    </comment>
    <comment ref="C7" authorId="1" shapeId="0">
      <text>
        <r>
          <rPr>
            <b/>
            <sz val="8"/>
            <color indexed="81"/>
            <rFont val="Tahoma"/>
            <family val="2"/>
          </rPr>
          <t>Term of Loan</t>
        </r>
        <r>
          <rPr>
            <sz val="8"/>
            <color indexed="81"/>
            <rFont val="Tahoma"/>
            <family val="2"/>
          </rPr>
          <t xml:space="preserve">
Auto loans are usually between 1 and 6 years.
If you want to specify a specific number of months, enter the formula:  =</t>
        </r>
        <r>
          <rPr>
            <i/>
            <sz val="8"/>
            <color indexed="81"/>
            <rFont val="Tahoma"/>
            <family val="2"/>
          </rPr>
          <t>months</t>
        </r>
        <r>
          <rPr>
            <sz val="8"/>
            <color indexed="81"/>
            <rFont val="Tahoma"/>
            <family val="2"/>
          </rPr>
          <t>/12
For example:
For a 6-month loan, enter =6/12
For a 18-month loan, enter =18/12</t>
        </r>
      </text>
    </comment>
    <comment ref="F7" authorId="1" shapeId="0">
      <text>
        <r>
          <rPr>
            <b/>
            <sz val="8"/>
            <color indexed="81"/>
            <rFont val="Tahoma"/>
            <family val="2"/>
          </rPr>
          <t>Reduced Interest</t>
        </r>
        <r>
          <rPr>
            <sz val="8"/>
            <color indexed="81"/>
            <rFont val="Tahoma"/>
            <family val="2"/>
          </rPr>
          <t xml:space="preserve">
The reduced interest expense associated with making extra payments. The result may be off by a few cents due to rounding. When you make extra payments on the principal above your normal payment, then you pay less interest in the long run.</t>
        </r>
      </text>
    </comment>
    <comment ref="C8" authorId="1" shapeId="0">
      <text>
        <r>
          <rPr>
            <b/>
            <sz val="8"/>
            <color indexed="81"/>
            <rFont val="Tahoma"/>
            <family val="2"/>
          </rPr>
          <t>First Payment Date</t>
        </r>
        <r>
          <rPr>
            <sz val="8"/>
            <color indexed="81"/>
            <rFont val="Tahoma"/>
            <family val="2"/>
          </rPr>
          <t xml:space="preserve">
</t>
        </r>
        <r>
          <rPr>
            <sz val="8"/>
            <color indexed="81"/>
            <rFont val="Tahoma"/>
            <family val="2"/>
          </rPr>
          <t xml:space="preserve">Assumes that the first payment date is at the </t>
        </r>
        <r>
          <rPr>
            <b/>
            <sz val="8"/>
            <color indexed="81"/>
            <rFont val="Tahoma"/>
            <family val="2"/>
          </rPr>
          <t xml:space="preserve">end </t>
        </r>
        <r>
          <rPr>
            <sz val="8"/>
            <color indexed="81"/>
            <rFont val="Tahoma"/>
            <family val="2"/>
          </rPr>
          <t xml:space="preserve">of the first period.
</t>
        </r>
        <r>
          <rPr>
            <i/>
            <sz val="8"/>
            <color indexed="81"/>
            <rFont val="Tahoma"/>
            <family val="2"/>
          </rPr>
          <t>Shortcut</t>
        </r>
        <r>
          <rPr>
            <sz val="8"/>
            <color indexed="81"/>
            <rFont val="Tahoma"/>
            <family val="2"/>
          </rPr>
          <t xml:space="preserve">: To enter today's date, press </t>
        </r>
        <r>
          <rPr>
            <b/>
            <sz val="8"/>
            <color indexed="81"/>
            <rFont val="Tahoma"/>
            <family val="2"/>
          </rPr>
          <t>Ctrl+;</t>
        </r>
      </text>
    </comment>
    <comment ref="C15" authorId="0" shapeId="0">
      <text>
        <r>
          <rPr>
            <b/>
            <sz val="8"/>
            <color indexed="81"/>
            <rFont val="Tahoma"/>
            <family val="2"/>
          </rPr>
          <t>Total Interest:</t>
        </r>
        <r>
          <rPr>
            <sz val="8"/>
            <color indexed="81"/>
            <rFont val="Tahoma"/>
            <family val="2"/>
          </rPr>
          <t xml:space="preserve">
If you don't make any extra payments, this will be the total amount of interest paid over the life of the loan.</t>
        </r>
      </text>
    </comment>
    <comment ref="C16" authorId="0" shapeId="0">
      <text>
        <r>
          <rPr>
            <b/>
            <sz val="8"/>
            <color indexed="81"/>
            <rFont val="Tahoma"/>
            <family val="2"/>
          </rPr>
          <t>Total Payments:</t>
        </r>
        <r>
          <rPr>
            <sz val="8"/>
            <color indexed="81"/>
            <rFont val="Tahoma"/>
            <family val="2"/>
          </rPr>
          <t xml:space="preserve">
If you don't make any extra payments, this will be the total amount paid over the life of the loan (including interest). The amount may be off by a few cents due to rounding.</t>
        </r>
      </text>
    </comment>
    <comment ref="D19" authorId="1" shapeId="0">
      <text>
        <r>
          <rPr>
            <b/>
            <sz val="8"/>
            <color indexed="81"/>
            <rFont val="Tahoma"/>
            <family val="2"/>
          </rPr>
          <t>Additional Payment</t>
        </r>
        <r>
          <rPr>
            <sz val="8"/>
            <color indexed="81"/>
            <rFont val="Tahoma"/>
            <family val="2"/>
          </rPr>
          <t xml:space="preserve">
The amount paid directly towards the principal. In order to pay off the remaining balance, the additional payment must be the</t>
        </r>
        <r>
          <rPr>
            <b/>
            <sz val="8"/>
            <color indexed="81"/>
            <rFont val="Tahoma"/>
            <family val="2"/>
          </rPr>
          <t xml:space="preserve"> last period balance - payment due + interest due</t>
        </r>
        <r>
          <rPr>
            <sz val="8"/>
            <color indexed="81"/>
            <rFont val="Tahoma"/>
            <family val="2"/>
          </rPr>
          <t>. For example, to pay off after the first period, the additional payment would be: =G24-C25+E25
(Assumes no penalties for making additional payments.)</t>
        </r>
      </text>
    </comment>
  </commentList>
</comments>
</file>

<file path=xl/sharedStrings.xml><?xml version="1.0" encoding="utf-8"?>
<sst xmlns="http://schemas.openxmlformats.org/spreadsheetml/2006/main" count="139" uniqueCount="108">
  <si>
    <t>Inputs</t>
  </si>
  <si>
    <t>Annual Interest Rate</t>
  </si>
  <si>
    <t>Term of Loan in Years</t>
  </si>
  <si>
    <t>First Payment Date</t>
  </si>
  <si>
    <t>Frequency of Payment</t>
  </si>
  <si>
    <t>Rate (per period)</t>
  </si>
  <si>
    <t>Total Payments</t>
  </si>
  <si>
    <t>Total Interest</t>
  </si>
  <si>
    <t>No.</t>
  </si>
  <si>
    <t>Due Date</t>
  </si>
  <si>
    <t>Payment Due</t>
  </si>
  <si>
    <t>Additional Payment</t>
  </si>
  <si>
    <t>Interest</t>
  </si>
  <si>
    <t>Principal</t>
  </si>
  <si>
    <t>Balance</t>
  </si>
  <si>
    <t>Payment (per period)</t>
  </si>
  <si>
    <t>Payment</t>
  </si>
  <si>
    <t>Frequency</t>
  </si>
  <si>
    <t>Bi-Weekly</t>
  </si>
  <si>
    <t>Annually</t>
  </si>
  <si>
    <t>Semi-Annually</t>
  </si>
  <si>
    <t>Quarterly</t>
  </si>
  <si>
    <t>Bi-Monthly</t>
  </si>
  <si>
    <t>Monthly</t>
  </si>
  <si>
    <t>Semi-Monthly</t>
  </si>
  <si>
    <t>Auto Loan Payment Calculator</t>
  </si>
  <si>
    <t>Auto Loan Amount</t>
  </si>
  <si>
    <t>Number of Payments</t>
  </si>
  <si>
    <t>Ending Balance:</t>
  </si>
  <si>
    <t>Reduced Interest</t>
  </si>
  <si>
    <t>Effect of Extra Payments</t>
  </si>
  <si>
    <t>Last Payment Date</t>
  </si>
  <si>
    <t>Purchase Price</t>
  </si>
  <si>
    <t>Title Transfer Fee</t>
  </si>
  <si>
    <t>Other Taxable Fees</t>
  </si>
  <si>
    <t>Non-Taxable Fees</t>
  </si>
  <si>
    <t>Sale Price + Options</t>
  </si>
  <si>
    <t>State Sales Tax Rate</t>
  </si>
  <si>
    <r>
      <t>Trade-In is</t>
    </r>
    <r>
      <rPr>
        <sz val="10"/>
        <rFont val="Tahoma"/>
        <family val="2"/>
      </rPr>
      <t xml:space="preserve"> Tax Deductible</t>
    </r>
  </si>
  <si>
    <t>Net Taxable</t>
  </si>
  <si>
    <t>State Sales Tax</t>
  </si>
  <si>
    <t>State Sales (Excise) Tax</t>
  </si>
  <si>
    <t>Other Non-Taxable Fees</t>
  </si>
  <si>
    <t>Registration</t>
  </si>
  <si>
    <t>Duplicate Title Fee</t>
  </si>
  <si>
    <t>Transaction Fee</t>
  </si>
  <si>
    <t>Special Plate Fee</t>
  </si>
  <si>
    <t>Administration Fee</t>
  </si>
  <si>
    <t>Total Non-Taxable Fees</t>
  </si>
  <si>
    <t>Destination charge</t>
  </si>
  <si>
    <t>Less Cash Rebate</t>
  </si>
  <si>
    <t>Less Down Payment</t>
  </si>
  <si>
    <t>Cash Rebate is Tax Deductible</t>
  </si>
  <si>
    <t>Less Value of Trade-In</t>
  </si>
  <si>
    <t>Unpaid Loan Balance on Trade-In</t>
  </si>
  <si>
    <t>Late Title Transfer Fee</t>
  </si>
  <si>
    <t>e.g. $25</t>
  </si>
  <si>
    <t>e.g. $3</t>
  </si>
  <si>
    <t>e.g. $25 to $200</t>
  </si>
  <si>
    <t>e.g. $40 to $100</t>
  </si>
  <si>
    <t xml:space="preserve"> If you don't know, set to FALSE</t>
  </si>
  <si>
    <t>Late Registration Fee</t>
  </si>
  <si>
    <t>e.g. $10 per month</t>
  </si>
  <si>
    <t xml:space="preserve"> Set to 0 if included in sale price</t>
  </si>
  <si>
    <t>e.g. $10</t>
  </si>
  <si>
    <t>Service Contract</t>
  </si>
  <si>
    <t>e.g. $250 to $1000</t>
  </si>
  <si>
    <r>
      <t>Summary</t>
    </r>
    <r>
      <rPr>
        <sz val="10"/>
        <color indexed="9"/>
        <rFont val="Tahoma"/>
        <family val="2"/>
      </rPr>
      <t xml:space="preserve"> (with no extra payments)</t>
    </r>
  </si>
  <si>
    <t>Auto Loan Calculator</t>
  </si>
  <si>
    <t>Total Loan Amount</t>
  </si>
  <si>
    <t>Loan Amount</t>
  </si>
  <si>
    <r>
      <t>Purchase Price</t>
    </r>
    <r>
      <rPr>
        <sz val="10"/>
        <color indexed="9"/>
        <rFont val="Tahoma"/>
        <family val="2"/>
      </rPr>
      <t xml:space="preserve"> (before tax)</t>
    </r>
  </si>
  <si>
    <t>Total Paid</t>
  </si>
  <si>
    <t>Auto Loan Payment &amp; Interest Comparisons</t>
  </si>
  <si>
    <t># of Payments</t>
  </si>
  <si>
    <t>e.g. 6.25%</t>
  </si>
  <si>
    <t>[42]</t>
  </si>
  <si>
    <t>http://www.vertex42.com/Calculators/auto-loan-calculator.html</t>
  </si>
  <si>
    <t>This worksheet provides a break-down of the sales cost, charges, fees, and taxes associated with buying a car from a dealer. Many of the values will need to be estimated, and you may need to consult the policies of your state to determine how sales tax is applied and what the registration and other fees are.</t>
  </si>
  <si>
    <t>At the bottom of the Download page at Vertex42.com you will find numerous links to online calculators and resources that may help you complete this worksheet.</t>
  </si>
  <si>
    <t>HELP</t>
  </si>
  <si>
    <t>Additional Help</t>
  </si>
  <si>
    <t>The link at the top of this worksheet will take you to the web page on vertex42.com that talks about this template.</t>
  </si>
  <si>
    <t>REFERENCES</t>
  </si>
  <si>
    <t>SEE ALSO</t>
  </si>
  <si>
    <t>Vertex42.com: Loan Amortization Schedule</t>
  </si>
  <si>
    <t>TIPS</t>
  </si>
  <si>
    <t>Vertex42.com: Spreadsheet Tips Workbook</t>
  </si>
  <si>
    <r>
      <t xml:space="preserve">Use the </t>
    </r>
    <r>
      <rPr>
        <b/>
        <sz val="10"/>
        <color rgb="FF000000"/>
        <rFont val="Tahoma"/>
        <family val="2"/>
      </rPr>
      <t>AutoLoanCalculator</t>
    </r>
    <r>
      <rPr>
        <sz val="10"/>
        <color rgb="FF000000"/>
        <rFont val="Tahoma"/>
        <family val="2"/>
      </rPr>
      <t xml:space="preserve"> worksheet to figure out the </t>
    </r>
    <r>
      <rPr>
        <b/>
        <sz val="10"/>
        <color rgb="FF000000"/>
        <rFont val="Tahoma"/>
        <family val="2"/>
      </rPr>
      <t>Auto Loan Amount</t>
    </r>
    <r>
      <rPr>
        <sz val="10"/>
        <color rgb="FF000000"/>
        <rFont val="Tahoma"/>
        <family val="2"/>
      </rPr>
      <t>.</t>
    </r>
  </si>
  <si>
    <t xml:space="preserve">This spreadsheet creates a payment schedule for a fixed-rate auto loan, with optional extra payments. Use the spreadsheet to compare different terms, rates, and loan amounts. The spreadsheet allows complete flexibility in how you make additional payments.
</t>
  </si>
  <si>
    <t xml:space="preserve">The payment is rounded to the nearest cent. The last payment is adjusted to bring the balance to zero.
</t>
  </si>
  <si>
    <t>By Vertex42.com</t>
  </si>
  <si>
    <t>Do not submit copies or modifications of this template to any website or online template gallery.</t>
  </si>
  <si>
    <t>Please review the following license agreement to learn how you may or may not use this template. Thank you.</t>
  </si>
  <si>
    <t>See License Agreement</t>
  </si>
  <si>
    <r>
      <rPr>
        <b/>
        <sz val="12"/>
        <color theme="1"/>
        <rFont val="Arial"/>
        <family val="2"/>
      </rPr>
      <t>Do not delete this worksheet.</t>
    </r>
    <r>
      <rPr>
        <sz val="12"/>
        <rFont val="Arial"/>
        <family val="2"/>
      </rPr>
      <t xml:space="preserve"> If necessary, you may hide it by right-clicking on the tab and selecting Hide.</t>
    </r>
  </si>
  <si>
    <t xml:space="preserve">To make comparisons, you can make multiple copies of Column D (select column D and press Ctrl+c, then right-click on column E and select Insert Copied Cells)
</t>
  </si>
  <si>
    <r>
      <t xml:space="preserve">Unless otherwise indicated, the comparison tables are based on the Loan Amount, Interest Rate, Term, and Frequency listed to the right. These values can be changed in the </t>
    </r>
    <r>
      <rPr>
        <b/>
        <sz val="10"/>
        <rFont val="Tahoma"/>
        <family val="2"/>
      </rPr>
      <t>PaymentCalculator</t>
    </r>
    <r>
      <rPr>
        <sz val="10"/>
        <rFont val="Tahoma"/>
        <family val="2"/>
      </rPr>
      <t xml:space="preserve"> worksheet.
</t>
    </r>
  </si>
  <si>
    <t>Using This Worksheet</t>
  </si>
  <si>
    <r>
      <t xml:space="preserve">The calculations in this worksheet assume that </t>
    </r>
    <r>
      <rPr>
        <b/>
        <sz val="10"/>
        <rFont val="Tahoma"/>
        <family val="2"/>
      </rPr>
      <t>no extra payments</t>
    </r>
    <r>
      <rPr>
        <sz val="10"/>
        <rFont val="Tahoma"/>
        <family val="2"/>
      </rPr>
      <t xml:space="preserve"> are made.</t>
    </r>
  </si>
  <si>
    <t>Getting Started</t>
  </si>
  <si>
    <t>General help information for how to use each calculator is provided on the right side of each worksheet. Specific help information for cells is provided via cell comments.</t>
  </si>
  <si>
    <t>Vertex42.com: Personal Budget Spreadsheet</t>
  </si>
  <si>
    <t>http://www.vertex42.com/licensing/EULA_personaluse.html</t>
  </si>
  <si>
    <t>This spreadsheet, including all worksheets and associated content is a copyrighted work under the United States and other copyright laws.</t>
  </si>
  <si>
    <t>Annual_Interest_Rate</t>
  </si>
  <si>
    <t>of_Payments</t>
  </si>
  <si>
    <t>Down_Payment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</si>
</sst>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_(&quot;$&quot;* #,##0_);_(&quot;$&quot;* \(#,##0\);_(&quot;$&quot;* &quot;-&quot;??_);_(@_)"/>
    <numFmt numFmtId="165" formatCode="0.000%"/>
  </numFmts>
  <fonts count="42" x14ac:knownFonts="1">
    <font>
      <sz val="10"/>
      <name val="Tahoma"/>
      <family val="2"/>
    </font>
    <font>
      <sz val="10"/>
      <name val="Arial"/>
      <family val="2"/>
    </font>
    <font>
      <u/>
      <sz val="10"/>
      <color indexed="12"/>
      <name val="Tahoma"/>
      <family val="2"/>
    </font>
    <font>
      <sz val="8"/>
      <name val="Arial"/>
      <family val="2"/>
    </font>
    <font>
      <b/>
      <sz val="10"/>
      <name val="Tahoma"/>
      <family val="2"/>
    </font>
    <font>
      <sz val="10"/>
      <name val="Tahoma"/>
      <family val="2"/>
    </font>
    <font>
      <sz val="8"/>
      <name val="Tahoma"/>
      <family val="2"/>
    </font>
    <font>
      <b/>
      <sz val="8"/>
      <color indexed="81"/>
      <name val="Tahoma"/>
      <family val="2"/>
    </font>
    <font>
      <sz val="8"/>
      <color indexed="81"/>
      <name val="Tahoma"/>
      <family val="2"/>
    </font>
    <font>
      <i/>
      <sz val="8"/>
      <color indexed="81"/>
      <name val="Tahoma"/>
      <family val="2"/>
    </font>
    <font>
      <sz val="8"/>
      <name val="Arial"/>
      <family val="2"/>
    </font>
    <font>
      <b/>
      <sz val="10"/>
      <color indexed="10"/>
      <name val="Tahoma"/>
      <family val="2"/>
    </font>
    <font>
      <sz val="10"/>
      <color indexed="9"/>
      <name val="Tahoma"/>
      <family val="2"/>
    </font>
    <font>
      <u/>
      <sz val="8"/>
      <color indexed="12"/>
      <name val="Tahoma"/>
      <family val="2"/>
    </font>
    <font>
      <i/>
      <sz val="10"/>
      <name val="Tahoma"/>
      <family val="2"/>
    </font>
    <font>
      <b/>
      <sz val="10"/>
      <color indexed="9"/>
      <name val="Tahoma"/>
      <family val="2"/>
    </font>
    <font>
      <b/>
      <sz val="6"/>
      <name val="Tahoma"/>
      <family val="2"/>
    </font>
    <font>
      <sz val="10"/>
      <color theme="1"/>
      <name val="Tahoma"/>
      <family val="2"/>
    </font>
    <font>
      <b/>
      <sz val="18"/>
      <color indexed="9"/>
      <name val="Arial"/>
      <family val="2"/>
    </font>
    <font>
      <sz val="10"/>
      <color rgb="FF000000"/>
      <name val="Tahoma"/>
      <family val="2"/>
    </font>
    <font>
      <sz val="18"/>
      <color theme="4" tint="-0.249977111117893"/>
      <name val="Arial"/>
      <family val="2"/>
    </font>
    <font>
      <sz val="18"/>
      <name val="Arial"/>
      <family val="2"/>
    </font>
    <font>
      <sz val="8"/>
      <color theme="0" tint="-0.499984740745262"/>
      <name val="Arial"/>
      <family val="2"/>
    </font>
    <font>
      <b/>
      <sz val="11"/>
      <color theme="4" tint="-0.249977111117893"/>
      <name val="Arial"/>
      <family val="2"/>
    </font>
    <font>
      <sz val="11"/>
      <name val="Arial"/>
      <family val="2"/>
    </font>
    <font>
      <sz val="10"/>
      <color indexed="12"/>
      <name val="Arial"/>
      <family val="2"/>
    </font>
    <font>
      <b/>
      <sz val="10"/>
      <name val="Arial"/>
      <family val="2"/>
    </font>
    <font>
      <b/>
      <sz val="12"/>
      <name val="Arial"/>
      <family val="2"/>
    </font>
    <font>
      <b/>
      <sz val="12"/>
      <color indexed="9"/>
      <name val="Calibri"/>
      <family val="2"/>
    </font>
    <font>
      <sz val="11"/>
      <color theme="1" tint="0.34998626667073579"/>
      <name val="Calibri"/>
      <family val="2"/>
      <scheme val="minor"/>
    </font>
    <font>
      <u/>
      <sz val="11"/>
      <color indexed="12"/>
      <name val="Arial"/>
      <family val="2"/>
    </font>
    <font>
      <sz val="10"/>
      <name val="Calibri"/>
      <family val="2"/>
      <scheme val="minor"/>
    </font>
    <font>
      <b/>
      <sz val="10"/>
      <color rgb="FF000000"/>
      <name val="Tahoma"/>
      <family val="2"/>
    </font>
    <font>
      <sz val="11"/>
      <name val="Trebuchet MS"/>
      <family val="2"/>
    </font>
    <font>
      <sz val="12"/>
      <name val="Arial"/>
      <family val="2"/>
    </font>
    <font>
      <b/>
      <sz val="12"/>
      <color theme="1"/>
      <name val="Arial"/>
      <family val="2"/>
    </font>
    <font>
      <sz val="11"/>
      <color theme="1" tint="0.34998626667073579"/>
      <name val="Calibri"/>
      <family val="2"/>
    </font>
    <font>
      <u/>
      <sz val="11"/>
      <color indexed="12"/>
      <name val="Tahoma"/>
      <family val="2"/>
    </font>
    <font>
      <b/>
      <sz val="10"/>
      <color theme="4" tint="-0.249977111117893"/>
      <name val="Tahoma"/>
      <family val="2"/>
    </font>
    <font>
      <sz val="11"/>
      <color rgb="FF000000"/>
      <name val="Arial"/>
      <family val="2"/>
    </font>
    <font>
      <u/>
      <sz val="8"/>
      <color indexed="12"/>
      <name val="Arial"/>
      <family val="2"/>
    </font>
    <font>
      <u/>
      <sz val="12"/>
      <color indexed="12"/>
      <name val="Tahoma"/>
      <family val="2"/>
    </font>
  </fonts>
  <fills count="14">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47"/>
        <bgColor indexed="64"/>
      </patternFill>
    </fill>
    <fill>
      <patternFill patternType="solid">
        <fgColor indexed="5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34998626667073579"/>
        <bgColor indexed="64"/>
      </patternFill>
    </fill>
  </fills>
  <borders count="13">
    <border>
      <left/>
      <right/>
      <top/>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style="thin">
        <color indexed="55"/>
      </bottom>
      <diagonal/>
    </border>
    <border>
      <left/>
      <right/>
      <top/>
      <bottom style="thin">
        <color indexed="60"/>
      </bottom>
      <diagonal/>
    </border>
    <border>
      <left/>
      <right/>
      <top/>
      <bottom style="thin">
        <color indexed="53"/>
      </bottom>
      <diagonal/>
    </border>
    <border>
      <left/>
      <right/>
      <top/>
      <bottom style="medium">
        <color theme="4"/>
      </bottom>
      <diagonal/>
    </border>
    <border>
      <left/>
      <right/>
      <top/>
      <bottom style="thin">
        <color theme="4"/>
      </bottom>
      <diagonal/>
    </border>
    <border>
      <left/>
      <right style="thin">
        <color theme="4"/>
      </right>
      <top/>
      <bottom style="thin">
        <color theme="4"/>
      </bottom>
      <diagonal/>
    </border>
    <border>
      <left/>
      <right/>
      <top/>
      <bottom style="thin">
        <color theme="4" tint="-0.24994659260841701"/>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right/>
      <top style="thin">
        <color theme="4"/>
      </top>
      <bottom/>
      <diagonal/>
    </border>
  </borders>
  <cellStyleXfs count="4">
    <xf numFmtId="0" fontId="0" fillId="0" borderId="0"/>
    <xf numFmtId="44" fontId="1" fillId="0" borderId="0" applyFont="0" applyFill="0" applyBorder="0" applyAlignment="0" applyProtection="0"/>
    <xf numFmtId="0" fontId="2" fillId="0" borderId="0" applyNumberFormat="0" applyFill="0" applyBorder="0" applyAlignment="0" applyProtection="0">
      <alignment vertical="top"/>
      <protection locked="0"/>
    </xf>
    <xf numFmtId="9" fontId="1" fillId="0" borderId="0" applyFont="0" applyFill="0" applyBorder="0" applyAlignment="0" applyProtection="0"/>
  </cellStyleXfs>
  <cellXfs count="165">
    <xf numFmtId="0" fontId="0" fillId="0" borderId="0" xfId="0"/>
    <xf numFmtId="0" fontId="0" fillId="2" borderId="0" xfId="0" applyFont="1" applyFill="1" applyProtection="1"/>
    <xf numFmtId="0" fontId="0" fillId="0" borderId="0" xfId="0" applyFont="1" applyProtection="1"/>
    <xf numFmtId="10" fontId="5" fillId="0" borderId="0" xfId="3" applyNumberFormat="1" applyFont="1" applyProtection="1"/>
    <xf numFmtId="0" fontId="0" fillId="0" borderId="0" xfId="0" applyFont="1" applyAlignment="1" applyProtection="1"/>
    <xf numFmtId="0" fontId="6" fillId="0" borderId="0" xfId="0" applyFont="1" applyAlignment="1" applyProtection="1">
      <alignment horizontal="center"/>
    </xf>
    <xf numFmtId="14" fontId="3" fillId="0" borderId="0" xfId="0" applyNumberFormat="1" applyFont="1" applyAlignment="1" applyProtection="1">
      <alignment horizontal="right"/>
    </xf>
    <xf numFmtId="4" fontId="6" fillId="0" borderId="0" xfId="0" applyNumberFormat="1" applyFont="1" applyAlignment="1" applyProtection="1">
      <alignment horizontal="right"/>
    </xf>
    <xf numFmtId="8" fontId="0" fillId="0" borderId="0" xfId="0" applyNumberFormat="1" applyFont="1" applyProtection="1"/>
    <xf numFmtId="4" fontId="6" fillId="3" borderId="0" xfId="0" applyNumberFormat="1" applyFont="1" applyFill="1" applyAlignment="1" applyProtection="1">
      <alignment horizontal="right"/>
      <protection locked="0"/>
    </xf>
    <xf numFmtId="0" fontId="0" fillId="0" borderId="0" xfId="0" applyAlignment="1" applyProtection="1">
      <alignment horizontal="right"/>
    </xf>
    <xf numFmtId="0" fontId="0" fillId="2" borderId="0" xfId="0" applyFill="1" applyAlignment="1" applyProtection="1">
      <alignment horizontal="right"/>
    </xf>
    <xf numFmtId="4" fontId="6" fillId="2" borderId="0" xfId="0" applyNumberFormat="1" applyFont="1" applyFill="1" applyProtection="1"/>
    <xf numFmtId="164" fontId="5" fillId="0" borderId="1" xfId="1" applyNumberFormat="1" applyFont="1" applyFill="1" applyBorder="1" applyProtection="1">
      <protection locked="0"/>
    </xf>
    <xf numFmtId="10" fontId="5" fillId="0" borderId="1" xfId="3" applyNumberFormat="1" applyFont="1" applyFill="1" applyBorder="1" applyProtection="1">
      <protection locked="0"/>
    </xf>
    <xf numFmtId="164" fontId="5" fillId="0" borderId="2" xfId="1" applyNumberFormat="1" applyFont="1" applyFill="1" applyBorder="1" applyProtection="1">
      <protection locked="0"/>
    </xf>
    <xf numFmtId="0" fontId="0" fillId="0" borderId="0" xfId="0" applyNumberFormat="1" applyFont="1" applyProtection="1"/>
    <xf numFmtId="4" fontId="0" fillId="0" borderId="0" xfId="0" applyNumberFormat="1" applyFont="1" applyProtection="1"/>
    <xf numFmtId="4" fontId="0" fillId="0" borderId="0" xfId="0" applyNumberFormat="1" applyFont="1" applyAlignment="1" applyProtection="1"/>
    <xf numFmtId="4" fontId="5" fillId="0" borderId="0" xfId="0" applyNumberFormat="1" applyFont="1" applyProtection="1"/>
    <xf numFmtId="0" fontId="5" fillId="0" borderId="0" xfId="0" applyNumberFormat="1" applyFont="1" applyProtection="1"/>
    <xf numFmtId="0" fontId="0" fillId="4" borderId="0" xfId="0" applyFill="1" applyAlignment="1" applyProtection="1">
      <alignment horizontal="center"/>
    </xf>
    <xf numFmtId="0" fontId="0" fillId="4" borderId="0" xfId="0" applyFont="1" applyFill="1" applyAlignment="1" applyProtection="1">
      <alignment horizontal="center"/>
    </xf>
    <xf numFmtId="0" fontId="5" fillId="4" borderId="0" xfId="0" applyFont="1" applyFill="1" applyAlignment="1" applyProtection="1">
      <alignment horizontal="center"/>
    </xf>
    <xf numFmtId="0" fontId="4" fillId="5" borderId="4" xfId="0" applyFont="1" applyFill="1" applyBorder="1" applyAlignment="1" applyProtection="1">
      <alignment horizontal="center" wrapText="1"/>
    </xf>
    <xf numFmtId="0" fontId="4" fillId="5" borderId="4" xfId="0" applyFont="1" applyFill="1" applyBorder="1" applyAlignment="1" applyProtection="1">
      <alignment horizontal="right" wrapText="1"/>
    </xf>
    <xf numFmtId="0" fontId="12" fillId="0" borderId="0" xfId="0" applyFont="1"/>
    <xf numFmtId="0" fontId="18" fillId="10" borderId="0" xfId="0" applyFont="1" applyFill="1" applyBorder="1" applyAlignment="1" applyProtection="1">
      <alignment vertical="center"/>
    </xf>
    <xf numFmtId="0" fontId="12" fillId="10" borderId="0" xfId="0" applyFont="1" applyFill="1" applyBorder="1" applyProtection="1"/>
    <xf numFmtId="0" fontId="15" fillId="9" borderId="3" xfId="0" applyFont="1" applyFill="1" applyBorder="1" applyAlignment="1" applyProtection="1">
      <alignment horizontal="left" vertical="center" indent="1"/>
    </xf>
    <xf numFmtId="164" fontId="4" fillId="8" borderId="1" xfId="0" applyNumberFormat="1" applyFont="1" applyFill="1" applyBorder="1"/>
    <xf numFmtId="0" fontId="0" fillId="6" borderId="0" xfId="0" applyFont="1" applyFill="1" applyProtection="1"/>
    <xf numFmtId="0" fontId="0" fillId="6" borderId="0" xfId="0" applyFill="1" applyProtection="1"/>
    <xf numFmtId="0" fontId="0" fillId="6" borderId="0" xfId="0" applyFill="1"/>
    <xf numFmtId="0" fontId="6" fillId="6" borderId="0" xfId="0" applyFont="1" applyFill="1"/>
    <xf numFmtId="6" fontId="6" fillId="6" borderId="0" xfId="0" applyNumberFormat="1" applyFont="1" applyFill="1" applyAlignment="1">
      <alignment horizontal="right"/>
    </xf>
    <xf numFmtId="0" fontId="0" fillId="6" borderId="0" xfId="0" applyFill="1" applyAlignment="1" applyProtection="1">
      <alignment horizontal="right" indent="1"/>
    </xf>
    <xf numFmtId="0" fontId="4" fillId="6" borderId="0" xfId="0" applyFont="1" applyFill="1" applyBorder="1" applyAlignment="1" applyProtection="1">
      <alignment horizontal="right" indent="1"/>
    </xf>
    <xf numFmtId="164" fontId="4" fillId="6" borderId="0" xfId="0" applyNumberFormat="1" applyFont="1" applyFill="1" applyBorder="1"/>
    <xf numFmtId="0" fontId="0" fillId="6" borderId="0" xfId="0" applyFill="1" applyBorder="1" applyAlignment="1" applyProtection="1">
      <alignment horizontal="right" indent="1"/>
    </xf>
    <xf numFmtId="164" fontId="5" fillId="6" borderId="0" xfId="1" applyNumberFormat="1" applyFont="1" applyFill="1" applyBorder="1" applyProtection="1"/>
    <xf numFmtId="44" fontId="4" fillId="6" borderId="0" xfId="1" applyFont="1" applyFill="1" applyBorder="1" applyProtection="1"/>
    <xf numFmtId="0" fontId="14" fillId="6" borderId="0" xfId="0" applyFont="1" applyFill="1" applyAlignment="1" applyProtection="1">
      <alignment horizontal="right" indent="1"/>
    </xf>
    <xf numFmtId="0" fontId="4" fillId="6" borderId="0" xfId="0" applyFont="1" applyFill="1" applyAlignment="1" applyProtection="1">
      <alignment horizontal="right" indent="1"/>
    </xf>
    <xf numFmtId="0" fontId="0" fillId="10" borderId="0" xfId="0" applyFont="1" applyFill="1" applyBorder="1" applyProtection="1"/>
    <xf numFmtId="44" fontId="0" fillId="6" borderId="2" xfId="1" applyFont="1" applyFill="1" applyBorder="1" applyProtection="1"/>
    <xf numFmtId="44" fontId="0" fillId="6" borderId="1" xfId="1" applyFont="1" applyFill="1" applyBorder="1" applyProtection="1"/>
    <xf numFmtId="8" fontId="0" fillId="6" borderId="1" xfId="0" applyNumberFormat="1" applyFont="1" applyFill="1" applyBorder="1" applyAlignment="1" applyProtection="1">
      <alignment horizontal="right"/>
    </xf>
    <xf numFmtId="0" fontId="0" fillId="6" borderId="1" xfId="0" applyFont="1" applyFill="1" applyBorder="1" applyAlignment="1" applyProtection="1">
      <alignment horizontal="center"/>
    </xf>
    <xf numFmtId="14" fontId="0" fillId="6" borderId="1" xfId="0" applyNumberFormat="1" applyFont="1" applyFill="1" applyBorder="1" applyAlignment="1" applyProtection="1">
      <alignment horizontal="center"/>
    </xf>
    <xf numFmtId="8" fontId="4" fillId="7" borderId="1" xfId="0" applyNumberFormat="1" applyFont="1" applyFill="1" applyBorder="1" applyProtection="1"/>
    <xf numFmtId="0" fontId="0" fillId="6" borderId="2" xfId="0" applyFont="1" applyFill="1" applyBorder="1" applyProtection="1"/>
    <xf numFmtId="165" fontId="5" fillId="6" borderId="1" xfId="3" applyNumberFormat="1" applyFont="1" applyFill="1" applyBorder="1" applyProtection="1"/>
    <xf numFmtId="8" fontId="0" fillId="6" borderId="1" xfId="1" applyNumberFormat="1" applyFont="1" applyFill="1" applyBorder="1" applyProtection="1"/>
    <xf numFmtId="0" fontId="5" fillId="6" borderId="0" xfId="0" applyFont="1" applyFill="1" applyAlignment="1" applyProtection="1">
      <alignment horizontal="right"/>
    </xf>
    <xf numFmtId="0" fontId="0" fillId="6" borderId="0" xfId="0" applyFont="1" applyFill="1" applyAlignment="1" applyProtection="1">
      <alignment horizontal="right" indent="1"/>
    </xf>
    <xf numFmtId="0" fontId="0" fillId="6" borderId="0" xfId="0" applyFont="1" applyFill="1" applyAlignment="1" applyProtection="1">
      <alignment horizontal="right"/>
    </xf>
    <xf numFmtId="0" fontId="5" fillId="6" borderId="0" xfId="0" applyFont="1" applyFill="1" applyAlignment="1" applyProtection="1">
      <alignment horizontal="right" indent="1"/>
    </xf>
    <xf numFmtId="0" fontId="0" fillId="6" borderId="0" xfId="0" applyFill="1" applyAlignment="1" applyProtection="1">
      <alignment horizontal="right"/>
    </xf>
    <xf numFmtId="0" fontId="0" fillId="6" borderId="0" xfId="0" applyFont="1" applyFill="1" applyBorder="1" applyAlignment="1" applyProtection="1">
      <alignment horizontal="right" indent="1"/>
    </xf>
    <xf numFmtId="0" fontId="11" fillId="6" borderId="0" xfId="0" applyFont="1" applyFill="1" applyAlignment="1" applyProtection="1">
      <alignment horizontal="center"/>
    </xf>
    <xf numFmtId="0" fontId="15" fillId="9" borderId="0" xfId="0" applyFont="1" applyFill="1" applyBorder="1" applyAlignment="1" applyProtection="1">
      <alignment horizontal="left" vertical="center" indent="1"/>
    </xf>
    <xf numFmtId="0" fontId="15" fillId="9" borderId="0" xfId="0" applyFont="1" applyFill="1" applyBorder="1" applyAlignment="1" applyProtection="1">
      <alignment horizontal="center" wrapText="1"/>
    </xf>
    <xf numFmtId="164" fontId="5" fillId="12" borderId="2" xfId="1" applyNumberFormat="1" applyFont="1" applyFill="1" applyBorder="1" applyProtection="1">
      <protection locked="0"/>
    </xf>
    <xf numFmtId="10" fontId="5" fillId="12" borderId="1" xfId="3" applyNumberFormat="1" applyFont="1" applyFill="1" applyBorder="1" applyProtection="1">
      <protection locked="0"/>
    </xf>
    <xf numFmtId="0" fontId="0" fillId="12" borderId="1" xfId="0" applyFont="1" applyFill="1" applyBorder="1" applyProtection="1">
      <protection locked="0"/>
    </xf>
    <xf numFmtId="14" fontId="0" fillId="12" borderId="1" xfId="0" applyNumberFormat="1" applyFill="1" applyBorder="1" applyAlignment="1" applyProtection="1">
      <alignment horizontal="right" indent="1"/>
      <protection locked="0"/>
    </xf>
    <xf numFmtId="14" fontId="6" fillId="12" borderId="1" xfId="0" applyNumberFormat="1" applyFont="1" applyFill="1" applyBorder="1" applyAlignment="1" applyProtection="1">
      <alignment horizontal="right" indent="1"/>
      <protection locked="0"/>
    </xf>
    <xf numFmtId="0" fontId="4" fillId="8" borderId="5" xfId="0" applyFont="1" applyFill="1" applyBorder="1" applyAlignment="1" applyProtection="1">
      <alignment horizontal="center"/>
    </xf>
    <xf numFmtId="0" fontId="4" fillId="8" borderId="5" xfId="0" applyFont="1" applyFill="1" applyBorder="1" applyAlignment="1" applyProtection="1">
      <alignment horizontal="right" wrapText="1"/>
    </xf>
    <xf numFmtId="0" fontId="16" fillId="8" borderId="5" xfId="0" applyFont="1" applyFill="1" applyBorder="1" applyAlignment="1" applyProtection="1">
      <alignment horizontal="right" wrapText="1"/>
    </xf>
    <xf numFmtId="0" fontId="6" fillId="6" borderId="0" xfId="0" applyFont="1" applyFill="1" applyAlignment="1" applyProtection="1">
      <alignment horizontal="center"/>
    </xf>
    <xf numFmtId="14" fontId="10" fillId="6" borderId="0" xfId="0" applyNumberFormat="1" applyFont="1" applyFill="1" applyAlignment="1" applyProtection="1">
      <alignment horizontal="right"/>
    </xf>
    <xf numFmtId="7" fontId="6" fillId="6" borderId="0" xfId="0" applyNumberFormat="1" applyFont="1" applyFill="1" applyProtection="1"/>
    <xf numFmtId="0" fontId="20" fillId="11" borderId="0" xfId="0" applyFont="1" applyFill="1" applyBorder="1" applyAlignment="1">
      <alignment vertical="center"/>
    </xf>
    <xf numFmtId="0" fontId="21" fillId="11" borderId="0" xfId="0" applyFont="1" applyFill="1" applyBorder="1" applyAlignment="1">
      <alignment vertical="center"/>
    </xf>
    <xf numFmtId="0" fontId="1" fillId="11" borderId="0" xfId="0" applyFont="1" applyFill="1" applyBorder="1" applyAlignment="1">
      <alignment horizontal="right" vertical="center"/>
    </xf>
    <xf numFmtId="0" fontId="1" fillId="0" borderId="0" xfId="0" applyFont="1" applyFill="1" applyBorder="1"/>
    <xf numFmtId="0" fontId="1" fillId="0" borderId="0" xfId="0" applyFont="1"/>
    <xf numFmtId="0" fontId="1" fillId="0" borderId="0" xfId="0" applyFont="1" applyBorder="1" applyAlignment="1"/>
    <xf numFmtId="0" fontId="22" fillId="0" borderId="0" xfId="0" applyNumberFormat="1" applyFont="1" applyBorder="1" applyAlignment="1">
      <alignment horizontal="right"/>
    </xf>
    <xf numFmtId="0" fontId="1" fillId="0" borderId="0" xfId="0" applyFont="1" applyAlignment="1"/>
    <xf numFmtId="0" fontId="1" fillId="0" borderId="0" xfId="0" applyFont="1" applyAlignment="1">
      <alignment vertical="top"/>
    </xf>
    <xf numFmtId="0" fontId="23" fillId="0" borderId="6" xfId="0" applyFont="1" applyBorder="1"/>
    <xf numFmtId="0" fontId="24" fillId="0" borderId="6" xfId="0" applyFont="1" applyBorder="1" applyAlignment="1">
      <alignment vertical="top"/>
    </xf>
    <xf numFmtId="0" fontId="1" fillId="0" borderId="7" xfId="0" applyFont="1" applyBorder="1" applyAlignment="1">
      <alignment vertical="top"/>
    </xf>
    <xf numFmtId="0" fontId="25" fillId="0" borderId="0" xfId="0" applyFont="1"/>
    <xf numFmtId="0" fontId="27" fillId="0" borderId="0" xfId="0" applyFont="1"/>
    <xf numFmtId="0" fontId="26" fillId="0" borderId="0" xfId="0" applyFont="1"/>
    <xf numFmtId="0" fontId="24" fillId="0" borderId="0" xfId="0" applyFont="1" applyAlignment="1">
      <alignment horizontal="right" vertical="top"/>
    </xf>
    <xf numFmtId="0" fontId="24" fillId="0" borderId="0" xfId="0" applyFont="1" applyAlignment="1">
      <alignment vertical="top"/>
    </xf>
    <xf numFmtId="0" fontId="24" fillId="0" borderId="0" xfId="0" applyFont="1" applyAlignment="1">
      <alignment vertical="top" wrapText="1"/>
    </xf>
    <xf numFmtId="0" fontId="1" fillId="13" borderId="0" xfId="0" applyFont="1" applyFill="1" applyAlignment="1">
      <alignment horizontal="right" vertical="top"/>
    </xf>
    <xf numFmtId="0" fontId="28" fillId="13" borderId="0" xfId="0" applyFont="1" applyFill="1" applyAlignment="1"/>
    <xf numFmtId="0" fontId="1" fillId="13" borderId="0" xfId="0" applyFont="1" applyFill="1"/>
    <xf numFmtId="0" fontId="29" fillId="11" borderId="0" xfId="0" applyFont="1" applyFill="1" applyAlignment="1">
      <alignment horizontal="center"/>
    </xf>
    <xf numFmtId="0" fontId="31" fillId="0" borderId="0" xfId="0" applyFont="1"/>
    <xf numFmtId="0" fontId="30" fillId="0" borderId="0" xfId="0" applyFont="1" applyAlignment="1" applyProtection="1">
      <alignment horizontal="left" indent="1"/>
    </xf>
    <xf numFmtId="0" fontId="24" fillId="0" borderId="0" xfId="0" applyFont="1"/>
    <xf numFmtId="43" fontId="1" fillId="0" borderId="0" xfId="0" applyNumberFormat="1" applyFont="1"/>
    <xf numFmtId="0" fontId="13" fillId="11" borderId="0" xfId="2" applyFont="1" applyFill="1" applyAlignment="1" applyProtection="1">
      <alignment horizontal="left"/>
    </xf>
    <xf numFmtId="0" fontId="0" fillId="11" borderId="0" xfId="0" applyFont="1" applyFill="1" applyProtection="1"/>
    <xf numFmtId="0" fontId="14" fillId="11" borderId="0" xfId="0" applyFont="1" applyFill="1" applyProtection="1"/>
    <xf numFmtId="0" fontId="0" fillId="11" borderId="0" xfId="0" applyFill="1" applyProtection="1"/>
    <xf numFmtId="0" fontId="0" fillId="11" borderId="0" xfId="0" applyFill="1"/>
    <xf numFmtId="0" fontId="0" fillId="11" borderId="0" xfId="0" applyFill="1" applyAlignment="1" applyProtection="1">
      <alignment horizontal="right" indent="1"/>
    </xf>
    <xf numFmtId="0" fontId="0" fillId="11" borderId="0" xfId="0" applyFont="1" applyFill="1" applyAlignment="1" applyProtection="1">
      <alignment horizontal="right" indent="1"/>
    </xf>
    <xf numFmtId="0" fontId="5" fillId="11" borderId="0" xfId="0" applyFont="1" applyFill="1" applyAlignment="1" applyProtection="1">
      <alignment horizontal="right" indent="1"/>
    </xf>
    <xf numFmtId="164" fontId="5" fillId="6" borderId="1" xfId="1" applyNumberFormat="1" applyFont="1" applyFill="1" applyBorder="1" applyProtection="1"/>
    <xf numFmtId="10" fontId="5" fillId="6" borderId="1" xfId="3" applyNumberFormat="1" applyFont="1" applyFill="1" applyBorder="1" applyProtection="1"/>
    <xf numFmtId="0" fontId="0" fillId="6" borderId="1" xfId="0" applyFont="1" applyFill="1" applyBorder="1" applyProtection="1"/>
    <xf numFmtId="14" fontId="6" fillId="6" borderId="1" xfId="0" applyNumberFormat="1" applyFont="1" applyFill="1" applyBorder="1" applyAlignment="1" applyProtection="1">
      <alignment horizontal="right" indent="1"/>
    </xf>
    <xf numFmtId="0" fontId="2" fillId="0" borderId="0" xfId="2" applyBorder="1" applyAlignment="1" applyProtection="1">
      <alignment horizontal="left"/>
    </xf>
    <xf numFmtId="0" fontId="0" fillId="0" borderId="0" xfId="0" applyFont="1" applyAlignment="1" applyProtection="1">
      <alignment vertical="top"/>
    </xf>
    <xf numFmtId="10" fontId="0" fillId="6" borderId="0" xfId="0" applyNumberFormat="1" applyFill="1" applyAlignment="1" applyProtection="1">
      <alignment horizontal="center"/>
    </xf>
    <xf numFmtId="0" fontId="0" fillId="6" borderId="0" xfId="0" applyFill="1" applyAlignment="1" applyProtection="1">
      <alignment horizontal="center"/>
    </xf>
    <xf numFmtId="0" fontId="0" fillId="6" borderId="0" xfId="0" applyFont="1" applyFill="1" applyAlignment="1" applyProtection="1">
      <alignment horizontal="center"/>
    </xf>
    <xf numFmtId="8" fontId="0" fillId="6" borderId="0" xfId="0" applyNumberFormat="1" applyFont="1" applyFill="1" applyAlignment="1" applyProtection="1">
      <alignment horizontal="center"/>
    </xf>
    <xf numFmtId="0" fontId="4" fillId="7" borderId="8" xfId="0" applyFont="1" applyFill="1" applyBorder="1" applyAlignment="1" applyProtection="1">
      <alignment horizontal="center" wrapText="1"/>
    </xf>
    <xf numFmtId="0" fontId="4" fillId="7" borderId="8" xfId="0" applyFont="1" applyFill="1" applyBorder="1" applyAlignment="1" applyProtection="1">
      <alignment horizontal="right" wrapText="1"/>
    </xf>
    <xf numFmtId="0" fontId="20" fillId="11" borderId="0" xfId="0" applyFont="1" applyFill="1" applyBorder="1" applyAlignment="1">
      <alignment horizontal="left" vertical="center"/>
    </xf>
    <xf numFmtId="0" fontId="0" fillId="0" borderId="0" xfId="0" applyFill="1" applyBorder="1"/>
    <xf numFmtId="0" fontId="0" fillId="0" borderId="0" xfId="0" applyBorder="1"/>
    <xf numFmtId="0" fontId="33" fillId="0" borderId="0" xfId="0" applyFont="1" applyAlignment="1">
      <alignment horizontal="left" vertical="top" wrapText="1"/>
    </xf>
    <xf numFmtId="0" fontId="1" fillId="12" borderId="0" xfId="0" applyFont="1" applyFill="1" applyBorder="1"/>
    <xf numFmtId="0" fontId="24" fillId="0" borderId="9" xfId="0" applyFont="1" applyBorder="1"/>
    <xf numFmtId="0" fontId="0" fillId="12" borderId="0" xfId="0" applyFill="1" applyBorder="1"/>
    <xf numFmtId="0" fontId="2" fillId="0" borderId="0" xfId="2" applyBorder="1" applyAlignment="1" applyProtection="1">
      <alignment horizontal="left" vertical="top"/>
    </xf>
    <xf numFmtId="0" fontId="34" fillId="0" borderId="10" xfId="0" applyFont="1" applyBorder="1" applyAlignment="1">
      <alignment horizontal="left" wrapText="1"/>
    </xf>
    <xf numFmtId="0" fontId="27" fillId="0" borderId="11" xfId="0" applyFont="1" applyBorder="1" applyAlignment="1">
      <alignment horizontal="left" wrapText="1"/>
    </xf>
    <xf numFmtId="0" fontId="23" fillId="12" borderId="0" xfId="0" applyFont="1" applyFill="1" applyBorder="1"/>
    <xf numFmtId="0" fontId="34" fillId="0" borderId="11" xfId="0" applyFont="1" applyBorder="1" applyAlignment="1">
      <alignment horizontal="left" wrapText="1"/>
    </xf>
    <xf numFmtId="0" fontId="1" fillId="12" borderId="0" xfId="0" applyFont="1" applyFill="1" applyBorder="1" applyAlignment="1">
      <alignment vertical="top"/>
    </xf>
    <xf numFmtId="0" fontId="24" fillId="12" borderId="0" xfId="0" applyFont="1" applyFill="1" applyBorder="1" applyAlignment="1">
      <alignment horizontal="right" vertical="top"/>
    </xf>
    <xf numFmtId="0" fontId="34" fillId="0" borderId="11" xfId="0" applyFont="1" applyBorder="1" applyAlignment="1">
      <alignment horizontal="left"/>
    </xf>
    <xf numFmtId="0" fontId="33" fillId="12" borderId="0" xfId="0" applyFont="1" applyFill="1" applyBorder="1" applyAlignment="1">
      <alignment horizontal="left" vertical="top" wrapText="1"/>
    </xf>
    <xf numFmtId="0" fontId="24" fillId="12" borderId="0" xfId="0" applyFont="1" applyFill="1" applyBorder="1" applyAlignment="1">
      <alignment vertical="top"/>
    </xf>
    <xf numFmtId="0" fontId="24" fillId="12" borderId="0" xfId="0" applyFont="1" applyFill="1" applyBorder="1" applyAlignment="1">
      <alignment vertical="top" wrapText="1"/>
    </xf>
    <xf numFmtId="0" fontId="0" fillId="12" borderId="0" xfId="0" applyFill="1" applyBorder="1" applyAlignment="1">
      <alignment horizontal="right" vertical="top"/>
    </xf>
    <xf numFmtId="0" fontId="28" fillId="12" borderId="0" xfId="0" applyFont="1" applyFill="1" applyBorder="1" applyAlignment="1"/>
    <xf numFmtId="0" fontId="36" fillId="12" borderId="0" xfId="0" applyFont="1" applyFill="1" applyBorder="1" applyAlignment="1">
      <alignment horizontal="center"/>
    </xf>
    <xf numFmtId="0" fontId="37" fillId="12" borderId="0" xfId="2" applyFont="1" applyFill="1" applyBorder="1" applyAlignment="1" applyProtection="1">
      <alignment horizontal="left" indent="1"/>
    </xf>
    <xf numFmtId="0" fontId="30" fillId="12" borderId="0" xfId="0" applyFont="1" applyFill="1" applyBorder="1" applyAlignment="1" applyProtection="1">
      <alignment horizontal="left" indent="1"/>
    </xf>
    <xf numFmtId="0" fontId="24" fillId="12" borderId="0" xfId="0" applyFont="1" applyFill="1" applyBorder="1"/>
    <xf numFmtId="0" fontId="17" fillId="0" borderId="0" xfId="0" applyFont="1" applyAlignment="1">
      <alignment vertical="top" wrapText="1"/>
    </xf>
    <xf numFmtId="0" fontId="38" fillId="0" borderId="6" xfId="0" applyFont="1" applyBorder="1" applyProtection="1"/>
    <xf numFmtId="0" fontId="6" fillId="11" borderId="0" xfId="0" applyFont="1" applyFill="1" applyAlignment="1" applyProtection="1">
      <alignment vertical="top" wrapText="1"/>
    </xf>
    <xf numFmtId="0" fontId="37" fillId="0" borderId="0" xfId="2" applyFont="1" applyAlignment="1" applyProtection="1">
      <alignment horizontal="left" indent="1"/>
    </xf>
    <xf numFmtId="0" fontId="39" fillId="0" borderId="0" xfId="0" applyFont="1" applyAlignment="1">
      <alignment horizontal="left" vertical="top" wrapText="1" readingOrder="1"/>
    </xf>
    <xf numFmtId="0" fontId="40" fillId="6" borderId="0" xfId="2" applyFont="1" applyFill="1" applyAlignment="1" applyProtection="1">
      <alignment horizontal="left"/>
    </xf>
    <xf numFmtId="0" fontId="41" fillId="0" borderId="11" xfId="2" applyFont="1" applyBorder="1" applyAlignment="1" applyProtection="1">
      <alignment horizontal="left" wrapText="1"/>
    </xf>
    <xf numFmtId="0" fontId="0" fillId="0" borderId="0" xfId="0" applyAlignment="1">
      <alignment horizontal="left" wrapText="1"/>
    </xf>
    <xf numFmtId="0" fontId="0" fillId="0" borderId="0" xfId="0" applyAlignment="1">
      <alignment horizontal="left" vertical="top" wrapText="1"/>
    </xf>
    <xf numFmtId="0" fontId="0" fillId="0" borderId="0" xfId="0" applyAlignment="1">
      <alignment horizontal="left" vertical="top"/>
    </xf>
    <xf numFmtId="0" fontId="17" fillId="0" borderId="12" xfId="0" applyFont="1" applyBorder="1" applyAlignment="1">
      <alignment horizontal="left" vertical="top" wrapText="1"/>
    </xf>
    <xf numFmtId="0" fontId="17" fillId="0" borderId="0" xfId="0" applyFont="1" applyAlignment="1">
      <alignment horizontal="left" vertical="top" wrapText="1"/>
    </xf>
    <xf numFmtId="0" fontId="10" fillId="6" borderId="0" xfId="0" applyFont="1" applyFill="1" applyBorder="1" applyAlignment="1">
      <alignment horizontal="right"/>
    </xf>
    <xf numFmtId="0" fontId="10" fillId="10" borderId="0" xfId="0" applyFont="1" applyFill="1" applyBorder="1" applyAlignment="1">
      <alignment horizontal="right" vertical="top"/>
    </xf>
    <xf numFmtId="0" fontId="0" fillId="0" borderId="0" xfId="0" applyAlignment="1" applyProtection="1">
      <alignment horizontal="left" vertical="top" wrapText="1"/>
    </xf>
    <xf numFmtId="0" fontId="0" fillId="0" borderId="0" xfId="0" applyAlignment="1" applyProtection="1">
      <alignment horizontal="left" vertical="top"/>
    </xf>
    <xf numFmtId="0" fontId="0" fillId="0" borderId="0" xfId="0" applyFont="1" applyAlignment="1" applyProtection="1">
      <alignment horizontal="left" vertical="top" wrapText="1"/>
    </xf>
    <xf numFmtId="0" fontId="19" fillId="0" borderId="0" xfId="0" applyFont="1" applyAlignment="1">
      <alignment horizontal="left" vertical="top" wrapText="1" readingOrder="1"/>
    </xf>
    <xf numFmtId="0" fontId="10" fillId="11" borderId="0" xfId="0" applyFont="1" applyFill="1" applyBorder="1" applyAlignment="1">
      <alignment horizontal="right"/>
    </xf>
    <xf numFmtId="0" fontId="0" fillId="0" borderId="12" xfId="0" applyFont="1" applyBorder="1" applyAlignment="1" applyProtection="1">
      <alignment horizontal="left" vertical="top" wrapText="1"/>
    </xf>
    <xf numFmtId="0" fontId="0" fillId="0" borderId="0" xfId="0" applyFont="1" applyBorder="1" applyAlignment="1" applyProtection="1">
      <alignment horizontal="left" vertical="top" wrapText="1"/>
    </xf>
  </cellXfs>
  <cellStyles count="4">
    <cellStyle name="Currency" xfId="1" builtinId="4"/>
    <cellStyle name="Hyperlink" xfId="2" builtinId="8"/>
    <cellStyle name="Normal" xfId="0" builtinId="0"/>
    <cellStyle name="Percent" xfId="3" builtinId="5"/>
  </cellStyles>
  <dxfs count="1">
    <dxf>
      <font>
        <b/>
        <i val="0"/>
        <condense val="0"/>
        <extend val="0"/>
        <color indexed="56"/>
      </font>
      <fill>
        <patternFill>
          <bgColor indexed="4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A0C9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EBF3E4"/>
      <rgbColor rgb="00EDE4F3"/>
      <rgbColor rgb="001849B5"/>
      <rgbColor rgb="0036ACA2"/>
      <rgbColor rgb="00F0BA00"/>
      <rgbColor rgb="00D2BCE1"/>
      <rgbColor rgb="00AC83C9"/>
      <rgbColor rgb="00673B87"/>
      <rgbColor rgb="005B873B"/>
      <rgbColor rgb="00B2B2B2"/>
      <rgbColor rgb="00003366"/>
      <rgbColor rgb="00109618"/>
      <rgbColor rgb="00085108"/>
      <rgbColor rgb="00635100"/>
      <rgbColor rgb="00442759"/>
      <rgbColor rgb="00CBE1BC"/>
      <rgbColor rgb="003C59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279131386004822"/>
          <c:y val="9.8591888313876525E-2"/>
          <c:w val="0.79070066732023425"/>
          <c:h val="0.59155132988325909"/>
        </c:manualLayout>
      </c:layout>
      <c:lineChart>
        <c:grouping val="standard"/>
        <c:varyColors val="0"/>
        <c:ser>
          <c:idx val="0"/>
          <c:order val="0"/>
          <c:tx>
            <c:v>Balance</c:v>
          </c:tx>
          <c:spPr>
            <a:ln w="25400">
              <a:solidFill>
                <a:srgbClr val="000080"/>
              </a:solidFill>
              <a:prstDash val="solid"/>
            </a:ln>
          </c:spPr>
          <c:marker>
            <c:symbol val="none"/>
          </c:marker>
          <c:cat>
            <c:numRef>
              <c:f>[0]!chart_date</c:f>
              <c:numCache>
                <c:formatCode>dd-mm-yy</c:formatCode>
                <c:ptCount val="60"/>
                <c:pt idx="0">
                  <c:v>42343</c:v>
                </c:pt>
                <c:pt idx="1">
                  <c:v>42374</c:v>
                </c:pt>
                <c:pt idx="2">
                  <c:v>42405</c:v>
                </c:pt>
                <c:pt idx="3">
                  <c:v>42434</c:v>
                </c:pt>
                <c:pt idx="4">
                  <c:v>42465</c:v>
                </c:pt>
                <c:pt idx="5">
                  <c:v>42495</c:v>
                </c:pt>
                <c:pt idx="6">
                  <c:v>42526</c:v>
                </c:pt>
                <c:pt idx="7">
                  <c:v>42556</c:v>
                </c:pt>
                <c:pt idx="8">
                  <c:v>42587</c:v>
                </c:pt>
                <c:pt idx="9">
                  <c:v>42618</c:v>
                </c:pt>
                <c:pt idx="10">
                  <c:v>42648</c:v>
                </c:pt>
                <c:pt idx="11">
                  <c:v>42679</c:v>
                </c:pt>
                <c:pt idx="12">
                  <c:v>42709</c:v>
                </c:pt>
                <c:pt idx="13">
                  <c:v>42740</c:v>
                </c:pt>
                <c:pt idx="14">
                  <c:v>42771</c:v>
                </c:pt>
                <c:pt idx="15">
                  <c:v>42799</c:v>
                </c:pt>
                <c:pt idx="16">
                  <c:v>42830</c:v>
                </c:pt>
                <c:pt idx="17">
                  <c:v>42860</c:v>
                </c:pt>
                <c:pt idx="18">
                  <c:v>42891</c:v>
                </c:pt>
                <c:pt idx="19">
                  <c:v>42921</c:v>
                </c:pt>
                <c:pt idx="20">
                  <c:v>42952</c:v>
                </c:pt>
                <c:pt idx="21">
                  <c:v>42983</c:v>
                </c:pt>
                <c:pt idx="22">
                  <c:v>43013</c:v>
                </c:pt>
                <c:pt idx="23">
                  <c:v>43044</c:v>
                </c:pt>
                <c:pt idx="24">
                  <c:v>43074</c:v>
                </c:pt>
                <c:pt idx="25">
                  <c:v>43105</c:v>
                </c:pt>
                <c:pt idx="26">
                  <c:v>43136</c:v>
                </c:pt>
                <c:pt idx="27">
                  <c:v>43164</c:v>
                </c:pt>
                <c:pt idx="28">
                  <c:v>43195</c:v>
                </c:pt>
                <c:pt idx="29">
                  <c:v>43225</c:v>
                </c:pt>
                <c:pt idx="30">
                  <c:v>43256</c:v>
                </c:pt>
                <c:pt idx="31">
                  <c:v>43286</c:v>
                </c:pt>
                <c:pt idx="32">
                  <c:v>43317</c:v>
                </c:pt>
                <c:pt idx="33">
                  <c:v>43348</c:v>
                </c:pt>
                <c:pt idx="34">
                  <c:v>43378</c:v>
                </c:pt>
                <c:pt idx="35">
                  <c:v>43409</c:v>
                </c:pt>
                <c:pt idx="36">
                  <c:v>43439</c:v>
                </c:pt>
                <c:pt idx="37">
                  <c:v>43470</c:v>
                </c:pt>
                <c:pt idx="38">
                  <c:v>43501</c:v>
                </c:pt>
                <c:pt idx="39">
                  <c:v>43529</c:v>
                </c:pt>
                <c:pt idx="40">
                  <c:v>43560</c:v>
                </c:pt>
                <c:pt idx="41">
                  <c:v>43590</c:v>
                </c:pt>
                <c:pt idx="42">
                  <c:v>43621</c:v>
                </c:pt>
                <c:pt idx="43">
                  <c:v>43651</c:v>
                </c:pt>
                <c:pt idx="44">
                  <c:v>43682</c:v>
                </c:pt>
                <c:pt idx="45">
                  <c:v>43713</c:v>
                </c:pt>
                <c:pt idx="46">
                  <c:v>43743</c:v>
                </c:pt>
                <c:pt idx="47">
                  <c:v>43774</c:v>
                </c:pt>
                <c:pt idx="48">
                  <c:v>43804</c:v>
                </c:pt>
                <c:pt idx="49">
                  <c:v>43835</c:v>
                </c:pt>
                <c:pt idx="50">
                  <c:v>43866</c:v>
                </c:pt>
                <c:pt idx="51">
                  <c:v>43895</c:v>
                </c:pt>
                <c:pt idx="52">
                  <c:v>43926</c:v>
                </c:pt>
                <c:pt idx="53">
                  <c:v>43956</c:v>
                </c:pt>
                <c:pt idx="54">
                  <c:v>43987</c:v>
                </c:pt>
                <c:pt idx="55">
                  <c:v>44017</c:v>
                </c:pt>
                <c:pt idx="56">
                  <c:v>44048</c:v>
                </c:pt>
                <c:pt idx="57">
                  <c:v>44079</c:v>
                </c:pt>
                <c:pt idx="58">
                  <c:v>44109</c:v>
                </c:pt>
                <c:pt idx="59">
                  <c:v>44140</c:v>
                </c:pt>
              </c:numCache>
            </c:numRef>
          </c:cat>
          <c:val>
            <c:numRef>
              <c:f>[0]!chart_balance</c:f>
              <c:numCache>
                <c:formatCode>#,##0.00</c:formatCode>
                <c:ptCount val="60"/>
                <c:pt idx="0">
                  <c:v>50000</c:v>
                </c:pt>
                <c:pt idx="1">
                  <c:v>50000</c:v>
                </c:pt>
                <c:pt idx="2">
                  <c:v>50000</c:v>
                </c:pt>
                <c:pt idx="3">
                  <c:v>50000</c:v>
                </c:pt>
                <c:pt idx="4">
                  <c:v>50000</c:v>
                </c:pt>
                <c:pt idx="5">
                  <c:v>50000</c:v>
                </c:pt>
                <c:pt idx="6">
                  <c:v>50000</c:v>
                </c:pt>
                <c:pt idx="7">
                  <c:v>50000</c:v>
                </c:pt>
                <c:pt idx="8">
                  <c:v>50000</c:v>
                </c:pt>
                <c:pt idx="9">
                  <c:v>50000</c:v>
                </c:pt>
                <c:pt idx="10">
                  <c:v>50000</c:v>
                </c:pt>
                <c:pt idx="11">
                  <c:v>50000</c:v>
                </c:pt>
                <c:pt idx="12">
                  <c:v>50000</c:v>
                </c:pt>
                <c:pt idx="13">
                  <c:v>50000</c:v>
                </c:pt>
                <c:pt idx="14">
                  <c:v>50000</c:v>
                </c:pt>
                <c:pt idx="15">
                  <c:v>50000</c:v>
                </c:pt>
                <c:pt idx="16">
                  <c:v>50000</c:v>
                </c:pt>
                <c:pt idx="17">
                  <c:v>50000</c:v>
                </c:pt>
                <c:pt idx="18">
                  <c:v>50000</c:v>
                </c:pt>
                <c:pt idx="19">
                  <c:v>50000</c:v>
                </c:pt>
                <c:pt idx="20">
                  <c:v>50000</c:v>
                </c:pt>
                <c:pt idx="21">
                  <c:v>50000</c:v>
                </c:pt>
                <c:pt idx="22">
                  <c:v>50000</c:v>
                </c:pt>
                <c:pt idx="23">
                  <c:v>50000</c:v>
                </c:pt>
                <c:pt idx="24">
                  <c:v>50000</c:v>
                </c:pt>
                <c:pt idx="25">
                  <c:v>50000</c:v>
                </c:pt>
                <c:pt idx="26">
                  <c:v>50000</c:v>
                </c:pt>
                <c:pt idx="27">
                  <c:v>50000</c:v>
                </c:pt>
                <c:pt idx="28">
                  <c:v>50000</c:v>
                </c:pt>
                <c:pt idx="29">
                  <c:v>50000</c:v>
                </c:pt>
                <c:pt idx="30">
                  <c:v>50000</c:v>
                </c:pt>
                <c:pt idx="31">
                  <c:v>50000</c:v>
                </c:pt>
                <c:pt idx="32">
                  <c:v>50000</c:v>
                </c:pt>
                <c:pt idx="33">
                  <c:v>50000</c:v>
                </c:pt>
                <c:pt idx="34">
                  <c:v>50000</c:v>
                </c:pt>
                <c:pt idx="35">
                  <c:v>50000</c:v>
                </c:pt>
                <c:pt idx="36">
                  <c:v>50000</c:v>
                </c:pt>
                <c:pt idx="37">
                  <c:v>50000</c:v>
                </c:pt>
                <c:pt idx="38">
                  <c:v>50000</c:v>
                </c:pt>
                <c:pt idx="39">
                  <c:v>50000</c:v>
                </c:pt>
                <c:pt idx="40">
                  <c:v>50000</c:v>
                </c:pt>
                <c:pt idx="41">
                  <c:v>50000</c:v>
                </c:pt>
                <c:pt idx="42">
                  <c:v>50000</c:v>
                </c:pt>
                <c:pt idx="43">
                  <c:v>50000</c:v>
                </c:pt>
                <c:pt idx="44">
                  <c:v>50000</c:v>
                </c:pt>
                <c:pt idx="45">
                  <c:v>50000</c:v>
                </c:pt>
                <c:pt idx="46">
                  <c:v>50000</c:v>
                </c:pt>
                <c:pt idx="47">
                  <c:v>50000</c:v>
                </c:pt>
                <c:pt idx="48">
                  <c:v>50000</c:v>
                </c:pt>
                <c:pt idx="49">
                  <c:v>50000</c:v>
                </c:pt>
                <c:pt idx="50">
                  <c:v>50000</c:v>
                </c:pt>
                <c:pt idx="51">
                  <c:v>50000</c:v>
                </c:pt>
                <c:pt idx="52">
                  <c:v>50000</c:v>
                </c:pt>
                <c:pt idx="53">
                  <c:v>50000</c:v>
                </c:pt>
                <c:pt idx="54">
                  <c:v>50000</c:v>
                </c:pt>
                <c:pt idx="55">
                  <c:v>50000</c:v>
                </c:pt>
                <c:pt idx="56">
                  <c:v>50000</c:v>
                </c:pt>
                <c:pt idx="57">
                  <c:v>50000</c:v>
                </c:pt>
                <c:pt idx="58">
                  <c:v>50000</c:v>
                </c:pt>
                <c:pt idx="59">
                  <c:v>0</c:v>
                </c:pt>
              </c:numCache>
            </c:numRef>
          </c:val>
          <c:smooth val="0"/>
          <c:extLst>
            <c:ext xmlns:c16="http://schemas.microsoft.com/office/drawing/2014/chart" uri="{C3380CC4-5D6E-409C-BE32-E72D297353CC}">
              <c16:uniqueId val="{00000000-0080-46DF-9E4D-ED87B9AD8F47}"/>
            </c:ext>
          </c:extLst>
        </c:ser>
        <c:ser>
          <c:idx val="1"/>
          <c:order val="1"/>
          <c:tx>
            <c:v>No Extra Payments</c:v>
          </c:tx>
          <c:spPr>
            <a:ln w="12700">
              <a:solidFill>
                <a:srgbClr val="FF00FF"/>
              </a:solidFill>
              <a:prstDash val="solid"/>
            </a:ln>
          </c:spPr>
          <c:marker>
            <c:symbol val="none"/>
          </c:marker>
          <c:val>
            <c:numRef>
              <c:f>[0]!chart_balance_noextra</c:f>
              <c:numCache>
                <c:formatCode>General</c:formatCode>
                <c:ptCount val="60"/>
                <c:pt idx="0">
                  <c:v>49999.996666666666</c:v>
                </c:pt>
                <c:pt idx="1">
                  <c:v>49999.990555555574</c:v>
                </c:pt>
                <c:pt idx="2">
                  <c:v>49999.979351851885</c:v>
                </c:pt>
                <c:pt idx="3">
                  <c:v>49999.958811728458</c:v>
                </c:pt>
                <c:pt idx="4">
                  <c:v>49999.921154835378</c:v>
                </c:pt>
                <c:pt idx="5">
                  <c:v>49999.852117198519</c:v>
                </c:pt>
                <c:pt idx="6">
                  <c:v>49999.72554819705</c:v>
                </c:pt>
                <c:pt idx="7">
                  <c:v>49999.493505027145</c:v>
                </c:pt>
                <c:pt idx="8">
                  <c:v>49999.068092551082</c:v>
                </c:pt>
                <c:pt idx="9">
                  <c:v>49998.288169678301</c:v>
                </c:pt>
                <c:pt idx="10">
                  <c:v>49996.858311079443</c:v>
                </c:pt>
                <c:pt idx="11">
                  <c:v>49994.236903637648</c:v>
                </c:pt>
                <c:pt idx="12">
                  <c:v>49989.430989995599</c:v>
                </c:pt>
                <c:pt idx="13">
                  <c:v>49980.620148301125</c:v>
                </c:pt>
                <c:pt idx="14">
                  <c:v>49964.466938614845</c:v>
                </c:pt>
                <c:pt idx="15">
                  <c:v>49934.852720737457</c:v>
                </c:pt>
                <c:pt idx="16">
                  <c:v>49880.559987783432</c:v>
                </c:pt>
                <c:pt idx="17">
                  <c:v>49781.02331161499</c:v>
                </c:pt>
                <c:pt idx="18">
                  <c:v>49598.539403915405</c:v>
                </c:pt>
                <c:pt idx="19">
                  <c:v>49263.98557472229</c:v>
                </c:pt>
                <c:pt idx="20">
                  <c:v>48650.636888504028</c:v>
                </c:pt>
                <c:pt idx="21">
                  <c:v>47526.164291381836</c:v>
                </c:pt>
                <c:pt idx="22">
                  <c:v>45464.631210327148</c:v>
                </c:pt>
                <c:pt idx="23">
                  <c:v>41685.153869628906</c:v>
                </c:pt>
                <c:pt idx="24">
                  <c:v>34756.112091064453</c:v>
                </c:pt>
                <c:pt idx="25">
                  <c:v>22052.868835449219</c:v>
                </c:pt>
                <c:pt idx="26">
                  <c:v>-1236.410400390625</c:v>
                </c:pt>
                <c:pt idx="27">
                  <c:v>-43933.42236328125</c:v>
                </c:pt>
                <c:pt idx="28">
                  <c:v>-122211.27807617188</c:v>
                </c:pt>
                <c:pt idx="29">
                  <c:v>-265720.67919921875</c:v>
                </c:pt>
                <c:pt idx="30">
                  <c:v>-528821.2490234375</c:v>
                </c:pt>
                <c:pt idx="31">
                  <c:v>-1011172.294921875</c:v>
                </c:pt>
                <c:pt idx="32">
                  <c:v>-1895482.5390625</c:v>
                </c:pt>
                <c:pt idx="33">
                  <c:v>-3516717.9921875</c:v>
                </c:pt>
                <c:pt idx="34">
                  <c:v>-6488983</c:v>
                </c:pt>
                <c:pt idx="35">
                  <c:v>-11938135.46875</c:v>
                </c:pt>
                <c:pt idx="36">
                  <c:v>-21928248.40625</c:v>
                </c:pt>
                <c:pt idx="37">
                  <c:v>-40243455.4375</c:v>
                </c:pt>
                <c:pt idx="38">
                  <c:v>-73821334.875</c:v>
                </c:pt>
                <c:pt idx="39">
                  <c:v>-135380780.75</c:v>
                </c:pt>
                <c:pt idx="40">
                  <c:v>-248239765</c:v>
                </c:pt>
                <c:pt idx="41">
                  <c:v>-455147901</c:v>
                </c:pt>
                <c:pt idx="42">
                  <c:v>-834479486</c:v>
                </c:pt>
                <c:pt idx="43">
                  <c:v>-1529920728</c:v>
                </c:pt>
                <c:pt idx="44">
                  <c:v>-2804896328</c:v>
                </c:pt>
                <c:pt idx="45">
                  <c:v>-5142351608</c:v>
                </c:pt>
                <c:pt idx="46">
                  <c:v>-9427686272</c:v>
                </c:pt>
                <c:pt idx="47">
                  <c:v>-17284133152</c:v>
                </c:pt>
                <c:pt idx="48">
                  <c:v>-31687619072</c:v>
                </c:pt>
                <c:pt idx="49">
                  <c:v>-58094010112</c:v>
                </c:pt>
                <c:pt idx="50">
                  <c:v>-106505726976</c:v>
                </c:pt>
                <c:pt idx="51">
                  <c:v>-195260540928</c:v>
                </c:pt>
                <c:pt idx="52">
                  <c:v>-357977699840</c:v>
                </c:pt>
                <c:pt idx="53">
                  <c:v>-656292491264</c:v>
                </c:pt>
                <c:pt idx="54">
                  <c:v>-1203202940928</c:v>
                </c:pt>
                <c:pt idx="55">
                  <c:v>-2205872103424</c:v>
                </c:pt>
                <c:pt idx="56">
                  <c:v>-4044098895872</c:v>
                </c:pt>
                <c:pt idx="57">
                  <c:v>-7414181363712</c:v>
                </c:pt>
                <c:pt idx="58">
                  <c:v>-13592665849856</c:v>
                </c:pt>
                <c:pt idx="59">
                  <c:v>-24919887446016</c:v>
                </c:pt>
              </c:numCache>
            </c:numRef>
          </c:val>
          <c:smooth val="0"/>
          <c:extLst>
            <c:ext xmlns:c16="http://schemas.microsoft.com/office/drawing/2014/chart" uri="{C3380CC4-5D6E-409C-BE32-E72D297353CC}">
              <c16:uniqueId val="{00000001-0080-46DF-9E4D-ED87B9AD8F47}"/>
            </c:ext>
          </c:extLst>
        </c:ser>
        <c:dLbls>
          <c:showLegendKey val="0"/>
          <c:showVal val="0"/>
          <c:showCatName val="0"/>
          <c:showSerName val="0"/>
          <c:showPercent val="0"/>
          <c:showBubbleSize val="0"/>
        </c:dLbls>
        <c:smooth val="0"/>
        <c:axId val="113014656"/>
        <c:axId val="113016192"/>
      </c:lineChart>
      <c:dateAx>
        <c:axId val="113014656"/>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700" b="0" i="0" u="none" strike="noStrike" baseline="0">
                <a:solidFill>
                  <a:srgbClr val="000000"/>
                </a:solidFill>
                <a:latin typeface="Arial"/>
                <a:ea typeface="Arial"/>
                <a:cs typeface="Arial"/>
              </a:defRPr>
            </a:pPr>
            <a:endParaRPr lang="en-US"/>
          </a:p>
        </c:txPr>
        <c:crossAx val="113016192"/>
        <c:crosses val="autoZero"/>
        <c:auto val="1"/>
        <c:lblOffset val="100"/>
        <c:baseTimeUnit val="months"/>
        <c:majorUnit val="3"/>
        <c:majorTimeUnit val="months"/>
        <c:minorUnit val="1"/>
        <c:minorTimeUnit val="months"/>
      </c:dateAx>
      <c:valAx>
        <c:axId val="11301619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13014656"/>
        <c:crosses val="autoZero"/>
        <c:crossBetween val="between"/>
      </c:valAx>
      <c:spPr>
        <a:noFill/>
        <a:ln w="25400">
          <a:noFill/>
        </a:ln>
      </c:spPr>
    </c:plotArea>
    <c:legend>
      <c:legendPos val="r"/>
      <c:layout>
        <c:manualLayout>
          <c:xMode val="edge"/>
          <c:yMode val="edge"/>
          <c:x val="0.46124205593680329"/>
          <c:y val="3.5211388683527328E-2"/>
          <c:w val="0.52325779455015498"/>
          <c:h val="0.26056427625810225"/>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84151954804185"/>
          <c:y val="6.7227028679401668E-2"/>
          <c:w val="0.74143527743890381"/>
          <c:h val="0.80252265486035745"/>
        </c:manualLayout>
      </c:layout>
      <c:lineChart>
        <c:grouping val="standard"/>
        <c:varyColors val="0"/>
        <c:ser>
          <c:idx val="0"/>
          <c:order val="0"/>
          <c:tx>
            <c:strRef>
              <c:f>LoanComparisons!$C$20</c:f>
              <c:strCache>
                <c:ptCount val="1"/>
                <c:pt idx="0">
                  <c:v>Payment</c:v>
                </c:pt>
              </c:strCache>
            </c:strRef>
          </c:tx>
          <c:spPr>
            <a:ln w="25400">
              <a:solidFill>
                <a:srgbClr val="000080"/>
              </a:solidFill>
              <a:prstDash val="solid"/>
            </a:ln>
          </c:spPr>
          <c:marker>
            <c:symbol val="circle"/>
            <c:size val="4"/>
            <c:spPr>
              <a:solidFill>
                <a:srgbClr val="000080"/>
              </a:solidFill>
              <a:ln>
                <a:solidFill>
                  <a:srgbClr val="000080"/>
                </a:solidFill>
                <a:prstDash val="solid"/>
              </a:ln>
            </c:spPr>
          </c:marker>
          <c:cat>
            <c:numRef>
              <c:f>LoanComparisons!$A$22:$A$32</c:f>
              <c:numCache>
                <c:formatCode>General</c:formatCode>
                <c:ptCount val="11"/>
                <c:pt idx="0">
                  <c:v>12</c:v>
                </c:pt>
                <c:pt idx="1">
                  <c:v>18</c:v>
                </c:pt>
                <c:pt idx="2">
                  <c:v>24</c:v>
                </c:pt>
                <c:pt idx="3">
                  <c:v>30</c:v>
                </c:pt>
                <c:pt idx="4">
                  <c:v>36</c:v>
                </c:pt>
                <c:pt idx="5">
                  <c:v>42</c:v>
                </c:pt>
                <c:pt idx="6">
                  <c:v>48</c:v>
                </c:pt>
                <c:pt idx="7">
                  <c:v>54</c:v>
                </c:pt>
                <c:pt idx="8">
                  <c:v>60</c:v>
                </c:pt>
                <c:pt idx="9">
                  <c:v>66</c:v>
                </c:pt>
                <c:pt idx="10">
                  <c:v>72</c:v>
                </c:pt>
              </c:numCache>
            </c:numRef>
          </c:cat>
          <c:val>
            <c:numRef>
              <c:f>LoanComparisons!$C$22:$C$32</c:f>
              <c:numCache>
                <c:formatCode>#,##0.00</c:formatCode>
                <c:ptCount val="11"/>
                <c:pt idx="0">
                  <c:v>41695.589999999997</c:v>
                </c:pt>
                <c:pt idx="1">
                  <c:v>41667.43</c:v>
                </c:pt>
                <c:pt idx="2">
                  <c:v>41666.69</c:v>
                </c:pt>
                <c:pt idx="3">
                  <c:v>41666.67</c:v>
                </c:pt>
                <c:pt idx="4">
                  <c:v>41666.67</c:v>
                </c:pt>
                <c:pt idx="5">
                  <c:v>41666.67</c:v>
                </c:pt>
                <c:pt idx="6">
                  <c:v>41666.67</c:v>
                </c:pt>
                <c:pt idx="7">
                  <c:v>41666.67</c:v>
                </c:pt>
                <c:pt idx="8">
                  <c:v>41666.67</c:v>
                </c:pt>
                <c:pt idx="9">
                  <c:v>41666.67</c:v>
                </c:pt>
                <c:pt idx="10">
                  <c:v>41666.67</c:v>
                </c:pt>
              </c:numCache>
            </c:numRef>
          </c:val>
          <c:smooth val="0"/>
          <c:extLst>
            <c:ext xmlns:c16="http://schemas.microsoft.com/office/drawing/2014/chart" uri="{C3380CC4-5D6E-409C-BE32-E72D297353CC}">
              <c16:uniqueId val="{00000000-95A2-465E-BF2A-7850B6F4B0E7}"/>
            </c:ext>
          </c:extLst>
        </c:ser>
        <c:dLbls>
          <c:showLegendKey val="0"/>
          <c:showVal val="0"/>
          <c:showCatName val="0"/>
          <c:showSerName val="0"/>
          <c:showPercent val="0"/>
          <c:showBubbleSize val="0"/>
        </c:dLbls>
        <c:marker val="1"/>
        <c:smooth val="0"/>
        <c:axId val="113067136"/>
        <c:axId val="113069440"/>
      </c:lineChart>
      <c:lineChart>
        <c:grouping val="standard"/>
        <c:varyColors val="0"/>
        <c:ser>
          <c:idx val="1"/>
          <c:order val="1"/>
          <c:tx>
            <c:strRef>
              <c:f>LoanComparisons!$D$20</c:f>
              <c:strCache>
                <c:ptCount val="1"/>
                <c:pt idx="0">
                  <c:v>Total Interest</c:v>
                </c:pt>
              </c:strCache>
            </c:strRef>
          </c:tx>
          <c:spPr>
            <a:ln w="12700">
              <a:solidFill>
                <a:srgbClr val="FF0000"/>
              </a:solidFill>
              <a:prstDash val="solid"/>
            </a:ln>
          </c:spPr>
          <c:marker>
            <c:symbol val="triangle"/>
            <c:size val="3"/>
            <c:spPr>
              <a:solidFill>
                <a:srgbClr val="FF0000"/>
              </a:solidFill>
              <a:ln>
                <a:solidFill>
                  <a:srgbClr val="FF0000"/>
                </a:solidFill>
                <a:prstDash val="solid"/>
              </a:ln>
            </c:spPr>
          </c:marker>
          <c:cat>
            <c:numRef>
              <c:f>LoanComparisons!$A$22:$A$32</c:f>
              <c:numCache>
                <c:formatCode>General</c:formatCode>
                <c:ptCount val="11"/>
                <c:pt idx="0">
                  <c:v>12</c:v>
                </c:pt>
                <c:pt idx="1">
                  <c:v>18</c:v>
                </c:pt>
                <c:pt idx="2">
                  <c:v>24</c:v>
                </c:pt>
                <c:pt idx="3">
                  <c:v>30</c:v>
                </c:pt>
                <c:pt idx="4">
                  <c:v>36</c:v>
                </c:pt>
                <c:pt idx="5">
                  <c:v>42</c:v>
                </c:pt>
                <c:pt idx="6">
                  <c:v>48</c:v>
                </c:pt>
                <c:pt idx="7">
                  <c:v>54</c:v>
                </c:pt>
                <c:pt idx="8">
                  <c:v>60</c:v>
                </c:pt>
                <c:pt idx="9">
                  <c:v>66</c:v>
                </c:pt>
                <c:pt idx="10">
                  <c:v>72</c:v>
                </c:pt>
              </c:numCache>
            </c:numRef>
          </c:cat>
          <c:val>
            <c:numRef>
              <c:f>LoanComparisons!$D$22:$D$32</c:f>
              <c:numCache>
                <c:formatCode>#,##0.00</c:formatCode>
                <c:ptCount val="11"/>
                <c:pt idx="0">
                  <c:v>450347.07999999996</c:v>
                </c:pt>
                <c:pt idx="1">
                  <c:v>700013.74</c:v>
                </c:pt>
                <c:pt idx="2">
                  <c:v>950000.56</c:v>
                </c:pt>
                <c:pt idx="3">
                  <c:v>1200000.0999999999</c:v>
                </c:pt>
                <c:pt idx="4">
                  <c:v>1450000.1199999999</c:v>
                </c:pt>
                <c:pt idx="5">
                  <c:v>1700000.14</c:v>
                </c:pt>
                <c:pt idx="6">
                  <c:v>1950000.16</c:v>
                </c:pt>
                <c:pt idx="7">
                  <c:v>2200000.1799999997</c:v>
                </c:pt>
                <c:pt idx="8">
                  <c:v>2450000.1999999997</c:v>
                </c:pt>
                <c:pt idx="9">
                  <c:v>2700000.2199999997</c:v>
                </c:pt>
                <c:pt idx="10">
                  <c:v>2950000.2399999998</c:v>
                </c:pt>
              </c:numCache>
            </c:numRef>
          </c:val>
          <c:smooth val="0"/>
          <c:extLst>
            <c:ext xmlns:c16="http://schemas.microsoft.com/office/drawing/2014/chart" uri="{C3380CC4-5D6E-409C-BE32-E72D297353CC}">
              <c16:uniqueId val="{00000001-95A2-465E-BF2A-7850B6F4B0E7}"/>
            </c:ext>
          </c:extLst>
        </c:ser>
        <c:dLbls>
          <c:showLegendKey val="0"/>
          <c:showVal val="0"/>
          <c:showCatName val="0"/>
          <c:showSerName val="0"/>
          <c:showPercent val="0"/>
          <c:showBubbleSize val="0"/>
        </c:dLbls>
        <c:marker val="1"/>
        <c:smooth val="0"/>
        <c:axId val="113083520"/>
        <c:axId val="113085056"/>
      </c:lineChart>
      <c:catAx>
        <c:axId val="113067136"/>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Number of Payments</a:t>
                </a:r>
              </a:p>
            </c:rich>
          </c:tx>
          <c:layout>
            <c:manualLayout>
              <c:xMode val="edge"/>
              <c:yMode val="edge"/>
              <c:x val="0.30218160467047761"/>
              <c:y val="0.7773125191055818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3069440"/>
        <c:crosses val="autoZero"/>
        <c:auto val="1"/>
        <c:lblAlgn val="ctr"/>
        <c:lblOffset val="100"/>
        <c:tickLblSkip val="1"/>
        <c:tickMarkSkip val="1"/>
        <c:noMultiLvlLbl val="0"/>
      </c:catAx>
      <c:valAx>
        <c:axId val="113069440"/>
        <c:scaling>
          <c:orientation val="minMax"/>
        </c:scaling>
        <c:delete val="0"/>
        <c:axPos val="l"/>
        <c:numFmt formatCode="#,##0" sourceLinked="0"/>
        <c:majorTickMark val="out"/>
        <c:minorTickMark val="none"/>
        <c:tickLblPos val="nextTo"/>
        <c:spPr>
          <a:ln w="3175">
            <a:solidFill>
              <a:srgbClr val="000080"/>
            </a:solidFill>
            <a:prstDash val="solid"/>
          </a:ln>
        </c:spPr>
        <c:txPr>
          <a:bodyPr rot="0" vert="horz"/>
          <a:lstStyle/>
          <a:p>
            <a:pPr>
              <a:defRPr sz="800" b="0" i="0" u="none" strike="noStrike" baseline="0">
                <a:solidFill>
                  <a:srgbClr val="000080"/>
                </a:solidFill>
                <a:latin typeface="Arial"/>
                <a:ea typeface="Arial"/>
                <a:cs typeface="Arial"/>
              </a:defRPr>
            </a:pPr>
            <a:endParaRPr lang="en-US"/>
          </a:p>
        </c:txPr>
        <c:crossAx val="113067136"/>
        <c:crosses val="autoZero"/>
        <c:crossBetween val="between"/>
      </c:valAx>
      <c:catAx>
        <c:axId val="113083520"/>
        <c:scaling>
          <c:orientation val="minMax"/>
        </c:scaling>
        <c:delete val="1"/>
        <c:axPos val="b"/>
        <c:numFmt formatCode="General" sourceLinked="1"/>
        <c:majorTickMark val="out"/>
        <c:minorTickMark val="none"/>
        <c:tickLblPos val="nextTo"/>
        <c:crossAx val="113085056"/>
        <c:crosses val="autoZero"/>
        <c:auto val="1"/>
        <c:lblAlgn val="ctr"/>
        <c:lblOffset val="100"/>
        <c:noMultiLvlLbl val="0"/>
      </c:catAx>
      <c:valAx>
        <c:axId val="113085056"/>
        <c:scaling>
          <c:orientation val="minMax"/>
        </c:scaling>
        <c:delete val="0"/>
        <c:axPos val="r"/>
        <c:numFmt formatCode="#,##0" sourceLinked="0"/>
        <c:majorTickMark val="cross"/>
        <c:minorTickMark val="none"/>
        <c:tickLblPos val="nextTo"/>
        <c:spPr>
          <a:ln w="3175">
            <a:solidFill>
              <a:srgbClr val="FF0000"/>
            </a:solidFill>
            <a:prstDash val="solid"/>
          </a:ln>
        </c:spPr>
        <c:txPr>
          <a:bodyPr rot="0" vert="horz"/>
          <a:lstStyle/>
          <a:p>
            <a:pPr>
              <a:defRPr sz="800" b="0" i="0" u="none" strike="noStrike" baseline="0">
                <a:solidFill>
                  <a:srgbClr val="FF0000"/>
                </a:solidFill>
                <a:latin typeface="Arial"/>
                <a:ea typeface="Arial"/>
                <a:cs typeface="Arial"/>
              </a:defRPr>
            </a:pPr>
            <a:endParaRPr lang="en-US"/>
          </a:p>
        </c:txPr>
        <c:crossAx val="113083520"/>
        <c:crosses val="max"/>
        <c:crossBetween val="between"/>
      </c:valAx>
      <c:spPr>
        <a:noFill/>
        <a:ln w="25400">
          <a:noFill/>
        </a:ln>
      </c:spPr>
    </c:plotArea>
    <c:legend>
      <c:legendPos val="r"/>
      <c:layout>
        <c:manualLayout>
          <c:xMode val="edge"/>
          <c:yMode val="edge"/>
          <c:x val="0.29906633039552422"/>
          <c:y val="4.2016892924626043E-2"/>
          <c:w val="0.42056202711870594"/>
          <c:h val="0.15546250382111637"/>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80405107346145"/>
          <c:y val="7.3891625615763554E-2"/>
          <c:w val="0.76947274591348425"/>
          <c:h val="0.67980295566502458"/>
        </c:manualLayout>
      </c:layout>
      <c:lineChart>
        <c:grouping val="standard"/>
        <c:varyColors val="0"/>
        <c:ser>
          <c:idx val="0"/>
          <c:order val="0"/>
          <c:tx>
            <c:strRef>
              <c:f>LoanComparisons!$C$35</c:f>
              <c:strCache>
                <c:ptCount val="1"/>
                <c:pt idx="0">
                  <c:v>Payment</c:v>
                </c:pt>
              </c:strCache>
            </c:strRef>
          </c:tx>
          <c:spPr>
            <a:ln w="25400">
              <a:solidFill>
                <a:srgbClr val="000080"/>
              </a:solidFill>
              <a:prstDash val="solid"/>
            </a:ln>
          </c:spPr>
          <c:marker>
            <c:symbol val="circle"/>
            <c:size val="4"/>
            <c:spPr>
              <a:solidFill>
                <a:srgbClr val="000080"/>
              </a:solidFill>
              <a:ln>
                <a:solidFill>
                  <a:srgbClr val="000080"/>
                </a:solidFill>
                <a:prstDash val="solid"/>
              </a:ln>
            </c:spPr>
          </c:marker>
          <c:cat>
            <c:numRef>
              <c:f>LoanComparisons!$A$36:$A$41</c:f>
              <c:numCache>
                <c:formatCode>"$"#,##0.00_);[Red]\("$"#,##0.00\)</c:formatCode>
                <c:ptCount val="6"/>
                <c:pt idx="0">
                  <c:v>0</c:v>
                </c:pt>
                <c:pt idx="1">
                  <c:v>2500</c:v>
                </c:pt>
                <c:pt idx="2">
                  <c:v>5000</c:v>
                </c:pt>
                <c:pt idx="3">
                  <c:v>7500</c:v>
                </c:pt>
                <c:pt idx="4">
                  <c:v>10000</c:v>
                </c:pt>
                <c:pt idx="5">
                  <c:v>12500</c:v>
                </c:pt>
              </c:numCache>
            </c:numRef>
          </c:cat>
          <c:val>
            <c:numRef>
              <c:f>LoanComparisons!$C$36:$C$41</c:f>
              <c:numCache>
                <c:formatCode>#,##0.00</c:formatCode>
                <c:ptCount val="6"/>
                <c:pt idx="0">
                  <c:v>41666.67</c:v>
                </c:pt>
                <c:pt idx="1">
                  <c:v>39583.33</c:v>
                </c:pt>
                <c:pt idx="2">
                  <c:v>37500</c:v>
                </c:pt>
                <c:pt idx="3">
                  <c:v>35416.67</c:v>
                </c:pt>
                <c:pt idx="4">
                  <c:v>33333.33</c:v>
                </c:pt>
                <c:pt idx="5">
                  <c:v>31250</c:v>
                </c:pt>
              </c:numCache>
            </c:numRef>
          </c:val>
          <c:smooth val="0"/>
          <c:extLst>
            <c:ext xmlns:c16="http://schemas.microsoft.com/office/drawing/2014/chart" uri="{C3380CC4-5D6E-409C-BE32-E72D297353CC}">
              <c16:uniqueId val="{00000000-1D3B-4B98-91C9-60F858D69961}"/>
            </c:ext>
          </c:extLst>
        </c:ser>
        <c:dLbls>
          <c:showLegendKey val="0"/>
          <c:showVal val="0"/>
          <c:showCatName val="0"/>
          <c:showSerName val="0"/>
          <c:showPercent val="0"/>
          <c:showBubbleSize val="0"/>
        </c:dLbls>
        <c:marker val="1"/>
        <c:smooth val="0"/>
        <c:axId val="113106944"/>
        <c:axId val="113109248"/>
      </c:lineChart>
      <c:lineChart>
        <c:grouping val="standard"/>
        <c:varyColors val="0"/>
        <c:ser>
          <c:idx val="1"/>
          <c:order val="1"/>
          <c:tx>
            <c:strRef>
              <c:f>LoanComparisons!$D$35</c:f>
              <c:strCache>
                <c:ptCount val="1"/>
                <c:pt idx="0">
                  <c:v>Total Interest</c:v>
                </c:pt>
              </c:strCache>
            </c:strRef>
          </c:tx>
          <c:spPr>
            <a:ln w="12700">
              <a:solidFill>
                <a:srgbClr val="FF0000"/>
              </a:solidFill>
              <a:prstDash val="solid"/>
            </a:ln>
          </c:spPr>
          <c:marker>
            <c:symbol val="triangle"/>
            <c:size val="3"/>
            <c:spPr>
              <a:solidFill>
                <a:srgbClr val="FF0000"/>
              </a:solidFill>
              <a:ln>
                <a:solidFill>
                  <a:srgbClr val="FF0000"/>
                </a:solidFill>
                <a:prstDash val="solid"/>
              </a:ln>
            </c:spPr>
          </c:marker>
          <c:cat>
            <c:numRef>
              <c:f>LoanComparisons!$A$36:$A$41</c:f>
              <c:numCache>
                <c:formatCode>"$"#,##0.00_);[Red]\("$"#,##0.00\)</c:formatCode>
                <c:ptCount val="6"/>
                <c:pt idx="0">
                  <c:v>0</c:v>
                </c:pt>
                <c:pt idx="1">
                  <c:v>2500</c:v>
                </c:pt>
                <c:pt idx="2">
                  <c:v>5000</c:v>
                </c:pt>
                <c:pt idx="3">
                  <c:v>7500</c:v>
                </c:pt>
                <c:pt idx="4">
                  <c:v>10000</c:v>
                </c:pt>
                <c:pt idx="5">
                  <c:v>12500</c:v>
                </c:pt>
              </c:numCache>
            </c:numRef>
          </c:cat>
          <c:val>
            <c:numRef>
              <c:f>LoanComparisons!$D$36:$D$41</c:f>
              <c:numCache>
                <c:formatCode>#,##0.00</c:formatCode>
                <c:ptCount val="6"/>
                <c:pt idx="0">
                  <c:v>2450000.1999999997</c:v>
                </c:pt>
                <c:pt idx="1">
                  <c:v>2327499.8000000003</c:v>
                </c:pt>
                <c:pt idx="2">
                  <c:v>2205000</c:v>
                </c:pt>
                <c:pt idx="3">
                  <c:v>2082500.1999999997</c:v>
                </c:pt>
                <c:pt idx="4">
                  <c:v>1959999.8</c:v>
                </c:pt>
                <c:pt idx="5">
                  <c:v>1837500</c:v>
                </c:pt>
              </c:numCache>
            </c:numRef>
          </c:val>
          <c:smooth val="0"/>
          <c:extLst>
            <c:ext xmlns:c16="http://schemas.microsoft.com/office/drawing/2014/chart" uri="{C3380CC4-5D6E-409C-BE32-E72D297353CC}">
              <c16:uniqueId val="{00000001-1D3B-4B98-91C9-60F858D69961}"/>
            </c:ext>
          </c:extLst>
        </c:ser>
        <c:dLbls>
          <c:showLegendKey val="0"/>
          <c:showVal val="0"/>
          <c:showCatName val="0"/>
          <c:showSerName val="0"/>
          <c:showPercent val="0"/>
          <c:showBubbleSize val="0"/>
        </c:dLbls>
        <c:marker val="1"/>
        <c:smooth val="0"/>
        <c:axId val="113115136"/>
        <c:axId val="113116672"/>
      </c:lineChart>
      <c:catAx>
        <c:axId val="113106944"/>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Down Payment</a:t>
                </a:r>
              </a:p>
            </c:rich>
          </c:tx>
          <c:layout>
            <c:manualLayout>
              <c:xMode val="edge"/>
              <c:yMode val="edge"/>
              <c:x val="0.33956489596991812"/>
              <c:y val="0.64532019704433496"/>
            </c:manualLayout>
          </c:layout>
          <c:overlay val="0"/>
          <c:spPr>
            <a:noFill/>
            <a:ln w="25400">
              <a:noFill/>
            </a:ln>
          </c:spPr>
        </c:title>
        <c:numFmt formatCode="\$#,##0_);[Red]\(\$#,##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13109248"/>
        <c:crosses val="autoZero"/>
        <c:auto val="1"/>
        <c:lblAlgn val="ctr"/>
        <c:lblOffset val="100"/>
        <c:tickLblSkip val="1"/>
        <c:tickMarkSkip val="1"/>
        <c:noMultiLvlLbl val="0"/>
      </c:catAx>
      <c:valAx>
        <c:axId val="113109248"/>
        <c:scaling>
          <c:orientation val="minMax"/>
        </c:scaling>
        <c:delete val="0"/>
        <c:axPos val="l"/>
        <c:numFmt formatCode="#,##0" sourceLinked="0"/>
        <c:majorTickMark val="out"/>
        <c:minorTickMark val="none"/>
        <c:tickLblPos val="nextTo"/>
        <c:spPr>
          <a:ln w="3175">
            <a:solidFill>
              <a:srgbClr val="000080"/>
            </a:solidFill>
            <a:prstDash val="solid"/>
          </a:ln>
        </c:spPr>
        <c:txPr>
          <a:bodyPr rot="0" vert="horz"/>
          <a:lstStyle/>
          <a:p>
            <a:pPr>
              <a:defRPr sz="800" b="0" i="0" u="none" strike="noStrike" baseline="0">
                <a:solidFill>
                  <a:srgbClr val="000080"/>
                </a:solidFill>
                <a:latin typeface="Arial"/>
                <a:ea typeface="Arial"/>
                <a:cs typeface="Arial"/>
              </a:defRPr>
            </a:pPr>
            <a:endParaRPr lang="en-US"/>
          </a:p>
        </c:txPr>
        <c:crossAx val="113106944"/>
        <c:crosses val="autoZero"/>
        <c:crossBetween val="between"/>
      </c:valAx>
      <c:catAx>
        <c:axId val="113115136"/>
        <c:scaling>
          <c:orientation val="minMax"/>
        </c:scaling>
        <c:delete val="1"/>
        <c:axPos val="b"/>
        <c:numFmt formatCode="&quot;$&quot;#,##0.00_);[Red]\(&quot;$&quot;#,##0.00\)" sourceLinked="1"/>
        <c:majorTickMark val="out"/>
        <c:minorTickMark val="none"/>
        <c:tickLblPos val="nextTo"/>
        <c:crossAx val="113116672"/>
        <c:crosses val="autoZero"/>
        <c:auto val="1"/>
        <c:lblAlgn val="ctr"/>
        <c:lblOffset val="100"/>
        <c:noMultiLvlLbl val="0"/>
      </c:catAx>
      <c:valAx>
        <c:axId val="113116672"/>
        <c:scaling>
          <c:orientation val="minMax"/>
        </c:scaling>
        <c:delete val="0"/>
        <c:axPos val="r"/>
        <c:numFmt formatCode="#,##0" sourceLinked="0"/>
        <c:majorTickMark val="cross"/>
        <c:minorTickMark val="none"/>
        <c:tickLblPos val="nextTo"/>
        <c:spPr>
          <a:ln w="3175">
            <a:solidFill>
              <a:srgbClr val="FF0000"/>
            </a:solidFill>
            <a:prstDash val="solid"/>
          </a:ln>
        </c:spPr>
        <c:txPr>
          <a:bodyPr rot="0" vert="horz"/>
          <a:lstStyle/>
          <a:p>
            <a:pPr>
              <a:defRPr sz="800" b="0" i="0" u="none" strike="noStrike" baseline="0">
                <a:solidFill>
                  <a:srgbClr val="FF0000"/>
                </a:solidFill>
                <a:latin typeface="Arial"/>
                <a:ea typeface="Arial"/>
                <a:cs typeface="Arial"/>
              </a:defRPr>
            </a:pPr>
            <a:endParaRPr lang="en-US"/>
          </a:p>
        </c:txPr>
        <c:crossAx val="113115136"/>
        <c:crosses val="max"/>
        <c:crossBetween val="between"/>
      </c:valAx>
      <c:spPr>
        <a:noFill/>
        <a:ln w="25400">
          <a:noFill/>
        </a:ln>
      </c:spPr>
    </c:plotArea>
    <c:legend>
      <c:legendPos val="r"/>
      <c:layout>
        <c:manualLayout>
          <c:xMode val="edge"/>
          <c:yMode val="edge"/>
          <c:x val="0.45483004414319311"/>
          <c:y val="2.9556650246305417E-2"/>
          <c:w val="0.42056202711870594"/>
          <c:h val="0.18226600985221675"/>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48462745752174"/>
          <c:y val="7.0093617875697914E-2"/>
          <c:w val="0.77018750331713304"/>
          <c:h val="0.7196278101904986"/>
        </c:manualLayout>
      </c:layout>
      <c:lineChart>
        <c:grouping val="standard"/>
        <c:varyColors val="0"/>
        <c:ser>
          <c:idx val="0"/>
          <c:order val="0"/>
          <c:tx>
            <c:strRef>
              <c:f>LoanComparisons!$C$8</c:f>
              <c:strCache>
                <c:ptCount val="1"/>
                <c:pt idx="0">
                  <c:v>Payment</c:v>
                </c:pt>
              </c:strCache>
            </c:strRef>
          </c:tx>
          <c:spPr>
            <a:ln w="25400">
              <a:solidFill>
                <a:srgbClr val="000080"/>
              </a:solidFill>
              <a:prstDash val="solid"/>
            </a:ln>
          </c:spPr>
          <c:marker>
            <c:symbol val="circle"/>
            <c:size val="4"/>
            <c:spPr>
              <a:solidFill>
                <a:srgbClr val="000080"/>
              </a:solidFill>
              <a:ln>
                <a:solidFill>
                  <a:srgbClr val="000080"/>
                </a:solidFill>
                <a:prstDash val="solid"/>
              </a:ln>
            </c:spPr>
          </c:marker>
          <c:cat>
            <c:numRef>
              <c:f>LoanComparisons!$A$9:$A$17</c:f>
              <c:numCache>
                <c:formatCode>0.00%</c:formatCode>
                <c:ptCount val="9"/>
                <c:pt idx="0">
                  <c:v>0.02</c:v>
                </c:pt>
                <c:pt idx="1">
                  <c:v>0.03</c:v>
                </c:pt>
                <c:pt idx="2">
                  <c:v>0.04</c:v>
                </c:pt>
                <c:pt idx="3">
                  <c:v>0.05</c:v>
                </c:pt>
                <c:pt idx="4">
                  <c:v>0.06</c:v>
                </c:pt>
                <c:pt idx="5">
                  <c:v>7.0000000000000007E-2</c:v>
                </c:pt>
                <c:pt idx="6">
                  <c:v>0.08</c:v>
                </c:pt>
                <c:pt idx="7">
                  <c:v>0.09</c:v>
                </c:pt>
                <c:pt idx="8">
                  <c:v>0.1</c:v>
                </c:pt>
              </c:numCache>
            </c:numRef>
          </c:cat>
          <c:val>
            <c:numRef>
              <c:f>LoanComparisons!$C$9:$C$17</c:f>
              <c:numCache>
                <c:formatCode>#,##0.00</c:formatCode>
                <c:ptCount val="9"/>
                <c:pt idx="0">
                  <c:v>876.39</c:v>
                </c:pt>
                <c:pt idx="1">
                  <c:v>898.43</c:v>
                </c:pt>
                <c:pt idx="2">
                  <c:v>920.83</c:v>
                </c:pt>
                <c:pt idx="3">
                  <c:v>943.56</c:v>
                </c:pt>
                <c:pt idx="4">
                  <c:v>966.64</c:v>
                </c:pt>
                <c:pt idx="5">
                  <c:v>990.06</c:v>
                </c:pt>
                <c:pt idx="6">
                  <c:v>1013.82</c:v>
                </c:pt>
                <c:pt idx="7">
                  <c:v>1037.92</c:v>
                </c:pt>
                <c:pt idx="8">
                  <c:v>1062.3499999999999</c:v>
                </c:pt>
              </c:numCache>
            </c:numRef>
          </c:val>
          <c:smooth val="0"/>
          <c:extLst>
            <c:ext xmlns:c16="http://schemas.microsoft.com/office/drawing/2014/chart" uri="{C3380CC4-5D6E-409C-BE32-E72D297353CC}">
              <c16:uniqueId val="{00000000-7AE2-4CC2-B3A2-CFC615AF8363}"/>
            </c:ext>
          </c:extLst>
        </c:ser>
        <c:dLbls>
          <c:showLegendKey val="0"/>
          <c:showVal val="0"/>
          <c:showCatName val="0"/>
          <c:showSerName val="0"/>
          <c:showPercent val="0"/>
          <c:showBubbleSize val="0"/>
        </c:dLbls>
        <c:marker val="1"/>
        <c:smooth val="0"/>
        <c:axId val="113136000"/>
        <c:axId val="113138304"/>
      </c:lineChart>
      <c:lineChart>
        <c:grouping val="standard"/>
        <c:varyColors val="0"/>
        <c:ser>
          <c:idx val="1"/>
          <c:order val="1"/>
          <c:tx>
            <c:strRef>
              <c:f>LoanComparisons!$D$8</c:f>
              <c:strCache>
                <c:ptCount val="1"/>
                <c:pt idx="0">
                  <c:v>Total Interest</c:v>
                </c:pt>
              </c:strCache>
            </c:strRef>
          </c:tx>
          <c:spPr>
            <a:ln w="12700">
              <a:solidFill>
                <a:srgbClr val="FF0000"/>
              </a:solidFill>
              <a:prstDash val="solid"/>
            </a:ln>
          </c:spPr>
          <c:marker>
            <c:symbol val="triangle"/>
            <c:size val="3"/>
            <c:spPr>
              <a:solidFill>
                <a:srgbClr val="FF0000"/>
              </a:solidFill>
              <a:ln>
                <a:solidFill>
                  <a:srgbClr val="FF0000"/>
                </a:solidFill>
                <a:prstDash val="solid"/>
              </a:ln>
            </c:spPr>
          </c:marker>
          <c:cat>
            <c:numRef>
              <c:f>LoanComparisons!$A$9:$A$17</c:f>
              <c:numCache>
                <c:formatCode>0.00%</c:formatCode>
                <c:ptCount val="9"/>
                <c:pt idx="0">
                  <c:v>0.02</c:v>
                </c:pt>
                <c:pt idx="1">
                  <c:v>0.03</c:v>
                </c:pt>
                <c:pt idx="2">
                  <c:v>0.04</c:v>
                </c:pt>
                <c:pt idx="3">
                  <c:v>0.05</c:v>
                </c:pt>
                <c:pt idx="4">
                  <c:v>0.06</c:v>
                </c:pt>
                <c:pt idx="5">
                  <c:v>7.0000000000000007E-2</c:v>
                </c:pt>
                <c:pt idx="6">
                  <c:v>0.08</c:v>
                </c:pt>
                <c:pt idx="7">
                  <c:v>0.09</c:v>
                </c:pt>
                <c:pt idx="8">
                  <c:v>0.1</c:v>
                </c:pt>
              </c:numCache>
            </c:numRef>
          </c:cat>
          <c:val>
            <c:numRef>
              <c:f>LoanComparisons!$D$9:$D$17</c:f>
              <c:numCache>
                <c:formatCode>#,##0.00</c:formatCode>
                <c:ptCount val="9"/>
                <c:pt idx="0">
                  <c:v>2583.4000000000015</c:v>
                </c:pt>
                <c:pt idx="1">
                  <c:v>3905.7999999999956</c:v>
                </c:pt>
                <c:pt idx="2">
                  <c:v>5249.8000000000029</c:v>
                </c:pt>
                <c:pt idx="3">
                  <c:v>6613.5999999999985</c:v>
                </c:pt>
                <c:pt idx="4">
                  <c:v>7998.4000000000015</c:v>
                </c:pt>
                <c:pt idx="5">
                  <c:v>9403.5999999999985</c:v>
                </c:pt>
                <c:pt idx="6">
                  <c:v>10829.200000000004</c:v>
                </c:pt>
                <c:pt idx="7">
                  <c:v>12275.200000000004</c:v>
                </c:pt>
                <c:pt idx="8">
                  <c:v>13740.999999999993</c:v>
                </c:pt>
              </c:numCache>
            </c:numRef>
          </c:val>
          <c:smooth val="0"/>
          <c:extLst>
            <c:ext xmlns:c16="http://schemas.microsoft.com/office/drawing/2014/chart" uri="{C3380CC4-5D6E-409C-BE32-E72D297353CC}">
              <c16:uniqueId val="{00000001-7AE2-4CC2-B3A2-CFC615AF8363}"/>
            </c:ext>
          </c:extLst>
        </c:ser>
        <c:dLbls>
          <c:showLegendKey val="0"/>
          <c:showVal val="0"/>
          <c:showCatName val="0"/>
          <c:showSerName val="0"/>
          <c:showPercent val="0"/>
          <c:showBubbleSize val="0"/>
        </c:dLbls>
        <c:marker val="1"/>
        <c:smooth val="0"/>
        <c:axId val="113144192"/>
        <c:axId val="113145728"/>
      </c:lineChart>
      <c:catAx>
        <c:axId val="11313600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Annual Interest Rate</a:t>
                </a:r>
              </a:p>
            </c:rich>
          </c:tx>
          <c:layout>
            <c:manualLayout>
              <c:xMode val="edge"/>
              <c:yMode val="edge"/>
              <c:x val="0.30124269282968513"/>
              <c:y val="0.68691745518183955"/>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13138304"/>
        <c:crosses val="autoZero"/>
        <c:auto val="1"/>
        <c:lblAlgn val="ctr"/>
        <c:lblOffset val="100"/>
        <c:tickLblSkip val="1"/>
        <c:tickMarkSkip val="1"/>
        <c:noMultiLvlLbl val="0"/>
      </c:catAx>
      <c:valAx>
        <c:axId val="113138304"/>
        <c:scaling>
          <c:orientation val="minMax"/>
        </c:scaling>
        <c:delete val="0"/>
        <c:axPos val="l"/>
        <c:numFmt formatCode="#,##0" sourceLinked="0"/>
        <c:majorTickMark val="out"/>
        <c:minorTickMark val="none"/>
        <c:tickLblPos val="nextTo"/>
        <c:spPr>
          <a:ln w="3175">
            <a:solidFill>
              <a:srgbClr val="000080"/>
            </a:solidFill>
            <a:prstDash val="solid"/>
          </a:ln>
        </c:spPr>
        <c:txPr>
          <a:bodyPr rot="0" vert="horz"/>
          <a:lstStyle/>
          <a:p>
            <a:pPr>
              <a:defRPr sz="800" b="0" i="0" u="none" strike="noStrike" baseline="0">
                <a:solidFill>
                  <a:srgbClr val="000080"/>
                </a:solidFill>
                <a:latin typeface="Arial"/>
                <a:ea typeface="Arial"/>
                <a:cs typeface="Arial"/>
              </a:defRPr>
            </a:pPr>
            <a:endParaRPr lang="en-US"/>
          </a:p>
        </c:txPr>
        <c:crossAx val="113136000"/>
        <c:crosses val="autoZero"/>
        <c:crossBetween val="between"/>
      </c:valAx>
      <c:catAx>
        <c:axId val="113144192"/>
        <c:scaling>
          <c:orientation val="minMax"/>
        </c:scaling>
        <c:delete val="1"/>
        <c:axPos val="b"/>
        <c:numFmt formatCode="0.00%" sourceLinked="1"/>
        <c:majorTickMark val="out"/>
        <c:minorTickMark val="none"/>
        <c:tickLblPos val="nextTo"/>
        <c:crossAx val="113145728"/>
        <c:crosses val="autoZero"/>
        <c:auto val="1"/>
        <c:lblAlgn val="ctr"/>
        <c:lblOffset val="100"/>
        <c:noMultiLvlLbl val="0"/>
      </c:catAx>
      <c:valAx>
        <c:axId val="113145728"/>
        <c:scaling>
          <c:orientation val="minMax"/>
        </c:scaling>
        <c:delete val="0"/>
        <c:axPos val="r"/>
        <c:numFmt formatCode="#,##0" sourceLinked="0"/>
        <c:majorTickMark val="cross"/>
        <c:minorTickMark val="none"/>
        <c:tickLblPos val="nextTo"/>
        <c:spPr>
          <a:ln w="3175">
            <a:solidFill>
              <a:srgbClr val="FF0000"/>
            </a:solidFill>
            <a:prstDash val="solid"/>
          </a:ln>
        </c:spPr>
        <c:txPr>
          <a:bodyPr rot="0" vert="horz"/>
          <a:lstStyle/>
          <a:p>
            <a:pPr>
              <a:defRPr sz="800" b="0" i="0" u="none" strike="noStrike" baseline="0">
                <a:solidFill>
                  <a:srgbClr val="FF0000"/>
                </a:solidFill>
                <a:latin typeface="Arial"/>
                <a:ea typeface="Arial"/>
                <a:cs typeface="Arial"/>
              </a:defRPr>
            </a:pPr>
            <a:endParaRPr lang="en-US"/>
          </a:p>
        </c:txPr>
        <c:crossAx val="113144192"/>
        <c:crosses val="max"/>
        <c:crossBetween val="between"/>
      </c:valAx>
      <c:spPr>
        <a:noFill/>
        <a:ln w="25400">
          <a:noFill/>
        </a:ln>
      </c:spPr>
    </c:plotArea>
    <c:legend>
      <c:legendPos val="r"/>
      <c:layout>
        <c:manualLayout>
          <c:xMode val="edge"/>
          <c:yMode val="edge"/>
          <c:x val="0.13043498040048221"/>
          <c:y val="2.3364539291899303E-2"/>
          <c:w val="0.4192552941444071"/>
          <c:h val="0.17289759076005484"/>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125000000000001"/>
          <c:y val="8.0214113192767153E-2"/>
          <c:w val="0.74062499999999998"/>
          <c:h val="0.54545596971081667"/>
        </c:manualLayout>
      </c:layout>
      <c:lineChart>
        <c:grouping val="standard"/>
        <c:varyColors val="0"/>
        <c:ser>
          <c:idx val="0"/>
          <c:order val="0"/>
          <c:tx>
            <c:strRef>
              <c:f>LoanComparisons!$C$47</c:f>
              <c:strCache>
                <c:ptCount val="1"/>
                <c:pt idx="0">
                  <c:v>Payment</c:v>
                </c:pt>
              </c:strCache>
            </c:strRef>
          </c:tx>
          <c:spPr>
            <a:ln w="25400">
              <a:solidFill>
                <a:srgbClr val="000080"/>
              </a:solidFill>
              <a:prstDash val="solid"/>
            </a:ln>
          </c:spPr>
          <c:marker>
            <c:symbol val="circle"/>
            <c:size val="4"/>
            <c:spPr>
              <a:solidFill>
                <a:srgbClr val="000080"/>
              </a:solidFill>
              <a:ln>
                <a:solidFill>
                  <a:srgbClr val="000080"/>
                </a:solidFill>
                <a:prstDash val="solid"/>
              </a:ln>
            </c:spPr>
          </c:marker>
          <c:cat>
            <c:strRef>
              <c:f>LoanComparisons!$A$50:$A$54</c:f>
              <c:strCache>
                <c:ptCount val="5"/>
                <c:pt idx="0">
                  <c:v>Quarterly</c:v>
                </c:pt>
                <c:pt idx="1">
                  <c:v>Bi-Monthly</c:v>
                </c:pt>
                <c:pt idx="2">
                  <c:v>Monthly</c:v>
                </c:pt>
                <c:pt idx="3">
                  <c:v>Semi-Monthly</c:v>
                </c:pt>
                <c:pt idx="4">
                  <c:v>Bi-Weekly</c:v>
                </c:pt>
              </c:strCache>
            </c:strRef>
          </c:cat>
          <c:val>
            <c:numRef>
              <c:f>LoanComparisons!$C$50:$C$54</c:f>
              <c:numCache>
                <c:formatCode>#,##0.00</c:formatCode>
                <c:ptCount val="5"/>
                <c:pt idx="0">
                  <c:v>125000</c:v>
                </c:pt>
                <c:pt idx="1">
                  <c:v>83333.33</c:v>
                </c:pt>
                <c:pt idx="2">
                  <c:v>41666.67</c:v>
                </c:pt>
                <c:pt idx="3">
                  <c:v>20833.330000000002</c:v>
                </c:pt>
                <c:pt idx="4">
                  <c:v>19230.77</c:v>
                </c:pt>
              </c:numCache>
            </c:numRef>
          </c:val>
          <c:smooth val="0"/>
          <c:extLst>
            <c:ext xmlns:c16="http://schemas.microsoft.com/office/drawing/2014/chart" uri="{C3380CC4-5D6E-409C-BE32-E72D297353CC}">
              <c16:uniqueId val="{00000000-08B9-4FBA-AD48-3705AA48E4A8}"/>
            </c:ext>
          </c:extLst>
        </c:ser>
        <c:dLbls>
          <c:showLegendKey val="0"/>
          <c:showVal val="0"/>
          <c:showCatName val="0"/>
          <c:showSerName val="0"/>
          <c:showPercent val="0"/>
          <c:showBubbleSize val="0"/>
        </c:dLbls>
        <c:marker val="1"/>
        <c:smooth val="0"/>
        <c:axId val="113163648"/>
        <c:axId val="113170304"/>
      </c:lineChart>
      <c:lineChart>
        <c:grouping val="standard"/>
        <c:varyColors val="0"/>
        <c:ser>
          <c:idx val="1"/>
          <c:order val="1"/>
          <c:tx>
            <c:strRef>
              <c:f>LoanComparisons!$D$47</c:f>
              <c:strCache>
                <c:ptCount val="1"/>
                <c:pt idx="0">
                  <c:v>Total Interest</c:v>
                </c:pt>
              </c:strCache>
            </c:strRef>
          </c:tx>
          <c:spPr>
            <a:ln w="12700">
              <a:solidFill>
                <a:srgbClr val="FF0000"/>
              </a:solidFill>
              <a:prstDash val="solid"/>
            </a:ln>
          </c:spPr>
          <c:marker>
            <c:symbol val="triangle"/>
            <c:size val="3"/>
            <c:spPr>
              <a:solidFill>
                <a:srgbClr val="FF0000"/>
              </a:solidFill>
              <a:ln>
                <a:solidFill>
                  <a:srgbClr val="FF0000"/>
                </a:solidFill>
                <a:prstDash val="solid"/>
              </a:ln>
            </c:spPr>
          </c:marker>
          <c:cat>
            <c:strRef>
              <c:f>LoanComparisons!$A$50:$A$54</c:f>
              <c:strCache>
                <c:ptCount val="5"/>
                <c:pt idx="0">
                  <c:v>Quarterly</c:v>
                </c:pt>
                <c:pt idx="1">
                  <c:v>Bi-Monthly</c:v>
                </c:pt>
                <c:pt idx="2">
                  <c:v>Monthly</c:v>
                </c:pt>
                <c:pt idx="3">
                  <c:v>Semi-Monthly</c:v>
                </c:pt>
                <c:pt idx="4">
                  <c:v>Bi-Weekly</c:v>
                </c:pt>
              </c:strCache>
            </c:strRef>
          </c:cat>
          <c:val>
            <c:numRef>
              <c:f>LoanComparisons!$D$50:$D$54</c:f>
              <c:numCache>
                <c:formatCode>#,##0.00</c:formatCode>
                <c:ptCount val="5"/>
                <c:pt idx="0">
                  <c:v>2450000</c:v>
                </c:pt>
                <c:pt idx="1">
                  <c:v>2449999.9</c:v>
                </c:pt>
                <c:pt idx="2">
                  <c:v>2450000.1999999997</c:v>
                </c:pt>
                <c:pt idx="3">
                  <c:v>2449999.6</c:v>
                </c:pt>
                <c:pt idx="4">
                  <c:v>2450000.1</c:v>
                </c:pt>
              </c:numCache>
            </c:numRef>
          </c:val>
          <c:smooth val="0"/>
          <c:extLst>
            <c:ext xmlns:c16="http://schemas.microsoft.com/office/drawing/2014/chart" uri="{C3380CC4-5D6E-409C-BE32-E72D297353CC}">
              <c16:uniqueId val="{00000001-08B9-4FBA-AD48-3705AA48E4A8}"/>
            </c:ext>
          </c:extLst>
        </c:ser>
        <c:dLbls>
          <c:showLegendKey val="0"/>
          <c:showVal val="0"/>
          <c:showCatName val="0"/>
          <c:showSerName val="0"/>
          <c:showPercent val="0"/>
          <c:showBubbleSize val="0"/>
        </c:dLbls>
        <c:marker val="1"/>
        <c:smooth val="0"/>
        <c:axId val="113171840"/>
        <c:axId val="113177728"/>
      </c:lineChart>
      <c:catAx>
        <c:axId val="113163648"/>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Payment Frequency</a:t>
                </a:r>
              </a:p>
            </c:rich>
          </c:tx>
          <c:layout>
            <c:manualLayout>
              <c:xMode val="edge"/>
              <c:yMode val="edge"/>
              <c:x val="0.19375000000000001"/>
              <c:y val="0.5258489480258817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13170304"/>
        <c:crosses val="autoZero"/>
        <c:auto val="1"/>
        <c:lblAlgn val="ctr"/>
        <c:lblOffset val="100"/>
        <c:tickLblSkip val="1"/>
        <c:tickMarkSkip val="1"/>
        <c:noMultiLvlLbl val="0"/>
      </c:catAx>
      <c:valAx>
        <c:axId val="113170304"/>
        <c:scaling>
          <c:orientation val="minMax"/>
        </c:scaling>
        <c:delete val="0"/>
        <c:axPos val="l"/>
        <c:numFmt formatCode="#,##0" sourceLinked="0"/>
        <c:majorTickMark val="out"/>
        <c:minorTickMark val="none"/>
        <c:tickLblPos val="nextTo"/>
        <c:spPr>
          <a:ln w="3175">
            <a:solidFill>
              <a:srgbClr val="000080"/>
            </a:solidFill>
            <a:prstDash val="solid"/>
          </a:ln>
        </c:spPr>
        <c:txPr>
          <a:bodyPr rot="0" vert="horz"/>
          <a:lstStyle/>
          <a:p>
            <a:pPr>
              <a:defRPr sz="800" b="0" i="0" u="none" strike="noStrike" baseline="0">
                <a:solidFill>
                  <a:srgbClr val="000080"/>
                </a:solidFill>
                <a:latin typeface="Arial"/>
                <a:ea typeface="Arial"/>
                <a:cs typeface="Arial"/>
              </a:defRPr>
            </a:pPr>
            <a:endParaRPr lang="en-US"/>
          </a:p>
        </c:txPr>
        <c:crossAx val="113163648"/>
        <c:crosses val="autoZero"/>
        <c:crossBetween val="between"/>
      </c:valAx>
      <c:catAx>
        <c:axId val="113171840"/>
        <c:scaling>
          <c:orientation val="minMax"/>
        </c:scaling>
        <c:delete val="1"/>
        <c:axPos val="b"/>
        <c:numFmt formatCode="General" sourceLinked="1"/>
        <c:majorTickMark val="out"/>
        <c:minorTickMark val="none"/>
        <c:tickLblPos val="nextTo"/>
        <c:crossAx val="113177728"/>
        <c:crosses val="autoZero"/>
        <c:auto val="1"/>
        <c:lblAlgn val="ctr"/>
        <c:lblOffset val="100"/>
        <c:noMultiLvlLbl val="0"/>
      </c:catAx>
      <c:valAx>
        <c:axId val="113177728"/>
        <c:scaling>
          <c:orientation val="minMax"/>
        </c:scaling>
        <c:delete val="0"/>
        <c:axPos val="r"/>
        <c:numFmt formatCode="#,##0" sourceLinked="0"/>
        <c:majorTickMark val="cross"/>
        <c:minorTickMark val="none"/>
        <c:tickLblPos val="nextTo"/>
        <c:spPr>
          <a:ln w="3175">
            <a:solidFill>
              <a:srgbClr val="FF0000"/>
            </a:solidFill>
            <a:prstDash val="solid"/>
          </a:ln>
        </c:spPr>
        <c:txPr>
          <a:bodyPr rot="0" vert="horz"/>
          <a:lstStyle/>
          <a:p>
            <a:pPr>
              <a:defRPr sz="800" b="0" i="0" u="none" strike="noStrike" baseline="0">
                <a:solidFill>
                  <a:srgbClr val="FF0000"/>
                </a:solidFill>
                <a:latin typeface="Arial"/>
                <a:ea typeface="Arial"/>
                <a:cs typeface="Arial"/>
              </a:defRPr>
            </a:pPr>
            <a:endParaRPr lang="en-US"/>
          </a:p>
        </c:txPr>
        <c:crossAx val="113171840"/>
        <c:crosses val="max"/>
        <c:crossBetween val="between"/>
      </c:valAx>
      <c:spPr>
        <a:noFill/>
        <a:ln w="25400">
          <a:noFill/>
        </a:ln>
      </c:spPr>
    </c:plotArea>
    <c:legend>
      <c:legendPos val="r"/>
      <c:layout>
        <c:manualLayout>
          <c:xMode val="edge"/>
          <c:yMode val="edge"/>
          <c:x val="0.3"/>
          <c:y val="2.6738037730922384E-2"/>
          <c:w val="0.421875"/>
          <c:h val="0.19786147920882563"/>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5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vertex42.com/"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www.vertex42.com/" TargetMode="Externa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image" Target="../media/image1.png"/><Relationship Id="rId5" Type="http://schemas.openxmlformats.org/officeDocument/2006/relationships/hyperlink" Target="http://www.vertex42.com/" TargetMode="Externa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www.vertex42.com/"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ttp://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409575</xdr:colOff>
      <xdr:row>0</xdr:row>
      <xdr:rowOff>28575</xdr:rowOff>
    </xdr:from>
    <xdr:to>
      <xdr:col>5</xdr:col>
      <xdr:colOff>822697</xdr:colOff>
      <xdr:row>0</xdr:row>
      <xdr:rowOff>333401</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4343400" y="28575"/>
          <a:ext cx="1365622" cy="3048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9</xdr:row>
      <xdr:rowOff>57150</xdr:rowOff>
    </xdr:from>
    <xdr:to>
      <xdr:col>7</xdr:col>
      <xdr:colOff>0</xdr:colOff>
      <xdr:row>16</xdr:row>
      <xdr:rowOff>104775</xdr:rowOff>
    </xdr:to>
    <xdr:graphicFrame macro="">
      <xdr:nvGraphicFramePr>
        <xdr:cNvPr id="3550" name="Chart 150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561975</xdr:colOff>
      <xdr:row>0</xdr:row>
      <xdr:rowOff>38100</xdr:rowOff>
    </xdr:from>
    <xdr:to>
      <xdr:col>7</xdr:col>
      <xdr:colOff>22597</xdr:colOff>
      <xdr:row>0</xdr:row>
      <xdr:rowOff>342926</xdr:rowOff>
    </xdr:to>
    <xdr:pic>
      <xdr:nvPicPr>
        <xdr:cNvPr id="3" name="Picture 2">
          <a:hlinkClick xmlns:r="http://schemas.openxmlformats.org/officeDocument/2006/relationships" r:id="rId2"/>
        </xdr:cNvPr>
        <xdr:cNvPicPr>
          <a:picLocks noChangeAspect="1"/>
        </xdr:cNvPicPr>
      </xdr:nvPicPr>
      <xdr:blipFill>
        <a:blip xmlns:r="http://schemas.openxmlformats.org/officeDocument/2006/relationships" r:embed="rId3"/>
        <a:stretch>
          <a:fillRect/>
        </a:stretch>
      </xdr:blipFill>
      <xdr:spPr>
        <a:xfrm>
          <a:off x="4105275" y="38100"/>
          <a:ext cx="1365622" cy="3048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142875</xdr:colOff>
      <xdr:row>18</xdr:row>
      <xdr:rowOff>95250</xdr:rowOff>
    </xdr:from>
    <xdr:to>
      <xdr:col>7</xdr:col>
      <xdr:colOff>523875</xdr:colOff>
      <xdr:row>31</xdr:row>
      <xdr:rowOff>95250</xdr:rowOff>
    </xdr:to>
    <xdr:graphicFrame macro="">
      <xdr:nvGraphicFramePr>
        <xdr:cNvPr id="8216"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142875</xdr:colOff>
      <xdr:row>33</xdr:row>
      <xdr:rowOff>57150</xdr:rowOff>
    </xdr:from>
    <xdr:to>
      <xdr:col>7</xdr:col>
      <xdr:colOff>523875</xdr:colOff>
      <xdr:row>44</xdr:row>
      <xdr:rowOff>47625</xdr:rowOff>
    </xdr:to>
    <xdr:graphicFrame macro="">
      <xdr:nvGraphicFramePr>
        <xdr:cNvPr id="8217"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142875</xdr:colOff>
      <xdr:row>6</xdr:row>
      <xdr:rowOff>66675</xdr:rowOff>
    </xdr:from>
    <xdr:to>
      <xdr:col>7</xdr:col>
      <xdr:colOff>533400</xdr:colOff>
      <xdr:row>18</xdr:row>
      <xdr:rowOff>0</xdr:rowOff>
    </xdr:to>
    <xdr:graphicFrame macro="">
      <xdr:nvGraphicFramePr>
        <xdr:cNvPr id="8219"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142875</xdr:colOff>
      <xdr:row>46</xdr:row>
      <xdr:rowOff>9525</xdr:rowOff>
    </xdr:from>
    <xdr:to>
      <xdr:col>7</xdr:col>
      <xdr:colOff>514350</xdr:colOff>
      <xdr:row>56</xdr:row>
      <xdr:rowOff>133350</xdr:rowOff>
    </xdr:to>
    <xdr:graphicFrame macro="">
      <xdr:nvGraphicFramePr>
        <xdr:cNvPr id="8220"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57150</xdr:colOff>
      <xdr:row>0</xdr:row>
      <xdr:rowOff>47625</xdr:rowOff>
    </xdr:from>
    <xdr:to>
      <xdr:col>7</xdr:col>
      <xdr:colOff>641722</xdr:colOff>
      <xdr:row>0</xdr:row>
      <xdr:rowOff>352451</xdr:rowOff>
    </xdr:to>
    <xdr:pic>
      <xdr:nvPicPr>
        <xdr:cNvPr id="7" name="Picture 6">
          <a:hlinkClick xmlns:r="http://schemas.openxmlformats.org/officeDocument/2006/relationships" r:id="rId5"/>
        </xdr:cNvPr>
        <xdr:cNvPicPr>
          <a:picLocks noChangeAspect="1"/>
        </xdr:cNvPicPr>
      </xdr:nvPicPr>
      <xdr:blipFill>
        <a:blip xmlns:r="http://schemas.openxmlformats.org/officeDocument/2006/relationships" r:embed="rId6"/>
        <a:stretch>
          <a:fillRect/>
        </a:stretch>
      </xdr:blipFill>
      <xdr:spPr>
        <a:xfrm>
          <a:off x="5019675" y="47625"/>
          <a:ext cx="1365622" cy="3048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4191000</xdr:colOff>
      <xdr:row>0</xdr:row>
      <xdr:rowOff>47625</xdr:rowOff>
    </xdr:from>
    <xdr:to>
      <xdr:col>2</xdr:col>
      <xdr:colOff>317872</xdr:colOff>
      <xdr:row>0</xdr:row>
      <xdr:rowOff>352451</xdr:rowOff>
    </xdr:to>
    <xdr:pic>
      <xdr:nvPicPr>
        <xdr:cNvPr id="3" name="Picture 2">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4876800" y="47625"/>
          <a:ext cx="1365622" cy="30482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4191000</xdr:colOff>
      <xdr:row>0</xdr:row>
      <xdr:rowOff>47625</xdr:rowOff>
    </xdr:from>
    <xdr:to>
      <xdr:col>2</xdr:col>
      <xdr:colOff>317872</xdr:colOff>
      <xdr:row>0</xdr:row>
      <xdr:rowOff>352451</xdr:rowOff>
    </xdr:to>
    <xdr:pic>
      <xdr:nvPicPr>
        <xdr:cNvPr id="3" name="Picture 2">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4876800" y="47625"/>
          <a:ext cx="1365622" cy="304826"/>
        </a:xfrm>
        <a:prstGeom prst="rect">
          <a:avLst/>
        </a:prstGeom>
      </xdr:spPr>
    </xdr:pic>
    <xdr:clientData/>
  </xdr:twoCellAnchor>
</xdr:wsDr>
</file>

<file path=xl/theme/theme1.xml><?xml version="1.0" encoding="utf-8"?>
<a:theme xmlns:a="http://schemas.openxmlformats.org/drawingml/2006/main" name="Office Theme">
  <a:themeElements>
    <a:clrScheme name="V42 PURPLE">
      <a:dk1>
        <a:sysClr val="windowText" lastClr="000000"/>
      </a:dk1>
      <a:lt1>
        <a:sysClr val="window" lastClr="FFFFFF"/>
      </a:lt1>
      <a:dk2>
        <a:srgbClr val="204559"/>
      </a:dk2>
      <a:lt2>
        <a:srgbClr val="F4EDE4"/>
      </a:lt2>
      <a:accent1>
        <a:srgbClr val="925DB3"/>
      </a:accent1>
      <a:accent2>
        <a:srgbClr val="418AB3"/>
      </a:accent2>
      <a:accent3>
        <a:srgbClr val="C34141"/>
      </a:accent3>
      <a:accent4>
        <a:srgbClr val="E68422"/>
      </a:accent4>
      <a:accent5>
        <a:srgbClr val="2E6AB3"/>
      </a:accent5>
      <a:accent6>
        <a:srgbClr val="87A33D"/>
      </a:accent6>
      <a:hlink>
        <a:srgbClr val="7F7F7F"/>
      </a:hlink>
      <a:folHlink>
        <a:srgbClr val="A5A5A5"/>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vertex42.com/Calculators/auto-loan-calculator.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vertex42.com/Calculators/auto-loan-calculator.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vertex42.com/Calculators/auto-loan-calculator.htm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vertex42.com/ExcelTemplates/personal-budget-spreadsheet.html" TargetMode="External"/><Relationship Id="rId2" Type="http://schemas.openxmlformats.org/officeDocument/2006/relationships/hyperlink" Target="http://www.vertex42.com/ExcelTips/workbook.html" TargetMode="External"/><Relationship Id="rId1" Type="http://schemas.openxmlformats.org/officeDocument/2006/relationships/hyperlink" Target="http://www.vertex42.com/Calculators/auto-loan-calculator.html"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www.vertex42.com/ExcelTemplates/loan-amortization-schedule.htm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www.vertex42.com/licensing/EULA_personaluse.html" TargetMode="External"/><Relationship Id="rId1" Type="http://schemas.openxmlformats.org/officeDocument/2006/relationships/hyperlink" Target="http://www.vertex42.com/Calculators/auto-loan-calculator.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2"/>
  <sheetViews>
    <sheetView showGridLines="0" workbookViewId="0">
      <selection activeCell="D28" sqref="D28"/>
    </sheetView>
  </sheetViews>
  <sheetFormatPr defaultRowHeight="12.75" x14ac:dyDescent="0.2"/>
  <cols>
    <col min="1" max="1" width="12.85546875" customWidth="1"/>
    <col min="2" max="2" width="15.140625" customWidth="1"/>
    <col min="3" max="3" width="17.140625" customWidth="1"/>
    <col min="4" max="4" width="13.85546875" customWidth="1"/>
    <col min="5" max="5" width="14.28515625" customWidth="1"/>
    <col min="6" max="6" width="12.85546875" customWidth="1"/>
    <col min="7" max="7" width="3.7109375" customWidth="1"/>
    <col min="8" max="8" width="38.5703125" customWidth="1"/>
  </cols>
  <sheetData>
    <row r="1" spans="1:8" s="2" customFormat="1" ht="30" customHeight="1" x14ac:dyDescent="0.2">
      <c r="A1" s="27" t="s">
        <v>68</v>
      </c>
      <c r="B1" s="28"/>
      <c r="C1" s="28"/>
      <c r="D1" s="28"/>
      <c r="E1" s="157"/>
      <c r="F1" s="157"/>
      <c r="H1" s="145" t="s">
        <v>98</v>
      </c>
    </row>
    <row r="2" spans="1:8" s="2" customFormat="1" ht="12.75" customHeight="1" x14ac:dyDescent="0.2">
      <c r="A2" s="149" t="s">
        <v>77</v>
      </c>
      <c r="B2" s="31"/>
      <c r="C2" s="31"/>
      <c r="D2" s="31"/>
      <c r="E2" s="156" t="str">
        <f ca="1">"© 2007-" &amp; YEAR(TODAY()) &amp; " Vertex42 LLC"</f>
        <v>© 2007-2019 Vertex42 LLC</v>
      </c>
      <c r="F2" s="156"/>
      <c r="H2" s="154" t="s">
        <v>78</v>
      </c>
    </row>
    <row r="3" spans="1:8" s="2" customFormat="1" x14ac:dyDescent="0.2">
      <c r="A3" s="32"/>
      <c r="B3" s="31"/>
      <c r="C3" s="31"/>
      <c r="D3" s="31"/>
      <c r="E3" s="31"/>
      <c r="F3" s="33"/>
      <c r="H3" s="155"/>
    </row>
    <row r="4" spans="1:8" x14ac:dyDescent="0.2">
      <c r="A4" s="33"/>
      <c r="B4" s="29" t="s">
        <v>71</v>
      </c>
      <c r="C4" s="29"/>
      <c r="D4" s="29"/>
      <c r="E4" s="33"/>
      <c r="F4" s="33"/>
      <c r="H4" s="155"/>
    </row>
    <row r="5" spans="1:8" x14ac:dyDescent="0.2">
      <c r="A5" s="33"/>
      <c r="B5" s="31"/>
      <c r="C5" s="36" t="s">
        <v>36</v>
      </c>
      <c r="D5" s="15">
        <v>50000</v>
      </c>
      <c r="E5" s="33"/>
      <c r="F5" s="33"/>
      <c r="H5" s="155"/>
    </row>
    <row r="6" spans="1:8" x14ac:dyDescent="0.2">
      <c r="A6" s="33"/>
      <c r="B6" s="31"/>
      <c r="C6" s="36" t="s">
        <v>49</v>
      </c>
      <c r="D6" s="13">
        <v>10</v>
      </c>
      <c r="E6" s="34" t="s">
        <v>63</v>
      </c>
      <c r="F6" s="33"/>
      <c r="H6" s="155"/>
    </row>
    <row r="7" spans="1:8" x14ac:dyDescent="0.2">
      <c r="A7" s="33"/>
      <c r="B7" s="31"/>
      <c r="C7" s="36" t="s">
        <v>33</v>
      </c>
      <c r="D7" s="13">
        <v>0.05</v>
      </c>
      <c r="E7" s="35" t="s">
        <v>64</v>
      </c>
      <c r="F7" s="33"/>
      <c r="H7" s="155"/>
    </row>
    <row r="8" spans="1:8" x14ac:dyDescent="0.2">
      <c r="A8" s="33"/>
      <c r="B8" s="31"/>
      <c r="C8" s="36" t="s">
        <v>34</v>
      </c>
      <c r="D8" s="13">
        <v>10</v>
      </c>
      <c r="E8" s="33"/>
      <c r="F8" s="33"/>
      <c r="H8" s="155"/>
    </row>
    <row r="9" spans="1:8" x14ac:dyDescent="0.2">
      <c r="A9" s="33"/>
      <c r="B9" s="31"/>
      <c r="C9" s="37" t="s">
        <v>32</v>
      </c>
      <c r="D9" s="38">
        <f>SUM(D5:D8)</f>
        <v>50020.05</v>
      </c>
      <c r="E9" s="33"/>
      <c r="F9" s="33"/>
      <c r="H9" s="155"/>
    </row>
    <row r="10" spans="1:8" x14ac:dyDescent="0.2">
      <c r="A10" s="33"/>
      <c r="B10" s="31"/>
      <c r="C10" s="33"/>
      <c r="D10" s="33"/>
      <c r="E10" s="33"/>
      <c r="F10" s="33"/>
      <c r="H10" s="155"/>
    </row>
    <row r="11" spans="1:8" x14ac:dyDescent="0.2">
      <c r="A11" s="33"/>
      <c r="B11" s="29" t="s">
        <v>40</v>
      </c>
      <c r="C11" s="29"/>
      <c r="D11" s="29"/>
      <c r="E11" s="33"/>
      <c r="F11" s="33"/>
      <c r="H11" s="144"/>
    </row>
    <row r="12" spans="1:8" x14ac:dyDescent="0.2">
      <c r="A12" s="33"/>
      <c r="B12" s="33"/>
      <c r="C12" s="39" t="s">
        <v>38</v>
      </c>
      <c r="D12" s="15" t="b">
        <v>0</v>
      </c>
      <c r="E12" s="34" t="s">
        <v>60</v>
      </c>
      <c r="F12" s="33"/>
      <c r="H12" s="151" t="s">
        <v>79</v>
      </c>
    </row>
    <row r="13" spans="1:8" ht="12.75" customHeight="1" x14ac:dyDescent="0.2">
      <c r="A13" s="33"/>
      <c r="B13" s="33"/>
      <c r="C13" s="39" t="s">
        <v>52</v>
      </c>
      <c r="D13" s="13" t="b">
        <v>1</v>
      </c>
      <c r="E13" s="34" t="s">
        <v>60</v>
      </c>
      <c r="F13" s="33"/>
      <c r="H13" s="151"/>
    </row>
    <row r="14" spans="1:8" x14ac:dyDescent="0.2">
      <c r="A14" s="33"/>
      <c r="B14" s="33"/>
      <c r="C14" s="36" t="s">
        <v>37</v>
      </c>
      <c r="D14" s="14">
        <v>0.05</v>
      </c>
      <c r="E14" s="35" t="s">
        <v>75</v>
      </c>
      <c r="F14" s="33"/>
      <c r="H14" s="151"/>
    </row>
    <row r="15" spans="1:8" x14ac:dyDescent="0.2">
      <c r="A15" s="33"/>
      <c r="B15" s="33"/>
      <c r="C15" s="39" t="s">
        <v>39</v>
      </c>
      <c r="D15" s="40">
        <f>IF(D12,IF(D13,D9-D35-D36,D9-D35),IF(D13,D9-D36,D9))</f>
        <v>49970.05</v>
      </c>
      <c r="E15" s="33"/>
      <c r="F15" s="33"/>
      <c r="H15" s="151"/>
    </row>
    <row r="16" spans="1:8" x14ac:dyDescent="0.2">
      <c r="A16" s="33"/>
      <c r="B16" s="33"/>
      <c r="C16" s="37" t="s">
        <v>41</v>
      </c>
      <c r="D16" s="41">
        <f>D14*D15</f>
        <v>2498.5025000000005</v>
      </c>
      <c r="E16" s="33"/>
      <c r="F16" s="33"/>
    </row>
    <row r="17" spans="1:8" x14ac:dyDescent="0.2">
      <c r="A17" s="33"/>
      <c r="B17" s="33"/>
      <c r="C17" s="33"/>
      <c r="D17" s="33"/>
      <c r="E17" s="33"/>
      <c r="F17" s="33"/>
      <c r="H17" s="152" t="s">
        <v>96</v>
      </c>
    </row>
    <row r="18" spans="1:8" x14ac:dyDescent="0.2">
      <c r="A18" s="33"/>
      <c r="B18" s="29" t="s">
        <v>35</v>
      </c>
      <c r="C18" s="29"/>
      <c r="D18" s="29"/>
      <c r="E18" s="33"/>
      <c r="F18" s="33"/>
      <c r="H18" s="153"/>
    </row>
    <row r="19" spans="1:8" x14ac:dyDescent="0.2">
      <c r="A19" s="33"/>
      <c r="B19" s="33"/>
      <c r="C19" s="36" t="s">
        <v>43</v>
      </c>
      <c r="D19" s="15">
        <v>10</v>
      </c>
      <c r="E19" s="35" t="s">
        <v>59</v>
      </c>
      <c r="F19" s="33"/>
      <c r="H19" s="153"/>
    </row>
    <row r="20" spans="1:8" x14ac:dyDescent="0.2">
      <c r="A20" s="33"/>
      <c r="B20" s="33"/>
      <c r="C20" s="39" t="s">
        <v>61</v>
      </c>
      <c r="D20" s="13">
        <v>25</v>
      </c>
      <c r="E20" s="35" t="s">
        <v>62</v>
      </c>
      <c r="F20" s="33"/>
      <c r="H20" s="153"/>
    </row>
    <row r="21" spans="1:8" x14ac:dyDescent="0.2">
      <c r="A21" s="33"/>
      <c r="B21" s="33"/>
      <c r="C21" s="39" t="s">
        <v>65</v>
      </c>
      <c r="D21" s="13">
        <v>500</v>
      </c>
      <c r="E21" s="35" t="s">
        <v>66</v>
      </c>
      <c r="F21" s="33"/>
      <c r="H21" s="153"/>
    </row>
    <row r="22" spans="1:8" x14ac:dyDescent="0.2">
      <c r="A22" s="33"/>
      <c r="B22" s="33"/>
      <c r="C22" s="39" t="s">
        <v>46</v>
      </c>
      <c r="D22" s="13">
        <v>5</v>
      </c>
      <c r="E22" s="35" t="s">
        <v>56</v>
      </c>
      <c r="F22" s="33"/>
    </row>
    <row r="23" spans="1:8" x14ac:dyDescent="0.2">
      <c r="A23" s="33"/>
      <c r="B23" s="33"/>
      <c r="C23" s="39" t="s">
        <v>47</v>
      </c>
      <c r="D23" s="13">
        <v>5</v>
      </c>
      <c r="E23" s="35" t="s">
        <v>57</v>
      </c>
      <c r="F23" s="33"/>
    </row>
    <row r="24" spans="1:8" x14ac:dyDescent="0.2">
      <c r="A24" s="33"/>
      <c r="B24" s="33"/>
      <c r="C24" s="39" t="s">
        <v>45</v>
      </c>
      <c r="D24" s="13">
        <v>5</v>
      </c>
      <c r="E24" s="35" t="s">
        <v>57</v>
      </c>
      <c r="F24" s="33"/>
    </row>
    <row r="25" spans="1:8" x14ac:dyDescent="0.2">
      <c r="A25" s="33"/>
      <c r="B25" s="33"/>
      <c r="C25" s="39" t="s">
        <v>55</v>
      </c>
      <c r="D25" s="13">
        <v>5</v>
      </c>
      <c r="E25" s="35" t="s">
        <v>58</v>
      </c>
      <c r="F25" s="33"/>
    </row>
    <row r="26" spans="1:8" x14ac:dyDescent="0.2">
      <c r="A26" s="33"/>
      <c r="B26" s="33"/>
      <c r="C26" s="39" t="s">
        <v>44</v>
      </c>
      <c r="D26" s="13">
        <v>5</v>
      </c>
      <c r="E26" s="35" t="s">
        <v>56</v>
      </c>
      <c r="F26" s="33"/>
    </row>
    <row r="27" spans="1:8" x14ac:dyDescent="0.2">
      <c r="A27" s="33"/>
      <c r="B27" s="33"/>
      <c r="C27" s="36" t="s">
        <v>42</v>
      </c>
      <c r="D27" s="13">
        <v>5</v>
      </c>
      <c r="E27" s="33"/>
      <c r="F27" s="33"/>
    </row>
    <row r="28" spans="1:8" x14ac:dyDescent="0.2">
      <c r="A28" s="33"/>
      <c r="B28" s="33"/>
      <c r="C28" s="37" t="s">
        <v>48</v>
      </c>
      <c r="D28" s="38">
        <f>SUM(D19:D27)</f>
        <v>565</v>
      </c>
      <c r="E28" s="33"/>
      <c r="F28" s="33"/>
    </row>
    <row r="29" spans="1:8" x14ac:dyDescent="0.2">
      <c r="A29" s="33"/>
      <c r="B29" s="33"/>
      <c r="C29" s="39"/>
      <c r="D29" s="33"/>
      <c r="E29" s="33"/>
      <c r="F29" s="33"/>
    </row>
    <row r="30" spans="1:8" x14ac:dyDescent="0.2">
      <c r="A30" s="33"/>
      <c r="B30" s="29" t="s">
        <v>70</v>
      </c>
      <c r="C30" s="29"/>
      <c r="D30" s="29"/>
      <c r="E30" s="33"/>
      <c r="F30" s="33"/>
    </row>
    <row r="31" spans="1:8" x14ac:dyDescent="0.2">
      <c r="A31" s="33"/>
      <c r="B31" s="33"/>
      <c r="C31" s="33"/>
      <c r="D31" s="33"/>
      <c r="E31" s="33"/>
      <c r="F31" s="33"/>
    </row>
    <row r="32" spans="1:8" x14ac:dyDescent="0.2">
      <c r="A32" s="33"/>
      <c r="B32" s="33"/>
      <c r="C32" s="36" t="s">
        <v>54</v>
      </c>
      <c r="D32" s="13">
        <v>500</v>
      </c>
      <c r="E32" s="33"/>
      <c r="F32" s="33"/>
    </row>
    <row r="33" spans="1:6" x14ac:dyDescent="0.2">
      <c r="A33" s="33"/>
      <c r="B33" s="33"/>
      <c r="C33" s="33"/>
      <c r="D33" s="33"/>
      <c r="E33" s="33"/>
      <c r="F33" s="33"/>
    </row>
    <row r="34" spans="1:6" x14ac:dyDescent="0.2">
      <c r="A34" s="33"/>
      <c r="B34" s="33"/>
      <c r="C34" s="42" t="s">
        <v>51</v>
      </c>
      <c r="D34" s="13">
        <v>5000</v>
      </c>
      <c r="E34" s="33"/>
      <c r="F34" s="33"/>
    </row>
    <row r="35" spans="1:6" x14ac:dyDescent="0.2">
      <c r="A35" s="33"/>
      <c r="B35" s="31"/>
      <c r="C35" s="42" t="s">
        <v>53</v>
      </c>
      <c r="D35" s="13">
        <v>500</v>
      </c>
      <c r="E35" s="33"/>
      <c r="F35" s="33"/>
    </row>
    <row r="36" spans="1:6" x14ac:dyDescent="0.2">
      <c r="A36" s="33"/>
      <c r="B36" s="31"/>
      <c r="C36" s="42" t="s">
        <v>50</v>
      </c>
      <c r="D36" s="13">
        <v>50</v>
      </c>
      <c r="E36" s="33"/>
      <c r="F36" s="33"/>
    </row>
    <row r="37" spans="1:6" x14ac:dyDescent="0.2">
      <c r="A37" s="33"/>
      <c r="B37" s="33"/>
      <c r="C37" s="33"/>
      <c r="D37" s="33"/>
      <c r="E37" s="33"/>
      <c r="F37" s="33"/>
    </row>
    <row r="38" spans="1:6" x14ac:dyDescent="0.2">
      <c r="A38" s="33"/>
      <c r="B38" s="33"/>
      <c r="C38" s="43" t="s">
        <v>69</v>
      </c>
      <c r="D38" s="30">
        <f>(D28+D16+D9+D32)-D35-D36-D34</f>
        <v>48033.552500000005</v>
      </c>
      <c r="E38" s="33"/>
      <c r="F38" s="33"/>
    </row>
    <row r="39" spans="1:6" x14ac:dyDescent="0.2">
      <c r="A39" s="33"/>
      <c r="B39" s="33"/>
      <c r="C39" s="33"/>
      <c r="D39" s="33"/>
      <c r="E39" s="33"/>
      <c r="F39" s="33"/>
    </row>
    <row r="42" spans="1:6" x14ac:dyDescent="0.2">
      <c r="A42" s="26" t="s">
        <v>76</v>
      </c>
    </row>
  </sheetData>
  <mergeCells count="5">
    <mergeCell ref="H12:H15"/>
    <mergeCell ref="H17:H21"/>
    <mergeCell ref="H2:H10"/>
    <mergeCell ref="E2:F2"/>
    <mergeCell ref="E1:F1"/>
  </mergeCells>
  <phoneticPr fontId="6" type="noConversion"/>
  <hyperlinks>
    <hyperlink ref="A2" r:id="rId1"/>
  </hyperlinks>
  <printOptions horizontalCentered="1"/>
  <pageMargins left="0.5" right="0.5" top="0.5" bottom="0.5" header="0.5" footer="0.5"/>
  <pageSetup orientation="portrait" r:id="rId2"/>
  <headerFooter scaleWithDoc="0">
    <oddFooter>&amp;L&amp;"Arial,Regular"&amp;8http://www.vertex42.com/Calculators/auto-loan-calculator.html&amp;R&amp;"Arial,Regular"&amp;8© 2007 Vertex42 LLC</oddFooter>
  </headerFooter>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78"/>
  <sheetViews>
    <sheetView showGridLines="0" workbookViewId="0">
      <selection activeCell="D9" sqref="D9"/>
    </sheetView>
  </sheetViews>
  <sheetFormatPr defaultColWidth="9.140625" defaultRowHeight="12.75" x14ac:dyDescent="0.2"/>
  <cols>
    <col min="1" max="1" width="7.140625" style="2" customWidth="1"/>
    <col min="2" max="3" width="12.85546875" style="2" customWidth="1"/>
    <col min="4" max="4" width="14.28515625" style="2" customWidth="1"/>
    <col min="5" max="5" width="12.85546875" style="2" customWidth="1"/>
    <col min="6" max="7" width="14.28515625" style="2" customWidth="1"/>
    <col min="8" max="8" width="1.85546875" style="2" customWidth="1"/>
    <col min="9" max="9" width="3.7109375" style="2" customWidth="1"/>
    <col min="10" max="10" width="37.140625" style="2" customWidth="1"/>
    <col min="11" max="13" width="13.7109375" style="2" customWidth="1"/>
    <col min="14" max="16384" width="9.140625" style="2"/>
  </cols>
  <sheetData>
    <row r="1" spans="1:13" ht="30" customHeight="1" x14ac:dyDescent="0.2">
      <c r="A1" s="27" t="s">
        <v>25</v>
      </c>
      <c r="B1" s="28"/>
      <c r="C1" s="28"/>
      <c r="D1" s="28"/>
      <c r="E1" s="28"/>
      <c r="F1" s="157"/>
      <c r="G1" s="157"/>
      <c r="H1" s="44"/>
      <c r="J1" s="145" t="s">
        <v>98</v>
      </c>
    </row>
    <row r="2" spans="1:13" ht="12.75" customHeight="1" x14ac:dyDescent="0.2">
      <c r="A2" s="149" t="s">
        <v>77</v>
      </c>
      <c r="B2" s="31"/>
      <c r="C2" s="31"/>
      <c r="D2" s="31"/>
      <c r="E2" s="31"/>
      <c r="F2" s="156" t="str">
        <f ca="1">"© 2007-" &amp; YEAR(TODAY()) &amp; " Vertex42 LLC"</f>
        <v>© 2007-2019 Vertex42 LLC</v>
      </c>
      <c r="G2" s="156"/>
      <c r="H2" s="156"/>
      <c r="J2" s="160" t="s">
        <v>89</v>
      </c>
      <c r="K2" s="113"/>
    </row>
    <row r="3" spans="1:13" x14ac:dyDescent="0.2">
      <c r="A3" s="32"/>
      <c r="B3" s="31"/>
      <c r="C3" s="31"/>
      <c r="D3" s="31"/>
      <c r="E3" s="31"/>
      <c r="F3" s="31"/>
      <c r="G3" s="31"/>
      <c r="H3" s="31"/>
      <c r="J3" s="160"/>
      <c r="K3" s="113"/>
    </row>
    <row r="4" spans="1:13" ht="15" customHeight="1" x14ac:dyDescent="0.2">
      <c r="A4" s="31"/>
      <c r="B4" s="61" t="s">
        <v>0</v>
      </c>
      <c r="C4" s="61"/>
      <c r="D4" s="61"/>
      <c r="E4" s="31"/>
      <c r="F4" s="61" t="s">
        <v>30</v>
      </c>
      <c r="G4" s="62"/>
      <c r="H4" s="31"/>
      <c r="J4" s="160"/>
      <c r="K4" s="113"/>
    </row>
    <row r="5" spans="1:13" ht="15" customHeight="1" x14ac:dyDescent="0.2">
      <c r="A5" s="31"/>
      <c r="B5" s="31"/>
      <c r="C5" s="36" t="s">
        <v>26</v>
      </c>
      <c r="D5" s="63">
        <v>50000</v>
      </c>
      <c r="E5" s="31"/>
      <c r="F5" s="54" t="s">
        <v>6</v>
      </c>
      <c r="G5" s="45">
        <f>SUM(E21:E176)+SUM(F21:F176)</f>
        <v>2550000.1999999979</v>
      </c>
      <c r="H5" s="31"/>
      <c r="J5" s="160"/>
      <c r="K5" s="113"/>
    </row>
    <row r="6" spans="1:13" ht="15" customHeight="1" x14ac:dyDescent="0.2">
      <c r="A6" s="31"/>
      <c r="B6" s="31"/>
      <c r="C6" s="55" t="s">
        <v>1</v>
      </c>
      <c r="D6" s="64">
        <v>10</v>
      </c>
      <c r="E6" s="31"/>
      <c r="F6" s="56" t="s">
        <v>7</v>
      </c>
      <c r="G6" s="46">
        <f>SUM(E20:E176)</f>
        <v>2500000.1999999979</v>
      </c>
      <c r="H6" s="31"/>
      <c r="J6" s="160"/>
      <c r="K6" s="113"/>
    </row>
    <row r="7" spans="1:13" ht="15" customHeight="1" x14ac:dyDescent="0.2">
      <c r="A7" s="31"/>
      <c r="B7" s="31"/>
      <c r="C7" s="57" t="s">
        <v>2</v>
      </c>
      <c r="D7" s="65">
        <v>5</v>
      </c>
      <c r="E7" s="31"/>
      <c r="F7" s="58" t="s">
        <v>29</v>
      </c>
      <c r="G7" s="47" t="str">
        <f>IF((D15-G6)&lt;0.15,"None",(D15-G6))</f>
        <v>None</v>
      </c>
      <c r="H7" s="31"/>
      <c r="J7" s="160"/>
      <c r="K7" s="113"/>
    </row>
    <row r="8" spans="1:13" ht="15" customHeight="1" x14ac:dyDescent="0.2">
      <c r="A8" s="31"/>
      <c r="B8" s="31"/>
      <c r="C8" s="36" t="s">
        <v>3</v>
      </c>
      <c r="D8" s="66">
        <v>42343</v>
      </c>
      <c r="E8" s="31"/>
      <c r="F8" s="58" t="s">
        <v>27</v>
      </c>
      <c r="G8" s="48">
        <f>MAX(A20:A177)</f>
        <v>60</v>
      </c>
      <c r="H8" s="31"/>
      <c r="J8" s="160"/>
      <c r="K8" s="113"/>
    </row>
    <row r="9" spans="1:13" ht="15" customHeight="1" x14ac:dyDescent="0.2">
      <c r="A9" s="31"/>
      <c r="B9" s="31"/>
      <c r="C9" s="55" t="s">
        <v>4</v>
      </c>
      <c r="D9" s="67" t="s">
        <v>23</v>
      </c>
      <c r="E9" s="31"/>
      <c r="F9" s="58" t="s">
        <v>31</v>
      </c>
      <c r="G9" s="49">
        <f>MAX(B20:B177)</f>
        <v>44140</v>
      </c>
      <c r="H9" s="31"/>
      <c r="J9" s="160"/>
      <c r="K9" s="113"/>
    </row>
    <row r="10" spans="1:13" x14ac:dyDescent="0.2">
      <c r="A10" s="31"/>
      <c r="B10" s="31"/>
      <c r="C10" s="31"/>
      <c r="D10" s="31"/>
      <c r="E10" s="31"/>
      <c r="F10" s="31"/>
      <c r="G10" s="31"/>
      <c r="H10" s="31"/>
      <c r="J10" s="161" t="s">
        <v>88</v>
      </c>
      <c r="K10" s="113"/>
    </row>
    <row r="11" spans="1:13" ht="15" customHeight="1" x14ac:dyDescent="0.2">
      <c r="A11" s="31"/>
      <c r="B11" s="61" t="s">
        <v>67</v>
      </c>
      <c r="C11" s="62"/>
      <c r="D11" s="62"/>
      <c r="E11" s="31"/>
      <c r="F11" s="31"/>
      <c r="G11" s="31"/>
      <c r="H11" s="31"/>
      <c r="J11" s="161"/>
    </row>
    <row r="12" spans="1:13" ht="15" customHeight="1" x14ac:dyDescent="0.2">
      <c r="A12" s="31"/>
      <c r="B12" s="31"/>
      <c r="C12" s="39" t="s">
        <v>27</v>
      </c>
      <c r="D12" s="51">
        <f>nper</f>
        <v>60</v>
      </c>
      <c r="E12" s="31"/>
      <c r="F12" s="31"/>
      <c r="G12" s="31"/>
      <c r="H12" s="31"/>
    </row>
    <row r="13" spans="1:13" ht="15" customHeight="1" x14ac:dyDescent="0.2">
      <c r="A13" s="31"/>
      <c r="B13" s="31"/>
      <c r="C13" s="59" t="s">
        <v>5</v>
      </c>
      <c r="D13" s="52">
        <f>D6/periods_per_year</f>
        <v>0.83333333333333337</v>
      </c>
      <c r="E13" s="31"/>
      <c r="F13" s="31"/>
      <c r="G13" s="31"/>
      <c r="H13" s="31"/>
      <c r="J13" s="158" t="s">
        <v>90</v>
      </c>
      <c r="K13" s="8"/>
      <c r="L13" s="8"/>
      <c r="M13" s="8"/>
    </row>
    <row r="14" spans="1:13" ht="15" customHeight="1" x14ac:dyDescent="0.2">
      <c r="A14" s="31"/>
      <c r="B14" s="31"/>
      <c r="C14" s="36" t="s">
        <v>15</v>
      </c>
      <c r="D14" s="50">
        <f>ROUND(-PMT(rate,nper,loan_amount),2)</f>
        <v>41666.67</v>
      </c>
      <c r="E14" s="31"/>
      <c r="F14" s="31"/>
      <c r="G14" s="31"/>
      <c r="H14" s="31"/>
      <c r="J14" s="159"/>
    </row>
    <row r="15" spans="1:13" ht="15" customHeight="1" x14ac:dyDescent="0.2">
      <c r="A15" s="31"/>
      <c r="B15" s="31"/>
      <c r="C15" s="57" t="s">
        <v>7</v>
      </c>
      <c r="D15" s="53">
        <f>D16-loan_amount</f>
        <v>2450000.0000000005</v>
      </c>
      <c r="E15" s="31"/>
      <c r="F15" s="31"/>
      <c r="G15" s="31"/>
      <c r="H15" s="31"/>
      <c r="J15" s="159"/>
    </row>
    <row r="16" spans="1:13" ht="15" customHeight="1" x14ac:dyDescent="0.2">
      <c r="A16" s="31"/>
      <c r="B16" s="31"/>
      <c r="C16" s="57" t="s">
        <v>6</v>
      </c>
      <c r="D16" s="53">
        <f>D12*(-PMT(rate,nper,loan_amount))</f>
        <v>2500000.0000000005</v>
      </c>
      <c r="E16" s="31"/>
      <c r="F16" s="31"/>
      <c r="G16" s="31"/>
      <c r="H16" s="31"/>
      <c r="J16" s="10"/>
    </row>
    <row r="17" spans="1:10" x14ac:dyDescent="0.2">
      <c r="A17" s="31"/>
      <c r="B17" s="31"/>
      <c r="C17" s="36"/>
      <c r="D17" s="60" t="str">
        <f ca="1">IF(AND(NOT(G177=""),G177&gt;0),"ERROR: Spreadsheet only valid for up to 156 payments",".")</f>
        <v>.</v>
      </c>
      <c r="E17" s="31"/>
      <c r="F17" s="31"/>
      <c r="G17" s="31"/>
      <c r="H17" s="31"/>
      <c r="J17" s="10"/>
    </row>
    <row r="18" spans="1:10" x14ac:dyDescent="0.2">
      <c r="D18" s="3"/>
    </row>
    <row r="19" spans="1:10" ht="26.25" thickBot="1" x14ac:dyDescent="0.25">
      <c r="A19" s="68" t="s">
        <v>8</v>
      </c>
      <c r="B19" s="69" t="s">
        <v>9</v>
      </c>
      <c r="C19" s="69" t="s">
        <v>10</v>
      </c>
      <c r="D19" s="69" t="s">
        <v>11</v>
      </c>
      <c r="E19" s="69" t="s">
        <v>12</v>
      </c>
      <c r="F19" s="69" t="s">
        <v>13</v>
      </c>
      <c r="G19" s="69" t="s">
        <v>14</v>
      </c>
      <c r="H19" s="70"/>
      <c r="I19" s="4"/>
    </row>
    <row r="20" spans="1:10" x14ac:dyDescent="0.2">
      <c r="A20" s="71"/>
      <c r="B20" s="72"/>
      <c r="C20" s="71"/>
      <c r="D20" s="71"/>
      <c r="E20" s="71"/>
      <c r="F20" s="71"/>
      <c r="G20" s="73">
        <f>loan_amount</f>
        <v>50000</v>
      </c>
      <c r="H20" s="31"/>
    </row>
    <row r="21" spans="1:10" x14ac:dyDescent="0.2">
      <c r="A21" s="5">
        <f t="shared" ref="A21:A52" si="0">IF(G20="","",IF(OR(A20&gt;=nper,ROUND(G20,2)&lt;=0),"",A20+1))</f>
        <v>1</v>
      </c>
      <c r="B21" s="6">
        <f t="shared" ref="B21:B52" si="1">IF(A21="","",IF(periods_per_year=26,IF(A21=1,fpdate,B20+14),IF(periods_per_year=52,IF(A21=1,fpdate,B20+7),DATE(YEAR(fpdate),MONTH(fpdate)+(A21-1)*months_per_period,IF(periods_per_year=24,IF((1-MOD(A21,2))=1,DAY(fpdate)+14,DAY(fpdate)),DAY(fpdate))))))</f>
        <v>42343</v>
      </c>
      <c r="C21" s="7">
        <f t="shared" ref="C21:C52" si="2">IF(A21="","",IF(OR(A21=nper,payment&gt;ROUND((1+rate)*G20,2)),ROUND((1+rate)*G20,2),payment))</f>
        <v>41666.67</v>
      </c>
      <c r="D21" s="9">
        <v>0</v>
      </c>
      <c r="E21" s="7">
        <f t="shared" ref="E21:E52" si="3">IF(A21="","",ROUND(rate*G20,2))</f>
        <v>41666.67</v>
      </c>
      <c r="F21" s="7">
        <f t="shared" ref="F21:F52" si="4">IF(A21="","",C21-E21+D21)</f>
        <v>0</v>
      </c>
      <c r="G21" s="7">
        <f t="shared" ref="G21:G52" si="5">IF(A21="","",G20-F21)</f>
        <v>50000</v>
      </c>
      <c r="H21" s="7"/>
      <c r="I21" s="7"/>
    </row>
    <row r="22" spans="1:10" x14ac:dyDescent="0.2">
      <c r="A22" s="5">
        <f t="shared" si="0"/>
        <v>2</v>
      </c>
      <c r="B22" s="6">
        <f t="shared" si="1"/>
        <v>42374</v>
      </c>
      <c r="C22" s="7">
        <f t="shared" si="2"/>
        <v>41666.67</v>
      </c>
      <c r="D22" s="9">
        <v>0</v>
      </c>
      <c r="E22" s="7">
        <f t="shared" si="3"/>
        <v>41666.67</v>
      </c>
      <c r="F22" s="7">
        <f t="shared" si="4"/>
        <v>0</v>
      </c>
      <c r="G22" s="7">
        <f t="shared" si="5"/>
        <v>50000</v>
      </c>
      <c r="H22" s="7"/>
      <c r="I22" s="7"/>
    </row>
    <row r="23" spans="1:10" x14ac:dyDescent="0.2">
      <c r="A23" s="5">
        <f t="shared" si="0"/>
        <v>3</v>
      </c>
      <c r="B23" s="6">
        <f t="shared" si="1"/>
        <v>42405</v>
      </c>
      <c r="C23" s="7">
        <f t="shared" si="2"/>
        <v>41666.67</v>
      </c>
      <c r="D23" s="9">
        <v>0</v>
      </c>
      <c r="E23" s="7">
        <f t="shared" si="3"/>
        <v>41666.67</v>
      </c>
      <c r="F23" s="7">
        <f t="shared" si="4"/>
        <v>0</v>
      </c>
      <c r="G23" s="7">
        <f t="shared" si="5"/>
        <v>50000</v>
      </c>
      <c r="H23" s="7"/>
      <c r="I23" s="7"/>
    </row>
    <row r="24" spans="1:10" x14ac:dyDescent="0.2">
      <c r="A24" s="5">
        <f t="shared" si="0"/>
        <v>4</v>
      </c>
      <c r="B24" s="6">
        <f t="shared" si="1"/>
        <v>42434</v>
      </c>
      <c r="C24" s="7">
        <f t="shared" si="2"/>
        <v>41666.67</v>
      </c>
      <c r="D24" s="9">
        <v>0</v>
      </c>
      <c r="E24" s="7">
        <f t="shared" si="3"/>
        <v>41666.67</v>
      </c>
      <c r="F24" s="7">
        <f t="shared" si="4"/>
        <v>0</v>
      </c>
      <c r="G24" s="7">
        <f t="shared" si="5"/>
        <v>50000</v>
      </c>
      <c r="H24" s="7"/>
      <c r="I24" s="7"/>
    </row>
    <row r="25" spans="1:10" x14ac:dyDescent="0.2">
      <c r="A25" s="5">
        <f t="shared" si="0"/>
        <v>5</v>
      </c>
      <c r="B25" s="6">
        <f t="shared" si="1"/>
        <v>42465</v>
      </c>
      <c r="C25" s="7">
        <f t="shared" si="2"/>
        <v>41666.67</v>
      </c>
      <c r="D25" s="9">
        <v>0</v>
      </c>
      <c r="E25" s="7">
        <f t="shared" si="3"/>
        <v>41666.67</v>
      </c>
      <c r="F25" s="7">
        <f t="shared" si="4"/>
        <v>0</v>
      </c>
      <c r="G25" s="7">
        <f t="shared" si="5"/>
        <v>50000</v>
      </c>
      <c r="H25" s="7"/>
      <c r="I25" s="7"/>
    </row>
    <row r="26" spans="1:10" x14ac:dyDescent="0.2">
      <c r="A26" s="5">
        <f t="shared" si="0"/>
        <v>6</v>
      </c>
      <c r="B26" s="6">
        <f t="shared" si="1"/>
        <v>42495</v>
      </c>
      <c r="C26" s="7">
        <f t="shared" si="2"/>
        <v>41666.67</v>
      </c>
      <c r="D26" s="9">
        <v>0</v>
      </c>
      <c r="E26" s="7">
        <f t="shared" si="3"/>
        <v>41666.67</v>
      </c>
      <c r="F26" s="7">
        <f t="shared" si="4"/>
        <v>0</v>
      </c>
      <c r="G26" s="7">
        <f t="shared" si="5"/>
        <v>50000</v>
      </c>
      <c r="H26" s="7"/>
      <c r="I26" s="7"/>
    </row>
    <row r="27" spans="1:10" x14ac:dyDescent="0.2">
      <c r="A27" s="5">
        <f t="shared" si="0"/>
        <v>7</v>
      </c>
      <c r="B27" s="6">
        <f t="shared" si="1"/>
        <v>42526</v>
      </c>
      <c r="C27" s="7">
        <f t="shared" si="2"/>
        <v>41666.67</v>
      </c>
      <c r="D27" s="9">
        <v>0</v>
      </c>
      <c r="E27" s="7">
        <f t="shared" si="3"/>
        <v>41666.67</v>
      </c>
      <c r="F27" s="7">
        <f t="shared" si="4"/>
        <v>0</v>
      </c>
      <c r="G27" s="7">
        <f t="shared" si="5"/>
        <v>50000</v>
      </c>
      <c r="H27" s="7"/>
      <c r="I27" s="7"/>
    </row>
    <row r="28" spans="1:10" x14ac:dyDescent="0.2">
      <c r="A28" s="5">
        <f t="shared" si="0"/>
        <v>8</v>
      </c>
      <c r="B28" s="6">
        <f t="shared" si="1"/>
        <v>42556</v>
      </c>
      <c r="C28" s="7">
        <f t="shared" si="2"/>
        <v>41666.67</v>
      </c>
      <c r="D28" s="9">
        <v>0</v>
      </c>
      <c r="E28" s="7">
        <f t="shared" si="3"/>
        <v>41666.67</v>
      </c>
      <c r="F28" s="7">
        <f t="shared" si="4"/>
        <v>0</v>
      </c>
      <c r="G28" s="7">
        <f t="shared" si="5"/>
        <v>50000</v>
      </c>
      <c r="H28" s="7"/>
      <c r="I28" s="7"/>
    </row>
    <row r="29" spans="1:10" x14ac:dyDescent="0.2">
      <c r="A29" s="5">
        <f t="shared" si="0"/>
        <v>9</v>
      </c>
      <c r="B29" s="6">
        <f t="shared" si="1"/>
        <v>42587</v>
      </c>
      <c r="C29" s="7">
        <f t="shared" si="2"/>
        <v>41666.67</v>
      </c>
      <c r="D29" s="9">
        <v>0</v>
      </c>
      <c r="E29" s="7">
        <f t="shared" si="3"/>
        <v>41666.67</v>
      </c>
      <c r="F29" s="7">
        <f t="shared" si="4"/>
        <v>0</v>
      </c>
      <c r="G29" s="7">
        <f t="shared" si="5"/>
        <v>50000</v>
      </c>
      <c r="H29" s="7"/>
      <c r="I29" s="7"/>
    </row>
    <row r="30" spans="1:10" x14ac:dyDescent="0.2">
      <c r="A30" s="5">
        <f t="shared" si="0"/>
        <v>10</v>
      </c>
      <c r="B30" s="6">
        <f t="shared" si="1"/>
        <v>42618</v>
      </c>
      <c r="C30" s="7">
        <f t="shared" si="2"/>
        <v>41666.67</v>
      </c>
      <c r="D30" s="9">
        <v>0</v>
      </c>
      <c r="E30" s="7">
        <f t="shared" si="3"/>
        <v>41666.67</v>
      </c>
      <c r="F30" s="7">
        <f t="shared" si="4"/>
        <v>0</v>
      </c>
      <c r="G30" s="7">
        <f t="shared" si="5"/>
        <v>50000</v>
      </c>
      <c r="H30" s="7"/>
      <c r="I30" s="7"/>
    </row>
    <row r="31" spans="1:10" x14ac:dyDescent="0.2">
      <c r="A31" s="5">
        <f t="shared" si="0"/>
        <v>11</v>
      </c>
      <c r="B31" s="6">
        <f t="shared" si="1"/>
        <v>42648</v>
      </c>
      <c r="C31" s="7">
        <f t="shared" si="2"/>
        <v>41666.67</v>
      </c>
      <c r="D31" s="9">
        <v>0</v>
      </c>
      <c r="E31" s="7">
        <f t="shared" si="3"/>
        <v>41666.67</v>
      </c>
      <c r="F31" s="7">
        <f t="shared" si="4"/>
        <v>0</v>
      </c>
      <c r="G31" s="7">
        <f t="shared" si="5"/>
        <v>50000</v>
      </c>
      <c r="H31" s="7"/>
      <c r="I31" s="7"/>
    </row>
    <row r="32" spans="1:10" x14ac:dyDescent="0.2">
      <c r="A32" s="5">
        <f t="shared" si="0"/>
        <v>12</v>
      </c>
      <c r="B32" s="6">
        <f t="shared" si="1"/>
        <v>42679</v>
      </c>
      <c r="C32" s="7">
        <f t="shared" si="2"/>
        <v>41666.67</v>
      </c>
      <c r="D32" s="9">
        <v>0</v>
      </c>
      <c r="E32" s="7">
        <f t="shared" si="3"/>
        <v>41666.67</v>
      </c>
      <c r="F32" s="7">
        <f t="shared" si="4"/>
        <v>0</v>
      </c>
      <c r="G32" s="7">
        <f t="shared" si="5"/>
        <v>50000</v>
      </c>
      <c r="H32" s="7"/>
      <c r="I32" s="7"/>
    </row>
    <row r="33" spans="1:9" x14ac:dyDescent="0.2">
      <c r="A33" s="5">
        <f t="shared" si="0"/>
        <v>13</v>
      </c>
      <c r="B33" s="6">
        <f t="shared" si="1"/>
        <v>42709</v>
      </c>
      <c r="C33" s="7">
        <f t="shared" si="2"/>
        <v>41666.67</v>
      </c>
      <c r="D33" s="9">
        <v>0</v>
      </c>
      <c r="E33" s="7">
        <f t="shared" si="3"/>
        <v>41666.67</v>
      </c>
      <c r="F33" s="7">
        <f t="shared" si="4"/>
        <v>0</v>
      </c>
      <c r="G33" s="7">
        <f t="shared" si="5"/>
        <v>50000</v>
      </c>
      <c r="H33" s="7"/>
      <c r="I33" s="7"/>
    </row>
    <row r="34" spans="1:9" x14ac:dyDescent="0.2">
      <c r="A34" s="5">
        <f t="shared" si="0"/>
        <v>14</v>
      </c>
      <c r="B34" s="6">
        <f t="shared" si="1"/>
        <v>42740</v>
      </c>
      <c r="C34" s="7">
        <f t="shared" si="2"/>
        <v>41666.67</v>
      </c>
      <c r="D34" s="9">
        <v>0</v>
      </c>
      <c r="E34" s="7">
        <f t="shared" si="3"/>
        <v>41666.67</v>
      </c>
      <c r="F34" s="7">
        <f t="shared" si="4"/>
        <v>0</v>
      </c>
      <c r="G34" s="7">
        <f t="shared" si="5"/>
        <v>50000</v>
      </c>
      <c r="H34" s="7"/>
      <c r="I34" s="7"/>
    </row>
    <row r="35" spans="1:9" x14ac:dyDescent="0.2">
      <c r="A35" s="5">
        <f t="shared" si="0"/>
        <v>15</v>
      </c>
      <c r="B35" s="6">
        <f t="shared" si="1"/>
        <v>42771</v>
      </c>
      <c r="C35" s="7">
        <f t="shared" si="2"/>
        <v>41666.67</v>
      </c>
      <c r="D35" s="9">
        <v>0</v>
      </c>
      <c r="E35" s="7">
        <f t="shared" si="3"/>
        <v>41666.67</v>
      </c>
      <c r="F35" s="7">
        <f t="shared" si="4"/>
        <v>0</v>
      </c>
      <c r="G35" s="7">
        <f t="shared" si="5"/>
        <v>50000</v>
      </c>
      <c r="H35" s="7"/>
      <c r="I35" s="7"/>
    </row>
    <row r="36" spans="1:9" x14ac:dyDescent="0.2">
      <c r="A36" s="5">
        <f t="shared" si="0"/>
        <v>16</v>
      </c>
      <c r="B36" s="6">
        <f t="shared" si="1"/>
        <v>42799</v>
      </c>
      <c r="C36" s="7">
        <f t="shared" si="2"/>
        <v>41666.67</v>
      </c>
      <c r="D36" s="9">
        <v>0</v>
      </c>
      <c r="E36" s="7">
        <f t="shared" si="3"/>
        <v>41666.67</v>
      </c>
      <c r="F36" s="7">
        <f t="shared" si="4"/>
        <v>0</v>
      </c>
      <c r="G36" s="7">
        <f t="shared" si="5"/>
        <v>50000</v>
      </c>
      <c r="H36" s="7"/>
      <c r="I36" s="7"/>
    </row>
    <row r="37" spans="1:9" x14ac:dyDescent="0.2">
      <c r="A37" s="5">
        <f t="shared" si="0"/>
        <v>17</v>
      </c>
      <c r="B37" s="6">
        <f t="shared" si="1"/>
        <v>42830</v>
      </c>
      <c r="C37" s="7">
        <f t="shared" si="2"/>
        <v>41666.67</v>
      </c>
      <c r="D37" s="9">
        <v>0</v>
      </c>
      <c r="E37" s="7">
        <f t="shared" si="3"/>
        <v>41666.67</v>
      </c>
      <c r="F37" s="7">
        <f t="shared" si="4"/>
        <v>0</v>
      </c>
      <c r="G37" s="7">
        <f t="shared" si="5"/>
        <v>50000</v>
      </c>
      <c r="H37" s="7"/>
      <c r="I37" s="7"/>
    </row>
    <row r="38" spans="1:9" x14ac:dyDescent="0.2">
      <c r="A38" s="5">
        <f t="shared" si="0"/>
        <v>18</v>
      </c>
      <c r="B38" s="6">
        <f t="shared" si="1"/>
        <v>42860</v>
      </c>
      <c r="C38" s="7">
        <f t="shared" si="2"/>
        <v>41666.67</v>
      </c>
      <c r="D38" s="9">
        <v>0</v>
      </c>
      <c r="E38" s="7">
        <f t="shared" si="3"/>
        <v>41666.67</v>
      </c>
      <c r="F38" s="7">
        <f t="shared" si="4"/>
        <v>0</v>
      </c>
      <c r="G38" s="7">
        <f t="shared" si="5"/>
        <v>50000</v>
      </c>
      <c r="H38" s="7"/>
      <c r="I38" s="7"/>
    </row>
    <row r="39" spans="1:9" x14ac:dyDescent="0.2">
      <c r="A39" s="5">
        <f t="shared" si="0"/>
        <v>19</v>
      </c>
      <c r="B39" s="6">
        <f t="shared" si="1"/>
        <v>42891</v>
      </c>
      <c r="C39" s="7">
        <f t="shared" si="2"/>
        <v>41666.67</v>
      </c>
      <c r="D39" s="9">
        <v>0</v>
      </c>
      <c r="E39" s="7">
        <f t="shared" si="3"/>
        <v>41666.67</v>
      </c>
      <c r="F39" s="7">
        <f t="shared" si="4"/>
        <v>0</v>
      </c>
      <c r="G39" s="7">
        <f t="shared" si="5"/>
        <v>50000</v>
      </c>
      <c r="H39" s="7"/>
      <c r="I39" s="7"/>
    </row>
    <row r="40" spans="1:9" x14ac:dyDescent="0.2">
      <c r="A40" s="5">
        <f t="shared" si="0"/>
        <v>20</v>
      </c>
      <c r="B40" s="6">
        <f t="shared" si="1"/>
        <v>42921</v>
      </c>
      <c r="C40" s="7">
        <f t="shared" si="2"/>
        <v>41666.67</v>
      </c>
      <c r="D40" s="9">
        <v>0</v>
      </c>
      <c r="E40" s="7">
        <f t="shared" si="3"/>
        <v>41666.67</v>
      </c>
      <c r="F40" s="7">
        <f t="shared" si="4"/>
        <v>0</v>
      </c>
      <c r="G40" s="7">
        <f t="shared" si="5"/>
        <v>50000</v>
      </c>
      <c r="H40" s="7"/>
      <c r="I40" s="7"/>
    </row>
    <row r="41" spans="1:9" x14ac:dyDescent="0.2">
      <c r="A41" s="5">
        <f t="shared" si="0"/>
        <v>21</v>
      </c>
      <c r="B41" s="6">
        <f t="shared" si="1"/>
        <v>42952</v>
      </c>
      <c r="C41" s="7">
        <f t="shared" si="2"/>
        <v>41666.67</v>
      </c>
      <c r="D41" s="9">
        <v>0</v>
      </c>
      <c r="E41" s="7">
        <f t="shared" si="3"/>
        <v>41666.67</v>
      </c>
      <c r="F41" s="7">
        <f t="shared" si="4"/>
        <v>0</v>
      </c>
      <c r="G41" s="7">
        <f t="shared" si="5"/>
        <v>50000</v>
      </c>
      <c r="H41" s="7"/>
      <c r="I41" s="7"/>
    </row>
    <row r="42" spans="1:9" x14ac:dyDescent="0.2">
      <c r="A42" s="5">
        <f t="shared" si="0"/>
        <v>22</v>
      </c>
      <c r="B42" s="6">
        <f t="shared" si="1"/>
        <v>42983</v>
      </c>
      <c r="C42" s="7">
        <f t="shared" si="2"/>
        <v>41666.67</v>
      </c>
      <c r="D42" s="9">
        <v>0</v>
      </c>
      <c r="E42" s="7">
        <f t="shared" si="3"/>
        <v>41666.67</v>
      </c>
      <c r="F42" s="7">
        <f t="shared" si="4"/>
        <v>0</v>
      </c>
      <c r="G42" s="7">
        <f t="shared" si="5"/>
        <v>50000</v>
      </c>
      <c r="H42" s="7"/>
      <c r="I42" s="7"/>
    </row>
    <row r="43" spans="1:9" x14ac:dyDescent="0.2">
      <c r="A43" s="5">
        <f t="shared" si="0"/>
        <v>23</v>
      </c>
      <c r="B43" s="6">
        <f t="shared" si="1"/>
        <v>43013</v>
      </c>
      <c r="C43" s="7">
        <f t="shared" si="2"/>
        <v>41666.67</v>
      </c>
      <c r="D43" s="9">
        <v>0</v>
      </c>
      <c r="E43" s="7">
        <f t="shared" si="3"/>
        <v>41666.67</v>
      </c>
      <c r="F43" s="7">
        <f t="shared" si="4"/>
        <v>0</v>
      </c>
      <c r="G43" s="7">
        <f t="shared" si="5"/>
        <v>50000</v>
      </c>
      <c r="H43" s="7"/>
      <c r="I43" s="7"/>
    </row>
    <row r="44" spans="1:9" x14ac:dyDescent="0.2">
      <c r="A44" s="5">
        <f t="shared" si="0"/>
        <v>24</v>
      </c>
      <c r="B44" s="6">
        <f t="shared" si="1"/>
        <v>43044</v>
      </c>
      <c r="C44" s="7">
        <f t="shared" si="2"/>
        <v>41666.67</v>
      </c>
      <c r="D44" s="9">
        <v>0</v>
      </c>
      <c r="E44" s="7">
        <f t="shared" si="3"/>
        <v>41666.67</v>
      </c>
      <c r="F44" s="7">
        <f t="shared" si="4"/>
        <v>0</v>
      </c>
      <c r="G44" s="7">
        <f t="shared" si="5"/>
        <v>50000</v>
      </c>
      <c r="H44" s="7"/>
      <c r="I44" s="7"/>
    </row>
    <row r="45" spans="1:9" x14ac:dyDescent="0.2">
      <c r="A45" s="5">
        <f t="shared" si="0"/>
        <v>25</v>
      </c>
      <c r="B45" s="6">
        <f t="shared" si="1"/>
        <v>43074</v>
      </c>
      <c r="C45" s="7">
        <f t="shared" si="2"/>
        <v>41666.67</v>
      </c>
      <c r="D45" s="9">
        <v>0</v>
      </c>
      <c r="E45" s="7">
        <f t="shared" si="3"/>
        <v>41666.67</v>
      </c>
      <c r="F45" s="7">
        <f t="shared" si="4"/>
        <v>0</v>
      </c>
      <c r="G45" s="7">
        <f t="shared" si="5"/>
        <v>50000</v>
      </c>
      <c r="H45" s="7"/>
      <c r="I45" s="7"/>
    </row>
    <row r="46" spans="1:9" x14ac:dyDescent="0.2">
      <c r="A46" s="5">
        <f t="shared" si="0"/>
        <v>26</v>
      </c>
      <c r="B46" s="6">
        <f t="shared" si="1"/>
        <v>43105</v>
      </c>
      <c r="C46" s="7">
        <f t="shared" si="2"/>
        <v>41666.67</v>
      </c>
      <c r="D46" s="9">
        <v>0</v>
      </c>
      <c r="E46" s="7">
        <f t="shared" si="3"/>
        <v>41666.67</v>
      </c>
      <c r="F46" s="7">
        <f t="shared" si="4"/>
        <v>0</v>
      </c>
      <c r="G46" s="7">
        <f t="shared" si="5"/>
        <v>50000</v>
      </c>
      <c r="H46" s="7"/>
      <c r="I46" s="7"/>
    </row>
    <row r="47" spans="1:9" x14ac:dyDescent="0.2">
      <c r="A47" s="5">
        <f t="shared" si="0"/>
        <v>27</v>
      </c>
      <c r="B47" s="6">
        <f t="shared" si="1"/>
        <v>43136</v>
      </c>
      <c r="C47" s="7">
        <f t="shared" si="2"/>
        <v>41666.67</v>
      </c>
      <c r="D47" s="9">
        <v>0</v>
      </c>
      <c r="E47" s="7">
        <f t="shared" si="3"/>
        <v>41666.67</v>
      </c>
      <c r="F47" s="7">
        <f t="shared" si="4"/>
        <v>0</v>
      </c>
      <c r="G47" s="7">
        <f t="shared" si="5"/>
        <v>50000</v>
      </c>
      <c r="H47" s="7"/>
      <c r="I47" s="7"/>
    </row>
    <row r="48" spans="1:9" x14ac:dyDescent="0.2">
      <c r="A48" s="5">
        <f t="shared" si="0"/>
        <v>28</v>
      </c>
      <c r="B48" s="6">
        <f t="shared" si="1"/>
        <v>43164</v>
      </c>
      <c r="C48" s="7">
        <f t="shared" si="2"/>
        <v>41666.67</v>
      </c>
      <c r="D48" s="9">
        <v>0</v>
      </c>
      <c r="E48" s="7">
        <f t="shared" si="3"/>
        <v>41666.67</v>
      </c>
      <c r="F48" s="7">
        <f t="shared" si="4"/>
        <v>0</v>
      </c>
      <c r="G48" s="7">
        <f t="shared" si="5"/>
        <v>50000</v>
      </c>
      <c r="H48" s="7"/>
      <c r="I48" s="7"/>
    </row>
    <row r="49" spans="1:13" x14ac:dyDescent="0.2">
      <c r="A49" s="5">
        <f t="shared" si="0"/>
        <v>29</v>
      </c>
      <c r="B49" s="6">
        <f t="shared" si="1"/>
        <v>43195</v>
      </c>
      <c r="C49" s="7">
        <f t="shared" si="2"/>
        <v>41666.67</v>
      </c>
      <c r="D49" s="9">
        <v>0</v>
      </c>
      <c r="E49" s="7">
        <f t="shared" si="3"/>
        <v>41666.67</v>
      </c>
      <c r="F49" s="7">
        <f t="shared" si="4"/>
        <v>0</v>
      </c>
      <c r="G49" s="7">
        <f t="shared" si="5"/>
        <v>50000</v>
      </c>
      <c r="H49" s="7"/>
      <c r="I49" s="7"/>
    </row>
    <row r="50" spans="1:13" x14ac:dyDescent="0.2">
      <c r="A50" s="5">
        <f t="shared" si="0"/>
        <v>30</v>
      </c>
      <c r="B50" s="6">
        <f t="shared" si="1"/>
        <v>43225</v>
      </c>
      <c r="C50" s="7">
        <f t="shared" si="2"/>
        <v>41666.67</v>
      </c>
      <c r="D50" s="9">
        <v>0</v>
      </c>
      <c r="E50" s="7">
        <f t="shared" si="3"/>
        <v>41666.67</v>
      </c>
      <c r="F50" s="7">
        <f t="shared" si="4"/>
        <v>0</v>
      </c>
      <c r="G50" s="7">
        <f t="shared" si="5"/>
        <v>50000</v>
      </c>
      <c r="H50" s="7"/>
      <c r="I50" s="7"/>
    </row>
    <row r="51" spans="1:13" x14ac:dyDescent="0.2">
      <c r="A51" s="5">
        <f t="shared" si="0"/>
        <v>31</v>
      </c>
      <c r="B51" s="6">
        <f t="shared" si="1"/>
        <v>43256</v>
      </c>
      <c r="C51" s="7">
        <f t="shared" si="2"/>
        <v>41666.67</v>
      </c>
      <c r="D51" s="9">
        <v>0</v>
      </c>
      <c r="E51" s="7">
        <f t="shared" si="3"/>
        <v>41666.67</v>
      </c>
      <c r="F51" s="7">
        <f t="shared" si="4"/>
        <v>0</v>
      </c>
      <c r="G51" s="7">
        <f t="shared" si="5"/>
        <v>50000</v>
      </c>
      <c r="H51" s="7"/>
      <c r="I51" s="7"/>
    </row>
    <row r="52" spans="1:13" x14ac:dyDescent="0.2">
      <c r="A52" s="5">
        <f t="shared" si="0"/>
        <v>32</v>
      </c>
      <c r="B52" s="6">
        <f t="shared" si="1"/>
        <v>43286</v>
      </c>
      <c r="C52" s="7">
        <f t="shared" si="2"/>
        <v>41666.67</v>
      </c>
      <c r="D52" s="9">
        <v>0</v>
      </c>
      <c r="E52" s="7">
        <f t="shared" si="3"/>
        <v>41666.67</v>
      </c>
      <c r="F52" s="7">
        <f t="shared" si="4"/>
        <v>0</v>
      </c>
      <c r="G52" s="7">
        <f t="shared" si="5"/>
        <v>50000</v>
      </c>
      <c r="H52" s="7"/>
      <c r="I52" s="7"/>
    </row>
    <row r="53" spans="1:13" x14ac:dyDescent="0.2">
      <c r="A53" s="5">
        <f t="shared" ref="A53:A84" si="6">IF(G52="","",IF(OR(A52&gt;=nper,ROUND(G52,2)&lt;=0),"",A52+1))</f>
        <v>33</v>
      </c>
      <c r="B53" s="6">
        <f t="shared" ref="B53:B84" si="7">IF(A53="","",IF(periods_per_year=26,IF(A53=1,fpdate,B52+14),IF(periods_per_year=52,IF(A53=1,fpdate,B52+7),DATE(YEAR(fpdate),MONTH(fpdate)+(A53-1)*months_per_period,IF(periods_per_year=24,IF((1-MOD(A53,2))=1,DAY(fpdate)+14,DAY(fpdate)),DAY(fpdate))))))</f>
        <v>43317</v>
      </c>
      <c r="C53" s="7">
        <f t="shared" ref="C53:C84" si="8">IF(A53="","",IF(OR(A53=nper,payment&gt;ROUND((1+rate)*G52,2)),ROUND((1+rate)*G52,2),payment))</f>
        <v>41666.67</v>
      </c>
      <c r="D53" s="9">
        <v>0</v>
      </c>
      <c r="E53" s="7">
        <f t="shared" ref="E53:E84" si="9">IF(A53="","",ROUND(rate*G52,2))</f>
        <v>41666.67</v>
      </c>
      <c r="F53" s="7">
        <f t="shared" ref="F53:F84" si="10">IF(A53="","",C53-E53+D53)</f>
        <v>0</v>
      </c>
      <c r="G53" s="7">
        <f t="shared" ref="G53:G84" si="11">IF(A53="","",G52-F53)</f>
        <v>50000</v>
      </c>
      <c r="H53" s="7"/>
      <c r="I53" s="7"/>
    </row>
    <row r="54" spans="1:13" x14ac:dyDescent="0.2">
      <c r="A54" s="5">
        <f t="shared" si="6"/>
        <v>34</v>
      </c>
      <c r="B54" s="6">
        <f t="shared" si="7"/>
        <v>43348</v>
      </c>
      <c r="C54" s="7">
        <f t="shared" si="8"/>
        <v>41666.67</v>
      </c>
      <c r="D54" s="9">
        <v>0</v>
      </c>
      <c r="E54" s="7">
        <f t="shared" si="9"/>
        <v>41666.67</v>
      </c>
      <c r="F54" s="7">
        <f t="shared" si="10"/>
        <v>0</v>
      </c>
      <c r="G54" s="7">
        <f t="shared" si="11"/>
        <v>50000</v>
      </c>
      <c r="H54" s="7"/>
      <c r="I54" s="7"/>
    </row>
    <row r="55" spans="1:13" x14ac:dyDescent="0.2">
      <c r="A55" s="5">
        <f t="shared" si="6"/>
        <v>35</v>
      </c>
      <c r="B55" s="6">
        <f t="shared" si="7"/>
        <v>43378</v>
      </c>
      <c r="C55" s="7">
        <f t="shared" si="8"/>
        <v>41666.67</v>
      </c>
      <c r="D55" s="9">
        <v>0</v>
      </c>
      <c r="E55" s="7">
        <f t="shared" si="9"/>
        <v>41666.67</v>
      </c>
      <c r="F55" s="7">
        <f t="shared" si="10"/>
        <v>0</v>
      </c>
      <c r="G55" s="7">
        <f t="shared" si="11"/>
        <v>50000</v>
      </c>
      <c r="H55" s="7"/>
      <c r="I55" s="7"/>
      <c r="J55" s="10"/>
      <c r="K55" s="8"/>
      <c r="L55" s="8"/>
      <c r="M55" s="8"/>
    </row>
    <row r="56" spans="1:13" x14ac:dyDescent="0.2">
      <c r="A56" s="5">
        <f t="shared" si="6"/>
        <v>36</v>
      </c>
      <c r="B56" s="6">
        <f t="shared" si="7"/>
        <v>43409</v>
      </c>
      <c r="C56" s="7">
        <f t="shared" si="8"/>
        <v>41666.67</v>
      </c>
      <c r="D56" s="9">
        <v>0</v>
      </c>
      <c r="E56" s="7">
        <f t="shared" si="9"/>
        <v>41666.67</v>
      </c>
      <c r="F56" s="7">
        <f t="shared" si="10"/>
        <v>0</v>
      </c>
      <c r="G56" s="7">
        <f t="shared" si="11"/>
        <v>50000</v>
      </c>
      <c r="H56" s="7"/>
      <c r="I56" s="7"/>
    </row>
    <row r="57" spans="1:13" x14ac:dyDescent="0.2">
      <c r="A57" s="5">
        <f t="shared" si="6"/>
        <v>37</v>
      </c>
      <c r="B57" s="6">
        <f t="shared" si="7"/>
        <v>43439</v>
      </c>
      <c r="C57" s="7">
        <f t="shared" si="8"/>
        <v>41666.67</v>
      </c>
      <c r="D57" s="9">
        <v>0</v>
      </c>
      <c r="E57" s="7">
        <f t="shared" si="9"/>
        <v>41666.67</v>
      </c>
      <c r="F57" s="7">
        <f t="shared" si="10"/>
        <v>0</v>
      </c>
      <c r="G57" s="7">
        <f t="shared" si="11"/>
        <v>50000</v>
      </c>
      <c r="H57" s="7"/>
      <c r="I57" s="7"/>
    </row>
    <row r="58" spans="1:13" x14ac:dyDescent="0.2">
      <c r="A58" s="5">
        <f t="shared" si="6"/>
        <v>38</v>
      </c>
      <c r="B58" s="6">
        <f t="shared" si="7"/>
        <v>43470</v>
      </c>
      <c r="C58" s="7">
        <f t="shared" si="8"/>
        <v>41666.67</v>
      </c>
      <c r="D58" s="9">
        <v>0</v>
      </c>
      <c r="E58" s="7">
        <f t="shared" si="9"/>
        <v>41666.67</v>
      </c>
      <c r="F58" s="7">
        <f t="shared" si="10"/>
        <v>0</v>
      </c>
      <c r="G58" s="7">
        <f t="shared" si="11"/>
        <v>50000</v>
      </c>
      <c r="H58" s="7"/>
      <c r="I58" s="7"/>
    </row>
    <row r="59" spans="1:13" x14ac:dyDescent="0.2">
      <c r="A59" s="5">
        <f t="shared" si="6"/>
        <v>39</v>
      </c>
      <c r="B59" s="6">
        <f t="shared" si="7"/>
        <v>43501</v>
      </c>
      <c r="C59" s="7">
        <f t="shared" si="8"/>
        <v>41666.67</v>
      </c>
      <c r="D59" s="9">
        <v>0</v>
      </c>
      <c r="E59" s="7">
        <f t="shared" si="9"/>
        <v>41666.67</v>
      </c>
      <c r="F59" s="7">
        <f t="shared" si="10"/>
        <v>0</v>
      </c>
      <c r="G59" s="7">
        <f t="shared" si="11"/>
        <v>50000</v>
      </c>
      <c r="H59" s="7"/>
      <c r="I59" s="7"/>
    </row>
    <row r="60" spans="1:13" x14ac:dyDescent="0.2">
      <c r="A60" s="5">
        <f t="shared" si="6"/>
        <v>40</v>
      </c>
      <c r="B60" s="6">
        <f t="shared" si="7"/>
        <v>43529</v>
      </c>
      <c r="C60" s="7">
        <f t="shared" si="8"/>
        <v>41666.67</v>
      </c>
      <c r="D60" s="9">
        <v>0</v>
      </c>
      <c r="E60" s="7">
        <f t="shared" si="9"/>
        <v>41666.67</v>
      </c>
      <c r="F60" s="7">
        <f t="shared" si="10"/>
        <v>0</v>
      </c>
      <c r="G60" s="7">
        <f t="shared" si="11"/>
        <v>50000</v>
      </c>
      <c r="H60" s="7"/>
      <c r="I60" s="7"/>
    </row>
    <row r="61" spans="1:13" x14ac:dyDescent="0.2">
      <c r="A61" s="5">
        <f t="shared" si="6"/>
        <v>41</v>
      </c>
      <c r="B61" s="6">
        <f t="shared" si="7"/>
        <v>43560</v>
      </c>
      <c r="C61" s="7">
        <f t="shared" si="8"/>
        <v>41666.67</v>
      </c>
      <c r="D61" s="9">
        <v>0</v>
      </c>
      <c r="E61" s="7">
        <f t="shared" si="9"/>
        <v>41666.67</v>
      </c>
      <c r="F61" s="7">
        <f t="shared" si="10"/>
        <v>0</v>
      </c>
      <c r="G61" s="7">
        <f t="shared" si="11"/>
        <v>50000</v>
      </c>
      <c r="H61" s="7"/>
      <c r="I61" s="7"/>
    </row>
    <row r="62" spans="1:13" x14ac:dyDescent="0.2">
      <c r="A62" s="5">
        <f t="shared" si="6"/>
        <v>42</v>
      </c>
      <c r="B62" s="6">
        <f t="shared" si="7"/>
        <v>43590</v>
      </c>
      <c r="C62" s="7">
        <f t="shared" si="8"/>
        <v>41666.67</v>
      </c>
      <c r="D62" s="9">
        <v>0</v>
      </c>
      <c r="E62" s="7">
        <f t="shared" si="9"/>
        <v>41666.67</v>
      </c>
      <c r="F62" s="7">
        <f t="shared" si="10"/>
        <v>0</v>
      </c>
      <c r="G62" s="7">
        <f t="shared" si="11"/>
        <v>50000</v>
      </c>
      <c r="H62" s="7"/>
      <c r="I62" s="7"/>
    </row>
    <row r="63" spans="1:13" x14ac:dyDescent="0.2">
      <c r="A63" s="5">
        <f t="shared" si="6"/>
        <v>43</v>
      </c>
      <c r="B63" s="6">
        <f t="shared" si="7"/>
        <v>43621</v>
      </c>
      <c r="C63" s="7">
        <f t="shared" si="8"/>
        <v>41666.67</v>
      </c>
      <c r="D63" s="9">
        <v>0</v>
      </c>
      <c r="E63" s="7">
        <f t="shared" si="9"/>
        <v>41666.67</v>
      </c>
      <c r="F63" s="7">
        <f t="shared" si="10"/>
        <v>0</v>
      </c>
      <c r="G63" s="7">
        <f t="shared" si="11"/>
        <v>50000</v>
      </c>
      <c r="H63" s="7"/>
      <c r="I63" s="7"/>
    </row>
    <row r="64" spans="1:13" x14ac:dyDescent="0.2">
      <c r="A64" s="5">
        <f t="shared" si="6"/>
        <v>44</v>
      </c>
      <c r="B64" s="6">
        <f t="shared" si="7"/>
        <v>43651</v>
      </c>
      <c r="C64" s="7">
        <f t="shared" si="8"/>
        <v>41666.67</v>
      </c>
      <c r="D64" s="9">
        <v>0</v>
      </c>
      <c r="E64" s="7">
        <f t="shared" si="9"/>
        <v>41666.67</v>
      </c>
      <c r="F64" s="7">
        <f t="shared" si="10"/>
        <v>0</v>
      </c>
      <c r="G64" s="7">
        <f t="shared" si="11"/>
        <v>50000</v>
      </c>
      <c r="H64" s="7"/>
      <c r="I64" s="7"/>
    </row>
    <row r="65" spans="1:9" x14ac:dyDescent="0.2">
      <c r="A65" s="5">
        <f t="shared" si="6"/>
        <v>45</v>
      </c>
      <c r="B65" s="6">
        <f t="shared" si="7"/>
        <v>43682</v>
      </c>
      <c r="C65" s="7">
        <f t="shared" si="8"/>
        <v>41666.67</v>
      </c>
      <c r="D65" s="9">
        <v>0</v>
      </c>
      <c r="E65" s="7">
        <f t="shared" si="9"/>
        <v>41666.67</v>
      </c>
      <c r="F65" s="7">
        <f t="shared" si="10"/>
        <v>0</v>
      </c>
      <c r="G65" s="7">
        <f t="shared" si="11"/>
        <v>50000</v>
      </c>
      <c r="H65" s="7"/>
      <c r="I65" s="7"/>
    </row>
    <row r="66" spans="1:9" x14ac:dyDescent="0.2">
      <c r="A66" s="5">
        <f t="shared" si="6"/>
        <v>46</v>
      </c>
      <c r="B66" s="6">
        <f t="shared" si="7"/>
        <v>43713</v>
      </c>
      <c r="C66" s="7">
        <f t="shared" si="8"/>
        <v>41666.67</v>
      </c>
      <c r="D66" s="9">
        <v>0</v>
      </c>
      <c r="E66" s="7">
        <f t="shared" si="9"/>
        <v>41666.67</v>
      </c>
      <c r="F66" s="7">
        <f t="shared" si="10"/>
        <v>0</v>
      </c>
      <c r="G66" s="7">
        <f t="shared" si="11"/>
        <v>50000</v>
      </c>
      <c r="H66" s="7"/>
      <c r="I66" s="7"/>
    </row>
    <row r="67" spans="1:9" x14ac:dyDescent="0.2">
      <c r="A67" s="5">
        <f t="shared" si="6"/>
        <v>47</v>
      </c>
      <c r="B67" s="6">
        <f t="shared" si="7"/>
        <v>43743</v>
      </c>
      <c r="C67" s="7">
        <f t="shared" si="8"/>
        <v>41666.67</v>
      </c>
      <c r="D67" s="9">
        <v>0</v>
      </c>
      <c r="E67" s="7">
        <f t="shared" si="9"/>
        <v>41666.67</v>
      </c>
      <c r="F67" s="7">
        <f t="shared" si="10"/>
        <v>0</v>
      </c>
      <c r="G67" s="7">
        <f t="shared" si="11"/>
        <v>50000</v>
      </c>
      <c r="H67" s="7"/>
      <c r="I67" s="7"/>
    </row>
    <row r="68" spans="1:9" x14ac:dyDescent="0.2">
      <c r="A68" s="5">
        <f t="shared" si="6"/>
        <v>48</v>
      </c>
      <c r="B68" s="6">
        <f t="shared" si="7"/>
        <v>43774</v>
      </c>
      <c r="C68" s="7">
        <f t="shared" si="8"/>
        <v>41666.67</v>
      </c>
      <c r="D68" s="9">
        <v>0</v>
      </c>
      <c r="E68" s="7">
        <f t="shared" si="9"/>
        <v>41666.67</v>
      </c>
      <c r="F68" s="7">
        <f t="shared" si="10"/>
        <v>0</v>
      </c>
      <c r="G68" s="7">
        <f t="shared" si="11"/>
        <v>50000</v>
      </c>
      <c r="H68" s="7"/>
      <c r="I68" s="7"/>
    </row>
    <row r="69" spans="1:9" x14ac:dyDescent="0.2">
      <c r="A69" s="5">
        <f t="shared" si="6"/>
        <v>49</v>
      </c>
      <c r="B69" s="6">
        <f t="shared" si="7"/>
        <v>43804</v>
      </c>
      <c r="C69" s="7">
        <f t="shared" si="8"/>
        <v>41666.67</v>
      </c>
      <c r="D69" s="9">
        <v>0</v>
      </c>
      <c r="E69" s="7">
        <f t="shared" si="9"/>
        <v>41666.67</v>
      </c>
      <c r="F69" s="7">
        <f t="shared" si="10"/>
        <v>0</v>
      </c>
      <c r="G69" s="7">
        <f t="shared" si="11"/>
        <v>50000</v>
      </c>
      <c r="H69" s="7"/>
      <c r="I69" s="7"/>
    </row>
    <row r="70" spans="1:9" x14ac:dyDescent="0.2">
      <c r="A70" s="5">
        <f t="shared" si="6"/>
        <v>50</v>
      </c>
      <c r="B70" s="6">
        <f t="shared" si="7"/>
        <v>43835</v>
      </c>
      <c r="C70" s="7">
        <f t="shared" si="8"/>
        <v>41666.67</v>
      </c>
      <c r="D70" s="9">
        <v>0</v>
      </c>
      <c r="E70" s="7">
        <f t="shared" si="9"/>
        <v>41666.67</v>
      </c>
      <c r="F70" s="7">
        <f t="shared" si="10"/>
        <v>0</v>
      </c>
      <c r="G70" s="7">
        <f t="shared" si="11"/>
        <v>50000</v>
      </c>
      <c r="H70" s="7"/>
      <c r="I70" s="7"/>
    </row>
    <row r="71" spans="1:9" x14ac:dyDescent="0.2">
      <c r="A71" s="5">
        <f t="shared" si="6"/>
        <v>51</v>
      </c>
      <c r="B71" s="6">
        <f t="shared" si="7"/>
        <v>43866</v>
      </c>
      <c r="C71" s="7">
        <f t="shared" si="8"/>
        <v>41666.67</v>
      </c>
      <c r="D71" s="9">
        <v>0</v>
      </c>
      <c r="E71" s="7">
        <f t="shared" si="9"/>
        <v>41666.67</v>
      </c>
      <c r="F71" s="7">
        <f t="shared" si="10"/>
        <v>0</v>
      </c>
      <c r="G71" s="7">
        <f t="shared" si="11"/>
        <v>50000</v>
      </c>
      <c r="H71" s="7"/>
      <c r="I71" s="7"/>
    </row>
    <row r="72" spans="1:9" x14ac:dyDescent="0.2">
      <c r="A72" s="5">
        <f t="shared" si="6"/>
        <v>52</v>
      </c>
      <c r="B72" s="6">
        <f t="shared" si="7"/>
        <v>43895</v>
      </c>
      <c r="C72" s="7">
        <f t="shared" si="8"/>
        <v>41666.67</v>
      </c>
      <c r="D72" s="9">
        <v>0</v>
      </c>
      <c r="E72" s="7">
        <f t="shared" si="9"/>
        <v>41666.67</v>
      </c>
      <c r="F72" s="7">
        <f t="shared" si="10"/>
        <v>0</v>
      </c>
      <c r="G72" s="7">
        <f t="shared" si="11"/>
        <v>50000</v>
      </c>
      <c r="H72" s="7"/>
      <c r="I72" s="7"/>
    </row>
    <row r="73" spans="1:9" x14ac:dyDescent="0.2">
      <c r="A73" s="5">
        <f t="shared" si="6"/>
        <v>53</v>
      </c>
      <c r="B73" s="6">
        <f t="shared" si="7"/>
        <v>43926</v>
      </c>
      <c r="C73" s="7">
        <f t="shared" si="8"/>
        <v>41666.67</v>
      </c>
      <c r="D73" s="9">
        <v>0</v>
      </c>
      <c r="E73" s="7">
        <f t="shared" si="9"/>
        <v>41666.67</v>
      </c>
      <c r="F73" s="7">
        <f t="shared" si="10"/>
        <v>0</v>
      </c>
      <c r="G73" s="7">
        <f t="shared" si="11"/>
        <v>50000</v>
      </c>
      <c r="H73" s="7"/>
      <c r="I73" s="7"/>
    </row>
    <row r="74" spans="1:9" x14ac:dyDescent="0.2">
      <c r="A74" s="5">
        <f t="shared" si="6"/>
        <v>54</v>
      </c>
      <c r="B74" s="6">
        <f t="shared" si="7"/>
        <v>43956</v>
      </c>
      <c r="C74" s="7">
        <f t="shared" si="8"/>
        <v>41666.67</v>
      </c>
      <c r="D74" s="9">
        <v>0</v>
      </c>
      <c r="E74" s="7">
        <f t="shared" si="9"/>
        <v>41666.67</v>
      </c>
      <c r="F74" s="7">
        <f t="shared" si="10"/>
        <v>0</v>
      </c>
      <c r="G74" s="7">
        <f t="shared" si="11"/>
        <v>50000</v>
      </c>
      <c r="H74" s="7"/>
      <c r="I74" s="7"/>
    </row>
    <row r="75" spans="1:9" x14ac:dyDescent="0.2">
      <c r="A75" s="5">
        <f t="shared" si="6"/>
        <v>55</v>
      </c>
      <c r="B75" s="6">
        <f t="shared" si="7"/>
        <v>43987</v>
      </c>
      <c r="C75" s="7">
        <f t="shared" si="8"/>
        <v>41666.67</v>
      </c>
      <c r="D75" s="9">
        <v>0</v>
      </c>
      <c r="E75" s="7">
        <f t="shared" si="9"/>
        <v>41666.67</v>
      </c>
      <c r="F75" s="7">
        <f t="shared" si="10"/>
        <v>0</v>
      </c>
      <c r="G75" s="7">
        <f t="shared" si="11"/>
        <v>50000</v>
      </c>
      <c r="H75" s="7"/>
      <c r="I75" s="7"/>
    </row>
    <row r="76" spans="1:9" x14ac:dyDescent="0.2">
      <c r="A76" s="5">
        <f t="shared" si="6"/>
        <v>56</v>
      </c>
      <c r="B76" s="6">
        <f t="shared" si="7"/>
        <v>44017</v>
      </c>
      <c r="C76" s="7">
        <f t="shared" si="8"/>
        <v>41666.67</v>
      </c>
      <c r="D76" s="9">
        <v>0</v>
      </c>
      <c r="E76" s="7">
        <f t="shared" si="9"/>
        <v>41666.67</v>
      </c>
      <c r="F76" s="7">
        <f t="shared" si="10"/>
        <v>0</v>
      </c>
      <c r="G76" s="7">
        <f t="shared" si="11"/>
        <v>50000</v>
      </c>
      <c r="H76" s="7"/>
      <c r="I76" s="7"/>
    </row>
    <row r="77" spans="1:9" x14ac:dyDescent="0.2">
      <c r="A77" s="5">
        <f t="shared" si="6"/>
        <v>57</v>
      </c>
      <c r="B77" s="6">
        <f t="shared" si="7"/>
        <v>44048</v>
      </c>
      <c r="C77" s="7">
        <f t="shared" si="8"/>
        <v>41666.67</v>
      </c>
      <c r="D77" s="9">
        <v>0</v>
      </c>
      <c r="E77" s="7">
        <f t="shared" si="9"/>
        <v>41666.67</v>
      </c>
      <c r="F77" s="7">
        <f t="shared" si="10"/>
        <v>0</v>
      </c>
      <c r="G77" s="7">
        <f t="shared" si="11"/>
        <v>50000</v>
      </c>
      <c r="H77" s="7"/>
      <c r="I77" s="7"/>
    </row>
    <row r="78" spans="1:9" x14ac:dyDescent="0.2">
      <c r="A78" s="5">
        <f t="shared" si="6"/>
        <v>58</v>
      </c>
      <c r="B78" s="6">
        <f t="shared" si="7"/>
        <v>44079</v>
      </c>
      <c r="C78" s="7">
        <f t="shared" si="8"/>
        <v>41666.67</v>
      </c>
      <c r="D78" s="9">
        <v>0</v>
      </c>
      <c r="E78" s="7">
        <f t="shared" si="9"/>
        <v>41666.67</v>
      </c>
      <c r="F78" s="7">
        <f t="shared" si="10"/>
        <v>0</v>
      </c>
      <c r="G78" s="7">
        <f t="shared" si="11"/>
        <v>50000</v>
      </c>
      <c r="H78" s="7"/>
      <c r="I78" s="7"/>
    </row>
    <row r="79" spans="1:9" x14ac:dyDescent="0.2">
      <c r="A79" s="5">
        <f t="shared" si="6"/>
        <v>59</v>
      </c>
      <c r="B79" s="6">
        <f t="shared" si="7"/>
        <v>44109</v>
      </c>
      <c r="C79" s="7">
        <f t="shared" si="8"/>
        <v>41666.67</v>
      </c>
      <c r="D79" s="9">
        <v>0</v>
      </c>
      <c r="E79" s="7">
        <f t="shared" si="9"/>
        <v>41666.67</v>
      </c>
      <c r="F79" s="7">
        <f t="shared" si="10"/>
        <v>0</v>
      </c>
      <c r="G79" s="7">
        <f t="shared" si="11"/>
        <v>50000</v>
      </c>
      <c r="H79" s="7"/>
      <c r="I79" s="7"/>
    </row>
    <row r="80" spans="1:9" x14ac:dyDescent="0.2">
      <c r="A80" s="5">
        <f t="shared" si="6"/>
        <v>60</v>
      </c>
      <c r="B80" s="6">
        <f t="shared" si="7"/>
        <v>44140</v>
      </c>
      <c r="C80" s="7">
        <f t="shared" si="8"/>
        <v>91666.67</v>
      </c>
      <c r="D80" s="9">
        <v>0</v>
      </c>
      <c r="E80" s="7">
        <f t="shared" si="9"/>
        <v>41666.67</v>
      </c>
      <c r="F80" s="7">
        <f t="shared" si="10"/>
        <v>50000</v>
      </c>
      <c r="G80" s="7">
        <f t="shared" si="11"/>
        <v>0</v>
      </c>
      <c r="H80" s="7"/>
      <c r="I80" s="7"/>
    </row>
    <row r="81" spans="1:9" x14ac:dyDescent="0.2">
      <c r="A81" s="5" t="str">
        <f t="shared" si="6"/>
        <v/>
      </c>
      <c r="B81" s="6" t="str">
        <f t="shared" si="7"/>
        <v/>
      </c>
      <c r="C81" s="7" t="str">
        <f t="shared" si="8"/>
        <v/>
      </c>
      <c r="D81" s="9">
        <v>0</v>
      </c>
      <c r="E81" s="7" t="str">
        <f t="shared" si="9"/>
        <v/>
      </c>
      <c r="F81" s="7" t="str">
        <f t="shared" si="10"/>
        <v/>
      </c>
      <c r="G81" s="7" t="str">
        <f t="shared" si="11"/>
        <v/>
      </c>
      <c r="H81" s="7"/>
      <c r="I81" s="7"/>
    </row>
    <row r="82" spans="1:9" x14ac:dyDescent="0.2">
      <c r="A82" s="5" t="str">
        <f t="shared" si="6"/>
        <v/>
      </c>
      <c r="B82" s="6" t="str">
        <f t="shared" si="7"/>
        <v/>
      </c>
      <c r="C82" s="7" t="str">
        <f t="shared" si="8"/>
        <v/>
      </c>
      <c r="D82" s="9">
        <v>0</v>
      </c>
      <c r="E82" s="7" t="str">
        <f t="shared" si="9"/>
        <v/>
      </c>
      <c r="F82" s="7" t="str">
        <f t="shared" si="10"/>
        <v/>
      </c>
      <c r="G82" s="7" t="str">
        <f t="shared" si="11"/>
        <v/>
      </c>
      <c r="H82" s="7"/>
      <c r="I82" s="7"/>
    </row>
    <row r="83" spans="1:9" x14ac:dyDescent="0.2">
      <c r="A83" s="5" t="str">
        <f t="shared" si="6"/>
        <v/>
      </c>
      <c r="B83" s="6" t="str">
        <f t="shared" si="7"/>
        <v/>
      </c>
      <c r="C83" s="7" t="str">
        <f t="shared" si="8"/>
        <v/>
      </c>
      <c r="D83" s="9">
        <v>0</v>
      </c>
      <c r="E83" s="7" t="str">
        <f t="shared" si="9"/>
        <v/>
      </c>
      <c r="F83" s="7" t="str">
        <f t="shared" si="10"/>
        <v/>
      </c>
      <c r="G83" s="7" t="str">
        <f t="shared" si="11"/>
        <v/>
      </c>
      <c r="H83" s="7"/>
      <c r="I83" s="7"/>
    </row>
    <row r="84" spans="1:9" x14ac:dyDescent="0.2">
      <c r="A84" s="5" t="str">
        <f t="shared" si="6"/>
        <v/>
      </c>
      <c r="B84" s="6" t="str">
        <f t="shared" si="7"/>
        <v/>
      </c>
      <c r="C84" s="7" t="str">
        <f t="shared" si="8"/>
        <v/>
      </c>
      <c r="D84" s="9">
        <v>0</v>
      </c>
      <c r="E84" s="7" t="str">
        <f t="shared" si="9"/>
        <v/>
      </c>
      <c r="F84" s="7" t="str">
        <f t="shared" si="10"/>
        <v/>
      </c>
      <c r="G84" s="7" t="str">
        <f t="shared" si="11"/>
        <v/>
      </c>
      <c r="H84" s="7"/>
      <c r="I84" s="7"/>
    </row>
    <row r="85" spans="1:9" x14ac:dyDescent="0.2">
      <c r="A85" s="5" t="str">
        <f t="shared" ref="A85:A116" si="12">IF(G84="","",IF(OR(A84&gt;=nper,ROUND(G84,2)&lt;=0),"",A84+1))</f>
        <v/>
      </c>
      <c r="B85" s="6" t="str">
        <f t="shared" ref="B85:B148" si="13">IF(A85="","",IF(periods_per_year=26,IF(A85=1,fpdate,B84+14),IF(periods_per_year=52,IF(A85=1,fpdate,B84+7),DATE(YEAR(fpdate),MONTH(fpdate)+(A85-1)*months_per_period,IF(periods_per_year=24,IF((1-MOD(A85,2))=1,DAY(fpdate)+14,DAY(fpdate)),DAY(fpdate))))))</f>
        <v/>
      </c>
      <c r="C85" s="7" t="str">
        <f t="shared" ref="C85:C148" si="14">IF(A85="","",IF(OR(A85=nper,payment&gt;ROUND((1+rate)*G84,2)),ROUND((1+rate)*G84,2),payment))</f>
        <v/>
      </c>
      <c r="D85" s="9">
        <v>0</v>
      </c>
      <c r="E85" s="7" t="str">
        <f t="shared" ref="E85:E148" si="15">IF(A85="","",ROUND(rate*G84,2))</f>
        <v/>
      </c>
      <c r="F85" s="7" t="str">
        <f t="shared" ref="F85:F148" si="16">IF(A85="","",C85-E85+D85)</f>
        <v/>
      </c>
      <c r="G85" s="7" t="str">
        <f t="shared" ref="G85:G148" si="17">IF(A85="","",G84-F85)</f>
        <v/>
      </c>
      <c r="H85" s="7"/>
      <c r="I85" s="7"/>
    </row>
    <row r="86" spans="1:9" x14ac:dyDescent="0.2">
      <c r="A86" s="5" t="str">
        <f t="shared" si="12"/>
        <v/>
      </c>
      <c r="B86" s="6" t="str">
        <f t="shared" si="13"/>
        <v/>
      </c>
      <c r="C86" s="7" t="str">
        <f t="shared" si="14"/>
        <v/>
      </c>
      <c r="D86" s="9">
        <v>0</v>
      </c>
      <c r="E86" s="7" t="str">
        <f t="shared" si="15"/>
        <v/>
      </c>
      <c r="F86" s="7" t="str">
        <f t="shared" si="16"/>
        <v/>
      </c>
      <c r="G86" s="7" t="str">
        <f t="shared" si="17"/>
        <v/>
      </c>
      <c r="H86" s="7"/>
      <c r="I86" s="7"/>
    </row>
    <row r="87" spans="1:9" x14ac:dyDescent="0.2">
      <c r="A87" s="5" t="str">
        <f t="shared" si="12"/>
        <v/>
      </c>
      <c r="B87" s="6" t="str">
        <f t="shared" si="13"/>
        <v/>
      </c>
      <c r="C87" s="7" t="str">
        <f t="shared" si="14"/>
        <v/>
      </c>
      <c r="D87" s="9">
        <v>0</v>
      </c>
      <c r="E87" s="7" t="str">
        <f t="shared" si="15"/>
        <v/>
      </c>
      <c r="F87" s="7" t="str">
        <f t="shared" si="16"/>
        <v/>
      </c>
      <c r="G87" s="7" t="str">
        <f t="shared" si="17"/>
        <v/>
      </c>
      <c r="H87" s="7"/>
      <c r="I87" s="7"/>
    </row>
    <row r="88" spans="1:9" x14ac:dyDescent="0.2">
      <c r="A88" s="5" t="str">
        <f t="shared" si="12"/>
        <v/>
      </c>
      <c r="B88" s="6" t="str">
        <f t="shared" si="13"/>
        <v/>
      </c>
      <c r="C88" s="7" t="str">
        <f t="shared" si="14"/>
        <v/>
      </c>
      <c r="D88" s="9">
        <v>0</v>
      </c>
      <c r="E88" s="7" t="str">
        <f t="shared" si="15"/>
        <v/>
      </c>
      <c r="F88" s="7" t="str">
        <f t="shared" si="16"/>
        <v/>
      </c>
      <c r="G88" s="7" t="str">
        <f t="shared" si="17"/>
        <v/>
      </c>
      <c r="H88" s="7"/>
      <c r="I88" s="7"/>
    </row>
    <row r="89" spans="1:9" x14ac:dyDescent="0.2">
      <c r="A89" s="5" t="str">
        <f t="shared" si="12"/>
        <v/>
      </c>
      <c r="B89" s="6" t="str">
        <f t="shared" si="13"/>
        <v/>
      </c>
      <c r="C89" s="7" t="str">
        <f t="shared" si="14"/>
        <v/>
      </c>
      <c r="D89" s="9">
        <v>0</v>
      </c>
      <c r="E89" s="7" t="str">
        <f t="shared" si="15"/>
        <v/>
      </c>
      <c r="F89" s="7" t="str">
        <f t="shared" si="16"/>
        <v/>
      </c>
      <c r="G89" s="7" t="str">
        <f t="shared" si="17"/>
        <v/>
      </c>
      <c r="H89" s="7"/>
      <c r="I89" s="7"/>
    </row>
    <row r="90" spans="1:9" x14ac:dyDescent="0.2">
      <c r="A90" s="5" t="str">
        <f t="shared" si="12"/>
        <v/>
      </c>
      <c r="B90" s="6" t="str">
        <f t="shared" si="13"/>
        <v/>
      </c>
      <c r="C90" s="7" t="str">
        <f t="shared" si="14"/>
        <v/>
      </c>
      <c r="D90" s="9">
        <v>0</v>
      </c>
      <c r="E90" s="7" t="str">
        <f t="shared" si="15"/>
        <v/>
      </c>
      <c r="F90" s="7" t="str">
        <f t="shared" si="16"/>
        <v/>
      </c>
      <c r="G90" s="7" t="str">
        <f t="shared" si="17"/>
        <v/>
      </c>
      <c r="H90" s="7"/>
      <c r="I90" s="7"/>
    </row>
    <row r="91" spans="1:9" x14ac:dyDescent="0.2">
      <c r="A91" s="5" t="str">
        <f t="shared" si="12"/>
        <v/>
      </c>
      <c r="B91" s="6" t="str">
        <f t="shared" si="13"/>
        <v/>
      </c>
      <c r="C91" s="7" t="str">
        <f t="shared" si="14"/>
        <v/>
      </c>
      <c r="D91" s="9">
        <v>0</v>
      </c>
      <c r="E91" s="7" t="str">
        <f t="shared" si="15"/>
        <v/>
      </c>
      <c r="F91" s="7" t="str">
        <f t="shared" si="16"/>
        <v/>
      </c>
      <c r="G91" s="7" t="str">
        <f t="shared" si="17"/>
        <v/>
      </c>
      <c r="H91" s="7"/>
      <c r="I91" s="7"/>
    </row>
    <row r="92" spans="1:9" x14ac:dyDescent="0.2">
      <c r="A92" s="5" t="str">
        <f t="shared" si="12"/>
        <v/>
      </c>
      <c r="B92" s="6" t="str">
        <f t="shared" si="13"/>
        <v/>
      </c>
      <c r="C92" s="7" t="str">
        <f t="shared" si="14"/>
        <v/>
      </c>
      <c r="D92" s="9">
        <v>0</v>
      </c>
      <c r="E92" s="7" t="str">
        <f t="shared" si="15"/>
        <v/>
      </c>
      <c r="F92" s="7" t="str">
        <f t="shared" si="16"/>
        <v/>
      </c>
      <c r="G92" s="7" t="str">
        <f t="shared" si="17"/>
        <v/>
      </c>
      <c r="H92" s="7"/>
      <c r="I92" s="7"/>
    </row>
    <row r="93" spans="1:9" x14ac:dyDescent="0.2">
      <c r="A93" s="5" t="str">
        <f t="shared" si="12"/>
        <v/>
      </c>
      <c r="B93" s="6" t="str">
        <f t="shared" si="13"/>
        <v/>
      </c>
      <c r="C93" s="7" t="str">
        <f t="shared" si="14"/>
        <v/>
      </c>
      <c r="D93" s="9">
        <v>0</v>
      </c>
      <c r="E93" s="7" t="str">
        <f t="shared" si="15"/>
        <v/>
      </c>
      <c r="F93" s="7" t="str">
        <f t="shared" si="16"/>
        <v/>
      </c>
      <c r="G93" s="7" t="str">
        <f t="shared" si="17"/>
        <v/>
      </c>
      <c r="H93" s="7"/>
      <c r="I93" s="7"/>
    </row>
    <row r="94" spans="1:9" x14ac:dyDescent="0.2">
      <c r="A94" s="5" t="str">
        <f t="shared" si="12"/>
        <v/>
      </c>
      <c r="B94" s="6" t="str">
        <f t="shared" si="13"/>
        <v/>
      </c>
      <c r="C94" s="7" t="str">
        <f t="shared" si="14"/>
        <v/>
      </c>
      <c r="D94" s="9">
        <v>0</v>
      </c>
      <c r="E94" s="7" t="str">
        <f t="shared" si="15"/>
        <v/>
      </c>
      <c r="F94" s="7" t="str">
        <f t="shared" si="16"/>
        <v/>
      </c>
      <c r="G94" s="7" t="str">
        <f t="shared" si="17"/>
        <v/>
      </c>
      <c r="H94" s="7"/>
      <c r="I94" s="7"/>
    </row>
    <row r="95" spans="1:9" x14ac:dyDescent="0.2">
      <c r="A95" s="5" t="str">
        <f t="shared" si="12"/>
        <v/>
      </c>
      <c r="B95" s="6" t="str">
        <f t="shared" si="13"/>
        <v/>
      </c>
      <c r="C95" s="7" t="str">
        <f t="shared" si="14"/>
        <v/>
      </c>
      <c r="D95" s="9">
        <v>0</v>
      </c>
      <c r="E95" s="7" t="str">
        <f t="shared" si="15"/>
        <v/>
      </c>
      <c r="F95" s="7" t="str">
        <f t="shared" si="16"/>
        <v/>
      </c>
      <c r="G95" s="7" t="str">
        <f t="shared" si="17"/>
        <v/>
      </c>
      <c r="H95" s="7"/>
      <c r="I95" s="7"/>
    </row>
    <row r="96" spans="1:9" x14ac:dyDescent="0.2">
      <c r="A96" s="5" t="str">
        <f t="shared" si="12"/>
        <v/>
      </c>
      <c r="B96" s="6" t="str">
        <f t="shared" si="13"/>
        <v/>
      </c>
      <c r="C96" s="7" t="str">
        <f t="shared" si="14"/>
        <v/>
      </c>
      <c r="D96" s="9">
        <v>0</v>
      </c>
      <c r="E96" s="7" t="str">
        <f t="shared" si="15"/>
        <v/>
      </c>
      <c r="F96" s="7" t="str">
        <f t="shared" si="16"/>
        <v/>
      </c>
      <c r="G96" s="7" t="str">
        <f t="shared" si="17"/>
        <v/>
      </c>
      <c r="H96" s="7"/>
      <c r="I96" s="7"/>
    </row>
    <row r="97" spans="1:9" x14ac:dyDescent="0.2">
      <c r="A97" s="5" t="str">
        <f t="shared" si="12"/>
        <v/>
      </c>
      <c r="B97" s="6" t="str">
        <f t="shared" si="13"/>
        <v/>
      </c>
      <c r="C97" s="7" t="str">
        <f t="shared" si="14"/>
        <v/>
      </c>
      <c r="D97" s="9">
        <v>0</v>
      </c>
      <c r="E97" s="7" t="str">
        <f t="shared" si="15"/>
        <v/>
      </c>
      <c r="F97" s="7" t="str">
        <f t="shared" si="16"/>
        <v/>
      </c>
      <c r="G97" s="7" t="str">
        <f t="shared" si="17"/>
        <v/>
      </c>
      <c r="H97" s="7"/>
      <c r="I97" s="7"/>
    </row>
    <row r="98" spans="1:9" x14ac:dyDescent="0.2">
      <c r="A98" s="5" t="str">
        <f t="shared" si="12"/>
        <v/>
      </c>
      <c r="B98" s="6" t="str">
        <f t="shared" si="13"/>
        <v/>
      </c>
      <c r="C98" s="7" t="str">
        <f t="shared" si="14"/>
        <v/>
      </c>
      <c r="D98" s="9">
        <v>0</v>
      </c>
      <c r="E98" s="7" t="str">
        <f t="shared" si="15"/>
        <v/>
      </c>
      <c r="F98" s="7" t="str">
        <f t="shared" si="16"/>
        <v/>
      </c>
      <c r="G98" s="7" t="str">
        <f t="shared" si="17"/>
        <v/>
      </c>
      <c r="H98" s="7"/>
      <c r="I98" s="7"/>
    </row>
    <row r="99" spans="1:9" x14ac:dyDescent="0.2">
      <c r="A99" s="5" t="str">
        <f t="shared" si="12"/>
        <v/>
      </c>
      <c r="B99" s="6" t="str">
        <f t="shared" si="13"/>
        <v/>
      </c>
      <c r="C99" s="7" t="str">
        <f t="shared" si="14"/>
        <v/>
      </c>
      <c r="D99" s="9">
        <v>0</v>
      </c>
      <c r="E99" s="7" t="str">
        <f t="shared" si="15"/>
        <v/>
      </c>
      <c r="F99" s="7" t="str">
        <f t="shared" si="16"/>
        <v/>
      </c>
      <c r="G99" s="7" t="str">
        <f t="shared" si="17"/>
        <v/>
      </c>
      <c r="H99" s="7"/>
      <c r="I99" s="7"/>
    </row>
    <row r="100" spans="1:9" x14ac:dyDescent="0.2">
      <c r="A100" s="5" t="str">
        <f t="shared" si="12"/>
        <v/>
      </c>
      <c r="B100" s="6" t="str">
        <f t="shared" si="13"/>
        <v/>
      </c>
      <c r="C100" s="7" t="str">
        <f t="shared" si="14"/>
        <v/>
      </c>
      <c r="D100" s="9">
        <v>0</v>
      </c>
      <c r="E100" s="7" t="str">
        <f t="shared" si="15"/>
        <v/>
      </c>
      <c r="F100" s="7" t="str">
        <f t="shared" si="16"/>
        <v/>
      </c>
      <c r="G100" s="7" t="str">
        <f t="shared" si="17"/>
        <v/>
      </c>
      <c r="H100" s="7"/>
      <c r="I100" s="7"/>
    </row>
    <row r="101" spans="1:9" x14ac:dyDescent="0.2">
      <c r="A101" s="5" t="str">
        <f t="shared" si="12"/>
        <v/>
      </c>
      <c r="B101" s="6" t="str">
        <f t="shared" si="13"/>
        <v/>
      </c>
      <c r="C101" s="7" t="str">
        <f t="shared" si="14"/>
        <v/>
      </c>
      <c r="D101" s="9">
        <v>0</v>
      </c>
      <c r="E101" s="7" t="str">
        <f t="shared" si="15"/>
        <v/>
      </c>
      <c r="F101" s="7" t="str">
        <f t="shared" si="16"/>
        <v/>
      </c>
      <c r="G101" s="7" t="str">
        <f t="shared" si="17"/>
        <v/>
      </c>
      <c r="H101" s="7"/>
      <c r="I101" s="7"/>
    </row>
    <row r="102" spans="1:9" x14ac:dyDescent="0.2">
      <c r="A102" s="5" t="str">
        <f t="shared" si="12"/>
        <v/>
      </c>
      <c r="B102" s="6" t="str">
        <f t="shared" si="13"/>
        <v/>
      </c>
      <c r="C102" s="7" t="str">
        <f t="shared" si="14"/>
        <v/>
      </c>
      <c r="D102" s="9">
        <v>0</v>
      </c>
      <c r="E102" s="7" t="str">
        <f t="shared" si="15"/>
        <v/>
      </c>
      <c r="F102" s="7" t="str">
        <f t="shared" si="16"/>
        <v/>
      </c>
      <c r="G102" s="7" t="str">
        <f t="shared" si="17"/>
        <v/>
      </c>
      <c r="H102" s="7"/>
      <c r="I102" s="7"/>
    </row>
    <row r="103" spans="1:9" x14ac:dyDescent="0.2">
      <c r="A103" s="5" t="str">
        <f t="shared" si="12"/>
        <v/>
      </c>
      <c r="B103" s="6" t="str">
        <f t="shared" si="13"/>
        <v/>
      </c>
      <c r="C103" s="7" t="str">
        <f t="shared" si="14"/>
        <v/>
      </c>
      <c r="D103" s="9">
        <v>0</v>
      </c>
      <c r="E103" s="7" t="str">
        <f t="shared" si="15"/>
        <v/>
      </c>
      <c r="F103" s="7" t="str">
        <f t="shared" si="16"/>
        <v/>
      </c>
      <c r="G103" s="7" t="str">
        <f t="shared" si="17"/>
        <v/>
      </c>
      <c r="H103" s="7"/>
      <c r="I103" s="7"/>
    </row>
    <row r="104" spans="1:9" x14ac:dyDescent="0.2">
      <c r="A104" s="5" t="str">
        <f t="shared" si="12"/>
        <v/>
      </c>
      <c r="B104" s="6" t="str">
        <f t="shared" si="13"/>
        <v/>
      </c>
      <c r="C104" s="7" t="str">
        <f t="shared" si="14"/>
        <v/>
      </c>
      <c r="D104" s="9">
        <v>0</v>
      </c>
      <c r="E104" s="7" t="str">
        <f t="shared" si="15"/>
        <v/>
      </c>
      <c r="F104" s="7" t="str">
        <f t="shared" si="16"/>
        <v/>
      </c>
      <c r="G104" s="7" t="str">
        <f t="shared" si="17"/>
        <v/>
      </c>
      <c r="H104" s="7"/>
      <c r="I104" s="7"/>
    </row>
    <row r="105" spans="1:9" x14ac:dyDescent="0.2">
      <c r="A105" s="5" t="str">
        <f t="shared" si="12"/>
        <v/>
      </c>
      <c r="B105" s="6" t="str">
        <f t="shared" si="13"/>
        <v/>
      </c>
      <c r="C105" s="7" t="str">
        <f t="shared" si="14"/>
        <v/>
      </c>
      <c r="D105" s="9">
        <v>0</v>
      </c>
      <c r="E105" s="7" t="str">
        <f t="shared" si="15"/>
        <v/>
      </c>
      <c r="F105" s="7" t="str">
        <f t="shared" si="16"/>
        <v/>
      </c>
      <c r="G105" s="7" t="str">
        <f t="shared" si="17"/>
        <v/>
      </c>
      <c r="H105" s="7"/>
      <c r="I105" s="7"/>
    </row>
    <row r="106" spans="1:9" x14ac:dyDescent="0.2">
      <c r="A106" s="5" t="str">
        <f t="shared" si="12"/>
        <v/>
      </c>
      <c r="B106" s="6" t="str">
        <f t="shared" si="13"/>
        <v/>
      </c>
      <c r="C106" s="7" t="str">
        <f t="shared" si="14"/>
        <v/>
      </c>
      <c r="D106" s="9">
        <v>0</v>
      </c>
      <c r="E106" s="7" t="str">
        <f t="shared" si="15"/>
        <v/>
      </c>
      <c r="F106" s="7" t="str">
        <f t="shared" si="16"/>
        <v/>
      </c>
      <c r="G106" s="7" t="str">
        <f t="shared" si="17"/>
        <v/>
      </c>
      <c r="H106" s="7"/>
      <c r="I106" s="7"/>
    </row>
    <row r="107" spans="1:9" x14ac:dyDescent="0.2">
      <c r="A107" s="5" t="str">
        <f t="shared" si="12"/>
        <v/>
      </c>
      <c r="B107" s="6" t="str">
        <f t="shared" si="13"/>
        <v/>
      </c>
      <c r="C107" s="7" t="str">
        <f t="shared" si="14"/>
        <v/>
      </c>
      <c r="D107" s="9">
        <v>0</v>
      </c>
      <c r="E107" s="7" t="str">
        <f t="shared" si="15"/>
        <v/>
      </c>
      <c r="F107" s="7" t="str">
        <f t="shared" si="16"/>
        <v/>
      </c>
      <c r="G107" s="7" t="str">
        <f t="shared" si="17"/>
        <v/>
      </c>
      <c r="H107" s="7"/>
      <c r="I107" s="7"/>
    </row>
    <row r="108" spans="1:9" x14ac:dyDescent="0.2">
      <c r="A108" s="5" t="str">
        <f t="shared" si="12"/>
        <v/>
      </c>
      <c r="B108" s="6" t="str">
        <f t="shared" si="13"/>
        <v/>
      </c>
      <c r="C108" s="7" t="str">
        <f t="shared" si="14"/>
        <v/>
      </c>
      <c r="D108" s="9">
        <v>0</v>
      </c>
      <c r="E108" s="7" t="str">
        <f t="shared" si="15"/>
        <v/>
      </c>
      <c r="F108" s="7" t="str">
        <f t="shared" si="16"/>
        <v/>
      </c>
      <c r="G108" s="7" t="str">
        <f t="shared" si="17"/>
        <v/>
      </c>
      <c r="H108" s="7"/>
      <c r="I108" s="7"/>
    </row>
    <row r="109" spans="1:9" x14ac:dyDescent="0.2">
      <c r="A109" s="5" t="str">
        <f t="shared" si="12"/>
        <v/>
      </c>
      <c r="B109" s="6" t="str">
        <f t="shared" si="13"/>
        <v/>
      </c>
      <c r="C109" s="7" t="str">
        <f t="shared" si="14"/>
        <v/>
      </c>
      <c r="D109" s="9">
        <v>0</v>
      </c>
      <c r="E109" s="7" t="str">
        <f t="shared" si="15"/>
        <v/>
      </c>
      <c r="F109" s="7" t="str">
        <f t="shared" si="16"/>
        <v/>
      </c>
      <c r="G109" s="7" t="str">
        <f t="shared" si="17"/>
        <v/>
      </c>
      <c r="H109" s="7"/>
      <c r="I109" s="7"/>
    </row>
    <row r="110" spans="1:9" x14ac:dyDescent="0.2">
      <c r="A110" s="5" t="str">
        <f t="shared" si="12"/>
        <v/>
      </c>
      <c r="B110" s="6" t="str">
        <f t="shared" si="13"/>
        <v/>
      </c>
      <c r="C110" s="7" t="str">
        <f t="shared" si="14"/>
        <v/>
      </c>
      <c r="D110" s="9">
        <v>0</v>
      </c>
      <c r="E110" s="7" t="str">
        <f t="shared" si="15"/>
        <v/>
      </c>
      <c r="F110" s="7" t="str">
        <f t="shared" si="16"/>
        <v/>
      </c>
      <c r="G110" s="7" t="str">
        <f t="shared" si="17"/>
        <v/>
      </c>
      <c r="H110" s="7"/>
      <c r="I110" s="7"/>
    </row>
    <row r="111" spans="1:9" x14ac:dyDescent="0.2">
      <c r="A111" s="5" t="str">
        <f t="shared" si="12"/>
        <v/>
      </c>
      <c r="B111" s="6" t="str">
        <f t="shared" si="13"/>
        <v/>
      </c>
      <c r="C111" s="7" t="str">
        <f t="shared" si="14"/>
        <v/>
      </c>
      <c r="D111" s="9">
        <v>0</v>
      </c>
      <c r="E111" s="7" t="str">
        <f t="shared" si="15"/>
        <v/>
      </c>
      <c r="F111" s="7" t="str">
        <f t="shared" si="16"/>
        <v/>
      </c>
      <c r="G111" s="7" t="str">
        <f t="shared" si="17"/>
        <v/>
      </c>
      <c r="H111" s="7"/>
      <c r="I111" s="7"/>
    </row>
    <row r="112" spans="1:9" x14ac:dyDescent="0.2">
      <c r="A112" s="5" t="str">
        <f t="shared" si="12"/>
        <v/>
      </c>
      <c r="B112" s="6" t="str">
        <f t="shared" si="13"/>
        <v/>
      </c>
      <c r="C112" s="7" t="str">
        <f t="shared" si="14"/>
        <v/>
      </c>
      <c r="D112" s="9">
        <v>0</v>
      </c>
      <c r="E112" s="7" t="str">
        <f t="shared" si="15"/>
        <v/>
      </c>
      <c r="F112" s="7" t="str">
        <f t="shared" si="16"/>
        <v/>
      </c>
      <c r="G112" s="7" t="str">
        <f t="shared" si="17"/>
        <v/>
      </c>
      <c r="H112" s="7"/>
      <c r="I112" s="7"/>
    </row>
    <row r="113" spans="1:9" x14ac:dyDescent="0.2">
      <c r="A113" s="5" t="str">
        <f t="shared" si="12"/>
        <v/>
      </c>
      <c r="B113" s="6" t="str">
        <f t="shared" si="13"/>
        <v/>
      </c>
      <c r="C113" s="7" t="str">
        <f t="shared" si="14"/>
        <v/>
      </c>
      <c r="D113" s="9">
        <v>0</v>
      </c>
      <c r="E113" s="7" t="str">
        <f t="shared" si="15"/>
        <v/>
      </c>
      <c r="F113" s="7" t="str">
        <f t="shared" si="16"/>
        <v/>
      </c>
      <c r="G113" s="7" t="str">
        <f t="shared" si="17"/>
        <v/>
      </c>
      <c r="H113" s="7"/>
      <c r="I113" s="7"/>
    </row>
    <row r="114" spans="1:9" x14ac:dyDescent="0.2">
      <c r="A114" s="5" t="str">
        <f t="shared" si="12"/>
        <v/>
      </c>
      <c r="B114" s="6" t="str">
        <f t="shared" si="13"/>
        <v/>
      </c>
      <c r="C114" s="7" t="str">
        <f t="shared" si="14"/>
        <v/>
      </c>
      <c r="D114" s="9">
        <v>0</v>
      </c>
      <c r="E114" s="7" t="str">
        <f t="shared" si="15"/>
        <v/>
      </c>
      <c r="F114" s="7" t="str">
        <f t="shared" si="16"/>
        <v/>
      </c>
      <c r="G114" s="7" t="str">
        <f t="shared" si="17"/>
        <v/>
      </c>
      <c r="H114" s="7"/>
      <c r="I114" s="7"/>
    </row>
    <row r="115" spans="1:9" x14ac:dyDescent="0.2">
      <c r="A115" s="5" t="str">
        <f t="shared" si="12"/>
        <v/>
      </c>
      <c r="B115" s="6" t="str">
        <f t="shared" si="13"/>
        <v/>
      </c>
      <c r="C115" s="7" t="str">
        <f t="shared" si="14"/>
        <v/>
      </c>
      <c r="D115" s="9">
        <v>0</v>
      </c>
      <c r="E115" s="7" t="str">
        <f t="shared" si="15"/>
        <v/>
      </c>
      <c r="F115" s="7" t="str">
        <f t="shared" si="16"/>
        <v/>
      </c>
      <c r="G115" s="7" t="str">
        <f t="shared" si="17"/>
        <v/>
      </c>
      <c r="H115" s="7"/>
      <c r="I115" s="7"/>
    </row>
    <row r="116" spans="1:9" x14ac:dyDescent="0.2">
      <c r="A116" s="5" t="str">
        <f t="shared" si="12"/>
        <v/>
      </c>
      <c r="B116" s="6" t="str">
        <f t="shared" si="13"/>
        <v/>
      </c>
      <c r="C116" s="7" t="str">
        <f t="shared" si="14"/>
        <v/>
      </c>
      <c r="D116" s="9">
        <v>0</v>
      </c>
      <c r="E116" s="7" t="str">
        <f t="shared" si="15"/>
        <v/>
      </c>
      <c r="F116" s="7" t="str">
        <f t="shared" si="16"/>
        <v/>
      </c>
      <c r="G116" s="7" t="str">
        <f t="shared" si="17"/>
        <v/>
      </c>
      <c r="H116" s="7"/>
      <c r="I116" s="7"/>
    </row>
    <row r="117" spans="1:9" x14ac:dyDescent="0.2">
      <c r="A117" s="5" t="str">
        <f t="shared" ref="A117:A148" si="18">IF(G116="","",IF(OR(A116&gt;=nper,ROUND(G116,2)&lt;=0),"",A116+1))</f>
        <v/>
      </c>
      <c r="B117" s="6" t="str">
        <f t="shared" si="13"/>
        <v/>
      </c>
      <c r="C117" s="7" t="str">
        <f t="shared" si="14"/>
        <v/>
      </c>
      <c r="D117" s="9">
        <v>0</v>
      </c>
      <c r="E117" s="7" t="str">
        <f t="shared" si="15"/>
        <v/>
      </c>
      <c r="F117" s="7" t="str">
        <f t="shared" si="16"/>
        <v/>
      </c>
      <c r="G117" s="7" t="str">
        <f t="shared" si="17"/>
        <v/>
      </c>
      <c r="H117" s="7"/>
      <c r="I117" s="7"/>
    </row>
    <row r="118" spans="1:9" x14ac:dyDescent="0.2">
      <c r="A118" s="5" t="str">
        <f t="shared" si="18"/>
        <v/>
      </c>
      <c r="B118" s="6" t="str">
        <f t="shared" si="13"/>
        <v/>
      </c>
      <c r="C118" s="7" t="str">
        <f t="shared" si="14"/>
        <v/>
      </c>
      <c r="D118" s="9">
        <v>0</v>
      </c>
      <c r="E118" s="7" t="str">
        <f t="shared" si="15"/>
        <v/>
      </c>
      <c r="F118" s="7" t="str">
        <f t="shared" si="16"/>
        <v/>
      </c>
      <c r="G118" s="7" t="str">
        <f t="shared" si="17"/>
        <v/>
      </c>
      <c r="H118" s="7"/>
      <c r="I118" s="7"/>
    </row>
    <row r="119" spans="1:9" x14ac:dyDescent="0.2">
      <c r="A119" s="5" t="str">
        <f t="shared" si="18"/>
        <v/>
      </c>
      <c r="B119" s="6" t="str">
        <f t="shared" si="13"/>
        <v/>
      </c>
      <c r="C119" s="7" t="str">
        <f t="shared" si="14"/>
        <v/>
      </c>
      <c r="D119" s="9">
        <v>0</v>
      </c>
      <c r="E119" s="7" t="str">
        <f t="shared" si="15"/>
        <v/>
      </c>
      <c r="F119" s="7" t="str">
        <f t="shared" si="16"/>
        <v/>
      </c>
      <c r="G119" s="7" t="str">
        <f t="shared" si="17"/>
        <v/>
      </c>
      <c r="H119" s="7"/>
      <c r="I119" s="7"/>
    </row>
    <row r="120" spans="1:9" x14ac:dyDescent="0.2">
      <c r="A120" s="5" t="str">
        <f t="shared" si="18"/>
        <v/>
      </c>
      <c r="B120" s="6" t="str">
        <f t="shared" si="13"/>
        <v/>
      </c>
      <c r="C120" s="7" t="str">
        <f t="shared" si="14"/>
        <v/>
      </c>
      <c r="D120" s="9">
        <v>0</v>
      </c>
      <c r="E120" s="7" t="str">
        <f t="shared" si="15"/>
        <v/>
      </c>
      <c r="F120" s="7" t="str">
        <f t="shared" si="16"/>
        <v/>
      </c>
      <c r="G120" s="7" t="str">
        <f t="shared" si="17"/>
        <v/>
      </c>
      <c r="H120" s="7"/>
      <c r="I120" s="7"/>
    </row>
    <row r="121" spans="1:9" x14ac:dyDescent="0.2">
      <c r="A121" s="5" t="str">
        <f t="shared" si="18"/>
        <v/>
      </c>
      <c r="B121" s="6" t="str">
        <f t="shared" si="13"/>
        <v/>
      </c>
      <c r="C121" s="7" t="str">
        <f t="shared" si="14"/>
        <v/>
      </c>
      <c r="D121" s="9">
        <v>0</v>
      </c>
      <c r="E121" s="7" t="str">
        <f t="shared" si="15"/>
        <v/>
      </c>
      <c r="F121" s="7" t="str">
        <f t="shared" si="16"/>
        <v/>
      </c>
      <c r="G121" s="7" t="str">
        <f t="shared" si="17"/>
        <v/>
      </c>
      <c r="H121" s="7"/>
      <c r="I121" s="7"/>
    </row>
    <row r="122" spans="1:9" x14ac:dyDescent="0.2">
      <c r="A122" s="5" t="str">
        <f t="shared" si="18"/>
        <v/>
      </c>
      <c r="B122" s="6" t="str">
        <f t="shared" si="13"/>
        <v/>
      </c>
      <c r="C122" s="7" t="str">
        <f t="shared" si="14"/>
        <v/>
      </c>
      <c r="D122" s="9">
        <v>0</v>
      </c>
      <c r="E122" s="7" t="str">
        <f t="shared" si="15"/>
        <v/>
      </c>
      <c r="F122" s="7" t="str">
        <f t="shared" si="16"/>
        <v/>
      </c>
      <c r="G122" s="7" t="str">
        <f t="shared" si="17"/>
        <v/>
      </c>
      <c r="H122" s="7"/>
      <c r="I122" s="7"/>
    </row>
    <row r="123" spans="1:9" x14ac:dyDescent="0.2">
      <c r="A123" s="5" t="str">
        <f t="shared" si="18"/>
        <v/>
      </c>
      <c r="B123" s="6" t="str">
        <f t="shared" si="13"/>
        <v/>
      </c>
      <c r="C123" s="7" t="str">
        <f t="shared" si="14"/>
        <v/>
      </c>
      <c r="D123" s="9">
        <v>0</v>
      </c>
      <c r="E123" s="7" t="str">
        <f t="shared" si="15"/>
        <v/>
      </c>
      <c r="F123" s="7" t="str">
        <f t="shared" si="16"/>
        <v/>
      </c>
      <c r="G123" s="7" t="str">
        <f t="shared" si="17"/>
        <v/>
      </c>
      <c r="H123" s="7"/>
      <c r="I123" s="7"/>
    </row>
    <row r="124" spans="1:9" x14ac:dyDescent="0.2">
      <c r="A124" s="5" t="str">
        <f t="shared" si="18"/>
        <v/>
      </c>
      <c r="B124" s="6" t="str">
        <f t="shared" si="13"/>
        <v/>
      </c>
      <c r="C124" s="7" t="str">
        <f t="shared" si="14"/>
        <v/>
      </c>
      <c r="D124" s="9">
        <v>0</v>
      </c>
      <c r="E124" s="7" t="str">
        <f t="shared" si="15"/>
        <v/>
      </c>
      <c r="F124" s="7" t="str">
        <f t="shared" si="16"/>
        <v/>
      </c>
      <c r="G124" s="7" t="str">
        <f t="shared" si="17"/>
        <v/>
      </c>
      <c r="H124" s="7"/>
      <c r="I124" s="7"/>
    </row>
    <row r="125" spans="1:9" x14ac:dyDescent="0.2">
      <c r="A125" s="5" t="str">
        <f t="shared" si="18"/>
        <v/>
      </c>
      <c r="B125" s="6" t="str">
        <f t="shared" si="13"/>
        <v/>
      </c>
      <c r="C125" s="7" t="str">
        <f t="shared" si="14"/>
        <v/>
      </c>
      <c r="D125" s="9">
        <v>0</v>
      </c>
      <c r="E125" s="7" t="str">
        <f t="shared" si="15"/>
        <v/>
      </c>
      <c r="F125" s="7" t="str">
        <f t="shared" si="16"/>
        <v/>
      </c>
      <c r="G125" s="7" t="str">
        <f t="shared" si="17"/>
        <v/>
      </c>
      <c r="H125" s="7"/>
      <c r="I125" s="7"/>
    </row>
    <row r="126" spans="1:9" x14ac:dyDescent="0.2">
      <c r="A126" s="5" t="str">
        <f t="shared" si="18"/>
        <v/>
      </c>
      <c r="B126" s="6" t="str">
        <f t="shared" si="13"/>
        <v/>
      </c>
      <c r="C126" s="7" t="str">
        <f t="shared" si="14"/>
        <v/>
      </c>
      <c r="D126" s="9">
        <v>0</v>
      </c>
      <c r="E126" s="7" t="str">
        <f t="shared" si="15"/>
        <v/>
      </c>
      <c r="F126" s="7" t="str">
        <f t="shared" si="16"/>
        <v/>
      </c>
      <c r="G126" s="7" t="str">
        <f t="shared" si="17"/>
        <v/>
      </c>
      <c r="H126" s="7"/>
      <c r="I126" s="7"/>
    </row>
    <row r="127" spans="1:9" x14ac:dyDescent="0.2">
      <c r="A127" s="5" t="str">
        <f t="shared" si="18"/>
        <v/>
      </c>
      <c r="B127" s="6" t="str">
        <f t="shared" si="13"/>
        <v/>
      </c>
      <c r="C127" s="7" t="str">
        <f t="shared" si="14"/>
        <v/>
      </c>
      <c r="D127" s="9">
        <v>0</v>
      </c>
      <c r="E127" s="7" t="str">
        <f t="shared" si="15"/>
        <v/>
      </c>
      <c r="F127" s="7" t="str">
        <f t="shared" si="16"/>
        <v/>
      </c>
      <c r="G127" s="7" t="str">
        <f t="shared" si="17"/>
        <v/>
      </c>
      <c r="H127" s="7"/>
      <c r="I127" s="7"/>
    </row>
    <row r="128" spans="1:9" x14ac:dyDescent="0.2">
      <c r="A128" s="5" t="str">
        <f t="shared" si="18"/>
        <v/>
      </c>
      <c r="B128" s="6" t="str">
        <f t="shared" si="13"/>
        <v/>
      </c>
      <c r="C128" s="7" t="str">
        <f t="shared" si="14"/>
        <v/>
      </c>
      <c r="D128" s="9">
        <v>0</v>
      </c>
      <c r="E128" s="7" t="str">
        <f t="shared" si="15"/>
        <v/>
      </c>
      <c r="F128" s="7" t="str">
        <f t="shared" si="16"/>
        <v/>
      </c>
      <c r="G128" s="7" t="str">
        <f t="shared" si="17"/>
        <v/>
      </c>
      <c r="H128" s="7"/>
      <c r="I128" s="7"/>
    </row>
    <row r="129" spans="1:9" x14ac:dyDescent="0.2">
      <c r="A129" s="5" t="str">
        <f t="shared" si="18"/>
        <v/>
      </c>
      <c r="B129" s="6" t="str">
        <f t="shared" si="13"/>
        <v/>
      </c>
      <c r="C129" s="7" t="str">
        <f t="shared" si="14"/>
        <v/>
      </c>
      <c r="D129" s="9">
        <v>0</v>
      </c>
      <c r="E129" s="7" t="str">
        <f t="shared" si="15"/>
        <v/>
      </c>
      <c r="F129" s="7" t="str">
        <f t="shared" si="16"/>
        <v/>
      </c>
      <c r="G129" s="7" t="str">
        <f t="shared" si="17"/>
        <v/>
      </c>
      <c r="H129" s="7"/>
      <c r="I129" s="7"/>
    </row>
    <row r="130" spans="1:9" x14ac:dyDescent="0.2">
      <c r="A130" s="5" t="str">
        <f t="shared" si="18"/>
        <v/>
      </c>
      <c r="B130" s="6" t="str">
        <f t="shared" si="13"/>
        <v/>
      </c>
      <c r="C130" s="7" t="str">
        <f t="shared" si="14"/>
        <v/>
      </c>
      <c r="D130" s="9">
        <v>0</v>
      </c>
      <c r="E130" s="7" t="str">
        <f t="shared" si="15"/>
        <v/>
      </c>
      <c r="F130" s="7" t="str">
        <f t="shared" si="16"/>
        <v/>
      </c>
      <c r="G130" s="7" t="str">
        <f t="shared" si="17"/>
        <v/>
      </c>
      <c r="H130" s="7"/>
      <c r="I130" s="7"/>
    </row>
    <row r="131" spans="1:9" x14ac:dyDescent="0.2">
      <c r="A131" s="5" t="str">
        <f t="shared" si="18"/>
        <v/>
      </c>
      <c r="B131" s="6" t="str">
        <f t="shared" si="13"/>
        <v/>
      </c>
      <c r="C131" s="7" t="str">
        <f t="shared" si="14"/>
        <v/>
      </c>
      <c r="D131" s="9">
        <v>0</v>
      </c>
      <c r="E131" s="7" t="str">
        <f t="shared" si="15"/>
        <v/>
      </c>
      <c r="F131" s="7" t="str">
        <f t="shared" si="16"/>
        <v/>
      </c>
      <c r="G131" s="7" t="str">
        <f t="shared" si="17"/>
        <v/>
      </c>
      <c r="H131" s="7"/>
      <c r="I131" s="7"/>
    </row>
    <row r="132" spans="1:9" x14ac:dyDescent="0.2">
      <c r="A132" s="5" t="str">
        <f t="shared" si="18"/>
        <v/>
      </c>
      <c r="B132" s="6" t="str">
        <f t="shared" si="13"/>
        <v/>
      </c>
      <c r="C132" s="7" t="str">
        <f t="shared" si="14"/>
        <v/>
      </c>
      <c r="D132" s="9">
        <v>0</v>
      </c>
      <c r="E132" s="7" t="str">
        <f t="shared" si="15"/>
        <v/>
      </c>
      <c r="F132" s="7" t="str">
        <f t="shared" si="16"/>
        <v/>
      </c>
      <c r="G132" s="7" t="str">
        <f t="shared" si="17"/>
        <v/>
      </c>
      <c r="H132" s="7"/>
      <c r="I132" s="7"/>
    </row>
    <row r="133" spans="1:9" x14ac:dyDescent="0.2">
      <c r="A133" s="5" t="str">
        <f t="shared" si="18"/>
        <v/>
      </c>
      <c r="B133" s="6" t="str">
        <f t="shared" si="13"/>
        <v/>
      </c>
      <c r="C133" s="7" t="str">
        <f t="shared" si="14"/>
        <v/>
      </c>
      <c r="D133" s="9">
        <v>0</v>
      </c>
      <c r="E133" s="7" t="str">
        <f t="shared" si="15"/>
        <v/>
      </c>
      <c r="F133" s="7" t="str">
        <f t="shared" si="16"/>
        <v/>
      </c>
      <c r="G133" s="7" t="str">
        <f t="shared" si="17"/>
        <v/>
      </c>
      <c r="H133" s="7"/>
      <c r="I133" s="7"/>
    </row>
    <row r="134" spans="1:9" x14ac:dyDescent="0.2">
      <c r="A134" s="5" t="str">
        <f t="shared" si="18"/>
        <v/>
      </c>
      <c r="B134" s="6" t="str">
        <f t="shared" si="13"/>
        <v/>
      </c>
      <c r="C134" s="7" t="str">
        <f t="shared" si="14"/>
        <v/>
      </c>
      <c r="D134" s="9">
        <v>0</v>
      </c>
      <c r="E134" s="7" t="str">
        <f t="shared" si="15"/>
        <v/>
      </c>
      <c r="F134" s="7" t="str">
        <f t="shared" si="16"/>
        <v/>
      </c>
      <c r="G134" s="7" t="str">
        <f t="shared" si="17"/>
        <v/>
      </c>
      <c r="H134" s="7"/>
      <c r="I134" s="7"/>
    </row>
    <row r="135" spans="1:9" x14ac:dyDescent="0.2">
      <c r="A135" s="5" t="str">
        <f t="shared" si="18"/>
        <v/>
      </c>
      <c r="B135" s="6" t="str">
        <f t="shared" si="13"/>
        <v/>
      </c>
      <c r="C135" s="7" t="str">
        <f t="shared" si="14"/>
        <v/>
      </c>
      <c r="D135" s="9">
        <v>0</v>
      </c>
      <c r="E135" s="7" t="str">
        <f t="shared" si="15"/>
        <v/>
      </c>
      <c r="F135" s="7" t="str">
        <f t="shared" si="16"/>
        <v/>
      </c>
      <c r="G135" s="7" t="str">
        <f t="shared" si="17"/>
        <v/>
      </c>
      <c r="H135" s="7"/>
      <c r="I135" s="7"/>
    </row>
    <row r="136" spans="1:9" x14ac:dyDescent="0.2">
      <c r="A136" s="5" t="str">
        <f t="shared" si="18"/>
        <v/>
      </c>
      <c r="B136" s="6" t="str">
        <f t="shared" si="13"/>
        <v/>
      </c>
      <c r="C136" s="7" t="str">
        <f t="shared" si="14"/>
        <v/>
      </c>
      <c r="D136" s="9">
        <v>0</v>
      </c>
      <c r="E136" s="7" t="str">
        <f t="shared" si="15"/>
        <v/>
      </c>
      <c r="F136" s="7" t="str">
        <f t="shared" si="16"/>
        <v/>
      </c>
      <c r="G136" s="7" t="str">
        <f t="shared" si="17"/>
        <v/>
      </c>
      <c r="H136" s="7"/>
      <c r="I136" s="7"/>
    </row>
    <row r="137" spans="1:9" x14ac:dyDescent="0.2">
      <c r="A137" s="5" t="str">
        <f t="shared" si="18"/>
        <v/>
      </c>
      <c r="B137" s="6" t="str">
        <f t="shared" si="13"/>
        <v/>
      </c>
      <c r="C137" s="7" t="str">
        <f t="shared" si="14"/>
        <v/>
      </c>
      <c r="D137" s="9">
        <v>0</v>
      </c>
      <c r="E137" s="7" t="str">
        <f t="shared" si="15"/>
        <v/>
      </c>
      <c r="F137" s="7" t="str">
        <f t="shared" si="16"/>
        <v/>
      </c>
      <c r="G137" s="7" t="str">
        <f t="shared" si="17"/>
        <v/>
      </c>
      <c r="H137" s="7"/>
      <c r="I137" s="7"/>
    </row>
    <row r="138" spans="1:9" x14ac:dyDescent="0.2">
      <c r="A138" s="5" t="str">
        <f t="shared" si="18"/>
        <v/>
      </c>
      <c r="B138" s="6" t="str">
        <f t="shared" si="13"/>
        <v/>
      </c>
      <c r="C138" s="7" t="str">
        <f t="shared" si="14"/>
        <v/>
      </c>
      <c r="D138" s="9">
        <v>0</v>
      </c>
      <c r="E138" s="7" t="str">
        <f t="shared" si="15"/>
        <v/>
      </c>
      <c r="F138" s="7" t="str">
        <f t="shared" si="16"/>
        <v/>
      </c>
      <c r="G138" s="7" t="str">
        <f t="shared" si="17"/>
        <v/>
      </c>
      <c r="H138" s="7"/>
      <c r="I138" s="7"/>
    </row>
    <row r="139" spans="1:9" x14ac:dyDescent="0.2">
      <c r="A139" s="5" t="str">
        <f t="shared" si="18"/>
        <v/>
      </c>
      <c r="B139" s="6" t="str">
        <f t="shared" si="13"/>
        <v/>
      </c>
      <c r="C139" s="7" t="str">
        <f t="shared" si="14"/>
        <v/>
      </c>
      <c r="D139" s="9">
        <v>0</v>
      </c>
      <c r="E139" s="7" t="str">
        <f t="shared" si="15"/>
        <v/>
      </c>
      <c r="F139" s="7" t="str">
        <f t="shared" si="16"/>
        <v/>
      </c>
      <c r="G139" s="7" t="str">
        <f t="shared" si="17"/>
        <v/>
      </c>
      <c r="H139" s="7"/>
      <c r="I139" s="7"/>
    </row>
    <row r="140" spans="1:9" x14ac:dyDescent="0.2">
      <c r="A140" s="5" t="str">
        <f t="shared" si="18"/>
        <v/>
      </c>
      <c r="B140" s="6" t="str">
        <f t="shared" si="13"/>
        <v/>
      </c>
      <c r="C140" s="7" t="str">
        <f t="shared" si="14"/>
        <v/>
      </c>
      <c r="D140" s="9">
        <v>0</v>
      </c>
      <c r="E140" s="7" t="str">
        <f t="shared" si="15"/>
        <v/>
      </c>
      <c r="F140" s="7" t="str">
        <f t="shared" si="16"/>
        <v/>
      </c>
      <c r="G140" s="7" t="str">
        <f t="shared" si="17"/>
        <v/>
      </c>
      <c r="H140" s="7"/>
      <c r="I140" s="7"/>
    </row>
    <row r="141" spans="1:9" x14ac:dyDescent="0.2">
      <c r="A141" s="5" t="str">
        <f t="shared" si="18"/>
        <v/>
      </c>
      <c r="B141" s="6" t="str">
        <f t="shared" si="13"/>
        <v/>
      </c>
      <c r="C141" s="7" t="str">
        <f t="shared" si="14"/>
        <v/>
      </c>
      <c r="D141" s="9">
        <v>0</v>
      </c>
      <c r="E141" s="7" t="str">
        <f t="shared" si="15"/>
        <v/>
      </c>
      <c r="F141" s="7" t="str">
        <f t="shared" si="16"/>
        <v/>
      </c>
      <c r="G141" s="7" t="str">
        <f t="shared" si="17"/>
        <v/>
      </c>
      <c r="H141" s="7"/>
      <c r="I141" s="7"/>
    </row>
    <row r="142" spans="1:9" x14ac:dyDescent="0.2">
      <c r="A142" s="5" t="str">
        <f t="shared" si="18"/>
        <v/>
      </c>
      <c r="B142" s="6" t="str">
        <f t="shared" si="13"/>
        <v/>
      </c>
      <c r="C142" s="7" t="str">
        <f t="shared" si="14"/>
        <v/>
      </c>
      <c r="D142" s="9">
        <v>0</v>
      </c>
      <c r="E142" s="7" t="str">
        <f t="shared" si="15"/>
        <v/>
      </c>
      <c r="F142" s="7" t="str">
        <f t="shared" si="16"/>
        <v/>
      </c>
      <c r="G142" s="7" t="str">
        <f t="shared" si="17"/>
        <v/>
      </c>
      <c r="H142" s="7"/>
      <c r="I142" s="7"/>
    </row>
    <row r="143" spans="1:9" x14ac:dyDescent="0.2">
      <c r="A143" s="5" t="str">
        <f t="shared" si="18"/>
        <v/>
      </c>
      <c r="B143" s="6" t="str">
        <f t="shared" si="13"/>
        <v/>
      </c>
      <c r="C143" s="7" t="str">
        <f t="shared" si="14"/>
        <v/>
      </c>
      <c r="D143" s="9">
        <v>0</v>
      </c>
      <c r="E143" s="7" t="str">
        <f t="shared" si="15"/>
        <v/>
      </c>
      <c r="F143" s="7" t="str">
        <f t="shared" si="16"/>
        <v/>
      </c>
      <c r="G143" s="7" t="str">
        <f t="shared" si="17"/>
        <v/>
      </c>
      <c r="H143" s="7"/>
      <c r="I143" s="7"/>
    </row>
    <row r="144" spans="1:9" x14ac:dyDescent="0.2">
      <c r="A144" s="5" t="str">
        <f t="shared" si="18"/>
        <v/>
      </c>
      <c r="B144" s="6" t="str">
        <f t="shared" si="13"/>
        <v/>
      </c>
      <c r="C144" s="7" t="str">
        <f t="shared" si="14"/>
        <v/>
      </c>
      <c r="D144" s="9">
        <v>0</v>
      </c>
      <c r="E144" s="7" t="str">
        <f t="shared" si="15"/>
        <v/>
      </c>
      <c r="F144" s="7" t="str">
        <f t="shared" si="16"/>
        <v/>
      </c>
      <c r="G144" s="7" t="str">
        <f t="shared" si="17"/>
        <v/>
      </c>
      <c r="H144" s="7"/>
      <c r="I144" s="7"/>
    </row>
    <row r="145" spans="1:9" x14ac:dyDescent="0.2">
      <c r="A145" s="5" t="str">
        <f t="shared" si="18"/>
        <v/>
      </c>
      <c r="B145" s="6" t="str">
        <f t="shared" si="13"/>
        <v/>
      </c>
      <c r="C145" s="7" t="str">
        <f t="shared" si="14"/>
        <v/>
      </c>
      <c r="D145" s="9">
        <v>0</v>
      </c>
      <c r="E145" s="7" t="str">
        <f t="shared" si="15"/>
        <v/>
      </c>
      <c r="F145" s="7" t="str">
        <f t="shared" si="16"/>
        <v/>
      </c>
      <c r="G145" s="7" t="str">
        <f t="shared" si="17"/>
        <v/>
      </c>
      <c r="H145" s="7"/>
      <c r="I145" s="7"/>
    </row>
    <row r="146" spans="1:9" x14ac:dyDescent="0.2">
      <c r="A146" s="5" t="str">
        <f t="shared" si="18"/>
        <v/>
      </c>
      <c r="B146" s="6" t="str">
        <f t="shared" si="13"/>
        <v/>
      </c>
      <c r="C146" s="7" t="str">
        <f t="shared" si="14"/>
        <v/>
      </c>
      <c r="D146" s="9">
        <v>0</v>
      </c>
      <c r="E146" s="7" t="str">
        <f t="shared" si="15"/>
        <v/>
      </c>
      <c r="F146" s="7" t="str">
        <f t="shared" si="16"/>
        <v/>
      </c>
      <c r="G146" s="7" t="str">
        <f t="shared" si="17"/>
        <v/>
      </c>
      <c r="H146" s="7"/>
      <c r="I146" s="7"/>
    </row>
    <row r="147" spans="1:9" x14ac:dyDescent="0.2">
      <c r="A147" s="5" t="str">
        <f t="shared" si="18"/>
        <v/>
      </c>
      <c r="B147" s="6" t="str">
        <f t="shared" si="13"/>
        <v/>
      </c>
      <c r="C147" s="7" t="str">
        <f t="shared" si="14"/>
        <v/>
      </c>
      <c r="D147" s="9">
        <v>0</v>
      </c>
      <c r="E147" s="7" t="str">
        <f t="shared" si="15"/>
        <v/>
      </c>
      <c r="F147" s="7" t="str">
        <f t="shared" si="16"/>
        <v/>
      </c>
      <c r="G147" s="7" t="str">
        <f t="shared" si="17"/>
        <v/>
      </c>
      <c r="H147" s="7"/>
      <c r="I147" s="7"/>
    </row>
    <row r="148" spans="1:9" x14ac:dyDescent="0.2">
      <c r="A148" s="5" t="str">
        <f t="shared" si="18"/>
        <v/>
      </c>
      <c r="B148" s="6" t="str">
        <f t="shared" si="13"/>
        <v/>
      </c>
      <c r="C148" s="7" t="str">
        <f t="shared" si="14"/>
        <v/>
      </c>
      <c r="D148" s="9">
        <v>0</v>
      </c>
      <c r="E148" s="7" t="str">
        <f t="shared" si="15"/>
        <v/>
      </c>
      <c r="F148" s="7" t="str">
        <f t="shared" si="16"/>
        <v/>
      </c>
      <c r="G148" s="7" t="str">
        <f t="shared" si="17"/>
        <v/>
      </c>
      <c r="H148" s="7"/>
      <c r="I148" s="7"/>
    </row>
    <row r="149" spans="1:9" x14ac:dyDescent="0.2">
      <c r="A149" s="5" t="str">
        <f t="shared" ref="A149:A176" si="19">IF(G148="","",IF(OR(A148&gt;=nper,ROUND(G148,2)&lt;=0),"",A148+1))</f>
        <v/>
      </c>
      <c r="B149" s="6" t="str">
        <f t="shared" ref="B149:B176" si="20">IF(A149="","",IF(periods_per_year=26,IF(A149=1,fpdate,B148+14),IF(periods_per_year=52,IF(A149=1,fpdate,B148+7),DATE(YEAR(fpdate),MONTH(fpdate)+(A149-1)*months_per_period,IF(periods_per_year=24,IF((1-MOD(A149,2))=1,DAY(fpdate)+14,DAY(fpdate)),DAY(fpdate))))))</f>
        <v/>
      </c>
      <c r="C149" s="7" t="str">
        <f t="shared" ref="C149:C176" si="21">IF(A149="","",IF(OR(A149=nper,payment&gt;ROUND((1+rate)*G148,2)),ROUND((1+rate)*G148,2),payment))</f>
        <v/>
      </c>
      <c r="D149" s="9">
        <v>0</v>
      </c>
      <c r="E149" s="7" t="str">
        <f t="shared" ref="E149:E176" si="22">IF(A149="","",ROUND(rate*G148,2))</f>
        <v/>
      </c>
      <c r="F149" s="7" t="str">
        <f t="shared" ref="F149:F176" si="23">IF(A149="","",C149-E149+D149)</f>
        <v/>
      </c>
      <c r="G149" s="7" t="str">
        <f t="shared" ref="G149:G176" si="24">IF(A149="","",G148-F149)</f>
        <v/>
      </c>
      <c r="H149" s="7"/>
      <c r="I149" s="7"/>
    </row>
    <row r="150" spans="1:9" x14ac:dyDescent="0.2">
      <c r="A150" s="5" t="str">
        <f t="shared" si="19"/>
        <v/>
      </c>
      <c r="B150" s="6" t="str">
        <f t="shared" si="20"/>
        <v/>
      </c>
      <c r="C150" s="7" t="str">
        <f t="shared" si="21"/>
        <v/>
      </c>
      <c r="D150" s="9">
        <v>0</v>
      </c>
      <c r="E150" s="7" t="str">
        <f t="shared" si="22"/>
        <v/>
      </c>
      <c r="F150" s="7" t="str">
        <f t="shared" si="23"/>
        <v/>
      </c>
      <c r="G150" s="7" t="str">
        <f t="shared" si="24"/>
        <v/>
      </c>
      <c r="H150" s="7"/>
      <c r="I150" s="7"/>
    </row>
    <row r="151" spans="1:9" x14ac:dyDescent="0.2">
      <c r="A151" s="5" t="str">
        <f t="shared" si="19"/>
        <v/>
      </c>
      <c r="B151" s="6" t="str">
        <f t="shared" si="20"/>
        <v/>
      </c>
      <c r="C151" s="7" t="str">
        <f t="shared" si="21"/>
        <v/>
      </c>
      <c r="D151" s="9">
        <v>0</v>
      </c>
      <c r="E151" s="7" t="str">
        <f t="shared" si="22"/>
        <v/>
      </c>
      <c r="F151" s="7" t="str">
        <f t="shared" si="23"/>
        <v/>
      </c>
      <c r="G151" s="7" t="str">
        <f t="shared" si="24"/>
        <v/>
      </c>
      <c r="H151" s="7"/>
      <c r="I151" s="7"/>
    </row>
    <row r="152" spans="1:9" x14ac:dyDescent="0.2">
      <c r="A152" s="5" t="str">
        <f t="shared" si="19"/>
        <v/>
      </c>
      <c r="B152" s="6" t="str">
        <f t="shared" si="20"/>
        <v/>
      </c>
      <c r="C152" s="7" t="str">
        <f t="shared" si="21"/>
        <v/>
      </c>
      <c r="D152" s="9">
        <v>0</v>
      </c>
      <c r="E152" s="7" t="str">
        <f t="shared" si="22"/>
        <v/>
      </c>
      <c r="F152" s="7" t="str">
        <f t="shared" si="23"/>
        <v/>
      </c>
      <c r="G152" s="7" t="str">
        <f t="shared" si="24"/>
        <v/>
      </c>
      <c r="H152" s="7"/>
      <c r="I152" s="7"/>
    </row>
    <row r="153" spans="1:9" x14ac:dyDescent="0.2">
      <c r="A153" s="5" t="str">
        <f t="shared" si="19"/>
        <v/>
      </c>
      <c r="B153" s="6" t="str">
        <f t="shared" si="20"/>
        <v/>
      </c>
      <c r="C153" s="7" t="str">
        <f t="shared" si="21"/>
        <v/>
      </c>
      <c r="D153" s="9">
        <v>0</v>
      </c>
      <c r="E153" s="7" t="str">
        <f t="shared" si="22"/>
        <v/>
      </c>
      <c r="F153" s="7" t="str">
        <f t="shared" si="23"/>
        <v/>
      </c>
      <c r="G153" s="7" t="str">
        <f t="shared" si="24"/>
        <v/>
      </c>
      <c r="H153" s="7"/>
      <c r="I153" s="7"/>
    </row>
    <row r="154" spans="1:9" x14ac:dyDescent="0.2">
      <c r="A154" s="5" t="str">
        <f t="shared" si="19"/>
        <v/>
      </c>
      <c r="B154" s="6" t="str">
        <f t="shared" si="20"/>
        <v/>
      </c>
      <c r="C154" s="7" t="str">
        <f t="shared" si="21"/>
        <v/>
      </c>
      <c r="D154" s="9">
        <v>0</v>
      </c>
      <c r="E154" s="7" t="str">
        <f t="shared" si="22"/>
        <v/>
      </c>
      <c r="F154" s="7" t="str">
        <f t="shared" si="23"/>
        <v/>
      </c>
      <c r="G154" s="7" t="str">
        <f t="shared" si="24"/>
        <v/>
      </c>
      <c r="H154" s="7"/>
      <c r="I154" s="7"/>
    </row>
    <row r="155" spans="1:9" x14ac:dyDescent="0.2">
      <c r="A155" s="5" t="str">
        <f t="shared" si="19"/>
        <v/>
      </c>
      <c r="B155" s="6" t="str">
        <f t="shared" si="20"/>
        <v/>
      </c>
      <c r="C155" s="7" t="str">
        <f t="shared" si="21"/>
        <v/>
      </c>
      <c r="D155" s="9">
        <v>0</v>
      </c>
      <c r="E155" s="7" t="str">
        <f t="shared" si="22"/>
        <v/>
      </c>
      <c r="F155" s="7" t="str">
        <f t="shared" si="23"/>
        <v/>
      </c>
      <c r="G155" s="7" t="str">
        <f t="shared" si="24"/>
        <v/>
      </c>
      <c r="H155" s="7"/>
      <c r="I155" s="7"/>
    </row>
    <row r="156" spans="1:9" x14ac:dyDescent="0.2">
      <c r="A156" s="5" t="str">
        <f t="shared" si="19"/>
        <v/>
      </c>
      <c r="B156" s="6" t="str">
        <f t="shared" si="20"/>
        <v/>
      </c>
      <c r="C156" s="7" t="str">
        <f t="shared" si="21"/>
        <v/>
      </c>
      <c r="D156" s="9">
        <v>0</v>
      </c>
      <c r="E156" s="7" t="str">
        <f t="shared" si="22"/>
        <v/>
      </c>
      <c r="F156" s="7" t="str">
        <f t="shared" si="23"/>
        <v/>
      </c>
      <c r="G156" s="7" t="str">
        <f t="shared" si="24"/>
        <v/>
      </c>
      <c r="H156" s="7"/>
      <c r="I156" s="7"/>
    </row>
    <row r="157" spans="1:9" x14ac:dyDescent="0.2">
      <c r="A157" s="5" t="str">
        <f t="shared" si="19"/>
        <v/>
      </c>
      <c r="B157" s="6" t="str">
        <f t="shared" si="20"/>
        <v/>
      </c>
      <c r="C157" s="7" t="str">
        <f t="shared" si="21"/>
        <v/>
      </c>
      <c r="D157" s="9">
        <v>0</v>
      </c>
      <c r="E157" s="7" t="str">
        <f t="shared" si="22"/>
        <v/>
      </c>
      <c r="F157" s="7" t="str">
        <f t="shared" si="23"/>
        <v/>
      </c>
      <c r="G157" s="7" t="str">
        <f t="shared" si="24"/>
        <v/>
      </c>
      <c r="H157" s="7"/>
      <c r="I157" s="7"/>
    </row>
    <row r="158" spans="1:9" x14ac:dyDescent="0.2">
      <c r="A158" s="5" t="str">
        <f t="shared" si="19"/>
        <v/>
      </c>
      <c r="B158" s="6" t="str">
        <f t="shared" si="20"/>
        <v/>
      </c>
      <c r="C158" s="7" t="str">
        <f t="shared" si="21"/>
        <v/>
      </c>
      <c r="D158" s="9">
        <v>0</v>
      </c>
      <c r="E158" s="7" t="str">
        <f t="shared" si="22"/>
        <v/>
      </c>
      <c r="F158" s="7" t="str">
        <f t="shared" si="23"/>
        <v/>
      </c>
      <c r="G158" s="7" t="str">
        <f t="shared" si="24"/>
        <v/>
      </c>
      <c r="H158" s="7"/>
      <c r="I158" s="7"/>
    </row>
    <row r="159" spans="1:9" x14ac:dyDescent="0.2">
      <c r="A159" s="5" t="str">
        <f t="shared" si="19"/>
        <v/>
      </c>
      <c r="B159" s="6" t="str">
        <f t="shared" si="20"/>
        <v/>
      </c>
      <c r="C159" s="7" t="str">
        <f t="shared" si="21"/>
        <v/>
      </c>
      <c r="D159" s="9">
        <v>0</v>
      </c>
      <c r="E159" s="7" t="str">
        <f t="shared" si="22"/>
        <v/>
      </c>
      <c r="F159" s="7" t="str">
        <f t="shared" si="23"/>
        <v/>
      </c>
      <c r="G159" s="7" t="str">
        <f t="shared" si="24"/>
        <v/>
      </c>
      <c r="H159" s="7"/>
      <c r="I159" s="7"/>
    </row>
    <row r="160" spans="1:9" x14ac:dyDescent="0.2">
      <c r="A160" s="5" t="str">
        <f t="shared" si="19"/>
        <v/>
      </c>
      <c r="B160" s="6" t="str">
        <f t="shared" si="20"/>
        <v/>
      </c>
      <c r="C160" s="7" t="str">
        <f t="shared" si="21"/>
        <v/>
      </c>
      <c r="D160" s="9">
        <v>0</v>
      </c>
      <c r="E160" s="7" t="str">
        <f t="shared" si="22"/>
        <v/>
      </c>
      <c r="F160" s="7" t="str">
        <f t="shared" si="23"/>
        <v/>
      </c>
      <c r="G160" s="7" t="str">
        <f t="shared" si="24"/>
        <v/>
      </c>
      <c r="H160" s="7"/>
      <c r="I160" s="7"/>
    </row>
    <row r="161" spans="1:9" x14ac:dyDescent="0.2">
      <c r="A161" s="5" t="str">
        <f t="shared" si="19"/>
        <v/>
      </c>
      <c r="B161" s="6" t="str">
        <f t="shared" si="20"/>
        <v/>
      </c>
      <c r="C161" s="7" t="str">
        <f t="shared" si="21"/>
        <v/>
      </c>
      <c r="D161" s="9">
        <v>0</v>
      </c>
      <c r="E161" s="7" t="str">
        <f t="shared" si="22"/>
        <v/>
      </c>
      <c r="F161" s="7" t="str">
        <f t="shared" si="23"/>
        <v/>
      </c>
      <c r="G161" s="7" t="str">
        <f t="shared" si="24"/>
        <v/>
      </c>
      <c r="H161" s="7"/>
      <c r="I161" s="7"/>
    </row>
    <row r="162" spans="1:9" x14ac:dyDescent="0.2">
      <c r="A162" s="5" t="str">
        <f t="shared" si="19"/>
        <v/>
      </c>
      <c r="B162" s="6" t="str">
        <f t="shared" si="20"/>
        <v/>
      </c>
      <c r="C162" s="7" t="str">
        <f t="shared" si="21"/>
        <v/>
      </c>
      <c r="D162" s="9">
        <v>0</v>
      </c>
      <c r="E162" s="7" t="str">
        <f t="shared" si="22"/>
        <v/>
      </c>
      <c r="F162" s="7" t="str">
        <f t="shared" si="23"/>
        <v/>
      </c>
      <c r="G162" s="7" t="str">
        <f t="shared" si="24"/>
        <v/>
      </c>
      <c r="H162" s="7"/>
      <c r="I162" s="7"/>
    </row>
    <row r="163" spans="1:9" x14ac:dyDescent="0.2">
      <c r="A163" s="5" t="str">
        <f t="shared" si="19"/>
        <v/>
      </c>
      <c r="B163" s="6" t="str">
        <f t="shared" si="20"/>
        <v/>
      </c>
      <c r="C163" s="7" t="str">
        <f t="shared" si="21"/>
        <v/>
      </c>
      <c r="D163" s="9">
        <v>0</v>
      </c>
      <c r="E163" s="7" t="str">
        <f t="shared" si="22"/>
        <v/>
      </c>
      <c r="F163" s="7" t="str">
        <f t="shared" si="23"/>
        <v/>
      </c>
      <c r="G163" s="7" t="str">
        <f t="shared" si="24"/>
        <v/>
      </c>
      <c r="H163" s="7"/>
      <c r="I163" s="7"/>
    </row>
    <row r="164" spans="1:9" x14ac:dyDescent="0.2">
      <c r="A164" s="5" t="str">
        <f t="shared" si="19"/>
        <v/>
      </c>
      <c r="B164" s="6" t="str">
        <f t="shared" si="20"/>
        <v/>
      </c>
      <c r="C164" s="7" t="str">
        <f t="shared" si="21"/>
        <v/>
      </c>
      <c r="D164" s="9">
        <v>0</v>
      </c>
      <c r="E164" s="7" t="str">
        <f t="shared" si="22"/>
        <v/>
      </c>
      <c r="F164" s="7" t="str">
        <f t="shared" si="23"/>
        <v/>
      </c>
      <c r="G164" s="7" t="str">
        <f t="shared" si="24"/>
        <v/>
      </c>
      <c r="H164" s="7"/>
      <c r="I164" s="7"/>
    </row>
    <row r="165" spans="1:9" x14ac:dyDescent="0.2">
      <c r="A165" s="5" t="str">
        <f t="shared" si="19"/>
        <v/>
      </c>
      <c r="B165" s="6" t="str">
        <f t="shared" si="20"/>
        <v/>
      </c>
      <c r="C165" s="7" t="str">
        <f t="shared" si="21"/>
        <v/>
      </c>
      <c r="D165" s="9">
        <v>0</v>
      </c>
      <c r="E165" s="7" t="str">
        <f t="shared" si="22"/>
        <v/>
      </c>
      <c r="F165" s="7" t="str">
        <f t="shared" si="23"/>
        <v/>
      </c>
      <c r="G165" s="7" t="str">
        <f t="shared" si="24"/>
        <v/>
      </c>
      <c r="H165" s="7"/>
      <c r="I165" s="7"/>
    </row>
    <row r="166" spans="1:9" x14ac:dyDescent="0.2">
      <c r="A166" s="5" t="str">
        <f t="shared" si="19"/>
        <v/>
      </c>
      <c r="B166" s="6" t="str">
        <f t="shared" si="20"/>
        <v/>
      </c>
      <c r="C166" s="7" t="str">
        <f t="shared" si="21"/>
        <v/>
      </c>
      <c r="D166" s="9">
        <v>0</v>
      </c>
      <c r="E166" s="7" t="str">
        <f t="shared" si="22"/>
        <v/>
      </c>
      <c r="F166" s="7" t="str">
        <f t="shared" si="23"/>
        <v/>
      </c>
      <c r="G166" s="7" t="str">
        <f t="shared" si="24"/>
        <v/>
      </c>
      <c r="H166" s="7"/>
      <c r="I166" s="7"/>
    </row>
    <row r="167" spans="1:9" x14ac:dyDescent="0.2">
      <c r="A167" s="5" t="str">
        <f t="shared" si="19"/>
        <v/>
      </c>
      <c r="B167" s="6" t="str">
        <f t="shared" si="20"/>
        <v/>
      </c>
      <c r="C167" s="7" t="str">
        <f t="shared" si="21"/>
        <v/>
      </c>
      <c r="D167" s="9">
        <v>0</v>
      </c>
      <c r="E167" s="7" t="str">
        <f t="shared" si="22"/>
        <v/>
      </c>
      <c r="F167" s="7" t="str">
        <f t="shared" si="23"/>
        <v/>
      </c>
      <c r="G167" s="7" t="str">
        <f t="shared" si="24"/>
        <v/>
      </c>
      <c r="H167" s="7"/>
      <c r="I167" s="7"/>
    </row>
    <row r="168" spans="1:9" x14ac:dyDescent="0.2">
      <c r="A168" s="5" t="str">
        <f t="shared" si="19"/>
        <v/>
      </c>
      <c r="B168" s="6" t="str">
        <f t="shared" si="20"/>
        <v/>
      </c>
      <c r="C168" s="7" t="str">
        <f t="shared" si="21"/>
        <v/>
      </c>
      <c r="D168" s="9">
        <v>0</v>
      </c>
      <c r="E168" s="7" t="str">
        <f t="shared" si="22"/>
        <v/>
      </c>
      <c r="F168" s="7" t="str">
        <f t="shared" si="23"/>
        <v/>
      </c>
      <c r="G168" s="7" t="str">
        <f t="shared" si="24"/>
        <v/>
      </c>
      <c r="H168" s="7"/>
      <c r="I168" s="7"/>
    </row>
    <row r="169" spans="1:9" x14ac:dyDescent="0.2">
      <c r="A169" s="5" t="str">
        <f t="shared" si="19"/>
        <v/>
      </c>
      <c r="B169" s="6" t="str">
        <f t="shared" si="20"/>
        <v/>
      </c>
      <c r="C169" s="7" t="str">
        <f t="shared" si="21"/>
        <v/>
      </c>
      <c r="D169" s="9">
        <v>0</v>
      </c>
      <c r="E169" s="7" t="str">
        <f t="shared" si="22"/>
        <v/>
      </c>
      <c r="F169" s="7" t="str">
        <f t="shared" si="23"/>
        <v/>
      </c>
      <c r="G169" s="7" t="str">
        <f t="shared" si="24"/>
        <v/>
      </c>
      <c r="H169" s="7"/>
      <c r="I169" s="7"/>
    </row>
    <row r="170" spans="1:9" x14ac:dyDescent="0.2">
      <c r="A170" s="5" t="str">
        <f t="shared" si="19"/>
        <v/>
      </c>
      <c r="B170" s="6" t="str">
        <f t="shared" si="20"/>
        <v/>
      </c>
      <c r="C170" s="7" t="str">
        <f t="shared" si="21"/>
        <v/>
      </c>
      <c r="D170" s="9">
        <v>0</v>
      </c>
      <c r="E170" s="7" t="str">
        <f t="shared" si="22"/>
        <v/>
      </c>
      <c r="F170" s="7" t="str">
        <f t="shared" si="23"/>
        <v/>
      </c>
      <c r="G170" s="7" t="str">
        <f t="shared" si="24"/>
        <v/>
      </c>
      <c r="H170" s="7"/>
      <c r="I170" s="7"/>
    </row>
    <row r="171" spans="1:9" x14ac:dyDescent="0.2">
      <c r="A171" s="5" t="str">
        <f t="shared" si="19"/>
        <v/>
      </c>
      <c r="B171" s="6" t="str">
        <f t="shared" si="20"/>
        <v/>
      </c>
      <c r="C171" s="7" t="str">
        <f t="shared" si="21"/>
        <v/>
      </c>
      <c r="D171" s="9">
        <v>0</v>
      </c>
      <c r="E171" s="7" t="str">
        <f t="shared" si="22"/>
        <v/>
      </c>
      <c r="F171" s="7" t="str">
        <f t="shared" si="23"/>
        <v/>
      </c>
      <c r="G171" s="7" t="str">
        <f t="shared" si="24"/>
        <v/>
      </c>
      <c r="H171" s="7"/>
      <c r="I171" s="7"/>
    </row>
    <row r="172" spans="1:9" x14ac:dyDescent="0.2">
      <c r="A172" s="5" t="str">
        <f t="shared" si="19"/>
        <v/>
      </c>
      <c r="B172" s="6" t="str">
        <f t="shared" si="20"/>
        <v/>
      </c>
      <c r="C172" s="7" t="str">
        <f t="shared" si="21"/>
        <v/>
      </c>
      <c r="D172" s="9">
        <v>0</v>
      </c>
      <c r="E172" s="7" t="str">
        <f t="shared" si="22"/>
        <v/>
      </c>
      <c r="F172" s="7" t="str">
        <f t="shared" si="23"/>
        <v/>
      </c>
      <c r="G172" s="7" t="str">
        <f t="shared" si="24"/>
        <v/>
      </c>
      <c r="H172" s="7"/>
      <c r="I172" s="7"/>
    </row>
    <row r="173" spans="1:9" x14ac:dyDescent="0.2">
      <c r="A173" s="5" t="str">
        <f t="shared" si="19"/>
        <v/>
      </c>
      <c r="B173" s="6" t="str">
        <f t="shared" si="20"/>
        <v/>
      </c>
      <c r="C173" s="7" t="str">
        <f t="shared" si="21"/>
        <v/>
      </c>
      <c r="D173" s="9">
        <v>0</v>
      </c>
      <c r="E173" s="7" t="str">
        <f t="shared" si="22"/>
        <v/>
      </c>
      <c r="F173" s="7" t="str">
        <f t="shared" si="23"/>
        <v/>
      </c>
      <c r="G173" s="7" t="str">
        <f t="shared" si="24"/>
        <v/>
      </c>
      <c r="H173" s="7"/>
      <c r="I173" s="7"/>
    </row>
    <row r="174" spans="1:9" x14ac:dyDescent="0.2">
      <c r="A174" s="5" t="str">
        <f t="shared" si="19"/>
        <v/>
      </c>
      <c r="B174" s="6" t="str">
        <f t="shared" si="20"/>
        <v/>
      </c>
      <c r="C174" s="7" t="str">
        <f t="shared" si="21"/>
        <v/>
      </c>
      <c r="D174" s="9">
        <v>0</v>
      </c>
      <c r="E174" s="7" t="str">
        <f t="shared" si="22"/>
        <v/>
      </c>
      <c r="F174" s="7" t="str">
        <f t="shared" si="23"/>
        <v/>
      </c>
      <c r="G174" s="7" t="str">
        <f t="shared" si="24"/>
        <v/>
      </c>
      <c r="H174" s="7"/>
      <c r="I174" s="7"/>
    </row>
    <row r="175" spans="1:9" x14ac:dyDescent="0.2">
      <c r="A175" s="5" t="str">
        <f t="shared" si="19"/>
        <v/>
      </c>
      <c r="B175" s="6" t="str">
        <f t="shared" si="20"/>
        <v/>
      </c>
      <c r="C175" s="7" t="str">
        <f t="shared" si="21"/>
        <v/>
      </c>
      <c r="D175" s="9">
        <v>0</v>
      </c>
      <c r="E175" s="7" t="str">
        <f t="shared" si="22"/>
        <v/>
      </c>
      <c r="F175" s="7" t="str">
        <f t="shared" si="23"/>
        <v/>
      </c>
      <c r="G175" s="7" t="str">
        <f t="shared" si="24"/>
        <v/>
      </c>
      <c r="H175" s="7"/>
      <c r="I175" s="7"/>
    </row>
    <row r="176" spans="1:9" x14ac:dyDescent="0.2">
      <c r="A176" s="5" t="str">
        <f t="shared" si="19"/>
        <v/>
      </c>
      <c r="B176" s="6" t="str">
        <f t="shared" si="20"/>
        <v/>
      </c>
      <c r="C176" s="7" t="str">
        <f t="shared" si="21"/>
        <v/>
      </c>
      <c r="D176" s="9">
        <v>0</v>
      </c>
      <c r="E176" s="7" t="str">
        <f t="shared" si="22"/>
        <v/>
      </c>
      <c r="F176" s="7" t="str">
        <f t="shared" si="23"/>
        <v/>
      </c>
      <c r="G176" s="7" t="str">
        <f t="shared" si="24"/>
        <v/>
      </c>
      <c r="H176" s="7"/>
      <c r="I176" s="7"/>
    </row>
    <row r="177" spans="1:9" x14ac:dyDescent="0.2">
      <c r="A177" s="1"/>
      <c r="B177" s="1"/>
      <c r="C177" s="1"/>
      <c r="D177" s="1"/>
      <c r="E177" s="1"/>
      <c r="F177" s="11" t="s">
        <v>28</v>
      </c>
      <c r="G177" s="12" t="str">
        <f ca="1">IF(OFFSET(G177,-1,0,1,1)="","",ROUND(OFFSET(G177,-1,0,1,1),0))</f>
        <v/>
      </c>
      <c r="H177" s="12"/>
      <c r="I177" s="12"/>
    </row>
    <row r="178" spans="1:9" x14ac:dyDescent="0.2">
      <c r="A178" s="26" t="s">
        <v>76</v>
      </c>
    </row>
  </sheetData>
  <mergeCells count="5">
    <mergeCell ref="J13:J15"/>
    <mergeCell ref="F1:G1"/>
    <mergeCell ref="F2:H2"/>
    <mergeCell ref="J2:J9"/>
    <mergeCell ref="J10:J11"/>
  </mergeCells>
  <phoneticPr fontId="3" type="noConversion"/>
  <conditionalFormatting sqref="B21:B176">
    <cfRule type="expression" dxfId="0" priority="1" stopIfTrue="1">
      <formula>($C21=$C$6+1)</formula>
    </cfRule>
  </conditionalFormatting>
  <hyperlinks>
    <hyperlink ref="A2" r:id="rId1"/>
  </hyperlinks>
  <printOptions horizontalCentered="1"/>
  <pageMargins left="0.5" right="0.5" top="0.5" bottom="0.5" header="0.25" footer="0.25"/>
  <pageSetup orientation="portrait" r:id="rId2"/>
  <headerFooter differentFirst="1" scaleWithDoc="0">
    <oddFooter>&amp;L&amp;"Arial,Regular"&amp;8© 2007 Vertex42 LLC&amp;C&amp;"Arial,Regular"&amp;8http://www.vertex42.com/Calculators/auto-loan-calculator.html&amp;R&amp;"Arial,Regular"&amp;8&amp;P of &amp;N</oddFooter>
    <firstFooter>&amp;R&amp;"Arial,Regular"&amp;8&amp;P of &amp;N</firstFooter>
  </headerFooter>
  <drawing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4"/>
  <sheetViews>
    <sheetView showGridLines="0" tabSelected="1" topLeftCell="A30" workbookViewId="0">
      <selection activeCell="A36" sqref="A36"/>
    </sheetView>
  </sheetViews>
  <sheetFormatPr defaultRowHeight="12.75" x14ac:dyDescent="0.2"/>
  <cols>
    <col min="1" max="1" width="13.85546875" customWidth="1"/>
    <col min="2" max="4" width="10.7109375" customWidth="1"/>
    <col min="5" max="5" width="15.140625" customWidth="1"/>
    <col min="6" max="6" width="13.28515625" customWidth="1"/>
    <col min="7" max="7" width="11.7109375" customWidth="1"/>
    <col min="8" max="8" width="9.7109375" customWidth="1"/>
    <col min="9" max="9" width="3.7109375" customWidth="1"/>
    <col min="10" max="10" width="37.140625" customWidth="1"/>
  </cols>
  <sheetData>
    <row r="1" spans="1:10" s="2" customFormat="1" ht="30" customHeight="1" x14ac:dyDescent="0.2">
      <c r="A1" s="27" t="s">
        <v>73</v>
      </c>
      <c r="B1" s="28"/>
      <c r="C1" s="28"/>
      <c r="D1" s="28"/>
      <c r="E1" s="28"/>
      <c r="F1" s="28"/>
      <c r="G1" s="157"/>
      <c r="H1" s="157"/>
      <c r="J1" s="145" t="s">
        <v>98</v>
      </c>
    </row>
    <row r="2" spans="1:10" s="2" customFormat="1" ht="12.75" customHeight="1" x14ac:dyDescent="0.2">
      <c r="A2" s="100" t="s">
        <v>77</v>
      </c>
      <c r="B2" s="101"/>
      <c r="C2" s="102"/>
      <c r="D2" s="101"/>
      <c r="E2" s="101"/>
      <c r="F2" s="162" t="str">
        <f ca="1">"© 2007-" &amp; YEAR(TODAY()) &amp; " Vertex42 LLC"</f>
        <v>© 2007-2019 Vertex42 LLC</v>
      </c>
      <c r="G2" s="162"/>
      <c r="H2" s="162"/>
      <c r="J2" s="163" t="s">
        <v>97</v>
      </c>
    </row>
    <row r="3" spans="1:10" s="2" customFormat="1" x14ac:dyDescent="0.2">
      <c r="A3" s="103"/>
      <c r="B3" s="101"/>
      <c r="C3" s="102"/>
      <c r="D3" s="101"/>
      <c r="E3" s="101"/>
      <c r="F3" s="104"/>
      <c r="G3" s="104"/>
      <c r="H3" s="104"/>
      <c r="J3" s="164"/>
    </row>
    <row r="4" spans="1:10" ht="12.75" customHeight="1" x14ac:dyDescent="0.2">
      <c r="A4" s="146"/>
      <c r="B4" s="105" t="s">
        <v>26</v>
      </c>
      <c r="C4" s="108">
        <f>loan_amount</f>
        <v>50000</v>
      </c>
      <c r="D4" s="101"/>
      <c r="E4" s="107" t="s">
        <v>2</v>
      </c>
      <c r="F4" s="110">
        <f>term</f>
        <v>5</v>
      </c>
      <c r="G4" s="101"/>
      <c r="H4" s="101"/>
      <c r="J4" s="164"/>
    </row>
    <row r="5" spans="1:10" x14ac:dyDescent="0.2">
      <c r="A5" s="146"/>
      <c r="B5" s="106" t="s">
        <v>1</v>
      </c>
      <c r="C5" s="109">
        <f>PaymentCalculator!D6</f>
        <v>10</v>
      </c>
      <c r="D5" s="101"/>
      <c r="E5" s="106" t="s">
        <v>4</v>
      </c>
      <c r="F5" s="111" t="str">
        <f>PaymentCalculator!D9</f>
        <v>Monthly</v>
      </c>
      <c r="G5" s="101"/>
      <c r="H5" s="101"/>
      <c r="J5" s="164"/>
    </row>
    <row r="6" spans="1:10" s="2" customFormat="1" x14ac:dyDescent="0.2">
      <c r="A6" s="103"/>
      <c r="B6" s="101"/>
      <c r="C6" s="102"/>
      <c r="D6" s="101"/>
      <c r="E6" s="101"/>
      <c r="F6" s="104"/>
      <c r="G6" s="104"/>
      <c r="H6" s="104"/>
      <c r="J6" s="164"/>
    </row>
    <row r="7" spans="1:10" x14ac:dyDescent="0.2">
      <c r="J7" s="164"/>
    </row>
    <row r="8" spans="1:10" ht="25.5" x14ac:dyDescent="0.2">
      <c r="A8" s="118" t="s">
        <v>105</v>
      </c>
      <c r="B8" s="119" t="s">
        <v>72</v>
      </c>
      <c r="C8" s="119" t="s">
        <v>16</v>
      </c>
      <c r="D8" s="119" t="s">
        <v>7</v>
      </c>
    </row>
    <row r="9" spans="1:10" x14ac:dyDescent="0.2">
      <c r="A9" s="114">
        <v>0.02</v>
      </c>
      <c r="B9" s="18">
        <f t="shared" ref="B9:B17" si="0">C9*nper</f>
        <v>52583.4</v>
      </c>
      <c r="C9" s="18">
        <f t="shared" ref="C9:C17" si="1">ROUND(-PMT(A9/periods_per_year,nper,loan_amount),2)</f>
        <v>876.39</v>
      </c>
      <c r="D9" s="18">
        <f t="shared" ref="D9:D17" si="2">B9-loan_amount</f>
        <v>2583.4000000000015</v>
      </c>
    </row>
    <row r="10" spans="1:10" ht="13.15" customHeight="1" x14ac:dyDescent="0.2">
      <c r="A10" s="114">
        <v>0.03</v>
      </c>
      <c r="B10" s="18">
        <f t="shared" si="0"/>
        <v>53905.799999999996</v>
      </c>
      <c r="C10" s="18">
        <f t="shared" si="1"/>
        <v>898.43</v>
      </c>
      <c r="D10" s="18">
        <f t="shared" si="2"/>
        <v>3905.7999999999956</v>
      </c>
      <c r="J10" s="160" t="s">
        <v>99</v>
      </c>
    </row>
    <row r="11" spans="1:10" x14ac:dyDescent="0.2">
      <c r="A11" s="114">
        <v>0.04</v>
      </c>
      <c r="B11" s="18">
        <f t="shared" si="0"/>
        <v>55249.8</v>
      </c>
      <c r="C11" s="18">
        <f t="shared" si="1"/>
        <v>920.83</v>
      </c>
      <c r="D11" s="18">
        <f t="shared" si="2"/>
        <v>5249.8000000000029</v>
      </c>
      <c r="J11" s="160"/>
    </row>
    <row r="12" spans="1:10" x14ac:dyDescent="0.2">
      <c r="A12" s="114">
        <v>0.05</v>
      </c>
      <c r="B12" s="18">
        <f t="shared" si="0"/>
        <v>56613.599999999999</v>
      </c>
      <c r="C12" s="18">
        <f t="shared" si="1"/>
        <v>943.56</v>
      </c>
      <c r="D12" s="18">
        <f t="shared" si="2"/>
        <v>6613.5999999999985</v>
      </c>
      <c r="J12" s="160"/>
    </row>
    <row r="13" spans="1:10" x14ac:dyDescent="0.2">
      <c r="A13" s="114">
        <v>0.06</v>
      </c>
      <c r="B13" s="18">
        <f t="shared" si="0"/>
        <v>57998.400000000001</v>
      </c>
      <c r="C13" s="18">
        <f t="shared" si="1"/>
        <v>966.64</v>
      </c>
      <c r="D13" s="18">
        <f t="shared" si="2"/>
        <v>7998.4000000000015</v>
      </c>
    </row>
    <row r="14" spans="1:10" x14ac:dyDescent="0.2">
      <c r="A14" s="114">
        <v>7.0000000000000007E-2</v>
      </c>
      <c r="B14" s="18">
        <f t="shared" si="0"/>
        <v>59403.6</v>
      </c>
      <c r="C14" s="18">
        <f t="shared" si="1"/>
        <v>990.06</v>
      </c>
      <c r="D14" s="18">
        <f t="shared" si="2"/>
        <v>9403.5999999999985</v>
      </c>
    </row>
    <row r="15" spans="1:10" x14ac:dyDescent="0.2">
      <c r="A15" s="114">
        <v>0.08</v>
      </c>
      <c r="B15" s="18">
        <f t="shared" si="0"/>
        <v>60829.200000000004</v>
      </c>
      <c r="C15" s="18">
        <f t="shared" si="1"/>
        <v>1013.82</v>
      </c>
      <c r="D15" s="18">
        <f t="shared" si="2"/>
        <v>10829.200000000004</v>
      </c>
    </row>
    <row r="16" spans="1:10" x14ac:dyDescent="0.2">
      <c r="A16" s="114">
        <v>0.09</v>
      </c>
      <c r="B16" s="18">
        <f t="shared" si="0"/>
        <v>62275.200000000004</v>
      </c>
      <c r="C16" s="18">
        <f t="shared" si="1"/>
        <v>1037.92</v>
      </c>
      <c r="D16" s="18">
        <f t="shared" si="2"/>
        <v>12275.200000000004</v>
      </c>
    </row>
    <row r="17" spans="1:4" x14ac:dyDescent="0.2">
      <c r="A17" s="114">
        <v>0.1</v>
      </c>
      <c r="B17" s="18">
        <f t="shared" si="0"/>
        <v>63740.999999999993</v>
      </c>
      <c r="C17" s="18">
        <f t="shared" si="1"/>
        <v>1062.3499999999999</v>
      </c>
      <c r="D17" s="18">
        <f t="shared" si="2"/>
        <v>13740.999999999993</v>
      </c>
    </row>
    <row r="20" spans="1:4" ht="25.5" x14ac:dyDescent="0.2">
      <c r="A20" s="118" t="s">
        <v>106</v>
      </c>
      <c r="B20" s="119" t="s">
        <v>72</v>
      </c>
      <c r="C20" s="119" t="s">
        <v>16</v>
      </c>
      <c r="D20" s="119" t="s">
        <v>7</v>
      </c>
    </row>
    <row r="21" spans="1:4" x14ac:dyDescent="0.2">
      <c r="A21" s="115">
        <v>6</v>
      </c>
      <c r="B21" s="18">
        <f t="shared" ref="B21:B32" si="3">C21*A21</f>
        <v>256762.14</v>
      </c>
      <c r="C21" s="18">
        <f>ROUND(-PMT(PaymentCalculator!$D$6/periods_per_year,A21,loan_amount),2)</f>
        <v>42793.69</v>
      </c>
      <c r="D21" s="18">
        <f t="shared" ref="D21:D32" si="4">B21-loan_amount</f>
        <v>206762.14</v>
      </c>
    </row>
    <row r="22" spans="1:4" x14ac:dyDescent="0.2">
      <c r="A22" s="116">
        <f t="shared" ref="A22:A32" si="5">A21+6</f>
        <v>12</v>
      </c>
      <c r="B22" s="18">
        <f t="shared" si="3"/>
        <v>500347.07999999996</v>
      </c>
      <c r="C22" s="18">
        <f>ROUND(-PMT(PaymentCalculator!$D$6/periods_per_year,A22,loan_amount),2)</f>
        <v>41695.589999999997</v>
      </c>
      <c r="D22" s="18">
        <f t="shared" si="4"/>
        <v>450347.07999999996</v>
      </c>
    </row>
    <row r="23" spans="1:4" x14ac:dyDescent="0.2">
      <c r="A23" s="116">
        <f t="shared" si="5"/>
        <v>18</v>
      </c>
      <c r="B23" s="18">
        <f t="shared" si="3"/>
        <v>750013.74</v>
      </c>
      <c r="C23" s="18">
        <f>ROUND(-PMT(PaymentCalculator!$D$6/periods_per_year,A23,loan_amount),2)</f>
        <v>41667.43</v>
      </c>
      <c r="D23" s="18">
        <f t="shared" si="4"/>
        <v>700013.74</v>
      </c>
    </row>
    <row r="24" spans="1:4" x14ac:dyDescent="0.2">
      <c r="A24" s="116">
        <f t="shared" si="5"/>
        <v>24</v>
      </c>
      <c r="B24" s="18">
        <f t="shared" si="3"/>
        <v>1000000.56</v>
      </c>
      <c r="C24" s="18">
        <f>ROUND(-PMT(PaymentCalculator!$D$6/periods_per_year,A24,loan_amount),2)</f>
        <v>41666.69</v>
      </c>
      <c r="D24" s="18">
        <f t="shared" si="4"/>
        <v>950000.56</v>
      </c>
    </row>
    <row r="25" spans="1:4" x14ac:dyDescent="0.2">
      <c r="A25" s="116">
        <f t="shared" si="5"/>
        <v>30</v>
      </c>
      <c r="B25" s="18">
        <f t="shared" si="3"/>
        <v>1250000.0999999999</v>
      </c>
      <c r="C25" s="18">
        <f>ROUND(-PMT(PaymentCalculator!$D$6/periods_per_year,A25,loan_amount),2)</f>
        <v>41666.67</v>
      </c>
      <c r="D25" s="18">
        <f t="shared" si="4"/>
        <v>1200000.0999999999</v>
      </c>
    </row>
    <row r="26" spans="1:4" x14ac:dyDescent="0.2">
      <c r="A26" s="116">
        <f t="shared" si="5"/>
        <v>36</v>
      </c>
      <c r="B26" s="18">
        <f t="shared" si="3"/>
        <v>1500000.1199999999</v>
      </c>
      <c r="C26" s="18">
        <f>ROUND(-PMT(PaymentCalculator!$D$6/periods_per_year,A26,loan_amount),2)</f>
        <v>41666.67</v>
      </c>
      <c r="D26" s="18">
        <f t="shared" si="4"/>
        <v>1450000.1199999999</v>
      </c>
    </row>
    <row r="27" spans="1:4" x14ac:dyDescent="0.2">
      <c r="A27" s="116">
        <f t="shared" si="5"/>
        <v>42</v>
      </c>
      <c r="B27" s="18">
        <f t="shared" si="3"/>
        <v>1750000.14</v>
      </c>
      <c r="C27" s="18">
        <f>ROUND(-PMT(PaymentCalculator!$D$6/periods_per_year,A27,loan_amount),2)</f>
        <v>41666.67</v>
      </c>
      <c r="D27" s="18">
        <f t="shared" si="4"/>
        <v>1700000.14</v>
      </c>
    </row>
    <row r="28" spans="1:4" x14ac:dyDescent="0.2">
      <c r="A28" s="116">
        <f t="shared" si="5"/>
        <v>48</v>
      </c>
      <c r="B28" s="18">
        <f t="shared" si="3"/>
        <v>2000000.16</v>
      </c>
      <c r="C28" s="18">
        <f>ROUND(-PMT(PaymentCalculator!$D$6/periods_per_year,A28,loan_amount),2)</f>
        <v>41666.67</v>
      </c>
      <c r="D28" s="18">
        <f t="shared" si="4"/>
        <v>1950000.16</v>
      </c>
    </row>
    <row r="29" spans="1:4" x14ac:dyDescent="0.2">
      <c r="A29" s="116">
        <f t="shared" si="5"/>
        <v>54</v>
      </c>
      <c r="B29" s="18">
        <f t="shared" si="3"/>
        <v>2250000.1799999997</v>
      </c>
      <c r="C29" s="18">
        <f>ROUND(-PMT(PaymentCalculator!$D$6/periods_per_year,A29,loan_amount),2)</f>
        <v>41666.67</v>
      </c>
      <c r="D29" s="18">
        <f t="shared" si="4"/>
        <v>2200000.1799999997</v>
      </c>
    </row>
    <row r="30" spans="1:4" x14ac:dyDescent="0.2">
      <c r="A30" s="116">
        <f t="shared" si="5"/>
        <v>60</v>
      </c>
      <c r="B30" s="18">
        <f t="shared" si="3"/>
        <v>2500000.1999999997</v>
      </c>
      <c r="C30" s="18">
        <f>ROUND(-PMT(PaymentCalculator!$D$6/periods_per_year,A30,loan_amount),2)</f>
        <v>41666.67</v>
      </c>
      <c r="D30" s="18">
        <f t="shared" si="4"/>
        <v>2450000.1999999997</v>
      </c>
    </row>
    <row r="31" spans="1:4" x14ac:dyDescent="0.2">
      <c r="A31" s="116">
        <f t="shared" si="5"/>
        <v>66</v>
      </c>
      <c r="B31" s="18">
        <f t="shared" si="3"/>
        <v>2750000.2199999997</v>
      </c>
      <c r="C31" s="18">
        <f>ROUND(-PMT(PaymentCalculator!$D$6/periods_per_year,A31,loan_amount),2)</f>
        <v>41666.67</v>
      </c>
      <c r="D31" s="18">
        <f t="shared" si="4"/>
        <v>2700000.2199999997</v>
      </c>
    </row>
    <row r="32" spans="1:4" x14ac:dyDescent="0.2">
      <c r="A32" s="116">
        <f t="shared" si="5"/>
        <v>72</v>
      </c>
      <c r="B32" s="18">
        <f t="shared" si="3"/>
        <v>3000000.2399999998</v>
      </c>
      <c r="C32" s="18">
        <f>ROUND(-PMT(PaymentCalculator!$D$6/periods_per_year,A32,loan_amount),2)</f>
        <v>41666.67</v>
      </c>
      <c r="D32" s="18">
        <f t="shared" si="4"/>
        <v>2950000.2399999998</v>
      </c>
    </row>
    <row r="35" spans="1:4" ht="25.5" x14ac:dyDescent="0.2">
      <c r="A35" s="118" t="s">
        <v>107</v>
      </c>
      <c r="B35" s="119" t="s">
        <v>70</v>
      </c>
      <c r="C35" s="119" t="s">
        <v>16</v>
      </c>
      <c r="D35" s="119" t="s">
        <v>7</v>
      </c>
    </row>
    <row r="36" spans="1:4" x14ac:dyDescent="0.2">
      <c r="A36" s="117">
        <v>0</v>
      </c>
      <c r="B36" s="18">
        <f t="shared" ref="B36:B41" si="6">loan_amount-A36</f>
        <v>50000</v>
      </c>
      <c r="C36" s="18">
        <f>ROUND(-PMT(PaymentCalculator!$D$6/periods_per_year,nper,loan_amount-A36),2)</f>
        <v>41666.67</v>
      </c>
      <c r="D36" s="18">
        <f t="shared" ref="D36:D41" si="7">C36*nper-(loan_amount-A36)</f>
        <v>2450000.1999999997</v>
      </c>
    </row>
    <row r="37" spans="1:4" x14ac:dyDescent="0.2">
      <c r="A37" s="117">
        <f>0.05*loan_amount</f>
        <v>2500</v>
      </c>
      <c r="B37" s="18">
        <f t="shared" si="6"/>
        <v>47500</v>
      </c>
      <c r="C37" s="18">
        <f>ROUND(-PMT(PaymentCalculator!$D$6/periods_per_year,nper,loan_amount-A37),2)</f>
        <v>39583.33</v>
      </c>
      <c r="D37" s="18">
        <f t="shared" si="7"/>
        <v>2327499.8000000003</v>
      </c>
    </row>
    <row r="38" spans="1:4" x14ac:dyDescent="0.2">
      <c r="A38" s="117">
        <f>0.1*loan_amount</f>
        <v>5000</v>
      </c>
      <c r="B38" s="18">
        <f t="shared" si="6"/>
        <v>45000</v>
      </c>
      <c r="C38" s="18">
        <f>ROUND(-PMT(PaymentCalculator!$D$6/periods_per_year,nper,loan_amount-A38),2)</f>
        <v>37500</v>
      </c>
      <c r="D38" s="18">
        <f t="shared" si="7"/>
        <v>2205000</v>
      </c>
    </row>
    <row r="39" spans="1:4" x14ac:dyDescent="0.2">
      <c r="A39" s="117">
        <f>0.15*loan_amount</f>
        <v>7500</v>
      </c>
      <c r="B39" s="18">
        <f t="shared" si="6"/>
        <v>42500</v>
      </c>
      <c r="C39" s="18">
        <f>ROUND(-PMT(PaymentCalculator!$D$6/periods_per_year,nper,loan_amount-A39),2)</f>
        <v>35416.67</v>
      </c>
      <c r="D39" s="18">
        <f t="shared" si="7"/>
        <v>2082500.1999999997</v>
      </c>
    </row>
    <row r="40" spans="1:4" x14ac:dyDescent="0.2">
      <c r="A40" s="117">
        <f>0.2*loan_amount</f>
        <v>10000</v>
      </c>
      <c r="B40" s="18">
        <f t="shared" si="6"/>
        <v>40000</v>
      </c>
      <c r="C40" s="18">
        <f>ROUND(-PMT(PaymentCalculator!$D$6/periods_per_year,nper,loan_amount-A40),2)</f>
        <v>33333.33</v>
      </c>
      <c r="D40" s="18">
        <f t="shared" si="7"/>
        <v>1959999.8</v>
      </c>
    </row>
    <row r="41" spans="1:4" x14ac:dyDescent="0.2">
      <c r="A41" s="117">
        <f>0.25*loan_amount</f>
        <v>12500</v>
      </c>
      <c r="B41" s="18">
        <f t="shared" si="6"/>
        <v>37500</v>
      </c>
      <c r="C41" s="18">
        <f>ROUND(-PMT(PaymentCalculator!$D$6/periods_per_year,nper,loan_amount-A41),2)</f>
        <v>31250</v>
      </c>
      <c r="D41" s="18">
        <f t="shared" si="7"/>
        <v>1837500</v>
      </c>
    </row>
    <row r="43" spans="1:4" x14ac:dyDescent="0.2">
      <c r="A43" s="26" t="s">
        <v>76</v>
      </c>
    </row>
    <row r="47" spans="1:4" ht="25.5" x14ac:dyDescent="0.2">
      <c r="A47" s="24" t="s">
        <v>17</v>
      </c>
      <c r="B47" s="25" t="s">
        <v>74</v>
      </c>
      <c r="C47" s="25" t="s">
        <v>16</v>
      </c>
      <c r="D47" s="25" t="s">
        <v>7</v>
      </c>
    </row>
    <row r="48" spans="1:4" x14ac:dyDescent="0.2">
      <c r="A48" s="21" t="s">
        <v>19</v>
      </c>
      <c r="B48" s="16">
        <f>1*term</f>
        <v>5</v>
      </c>
      <c r="C48" s="17">
        <f>ROUND(-PMT(PaymentCalculator!D6/1,term*1,loan_amount),2)</f>
        <v>500003.1</v>
      </c>
      <c r="D48" s="17">
        <f t="shared" ref="D48:D54" si="8">B48*C48-loan_amount</f>
        <v>2450015.5</v>
      </c>
    </row>
    <row r="49" spans="1:6" x14ac:dyDescent="0.2">
      <c r="A49" s="22" t="s">
        <v>20</v>
      </c>
      <c r="B49" s="16">
        <f>2*term</f>
        <v>10</v>
      </c>
      <c r="C49" s="17">
        <f>ROUND(-PMT(PaymentCalculator!D6/2,term*2,loan_amount),2)</f>
        <v>250000</v>
      </c>
      <c r="D49" s="17">
        <f t="shared" si="8"/>
        <v>2450000</v>
      </c>
      <c r="F49" s="26" t="s">
        <v>76</v>
      </c>
    </row>
    <row r="50" spans="1:6" x14ac:dyDescent="0.2">
      <c r="A50" s="22" t="s">
        <v>21</v>
      </c>
      <c r="B50" s="16">
        <f>4*term</f>
        <v>20</v>
      </c>
      <c r="C50" s="17">
        <f>ROUND(-PMT(PaymentCalculator!D6/4,term*4,loan_amount),2)</f>
        <v>125000</v>
      </c>
      <c r="D50" s="17">
        <f t="shared" si="8"/>
        <v>2450000</v>
      </c>
    </row>
    <row r="51" spans="1:6" x14ac:dyDescent="0.2">
      <c r="A51" s="22" t="s">
        <v>22</v>
      </c>
      <c r="B51" s="16">
        <f>6*term</f>
        <v>30</v>
      </c>
      <c r="C51" s="17">
        <f>ROUND(-PMT(PaymentCalculator!D6/6,term*6,loan_amount),2)</f>
        <v>83333.33</v>
      </c>
      <c r="D51" s="17">
        <f t="shared" si="8"/>
        <v>2449999.9</v>
      </c>
    </row>
    <row r="52" spans="1:6" x14ac:dyDescent="0.2">
      <c r="A52" s="23" t="s">
        <v>23</v>
      </c>
      <c r="B52" s="20">
        <f>12*term</f>
        <v>60</v>
      </c>
      <c r="C52" s="19">
        <f>ROUND(-PMT(PaymentCalculator!D6/12,term*12,loan_amount),2)</f>
        <v>41666.67</v>
      </c>
      <c r="D52" s="17">
        <f t="shared" si="8"/>
        <v>2450000.1999999997</v>
      </c>
    </row>
    <row r="53" spans="1:6" x14ac:dyDescent="0.2">
      <c r="A53" s="22" t="s">
        <v>24</v>
      </c>
      <c r="B53" s="16">
        <f>24*term</f>
        <v>120</v>
      </c>
      <c r="C53" s="17">
        <f>ROUND(-PMT(PaymentCalculator!D6/24,term*24,loan_amount),2)</f>
        <v>20833.330000000002</v>
      </c>
      <c r="D53" s="17">
        <f t="shared" si="8"/>
        <v>2449999.6</v>
      </c>
    </row>
    <row r="54" spans="1:6" x14ac:dyDescent="0.2">
      <c r="A54" s="21" t="s">
        <v>18</v>
      </c>
      <c r="B54" s="16">
        <f>26*term</f>
        <v>130</v>
      </c>
      <c r="C54" s="17">
        <f>ROUND(-PMT(PaymentCalculator!$D$6/26,term*26,loan_amount),2)</f>
        <v>19230.77</v>
      </c>
      <c r="D54" s="17">
        <f t="shared" si="8"/>
        <v>2450000.1</v>
      </c>
    </row>
  </sheetData>
  <mergeCells count="4">
    <mergeCell ref="G1:H1"/>
    <mergeCell ref="F2:H2"/>
    <mergeCell ref="J10:J12"/>
    <mergeCell ref="J2:J7"/>
  </mergeCells>
  <phoneticPr fontId="6" type="noConversion"/>
  <hyperlinks>
    <hyperlink ref="A2" r:id="rId1"/>
  </hyperlinks>
  <printOptions horizontalCentered="1"/>
  <pageMargins left="0.5" right="0.5" top="0.5" bottom="0.5" header="0.5" footer="0.25"/>
  <pageSetup scale="89" orientation="portrait" r:id="rId2"/>
  <headerFooter scaleWithDoc="0">
    <oddFooter>&amp;L&amp;"Arial,Regular"&amp;8http://www.vertex42.com/Calculators/auto-loan-calculator.html&amp;R&amp;"Arial,Regular"&amp;8© 2007 Vertex42 LLC</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ColWidth="9.140625" defaultRowHeight="12.75" x14ac:dyDescent="0.2"/>
  <cols>
    <col min="1" max="1" width="10.28515625" style="78" customWidth="1"/>
    <col min="2" max="2" width="78.5703125" style="78" customWidth="1"/>
    <col min="3" max="3" width="5.28515625" style="78" customWidth="1"/>
    <col min="4" max="4" width="10.28515625" style="78" customWidth="1"/>
    <col min="5" max="16384" width="9.140625" style="78"/>
  </cols>
  <sheetData>
    <row r="1" spans="1:5" ht="31.5" customHeight="1" x14ac:dyDescent="0.2">
      <c r="A1" s="74" t="s">
        <v>80</v>
      </c>
      <c r="B1" s="75"/>
      <c r="C1" s="76"/>
      <c r="D1" s="77"/>
    </row>
    <row r="2" spans="1:5" s="81" customFormat="1" x14ac:dyDescent="0.2">
      <c r="A2" s="112" t="s">
        <v>77</v>
      </c>
      <c r="B2" s="79"/>
      <c r="C2" s="80" t="str">
        <f ca="1">"© 2007-" &amp; YEAR(TODAY()) &amp; " Vertex42 LLC"</f>
        <v>© 2007-2019 Vertex42 LLC</v>
      </c>
    </row>
    <row r="3" spans="1:5" x14ac:dyDescent="0.2">
      <c r="B3" s="82"/>
    </row>
    <row r="4" spans="1:5" ht="15" x14ac:dyDescent="0.25">
      <c r="A4" s="83" t="s">
        <v>100</v>
      </c>
      <c r="B4" s="84"/>
      <c r="C4" s="85"/>
    </row>
    <row r="5" spans="1:5" ht="42.75" x14ac:dyDescent="0.2">
      <c r="B5" s="148" t="s">
        <v>101</v>
      </c>
    </row>
    <row r="6" spans="1:5" ht="15.75" x14ac:dyDescent="0.25">
      <c r="B6" s="86"/>
      <c r="E6" s="87"/>
    </row>
    <row r="7" spans="1:5" ht="14.25" x14ac:dyDescent="0.2">
      <c r="A7" s="89"/>
      <c r="B7" s="90"/>
    </row>
    <row r="8" spans="1:5" ht="15" x14ac:dyDescent="0.25">
      <c r="A8" s="83" t="s">
        <v>81</v>
      </c>
      <c r="B8" s="84"/>
      <c r="C8" s="85"/>
      <c r="E8" s="86"/>
    </row>
    <row r="9" spans="1:5" ht="28.5" x14ac:dyDescent="0.2">
      <c r="B9" s="91" t="s">
        <v>82</v>
      </c>
      <c r="E9" s="86"/>
    </row>
    <row r="10" spans="1:5" ht="14.25" x14ac:dyDescent="0.2">
      <c r="B10" s="91"/>
      <c r="E10" s="86"/>
    </row>
    <row r="11" spans="1:5" ht="15.75" x14ac:dyDescent="0.25">
      <c r="A11" s="92"/>
      <c r="B11" s="93" t="s">
        <v>83</v>
      </c>
      <c r="C11" s="94"/>
      <c r="E11" s="86"/>
    </row>
    <row r="13" spans="1:5" ht="15" x14ac:dyDescent="0.25">
      <c r="A13" s="95" t="s">
        <v>84</v>
      </c>
      <c r="B13" s="147" t="s">
        <v>85</v>
      </c>
    </row>
    <row r="14" spans="1:5" x14ac:dyDescent="0.2">
      <c r="A14" s="96"/>
      <c r="E14" s="88"/>
    </row>
    <row r="15" spans="1:5" ht="15" x14ac:dyDescent="0.25">
      <c r="A15" s="95" t="s">
        <v>84</v>
      </c>
      <c r="B15" s="147" t="s">
        <v>102</v>
      </c>
      <c r="E15" s="88"/>
    </row>
    <row r="16" spans="1:5" x14ac:dyDescent="0.2">
      <c r="A16" s="96"/>
      <c r="E16" s="88"/>
    </row>
    <row r="17" spans="1:5" ht="15" x14ac:dyDescent="0.25">
      <c r="A17" s="95" t="s">
        <v>86</v>
      </c>
      <c r="B17" s="97" t="s">
        <v>87</v>
      </c>
      <c r="E17" s="88"/>
    </row>
    <row r="18" spans="1:5" ht="14.25" x14ac:dyDescent="0.2">
      <c r="B18" s="98"/>
      <c r="E18" s="88"/>
    </row>
    <row r="19" spans="1:5" x14ac:dyDescent="0.2">
      <c r="E19" s="99"/>
    </row>
    <row r="20" spans="1:5" x14ac:dyDescent="0.2">
      <c r="E20" s="88"/>
    </row>
  </sheetData>
  <hyperlinks>
    <hyperlink ref="A2" r:id="rId1"/>
    <hyperlink ref="B17" r:id="rId2" display="Spreadsheet Tips Workbook"/>
    <hyperlink ref="B15" r:id="rId3"/>
    <hyperlink ref="B13" r:id="rId4"/>
  </hyperlinks>
  <pageMargins left="0.7" right="0.7" top="0.75" bottom="0.75" header="0.3" footer="0.3"/>
  <pageSetup paperSize="0"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election activeCell="A2" sqref="A2"/>
    </sheetView>
  </sheetViews>
  <sheetFormatPr defaultColWidth="9.140625" defaultRowHeight="12.75" x14ac:dyDescent="0.2"/>
  <cols>
    <col min="1" max="1" width="10.28515625" customWidth="1"/>
    <col min="2" max="2" width="78.5703125" customWidth="1"/>
    <col min="3" max="3" width="5.28515625" customWidth="1"/>
    <col min="4" max="4" width="10.28515625" customWidth="1"/>
  </cols>
  <sheetData>
    <row r="1" spans="1:4" s="122" customFormat="1" ht="31.5" customHeight="1" x14ac:dyDescent="0.2">
      <c r="A1" s="120" t="s">
        <v>68</v>
      </c>
      <c r="B1" s="120"/>
      <c r="C1" s="120"/>
      <c r="D1" s="121"/>
    </row>
    <row r="2" spans="1:4" ht="16.5" x14ac:dyDescent="0.2">
      <c r="A2" s="78"/>
      <c r="B2" s="123"/>
      <c r="C2" s="78"/>
    </row>
    <row r="3" spans="1:4" s="126" customFormat="1" ht="14.25" x14ac:dyDescent="0.2">
      <c r="A3" s="124"/>
      <c r="B3" s="125" t="s">
        <v>91</v>
      </c>
      <c r="C3" s="124"/>
    </row>
    <row r="4" spans="1:4" s="126" customFormat="1" x14ac:dyDescent="0.2">
      <c r="A4" s="124"/>
      <c r="B4" s="127" t="s">
        <v>77</v>
      </c>
      <c r="C4" s="124"/>
    </row>
    <row r="5" spans="1:4" s="126" customFormat="1" ht="15" x14ac:dyDescent="0.2">
      <c r="A5" s="124"/>
      <c r="B5" s="128"/>
      <c r="C5" s="124"/>
    </row>
    <row r="6" spans="1:4" s="126" customFormat="1" ht="15.75" x14ac:dyDescent="0.25">
      <c r="A6" s="124"/>
      <c r="B6" s="129" t="str">
        <f ca="1">"© 2007-" &amp; YEAR(TODAY()) &amp; " Vertex42 LLC"</f>
        <v>© 2007-2019 Vertex42 LLC</v>
      </c>
      <c r="C6" s="124"/>
    </row>
    <row r="7" spans="1:4" s="126" customFormat="1" ht="15.75" x14ac:dyDescent="0.25">
      <c r="A7" s="130"/>
      <c r="B7" s="131"/>
      <c r="C7" s="132"/>
    </row>
    <row r="8" spans="1:4" s="126" customFormat="1" ht="30" x14ac:dyDescent="0.2">
      <c r="A8" s="133"/>
      <c r="B8" s="131" t="s">
        <v>104</v>
      </c>
      <c r="C8" s="124"/>
    </row>
    <row r="9" spans="1:4" s="126" customFormat="1" ht="15" x14ac:dyDescent="0.2">
      <c r="A9" s="133"/>
      <c r="B9" s="131"/>
      <c r="C9" s="124"/>
    </row>
    <row r="10" spans="1:4" s="126" customFormat="1" ht="30" x14ac:dyDescent="0.2">
      <c r="A10" s="133"/>
      <c r="B10" s="131" t="s">
        <v>92</v>
      </c>
      <c r="C10" s="124"/>
    </row>
    <row r="11" spans="1:4" s="126" customFormat="1" ht="15" x14ac:dyDescent="0.2">
      <c r="A11" s="133"/>
      <c r="B11" s="131"/>
      <c r="C11" s="124"/>
    </row>
    <row r="12" spans="1:4" s="126" customFormat="1" ht="30" x14ac:dyDescent="0.2">
      <c r="A12" s="133"/>
      <c r="B12" s="131" t="s">
        <v>93</v>
      </c>
      <c r="C12" s="124"/>
    </row>
    <row r="13" spans="1:4" s="126" customFormat="1" ht="15" x14ac:dyDescent="0.2">
      <c r="A13" s="133"/>
      <c r="B13" s="131"/>
      <c r="C13" s="124"/>
    </row>
    <row r="14" spans="1:4" s="126" customFormat="1" ht="15" x14ac:dyDescent="0.2">
      <c r="A14" s="133"/>
      <c r="B14" s="150" t="s">
        <v>94</v>
      </c>
      <c r="C14" s="124"/>
    </row>
    <row r="15" spans="1:4" s="126" customFormat="1" ht="15" x14ac:dyDescent="0.2">
      <c r="A15" s="133"/>
      <c r="B15" s="131" t="s">
        <v>103</v>
      </c>
      <c r="C15" s="124"/>
    </row>
    <row r="16" spans="1:4" s="126" customFormat="1" ht="15" x14ac:dyDescent="0.2">
      <c r="A16" s="133"/>
      <c r="B16" s="134"/>
      <c r="C16" s="124"/>
    </row>
    <row r="17" spans="1:3" s="126" customFormat="1" ht="30.75" x14ac:dyDescent="0.2">
      <c r="A17" s="133"/>
      <c r="B17" s="131" t="s">
        <v>95</v>
      </c>
      <c r="C17" s="124"/>
    </row>
    <row r="18" spans="1:3" s="126" customFormat="1" ht="16.5" x14ac:dyDescent="0.2">
      <c r="A18" s="133"/>
      <c r="B18" s="135"/>
      <c r="C18" s="124"/>
    </row>
    <row r="19" spans="1:3" s="126" customFormat="1" ht="16.5" x14ac:dyDescent="0.2">
      <c r="A19" s="133"/>
      <c r="B19" s="135"/>
      <c r="C19" s="124"/>
    </row>
    <row r="20" spans="1:3" s="126" customFormat="1" ht="14.25" x14ac:dyDescent="0.2">
      <c r="A20" s="133"/>
      <c r="B20" s="136"/>
      <c r="C20" s="124"/>
    </row>
    <row r="21" spans="1:3" s="126" customFormat="1" ht="15" x14ac:dyDescent="0.25">
      <c r="A21" s="130"/>
      <c r="B21" s="136"/>
      <c r="C21" s="132"/>
    </row>
    <row r="22" spans="1:3" s="126" customFormat="1" ht="14.25" x14ac:dyDescent="0.2">
      <c r="A22" s="124"/>
      <c r="B22" s="137"/>
      <c r="C22" s="124"/>
    </row>
    <row r="23" spans="1:3" s="126" customFormat="1" ht="14.25" x14ac:dyDescent="0.2">
      <c r="A23" s="124"/>
      <c r="B23" s="137"/>
      <c r="C23" s="124"/>
    </row>
    <row r="24" spans="1:3" s="126" customFormat="1" ht="15.75" x14ac:dyDescent="0.25">
      <c r="A24" s="138"/>
      <c r="B24" s="139"/>
    </row>
    <row r="25" spans="1:3" s="126" customFormat="1" x14ac:dyDescent="0.2"/>
    <row r="26" spans="1:3" s="126" customFormat="1" ht="15" x14ac:dyDescent="0.25">
      <c r="A26" s="140"/>
      <c r="B26" s="141"/>
    </row>
    <row r="27" spans="1:3" s="126" customFormat="1" x14ac:dyDescent="0.2"/>
    <row r="28" spans="1:3" s="126" customFormat="1" ht="15" x14ac:dyDescent="0.25">
      <c r="A28" s="140"/>
      <c r="B28" s="141"/>
    </row>
    <row r="29" spans="1:3" s="126" customFormat="1" x14ac:dyDescent="0.2"/>
    <row r="30" spans="1:3" s="126" customFormat="1" ht="15" x14ac:dyDescent="0.25">
      <c r="A30" s="140"/>
      <c r="B30" s="142"/>
    </row>
    <row r="31" spans="1:3" s="126" customFormat="1" ht="14.25" x14ac:dyDescent="0.2">
      <c r="B31" s="143"/>
    </row>
    <row r="32" spans="1:3" s="126" customFormat="1" x14ac:dyDescent="0.2"/>
    <row r="33" s="126" customFormat="1" x14ac:dyDescent="0.2"/>
  </sheetData>
  <hyperlinks>
    <hyperlink ref="B4" r:id="rId1"/>
    <hyperlink ref="B14"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AutoLoanCalculator</vt:lpstr>
      <vt:lpstr>PaymentCalculator</vt:lpstr>
      <vt:lpstr>LoanComparisons</vt:lpstr>
      <vt:lpstr>Help</vt:lpstr>
      <vt:lpstr>©</vt:lpstr>
      <vt:lpstr>fpdate</vt:lpstr>
      <vt:lpstr>loan_amount</vt:lpstr>
      <vt:lpstr>payment</vt:lpstr>
      <vt:lpstr>AutoLoanCalculator!Print_Area</vt:lpstr>
      <vt:lpstr>LoanComparisons!Print_Area</vt:lpstr>
      <vt:lpstr>PaymentCalculator!Print_Titles</vt:lpstr>
      <vt:lpstr>rate</vt:lpstr>
      <vt:lpstr>term</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Auto Loan Calculator</dc:title>
  <dc:creator>www.vertex42.com</dc:creator>
  <dc:description>(c) 2007-2015 Vertex42 LLC. All Rights Reserved.</dc:description>
  <cp:lastModifiedBy>MudraCircle</cp:lastModifiedBy>
  <cp:lastPrinted>2015-02-17T21:18:35Z</cp:lastPrinted>
  <dcterms:created xsi:type="dcterms:W3CDTF">2005-04-07T23:28:21Z</dcterms:created>
  <dcterms:modified xsi:type="dcterms:W3CDTF">2019-02-27T06:47:49Z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2007-2015 Vertex42 LLC</vt:lpwstr>
  </property>
  <property fmtid="{D5CDD505-2E9C-101B-9397-08002B2CF9AE}" pid="3" name="Version">
    <vt:lpwstr>1.2.1</vt:lpwstr>
  </property>
</Properties>
</file>