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adiaali/Desktop/"/>
    </mc:Choice>
  </mc:AlternateContent>
  <xr:revisionPtr revIDLastSave="0" documentId="13_ncr:1_{BAA82471-7399-6243-97FE-D223D09A5C3C}" xr6:coauthVersionLast="47" xr6:coauthVersionMax="47" xr10:uidLastSave="{00000000-0000-0000-0000-000000000000}"/>
  <bookViews>
    <workbookView xWindow="11080" yWindow="500" windowWidth="16500" windowHeight="15940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12" i="5" l="1"/>
  <c r="F14" i="5"/>
  <c r="F13" i="5"/>
  <c r="F16" i="5"/>
  <c r="F17" i="5"/>
  <c r="H12" i="5"/>
  <c r="G12" i="5"/>
  <c r="J12" i="5"/>
  <c r="K12" i="5"/>
  <c r="C18" i="5"/>
  <c r="C17" i="5"/>
  <c r="C16" i="5"/>
  <c r="C18" i="6"/>
  <c r="C16" i="6"/>
  <c r="C15" i="6"/>
  <c r="C9" i="6"/>
  <c r="C8" i="6"/>
  <c r="C6" i="6"/>
  <c r="E17" i="2"/>
  <c r="D27" i="4"/>
  <c r="C26" i="4"/>
  <c r="C27" i="4"/>
  <c r="C28" i="4"/>
  <c r="C29" i="4"/>
  <c r="C25" i="4"/>
  <c r="E23" i="4"/>
  <c r="C23" i="4"/>
  <c r="C22" i="4"/>
  <c r="C21" i="4"/>
  <c r="F16" i="2"/>
  <c r="F6" i="3"/>
  <c r="F4" i="3"/>
  <c r="G10" i="2"/>
  <c r="H10" i="2"/>
  <c r="I10" i="2"/>
  <c r="J10" i="2"/>
  <c r="F10" i="2"/>
  <c r="G9" i="2"/>
  <c r="H9" i="2"/>
  <c r="I9" i="2"/>
  <c r="J9" i="2"/>
  <c r="F9" i="2"/>
  <c r="F8" i="2"/>
  <c r="G8" i="2"/>
  <c r="H8" i="2"/>
  <c r="I8" i="2"/>
  <c r="J8" i="2"/>
  <c r="C13" i="6"/>
  <c r="C4" i="6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F14" i="4"/>
  <c r="E20" i="2"/>
  <c r="E9" i="4"/>
  <c r="E14" i="4"/>
  <c r="D20" i="2"/>
  <c r="D9" i="4"/>
  <c r="D14" i="4"/>
  <c r="C20" i="2"/>
  <c r="C9" i="4"/>
  <c r="C14" i="4"/>
  <c r="F6" i="4"/>
  <c r="E6" i="4"/>
  <c r="D6" i="4"/>
  <c r="C6" i="4"/>
  <c r="F5" i="4"/>
  <c r="E5" i="4"/>
  <c r="D5" i="4"/>
  <c r="C5" i="4"/>
  <c r="F4" i="4"/>
  <c r="F7" i="4"/>
  <c r="E19" i="2"/>
  <c r="E18" i="2"/>
  <c r="E4" i="4"/>
  <c r="E7" i="4"/>
  <c r="D19" i="2"/>
  <c r="D18" i="2"/>
  <c r="D4" i="4"/>
  <c r="D7" i="4"/>
  <c r="C19" i="2"/>
  <c r="C18" i="2"/>
  <c r="C17" i="2"/>
  <c r="C4" i="4"/>
  <c r="C7" i="4"/>
  <c r="H12" i="3"/>
  <c r="I12" i="3"/>
  <c r="J12" i="3"/>
  <c r="G12" i="3"/>
  <c r="E7" i="3"/>
  <c r="D7" i="3"/>
  <c r="C7" i="3"/>
  <c r="E4" i="3"/>
  <c r="D4" i="3"/>
  <c r="C4" i="3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15" i="2"/>
  <c r="D11" i="2"/>
  <c r="D15" i="2"/>
  <c r="C11" i="2"/>
  <c r="C5" i="3"/>
  <c r="C11" i="3"/>
  <c r="E8" i="2"/>
  <c r="E9" i="2"/>
  <c r="D8" i="2"/>
  <c r="C8" i="2"/>
  <c r="C9" i="2"/>
  <c r="E5" i="2"/>
  <c r="D5" i="2"/>
  <c r="E19" i="4"/>
  <c r="E22" i="4"/>
  <c r="C5" i="2"/>
  <c r="D19" i="4"/>
  <c r="D22" i="4"/>
  <c r="E4" i="2"/>
  <c r="D4" i="2"/>
  <c r="E18" i="4"/>
  <c r="E27" i="4"/>
  <c r="C4" i="2"/>
  <c r="D18" i="4"/>
  <c r="D26" i="4"/>
  <c r="E21" i="4"/>
  <c r="E28" i="4"/>
  <c r="D23" i="4"/>
  <c r="D21" i="4"/>
  <c r="E29" i="4"/>
  <c r="D28" i="4"/>
  <c r="E25" i="4"/>
  <c r="D29" i="4"/>
  <c r="E26" i="4"/>
  <c r="D25" i="4"/>
  <c r="D5" i="3"/>
  <c r="D11" i="3"/>
  <c r="F11" i="3"/>
  <c r="E6" i="2"/>
  <c r="D28" i="2"/>
  <c r="E27" i="2"/>
  <c r="E28" i="2"/>
  <c r="C6" i="2"/>
  <c r="C10" i="2"/>
  <c r="C12" i="2"/>
  <c r="C14" i="2"/>
  <c r="D9" i="2"/>
  <c r="C27" i="2"/>
  <c r="E5" i="3"/>
  <c r="E11" i="3"/>
  <c r="F4" i="2"/>
  <c r="G4" i="2"/>
  <c r="H18" i="4"/>
  <c r="E10" i="2"/>
  <c r="E12" i="2"/>
  <c r="E14" i="2"/>
  <c r="D17" i="2"/>
  <c r="H4" i="2"/>
  <c r="I18" i="4"/>
  <c r="E29" i="2"/>
  <c r="G18" i="4"/>
  <c r="C6" i="3"/>
  <c r="E25" i="2"/>
  <c r="C28" i="2"/>
  <c r="F18" i="4"/>
  <c r="F19" i="4"/>
  <c r="C15" i="2"/>
  <c r="D6" i="2"/>
  <c r="D10" i="2"/>
  <c r="D12" i="2"/>
  <c r="D14" i="2"/>
  <c r="D27" i="2"/>
  <c r="F27" i="2"/>
  <c r="G27" i="2"/>
  <c r="H27" i="2"/>
  <c r="I27" i="2"/>
  <c r="J27" i="2"/>
  <c r="D25" i="2"/>
  <c r="E6" i="3"/>
  <c r="E12" i="3"/>
  <c r="G11" i="3"/>
  <c r="F5" i="3"/>
  <c r="F22" i="4"/>
  <c r="G22" i="4"/>
  <c r="F23" i="4"/>
  <c r="G23" i="4"/>
  <c r="F25" i="4"/>
  <c r="G25" i="4"/>
  <c r="F28" i="4"/>
  <c r="G28" i="4"/>
  <c r="F27" i="4"/>
  <c r="G27" i="4"/>
  <c r="F21" i="4"/>
  <c r="F26" i="4"/>
  <c r="G26" i="4"/>
  <c r="F29" i="4"/>
  <c r="G29" i="4"/>
  <c r="D6" i="3"/>
  <c r="G21" i="4"/>
  <c r="F28" i="2"/>
  <c r="G28" i="2"/>
  <c r="H28" i="2"/>
  <c r="I28" i="2"/>
  <c r="J28" i="2"/>
  <c r="E16" i="2"/>
  <c r="E21" i="2"/>
  <c r="F4" i="5"/>
  <c r="F5" i="2"/>
  <c r="G19" i="4"/>
  <c r="C29" i="2"/>
  <c r="G5" i="2"/>
  <c r="I4" i="2"/>
  <c r="H5" i="2"/>
  <c r="I19" i="4"/>
  <c r="D29" i="2"/>
  <c r="F6" i="2"/>
  <c r="C12" i="3"/>
  <c r="C16" i="2"/>
  <c r="C21" i="2"/>
  <c r="D4" i="5"/>
  <c r="G6" i="4"/>
  <c r="H25" i="4"/>
  <c r="G13" i="4"/>
  <c r="H29" i="4"/>
  <c r="G12" i="4"/>
  <c r="H28" i="4"/>
  <c r="H26" i="4"/>
  <c r="G10" i="4"/>
  <c r="F15" i="2"/>
  <c r="F11" i="2"/>
  <c r="F12" i="2"/>
  <c r="F7" i="3"/>
  <c r="G4" i="3"/>
  <c r="G5" i="3"/>
  <c r="G9" i="4"/>
  <c r="H23" i="4"/>
  <c r="D12" i="3"/>
  <c r="D16" i="2"/>
  <c r="D21" i="2"/>
  <c r="E4" i="5"/>
  <c r="G11" i="4"/>
  <c r="H27" i="4"/>
  <c r="G5" i="4"/>
  <c r="H22" i="4"/>
  <c r="H11" i="3"/>
  <c r="H21" i="4"/>
  <c r="G4" i="4"/>
  <c r="I5" i="2"/>
  <c r="J19" i="4"/>
  <c r="J18" i="4"/>
  <c r="J4" i="2"/>
  <c r="H19" i="4"/>
  <c r="G6" i="2"/>
  <c r="H6" i="2"/>
  <c r="G14" i="4"/>
  <c r="F20" i="2"/>
  <c r="H13" i="4"/>
  <c r="I29" i="4"/>
  <c r="I11" i="3"/>
  <c r="G7" i="4"/>
  <c r="F19" i="2"/>
  <c r="F18" i="2"/>
  <c r="F17" i="2"/>
  <c r="H5" i="4"/>
  <c r="I22" i="4"/>
  <c r="G6" i="3"/>
  <c r="G16" i="2"/>
  <c r="I26" i="4"/>
  <c r="H10" i="4"/>
  <c r="I21" i="4"/>
  <c r="H4" i="4"/>
  <c r="F13" i="2"/>
  <c r="F14" i="2"/>
  <c r="F21" i="2"/>
  <c r="G4" i="5"/>
  <c r="G7" i="5"/>
  <c r="I28" i="4"/>
  <c r="H12" i="4"/>
  <c r="H6" i="4"/>
  <c r="I25" i="4"/>
  <c r="G15" i="2"/>
  <c r="G11" i="2"/>
  <c r="G12" i="2"/>
  <c r="I27" i="4"/>
  <c r="H11" i="4"/>
  <c r="I23" i="4"/>
  <c r="H9" i="4"/>
  <c r="I6" i="2"/>
  <c r="K18" i="4"/>
  <c r="J5" i="2"/>
  <c r="K19" i="4"/>
  <c r="H7" i="4"/>
  <c r="G19" i="2"/>
  <c r="H14" i="4"/>
  <c r="G20" i="2"/>
  <c r="J25" i="4"/>
  <c r="I6" i="4"/>
  <c r="I5" i="4"/>
  <c r="J22" i="4"/>
  <c r="J11" i="3"/>
  <c r="J27" i="4"/>
  <c r="I11" i="4"/>
  <c r="I10" i="4"/>
  <c r="J26" i="4"/>
  <c r="J29" i="4"/>
  <c r="I13" i="4"/>
  <c r="G18" i="2"/>
  <c r="G17" i="2"/>
  <c r="G13" i="2"/>
  <c r="G14" i="2"/>
  <c r="G21" i="2"/>
  <c r="H4" i="5"/>
  <c r="H7" i="5"/>
  <c r="J23" i="4"/>
  <c r="I9" i="4"/>
  <c r="I12" i="4"/>
  <c r="J28" i="4"/>
  <c r="J21" i="4"/>
  <c r="I4" i="4"/>
  <c r="G7" i="3"/>
  <c r="H4" i="3"/>
  <c r="J6" i="2"/>
  <c r="K28" i="4"/>
  <c r="K12" i="4"/>
  <c r="J12" i="4"/>
  <c r="K27" i="4"/>
  <c r="K11" i="4"/>
  <c r="J11" i="4"/>
  <c r="K26" i="4"/>
  <c r="K10" i="4"/>
  <c r="J10" i="4"/>
  <c r="H6" i="3"/>
  <c r="H16" i="2"/>
  <c r="H5" i="3"/>
  <c r="K29" i="4"/>
  <c r="K13" i="4"/>
  <c r="J13" i="4"/>
  <c r="I7" i="4"/>
  <c r="H19" i="2"/>
  <c r="I14" i="4"/>
  <c r="H20" i="2"/>
  <c r="K25" i="4"/>
  <c r="K6" i="4"/>
  <c r="J6" i="4"/>
  <c r="K21" i="4"/>
  <c r="K4" i="4"/>
  <c r="J4" i="4"/>
  <c r="J7" i="4"/>
  <c r="I19" i="2"/>
  <c r="K23" i="4"/>
  <c r="K9" i="4"/>
  <c r="J9" i="4"/>
  <c r="J5" i="4"/>
  <c r="K22" i="4"/>
  <c r="K5" i="4"/>
  <c r="J14" i="4"/>
  <c r="I20" i="2"/>
  <c r="I18" i="2"/>
  <c r="I17" i="2"/>
  <c r="K7" i="4"/>
  <c r="J19" i="2"/>
  <c r="J18" i="2"/>
  <c r="J17" i="2"/>
  <c r="H18" i="2"/>
  <c r="H17" i="2"/>
  <c r="K14" i="4"/>
  <c r="J20" i="2"/>
  <c r="H7" i="3"/>
  <c r="I4" i="3"/>
  <c r="H15" i="2"/>
  <c r="H11" i="2"/>
  <c r="H12" i="2"/>
  <c r="H13" i="2"/>
  <c r="H14" i="2"/>
  <c r="H21" i="2"/>
  <c r="I4" i="5"/>
  <c r="I7" i="5"/>
  <c r="I6" i="3"/>
  <c r="I16" i="2"/>
  <c r="I5" i="3"/>
  <c r="I7" i="3"/>
  <c r="J4" i="3"/>
  <c r="J6" i="3"/>
  <c r="J16" i="2"/>
  <c r="J5" i="3"/>
  <c r="I15" i="2"/>
  <c r="I11" i="2"/>
  <c r="I12" i="2"/>
  <c r="I13" i="2"/>
  <c r="I14" i="2"/>
  <c r="I21" i="2"/>
  <c r="J4" i="5"/>
  <c r="J7" i="5"/>
  <c r="J7" i="3"/>
  <c r="J15" i="2"/>
  <c r="J11" i="2"/>
  <c r="J12" i="2"/>
  <c r="J13" i="2"/>
  <c r="J14" i="2"/>
  <c r="J21" i="2"/>
  <c r="K4" i="5"/>
  <c r="C13" i="5"/>
  <c r="C14" i="5"/>
  <c r="K7" i="5"/>
  <c r="C10" i="5"/>
  <c r="C15" i="5"/>
  <c r="C19" i="5"/>
  <c r="C21" i="5"/>
  <c r="F12" i="5"/>
</calcChain>
</file>

<file path=xl/sharedStrings.xml><?xml version="1.0" encoding="utf-8"?>
<sst xmlns="http://schemas.openxmlformats.org/spreadsheetml/2006/main" count="220" uniqueCount="193">
  <si>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</si>
  <si>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</si>
  <si>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</si>
  <si>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</si>
  <si>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</si>
  <si>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</si>
  <si>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</si>
  <si>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</si>
  <si>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</si>
  <si>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</si>
  <si>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</si>
  <si>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</si>
  <si>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</si>
  <si>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</si>
  <si>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</si>
  <si>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</si>
  <si>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</si>
  <si>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</si>
  <si>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</si>
  <si>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</si>
  <si>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</si>
  <si>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</si>
  <si>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</si>
  <si>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</si>
  <si>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</si>
  <si>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</si>
  <si>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</si>
  <si>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</si>
  <si>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</si>
  <si>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</si>
  <si>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</si>
  <si>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</si>
  <si>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</si>
  <si>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</si>
  <si>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</si>
  <si>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</si>
  <si>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</si>
  <si>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</si>
  <si>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</si>
  <si>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</si>
  <si>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</si>
  <si>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</si>
  <si>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</si>
  <si>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</si>
  <si>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</si>
  <si>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</si>
  <si>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</si>
  <si>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</si>
  <si>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</si>
  <si>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</si>
  <si>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</si>
  <si>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</si>
  <si>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</si>
  <si>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</si>
  <si>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</si>
  <si>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</si>
  <si>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</si>
  <si>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</si>
  <si>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</si>
  <si>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</si>
  <si>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</si>
  <si>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</si>
  <si>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</si>
  <si>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</si>
  <si>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</si>
  <si>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</si>
  <si>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</si>
  <si>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</si>
  <si>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</si>
  <si>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</si>
  <si>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</si>
  <si>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</si>
  <si>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</si>
  <si>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</si>
  <si>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</si>
  <si>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</si>
  <si>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</si>
  <si>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</si>
  <si>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</si>
  <si>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</si>
  <si>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</si>
  <si>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</si>
  <si>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</si>
  <si>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</si>
  <si>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</si>
  <si>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</si>
  <si>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</si>
  <si>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</si>
  <si>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</si>
  <si>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</si>
  <si>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</si>
  <si>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</si>
  <si>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</si>
  <si>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</si>
  <si>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</si>
  <si>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</si>
  <si>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</si>
  <si>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</si>
  <si>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</si>
  <si>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</si>
  <si>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</si>
  <si>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</si>
  <si>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</si>
  <si>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</si>
  <si>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</si>
  <si>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</si>
  <si>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</si>
  <si>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</si>
  <si>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</si>
  <si>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</si>
  <si>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</si>
  <si>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</si>
  <si>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</si>
  <si>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</si>
  <si>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</si>
  <si>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</si>
  <si>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</si>
  <si>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</si>
  <si>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</si>
  <si>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</si>
  <si>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</si>
  <si>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</si>
  <si>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</si>
  <si>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</si>
  <si>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</si>
  <si>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</si>
  <si>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</si>
  <si>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</si>
  <si>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</si>
  <si>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</si>
  <si>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</si>
  <si>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</si>
  <si>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</si>
  <si>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</si>
  <si>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</si>
  <si>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</si>
  <si>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</si>
  <si>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</si>
  <si>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</si>
  <si>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</si>
  <si>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</si>
  <si>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</si>
  <si>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</si>
  <si>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</si>
  <si>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</si>
  <si>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</si>
  <si>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</si>
  <si>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</si>
  <si>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</si>
  <si>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</si>
  <si>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</si>
  <si>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</si>
  <si>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</si>
  <si>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</si>
  <si>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</si>
  <si>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</si>
  <si>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</si>
  <si>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</si>
  <si>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</si>
  <si>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</si>
  <si>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</si>
  <si>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</si>
  <si>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</si>
  <si>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</si>
  <si>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</si>
  <si>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</si>
  <si>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</si>
  <si>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</si>
  <si>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</si>
  <si>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</si>
  <si>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</si>
  <si>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</si>
  <si>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WACC = (E/E+D) * RE + (D/E+D) * RD * (1-T)</t>
  </si>
  <si>
    <t>E = Equity | D = Debt | RE = Cost of Equity | RD = Cost of Debt</t>
  </si>
  <si>
    <t>US Corporate Tax Rate</t>
  </si>
  <si>
    <t>Source: Bloomberg</t>
  </si>
  <si>
    <t>CAPM: E(Ri) = Rf + Bi(E(Rm)-Rf)</t>
  </si>
  <si>
    <t>E(Ri) = Expected Return | Rf = Risk-free Rate | Bi = Beta | E(Rm) = Expected Market Return</t>
  </si>
  <si>
    <t>Non-cash Working Capital = Current Assets - Cash - Current Liabilities</t>
  </si>
  <si>
    <t>TV = (FCFn * (1+g))/(WACC - g)</t>
  </si>
  <si>
    <t>FCFn = FCF Final Forecast Year | g = Growth Rate</t>
  </si>
  <si>
    <t>Industry (g)</t>
  </si>
  <si>
    <t>Company 10k Filing</t>
  </si>
  <si>
    <t>Consolidated Statements of Income - USD ($) shares in Thousands, $ in Millions</t>
  </si>
  <si>
    <t>Consolidated Statements of Cash Flows - USD ($) $ in Millions</t>
  </si>
  <si>
    <t>Discounted Cash Flow Steps</t>
  </si>
  <si>
    <t>1. Forecast the Free Cash Flow</t>
  </si>
  <si>
    <t>2. Calculate the Weighted Average Cost of Capital</t>
  </si>
  <si>
    <t>3. Calculate the Terminal Value</t>
  </si>
  <si>
    <t>4. Discount the FCF and TV</t>
  </si>
  <si>
    <t>5. Calculate the Implied Share Price</t>
  </si>
  <si>
    <t>What-If Analysis &gt; Data Table &gt; Row input: 3% &gt; Column input: 6.2%</t>
  </si>
  <si>
    <t>FCF = EBIT - Taxes + Depreciation &amp; Amortization - Capx - Increase in Non-cash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</si>
</sst>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  <numFmt numFmtId="170" formatCode="_(* #,##0_);_(* \(#,##0\);_(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rgb="FFFEFA98"/>
        <bgColor indexed="64"/>
      </patternFill>
    </fill>
    <fill>
      <patternFill patternType="solid">
        <fgColor rgb="FFFEFA98"/>
        <bgColor rgb="FFFFFF9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6" fillId="0" borderId="0" xfId="0" applyNumberFormat="1" applyFont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1" fillId="0" borderId="11" xfId="0" applyFont="1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  <xf numFmtId="3" fontId="2" fillId="0" borderId="5" xfId="0" applyNumberFormat="1" applyFont="1" applyFill="1" applyBorder="1"/>
    <xf numFmtId="3" fontId="1" fillId="0" borderId="0" xfId="0" applyNumberFormat="1" applyFont="1" applyFill="1"/>
    <xf numFmtId="9" fontId="6" fillId="0" borderId="0" xfId="0" applyNumberFormat="1" applyFont="1" applyFill="1"/>
    <xf numFmtId="167" fontId="1" fillId="0" borderId="0" xfId="0" applyNumberFormat="1" applyFont="1" applyFill="1"/>
    <xf numFmtId="170" fontId="1" fillId="0" borderId="0" xfId="1" applyNumberFormat="1" applyFont="1" applyFill="1"/>
    <xf numFmtId="3" fontId="1" fillId="0" borderId="5" xfId="0" applyNumberFormat="1" applyFont="1" applyFill="1" applyBorder="1"/>
    <xf numFmtId="2" fontId="6" fillId="0" borderId="0" xfId="0" applyNumberFormat="1" applyFont="1" applyFill="1"/>
    <xf numFmtId="4" fontId="2" fillId="6" borderId="4" xfId="0" applyNumberFormat="1" applyFont="1" applyFill="1" applyBorder="1"/>
    <xf numFmtId="0" fontId="1" fillId="0" borderId="0" xfId="0" applyFont="1" applyFill="1"/>
    <xf numFmtId="4" fontId="1" fillId="0" borderId="0" xfId="0" applyNumberFormat="1" applyFont="1" applyFill="1"/>
    <xf numFmtId="167" fontId="6" fillId="0" borderId="0" xfId="0" applyNumberFormat="1" applyFont="1" applyFill="1"/>
    <xf numFmtId="167" fontId="2" fillId="0" borderId="5" xfId="0" applyNumberFormat="1" applyFont="1" applyFill="1" applyBorder="1"/>
    <xf numFmtId="167" fontId="2" fillId="0" borderId="0" xfId="0" applyNumberFormat="1" applyFont="1" applyFill="1"/>
    <xf numFmtId="0" fontId="6" fillId="0" borderId="0" xfId="0" applyFont="1" applyFill="1"/>
    <xf numFmtId="0" fontId="2" fillId="7" borderId="4" xfId="0" applyFont="1" applyFill="1" applyBorder="1"/>
    <xf numFmtId="167" fontId="2" fillId="6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EFA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tabSelected="1" zoomScale="108" zoomScaleNormal="134" workbookViewId="0">
      <selection activeCell="B36" sqref="B36"/>
    </sheetView>
  </sheetViews>
  <sheetFormatPr baseColWidth="10" defaultColWidth="14.5" defaultRowHeight="15" customHeight="1" x14ac:dyDescent="0.2"/>
  <cols>
    <col min="1" max="1" width="8.83203125" customWidth="1"/>
    <col min="2" max="2" width="45.5" customWidth="1"/>
    <col min="3" max="4" width="10.5" customWidth="1"/>
    <col min="5" max="6" width="8.1640625" bestFit="1" customWidth="1"/>
    <col min="7" max="10" width="10.5" customWidth="1"/>
    <col min="11" max="26" width="8.83203125" customWidth="1"/>
  </cols>
  <sheetData>
    <row r="1" spans="2:10" ht="14.25" customHeight="1" x14ac:dyDescent="0.2"/>
    <row r="2" spans="2:10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2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 x14ac:dyDescent="0.2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 x14ac:dyDescent="0.2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 x14ac:dyDescent="0.2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 x14ac:dyDescent="0.2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 x14ac:dyDescent="0.2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F7+F8</f>
        <v>18887.32847958626</v>
      </c>
      <c r="G9" s="9">
        <f t="shared" ref="G9:J9" si="6">G7+G8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 x14ac:dyDescent="0.2">
      <c r="B10" s="10" t="s">
        <v>8</v>
      </c>
      <c r="C10" s="11">
        <f>C6-C9</f>
        <v>6229</v>
      </c>
      <c r="D10" s="11">
        <f>D6-D9</f>
        <v>7080</v>
      </c>
      <c r="E10" s="11">
        <f>E6-E9</f>
        <v>8489</v>
      </c>
      <c r="F10" s="11">
        <f>F6-F9</f>
        <v>9093.1916235050558</v>
      </c>
      <c r="G10" s="11">
        <f t="shared" ref="G10:J10" si="7">G6-G9</f>
        <v>10002.510785855553</v>
      </c>
      <c r="H10" s="11">
        <f t="shared" si="7"/>
        <v>10902.73675658257</v>
      </c>
      <c r="I10" s="11">
        <f t="shared" si="7"/>
        <v>11665.928329543356</v>
      </c>
      <c r="J10" s="11">
        <f t="shared" si="7"/>
        <v>12249.224746020522</v>
      </c>
    </row>
    <row r="11" spans="2:10" ht="14.25" customHeight="1" x14ac:dyDescent="0.2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0" ht="14.25" customHeight="1" x14ac:dyDescent="0.2">
      <c r="B12" s="10" t="s">
        <v>10</v>
      </c>
      <c r="C12" s="11">
        <f t="shared" ref="C12:E12" si="8">C10-C11</f>
        <v>4737</v>
      </c>
      <c r="D12" s="11">
        <f t="shared" si="8"/>
        <v>5435</v>
      </c>
      <c r="E12" s="11">
        <f t="shared" si="8"/>
        <v>6708</v>
      </c>
      <c r="F12" s="11">
        <f>F10-F11</f>
        <v>7097.2345080534733</v>
      </c>
      <c r="G12" s="11">
        <f t="shared" ref="G12:J12" si="9">G10-G11</f>
        <v>7858.1662742151011</v>
      </c>
      <c r="H12" s="11">
        <f t="shared" si="9"/>
        <v>8598.9731391151727</v>
      </c>
      <c r="I12" s="11">
        <f t="shared" si="9"/>
        <v>9190.8937554084896</v>
      </c>
      <c r="J12" s="11">
        <f t="shared" si="9"/>
        <v>9590.1862506139259</v>
      </c>
    </row>
    <row r="13" spans="2:10" ht="14.25" customHeight="1" x14ac:dyDescent="0.2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0">G12*G29</f>
        <v>1650.2149175851712</v>
      </c>
      <c r="H13" s="9">
        <f t="shared" si="10"/>
        <v>1805.7843592141862</v>
      </c>
      <c r="I13" s="9">
        <f t="shared" si="10"/>
        <v>1930.0876886357828</v>
      </c>
      <c r="J13" s="9">
        <f t="shared" si="10"/>
        <v>2013.9391126289245</v>
      </c>
    </row>
    <row r="14" spans="2:10" ht="14.25" customHeight="1" x14ac:dyDescent="0.2">
      <c r="B14" s="10" t="s">
        <v>12</v>
      </c>
      <c r="C14" s="11">
        <f t="shared" ref="C14:E14" si="11">C12-C13</f>
        <v>3676</v>
      </c>
      <c r="D14" s="11">
        <f t="shared" si="11"/>
        <v>4127</v>
      </c>
      <c r="E14" s="11">
        <f t="shared" si="11"/>
        <v>5107</v>
      </c>
      <c r="F14" s="11">
        <f>F12-F13</f>
        <v>5606.8152613622442</v>
      </c>
      <c r="G14" s="11">
        <f t="shared" ref="G14:J14" si="12">G12-G13</f>
        <v>6207.9513566299302</v>
      </c>
      <c r="H14" s="11">
        <f t="shared" si="12"/>
        <v>6793.1887799009864</v>
      </c>
      <c r="I14" s="11">
        <f t="shared" si="12"/>
        <v>7260.8060667727068</v>
      </c>
      <c r="J14" s="11">
        <f t="shared" si="12"/>
        <v>7576.2471379850012</v>
      </c>
    </row>
    <row r="15" spans="2:10" ht="14.25" customHeight="1" x14ac:dyDescent="0.2">
      <c r="B15" s="6" t="s">
        <v>13</v>
      </c>
      <c r="C15" s="7">
        <f t="shared" ref="C15:E15" si="13">C11</f>
        <v>1492</v>
      </c>
      <c r="D15" s="7">
        <f t="shared" si="13"/>
        <v>1645</v>
      </c>
      <c r="E15" s="7">
        <f t="shared" si="13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0" ht="14.25" customHeight="1" x14ac:dyDescent="0.2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 x14ac:dyDescent="0.2">
      <c r="B17" s="6" t="s">
        <v>15</v>
      </c>
      <c r="C17" s="7">
        <f>C18-('Net Working Capital'!C7-'Net Working Capital'!C14)</f>
        <v>-691</v>
      </c>
      <c r="D17" s="7">
        <f t="shared" ref="D17" si="14">D18-C18</f>
        <v>-2437</v>
      </c>
      <c r="E17" s="7">
        <f>E18-D18</f>
        <v>-1378</v>
      </c>
      <c r="F17" s="7">
        <f t="shared" ref="F17:J17" si="15">F18-E18</f>
        <v>-244.07865700528419</v>
      </c>
      <c r="G17" s="7">
        <f t="shared" si="15"/>
        <v>-1155.6078657005237</v>
      </c>
      <c r="H17" s="7">
        <f t="shared" si="15"/>
        <v>-1144.0517870435324</v>
      </c>
      <c r="I17" s="7">
        <f t="shared" si="15"/>
        <v>-969.90168168245873</v>
      </c>
      <c r="J17" s="7">
        <f t="shared" si="15"/>
        <v>-741.28199957158722</v>
      </c>
    </row>
    <row r="18" spans="2:10" ht="14.25" customHeight="1" x14ac:dyDescent="0.2">
      <c r="B18" s="12" t="s">
        <v>16</v>
      </c>
      <c r="C18" s="7">
        <f t="shared" ref="C18:E18" si="16">C19-C20</f>
        <v>-7497</v>
      </c>
      <c r="D18" s="7">
        <f t="shared" si="16"/>
        <v>-9934</v>
      </c>
      <c r="E18" s="7">
        <f t="shared" si="16"/>
        <v>-11312</v>
      </c>
      <c r="F18" s="7">
        <f>F19-F20</f>
        <v>-11556.078657005284</v>
      </c>
      <c r="G18" s="7">
        <f t="shared" ref="G18:J18" si="17">G19-G20</f>
        <v>-12711.686522705808</v>
      </c>
      <c r="H18" s="7">
        <f t="shared" si="17"/>
        <v>-13855.73830974934</v>
      </c>
      <c r="I18" s="7">
        <f t="shared" si="17"/>
        <v>-14825.639991431799</v>
      </c>
      <c r="J18" s="7">
        <f t="shared" si="17"/>
        <v>-15566.921991003386</v>
      </c>
    </row>
    <row r="19" spans="2:10" ht="14.25" customHeight="1" x14ac:dyDescent="0.2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2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2">
      <c r="B21" s="13" t="s">
        <v>19</v>
      </c>
      <c r="C21" s="14">
        <f t="shared" ref="C21:E21" si="18">C14+C15-C16-C17</f>
        <v>3158</v>
      </c>
      <c r="D21" s="14">
        <f t="shared" si="18"/>
        <v>2859</v>
      </c>
      <c r="E21" s="14">
        <f t="shared" si="18"/>
        <v>4698</v>
      </c>
      <c r="F21" s="14">
        <f>F14+F15-F16-F17</f>
        <v>3889.5510338191111</v>
      </c>
      <c r="G21" s="14">
        <f t="shared" ref="G21:J21" si="19">G14+G15-G16-G17</f>
        <v>5256.4023012886446</v>
      </c>
      <c r="H21" s="14">
        <f t="shared" si="19"/>
        <v>5673.4292135733813</v>
      </c>
      <c r="I21" s="14">
        <f t="shared" si="19"/>
        <v>5798.595648745827</v>
      </c>
      <c r="J21" s="14">
        <f t="shared" si="19"/>
        <v>5704.6041441625775</v>
      </c>
    </row>
    <row r="22" spans="2:10" ht="14.25" customHeight="1" x14ac:dyDescent="0.2"/>
    <row r="23" spans="2:10" ht="14.25" customHeight="1" x14ac:dyDescent="0.2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2">
      <c r="B24" s="3" t="str">
        <f t="shared" ref="B24:J24" si="20">B3</f>
        <v>Fiscal Year</v>
      </c>
      <c r="C24" s="4">
        <f t="shared" si="20"/>
        <v>43830</v>
      </c>
      <c r="D24" s="4">
        <f t="shared" si="20"/>
        <v>44196</v>
      </c>
      <c r="E24" s="4">
        <f t="shared" si="20"/>
        <v>44561</v>
      </c>
      <c r="F24" s="5">
        <f t="shared" si="20"/>
        <v>44926</v>
      </c>
      <c r="G24" s="5">
        <f t="shared" si="20"/>
        <v>45291</v>
      </c>
      <c r="H24" s="5">
        <f t="shared" si="20"/>
        <v>45657</v>
      </c>
      <c r="I24" s="5">
        <f t="shared" si="20"/>
        <v>46022</v>
      </c>
      <c r="J24" s="5">
        <f t="shared" si="20"/>
        <v>46387</v>
      </c>
    </row>
    <row r="25" spans="2:10" ht="14.25" customHeight="1" x14ac:dyDescent="0.2">
      <c r="B25" s="15" t="s">
        <v>21</v>
      </c>
      <c r="C25" s="15"/>
      <c r="D25" s="16">
        <f t="shared" ref="D25:E25" si="21">D4/C4-1</f>
        <v>9.2061059704131587E-2</v>
      </c>
      <c r="E25" s="16">
        <f t="shared" si="21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2">
      <c r="B27" s="15" t="s">
        <v>22</v>
      </c>
      <c r="C27" s="16">
        <f t="shared" ref="C27:E27" si="22">C5/C4</f>
        <v>0.87022520841109863</v>
      </c>
      <c r="D27" s="16">
        <f t="shared" si="22"/>
        <v>0.86914206559087559</v>
      </c>
      <c r="E27" s="16">
        <f t="shared" si="22"/>
        <v>0.87115230517177145</v>
      </c>
      <c r="F27" s="16">
        <f t="shared" ref="F27:F28" si="23">AVERAGE(C27:E27)</f>
        <v>0.87017319305791518</v>
      </c>
      <c r="G27" s="16">
        <f t="shared" ref="G27:J27" si="24">F27</f>
        <v>0.87017319305791518</v>
      </c>
      <c r="H27" s="16">
        <f t="shared" si="24"/>
        <v>0.87017319305791518</v>
      </c>
      <c r="I27" s="16">
        <f t="shared" si="24"/>
        <v>0.87017319305791518</v>
      </c>
      <c r="J27" s="16">
        <f t="shared" si="24"/>
        <v>0.87017319305791518</v>
      </c>
    </row>
    <row r="28" spans="2:10" ht="14.25" customHeight="1" x14ac:dyDescent="0.2">
      <c r="B28" s="15" t="s">
        <v>23</v>
      </c>
      <c r="C28" s="16">
        <f t="shared" ref="C28:E28" si="25">C8/C4</f>
        <v>8.8983189590250353E-2</v>
      </c>
      <c r="D28" s="16">
        <f t="shared" si="25"/>
        <v>8.8401964488099741E-2</v>
      </c>
      <c r="E28" s="16">
        <f t="shared" si="25"/>
        <v>8.5520775382919328E-2</v>
      </c>
      <c r="F28" s="16">
        <f t="shared" si="23"/>
        <v>8.7635309820423155E-2</v>
      </c>
      <c r="G28" s="16">
        <f t="shared" ref="G28:J28" si="26">F28</f>
        <v>8.7635309820423155E-2</v>
      </c>
      <c r="H28" s="16">
        <f t="shared" si="26"/>
        <v>8.7635309820423155E-2</v>
      </c>
      <c r="I28" s="16">
        <f t="shared" si="26"/>
        <v>8.7635309820423155E-2</v>
      </c>
      <c r="J28" s="16">
        <f t="shared" si="26"/>
        <v>8.7635309820423155E-2</v>
      </c>
    </row>
    <row r="29" spans="2:10" ht="14.25" customHeight="1" x14ac:dyDescent="0.2">
      <c r="B29" s="15" t="s">
        <v>24</v>
      </c>
      <c r="C29" s="16">
        <f t="shared" ref="C29:E29" si="27">C13/C12</f>
        <v>0.22398142284146083</v>
      </c>
      <c r="D29" s="16">
        <f t="shared" si="27"/>
        <v>0.24066237350505978</v>
      </c>
      <c r="E29" s="16">
        <f t="shared" si="27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2"/>
    <row r="31" spans="2:10" ht="14.25" customHeight="1" x14ac:dyDescent="0.2">
      <c r="B31" s="31" t="s">
        <v>192</v>
      </c>
    </row>
    <row r="32" spans="2:10" ht="14.25" customHeight="1" x14ac:dyDescent="0.2">
      <c r="B32" s="31" t="s">
        <v>178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D6" sqref="D6"/>
    </sheetView>
  </sheetViews>
  <sheetFormatPr baseColWidth="10" defaultColWidth="14.5" defaultRowHeight="15" customHeight="1" x14ac:dyDescent="0.2"/>
  <cols>
    <col min="1" max="1" width="8.83203125" customWidth="1"/>
    <col min="2" max="2" width="27.83203125" customWidth="1"/>
    <col min="3" max="10" width="8.5" customWidth="1"/>
    <col min="11" max="26" width="8.83203125" customWidth="1"/>
  </cols>
  <sheetData>
    <row r="1" spans="2:10" ht="14.25" customHeight="1" x14ac:dyDescent="0.2"/>
    <row r="2" spans="2:10" ht="14.25" customHeight="1" x14ac:dyDescent="0.2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2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30450.499805590225</v>
      </c>
      <c r="I4" s="17">
        <f t="shared" si="0"/>
        <v>32714.311158961362</v>
      </c>
      <c r="J4" s="17">
        <f t="shared" si="0"/>
        <v>35146.4232586707</v>
      </c>
    </row>
    <row r="5" spans="2:10" ht="14.25" customHeight="1" x14ac:dyDescent="0.2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F11*F4</f>
        <v>1995.9571154515827</v>
      </c>
      <c r="G5" s="17">
        <f t="shared" ref="G5:J5" si="1">G11*G4</f>
        <v>2144.3445116404519</v>
      </c>
      <c r="H5" s="17">
        <f t="shared" si="1"/>
        <v>2303.7636174673962</v>
      </c>
      <c r="I5" s="17">
        <f t="shared" si="1"/>
        <v>2475.0345741348665</v>
      </c>
      <c r="J5" s="17">
        <f t="shared" si="1"/>
        <v>2659.0384954065948</v>
      </c>
    </row>
    <row r="6" spans="2:10" ht="14.25" customHeight="1" x14ac:dyDescent="0.2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F12*F4</f>
        <v>3957.2999999999997</v>
      </c>
      <c r="G6" s="17">
        <f t="shared" ref="G6:J6" si="3">G12*G4</f>
        <v>4251.501432682262</v>
      </c>
      <c r="H6" s="17">
        <f t="shared" si="3"/>
        <v>4567.5749708385338</v>
      </c>
      <c r="I6" s="17">
        <f t="shared" si="3"/>
        <v>4907.1466738442041</v>
      </c>
      <c r="J6" s="17">
        <f t="shared" si="3"/>
        <v>5271.9634888006049</v>
      </c>
    </row>
    <row r="7" spans="2:10" ht="14.25" customHeight="1" x14ac:dyDescent="0.2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 t="shared" ref="G7:J7" si="4">G4-G5+G6</f>
        <v>30450.499805590225</v>
      </c>
      <c r="H7" s="19">
        <f t="shared" si="4"/>
        <v>32714.311158961362</v>
      </c>
      <c r="I7" s="19">
        <f t="shared" si="4"/>
        <v>35146.4232586707</v>
      </c>
      <c r="J7" s="19">
        <f t="shared" si="4"/>
        <v>37759.348252064709</v>
      </c>
    </row>
    <row r="8" spans="2:10" ht="14.25" customHeight="1" x14ac:dyDescent="0.2">
      <c r="E8" s="17"/>
    </row>
    <row r="9" spans="2:10" ht="14.25" customHeight="1" x14ac:dyDescent="0.2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2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 x14ac:dyDescent="0.2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0" ht="14.25" customHeight="1" x14ac:dyDescent="0.2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0" ht="14.25" customHeight="1" x14ac:dyDescent="0.2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2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2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topLeftCell="B1" workbookViewId="0">
      <selection activeCell="G10" sqref="G10"/>
    </sheetView>
  </sheetViews>
  <sheetFormatPr baseColWidth="10" defaultColWidth="14.5" defaultRowHeight="15" customHeight="1" x14ac:dyDescent="0.2"/>
  <cols>
    <col min="1" max="1" width="8.83203125" customWidth="1"/>
    <col min="2" max="2" width="40.5" customWidth="1"/>
    <col min="3" max="3" width="9.5" customWidth="1"/>
    <col min="4" max="26" width="8.83203125" customWidth="1"/>
  </cols>
  <sheetData>
    <row r="1" spans="2:11" ht="14.25" customHeight="1" x14ac:dyDescent="0.2"/>
    <row r="2" spans="2:11" ht="14.25" customHeight="1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2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</row>
    <row r="5" spans="2:11" ht="14.25" customHeight="1" x14ac:dyDescent="0.2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1" ht="14.25" customHeight="1" x14ac:dyDescent="0.2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G25*G18</f>
        <v>1205.5069635329301</v>
      </c>
      <c r="H6" s="17">
        <f t="shared" ref="H6:K6" si="2">H25*H18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1" ht="14.25" customHeight="1" x14ac:dyDescent="0.2">
      <c r="B7" s="18" t="s">
        <v>17</v>
      </c>
      <c r="C7" s="19">
        <f t="shared" ref="C7:F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>G4+G5+G6</f>
        <v>19467.228558197166</v>
      </c>
      <c r="H7" s="19">
        <f t="shared" ref="H7:K7" si="4">H4+H5+H6</f>
        <v>21413.95141401689</v>
      </c>
      <c r="I7" s="19">
        <f t="shared" si="4"/>
        <v>23341.207041278405</v>
      </c>
      <c r="J7" s="19">
        <f t="shared" si="4"/>
        <v>24975.091534167896</v>
      </c>
      <c r="K7" s="19">
        <f t="shared" si="4"/>
        <v>26223.846110876293</v>
      </c>
    </row>
    <row r="8" spans="2:11" ht="14.25" customHeight="1" x14ac:dyDescent="0.2"/>
    <row r="9" spans="2:11" ht="14.25" customHeight="1" x14ac:dyDescent="0.2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5">H23*H19/360</f>
        <v>19199.955498548879</v>
      </c>
      <c r="I9" s="17">
        <f t="shared" si="5"/>
        <v>20927.951493418277</v>
      </c>
      <c r="J9" s="17">
        <f t="shared" si="5"/>
        <v>22392.908097957559</v>
      </c>
      <c r="K9" s="17">
        <f t="shared" si="5"/>
        <v>23512.55350285544</v>
      </c>
    </row>
    <row r="10" spans="2:11" ht="14.25" customHeight="1" x14ac:dyDescent="0.2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G26*G$18</f>
        <v>4549.6063613377883</v>
      </c>
      <c r="H10" s="17">
        <f t="shared" ref="H10:K10" si="6">H26*H$18</f>
        <v>5004.5669974715684</v>
      </c>
      <c r="I10" s="17">
        <f t="shared" si="6"/>
        <v>5454.9780272440094</v>
      </c>
      <c r="J10" s="17">
        <f t="shared" si="6"/>
        <v>5836.8264891510908</v>
      </c>
      <c r="K10" s="17">
        <f t="shared" si="6"/>
        <v>6128.6678136086457</v>
      </c>
    </row>
    <row r="11" spans="2:11" ht="14.25" customHeight="1" x14ac:dyDescent="0.2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3" si="7">G27*G$18</f>
        <v>1728.2294341420902</v>
      </c>
      <c r="H11" s="17">
        <f t="shared" si="7"/>
        <v>1901.0523775562995</v>
      </c>
      <c r="I11" s="17">
        <f t="shared" si="7"/>
        <v>2072.1470915363666</v>
      </c>
      <c r="J11" s="17">
        <f t="shared" si="7"/>
        <v>2217.1973879439124</v>
      </c>
      <c r="K11" s="17">
        <f t="shared" si="7"/>
        <v>2328.0572573411082</v>
      </c>
    </row>
    <row r="12" spans="2:11" ht="14.25" customHeight="1" x14ac:dyDescent="0.2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si="7"/>
        <v>2381.381646728039</v>
      </c>
      <c r="H12" s="17">
        <f t="shared" si="7"/>
        <v>2619.5198114008431</v>
      </c>
      <c r="I12" s="17">
        <f t="shared" si="7"/>
        <v>2855.276594426919</v>
      </c>
      <c r="J12" s="17">
        <f t="shared" si="7"/>
        <v>3055.1459560368039</v>
      </c>
      <c r="K12" s="17">
        <f t="shared" si="7"/>
        <v>3207.9032538386446</v>
      </c>
    </row>
    <row r="13" spans="2:11" ht="14.25" customHeight="1" x14ac:dyDescent="0.2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si="7"/>
        <v>4909.5847743137392</v>
      </c>
      <c r="H13" s="17">
        <f t="shared" si="7"/>
        <v>5400.5432517451136</v>
      </c>
      <c r="I13" s="17">
        <f t="shared" si="7"/>
        <v>5886.5921444021742</v>
      </c>
      <c r="J13" s="17">
        <f t="shared" si="7"/>
        <v>6298.6535945103269</v>
      </c>
      <c r="K13" s="17">
        <f t="shared" si="7"/>
        <v>6613.586274235844</v>
      </c>
    </row>
    <row r="14" spans="2:11" ht="14.25" customHeight="1" x14ac:dyDescent="0.2">
      <c r="B14" s="18" t="s">
        <v>41</v>
      </c>
      <c r="C14" s="19">
        <f t="shared" ref="C14:F14" si="8">SUM(C9:C13)</f>
        <v>19836</v>
      </c>
      <c r="D14" s="19">
        <f t="shared" si="8"/>
        <v>21538</v>
      </c>
      <c r="E14" s="19">
        <f t="shared" si="8"/>
        <v>24749</v>
      </c>
      <c r="F14" s="19">
        <f t="shared" si="8"/>
        <v>28642</v>
      </c>
      <c r="G14" s="19">
        <f>SUM(G9:G13)</f>
        <v>31023.307215202451</v>
      </c>
      <c r="H14" s="19">
        <f t="shared" ref="H14:K14" si="9">SUM(H9:H13)</f>
        <v>34125.637936722698</v>
      </c>
      <c r="I14" s="19">
        <f t="shared" si="9"/>
        <v>37196.945351027745</v>
      </c>
      <c r="J14" s="19">
        <f t="shared" si="9"/>
        <v>39800.731525599695</v>
      </c>
      <c r="K14" s="19">
        <f t="shared" si="9"/>
        <v>41790.768101879679</v>
      </c>
    </row>
    <row r="15" spans="2:11" ht="14.25" customHeight="1" x14ac:dyDescent="0.2"/>
    <row r="16" spans="2:11" ht="14.25" customHeight="1" x14ac:dyDescent="0.2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 x14ac:dyDescent="0.2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 x14ac:dyDescent="0.2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2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 x14ac:dyDescent="0.2">
      <c r="B21" s="15" t="s">
        <v>42</v>
      </c>
      <c r="C21" s="22">
        <f>C4/C18*360</f>
        <v>4.2439396507882696</v>
      </c>
      <c r="D21" s="22">
        <f t="shared" ref="D21:E21" si="10">D4/D18*360</f>
        <v>3.6187894147462725</v>
      </c>
      <c r="E21" s="22">
        <f t="shared" si="10"/>
        <v>3.3461061039451674</v>
      </c>
      <c r="F21" s="22">
        <f>F4/F18*360</f>
        <v>3.3128327098081449</v>
      </c>
      <c r="G21" s="22">
        <f>AVERAGE(C21:F21)</f>
        <v>3.6304169698219635</v>
      </c>
      <c r="H21" s="22">
        <f>G21</f>
        <v>3.6304169698219635</v>
      </c>
      <c r="I21" s="22">
        <f t="shared" ref="I21:K21" si="11">H21</f>
        <v>3.6304169698219635</v>
      </c>
      <c r="J21" s="22">
        <f t="shared" si="11"/>
        <v>3.6304169698219635</v>
      </c>
      <c r="K21" s="22">
        <f t="shared" si="11"/>
        <v>3.6304169698219635</v>
      </c>
    </row>
    <row r="22" spans="2:11" ht="14.25" customHeight="1" x14ac:dyDescent="0.2">
      <c r="B22" s="15" t="s">
        <v>43</v>
      </c>
      <c r="C22" s="22">
        <f>C5/C19*360</f>
        <v>32.272313888527997</v>
      </c>
      <c r="D22" s="22">
        <f t="shared" ref="D22:E22" si="12">D5/D19*360</f>
        <v>30.870069081769337</v>
      </c>
      <c r="E22" s="22">
        <f t="shared" si="12"/>
        <v>30.406722828224286</v>
      </c>
      <c r="F22" s="22">
        <f>F5/F19*360</f>
        <v>29.981720606500904</v>
      </c>
      <c r="G22" s="22">
        <f t="shared" ref="G22:G23" si="13">AVERAGE(C22:F22)</f>
        <v>30.882706601255631</v>
      </c>
      <c r="H22" s="22">
        <f t="shared" ref="H22:K23" si="14">G22</f>
        <v>30.882706601255631</v>
      </c>
      <c r="I22" s="22">
        <f t="shared" si="14"/>
        <v>30.882706601255631</v>
      </c>
      <c r="J22" s="22">
        <f t="shared" si="14"/>
        <v>30.882706601255631</v>
      </c>
      <c r="K22" s="22">
        <f t="shared" si="14"/>
        <v>30.882706601255631</v>
      </c>
    </row>
    <row r="23" spans="2:11" ht="14.25" customHeight="1" x14ac:dyDescent="0.2">
      <c r="B23" s="15" t="s">
        <v>44</v>
      </c>
      <c r="C23" s="22">
        <f>C9/C19*360</f>
        <v>32.848187605560611</v>
      </c>
      <c r="D23" s="22">
        <f t="shared" ref="D23:E23" si="15">D9/D19*360</f>
        <v>31.639450355944192</v>
      </c>
      <c r="E23" s="22">
        <f t="shared" si="15"/>
        <v>35.200463643325811</v>
      </c>
      <c r="F23" s="22">
        <f>F9/F19*360</f>
        <v>34.332919312882282</v>
      </c>
      <c r="G23" s="22">
        <f t="shared" si="13"/>
        <v>33.505255229428229</v>
      </c>
      <c r="H23" s="22">
        <f t="shared" si="14"/>
        <v>33.505255229428229</v>
      </c>
      <c r="I23" s="22">
        <f t="shared" si="14"/>
        <v>33.505255229428229</v>
      </c>
      <c r="J23" s="22">
        <f t="shared" si="14"/>
        <v>33.505255229428229</v>
      </c>
      <c r="K23" s="22">
        <f t="shared" si="14"/>
        <v>33.505255229428229</v>
      </c>
    </row>
    <row r="24" spans="2:11" ht="14.25" customHeight="1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 x14ac:dyDescent="0.2">
      <c r="B25" s="15" t="s">
        <v>45</v>
      </c>
      <c r="C25" s="16">
        <f>C6/C$18</f>
        <v>2.2673334463468382E-3</v>
      </c>
      <c r="D25" s="16">
        <f t="shared" ref="D25:F25" si="16">D6/D$18</f>
        <v>7.2755610564298016E-3</v>
      </c>
      <c r="E25" s="16">
        <f t="shared" si="16"/>
        <v>6.1345278572328063E-3</v>
      </c>
      <c r="F25" s="16">
        <f t="shared" si="16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7">H25</f>
        <v>5.5934314031795837E-3</v>
      </c>
      <c r="J25" s="16">
        <f t="shared" si="17"/>
        <v>5.5934314031795837E-3</v>
      </c>
      <c r="K25" s="16">
        <f t="shared" si="17"/>
        <v>5.5934314031795837E-3</v>
      </c>
    </row>
    <row r="26" spans="2:11" ht="14.25" customHeight="1" x14ac:dyDescent="0.2">
      <c r="B26" s="15" t="s">
        <v>46</v>
      </c>
      <c r="C26" s="16">
        <f>C10/C$18</f>
        <v>2.1147652144431258E-2</v>
      </c>
      <c r="D26" s="16">
        <f t="shared" ref="D26:F26" si="18">D10/D$18</f>
        <v>2.0798543578056751E-2</v>
      </c>
      <c r="E26" s="16">
        <f t="shared" si="18"/>
        <v>2.1617764345380514E-2</v>
      </c>
      <c r="F26" s="16">
        <f t="shared" si="18"/>
        <v>2.0874908767972072E-2</v>
      </c>
      <c r="G26" s="16">
        <f t="shared" ref="G26:G29" si="19">AVERAGE(C26:F26)</f>
        <v>2.1109717208960148E-2</v>
      </c>
      <c r="H26" s="16">
        <f t="shared" ref="H26:K29" si="20">G26</f>
        <v>2.1109717208960148E-2</v>
      </c>
      <c r="I26" s="16">
        <f t="shared" si="20"/>
        <v>2.1109717208960148E-2</v>
      </c>
      <c r="J26" s="16">
        <f t="shared" si="20"/>
        <v>2.1109717208960148E-2</v>
      </c>
      <c r="K26" s="16">
        <f t="shared" si="20"/>
        <v>2.1109717208960148E-2</v>
      </c>
    </row>
    <row r="27" spans="2:11" ht="14.25" customHeight="1" x14ac:dyDescent="0.2">
      <c r="B27" s="15" t="s">
        <v>47</v>
      </c>
      <c r="C27" s="16">
        <f t="shared" ref="C27:F29" si="21">C11/C$18</f>
        <v>7.4659546815844489E-3</v>
      </c>
      <c r="D27" s="16">
        <f t="shared" si="21"/>
        <v>7.7274185837868277E-3</v>
      </c>
      <c r="E27" s="16">
        <f t="shared" si="21"/>
        <v>8.3532720480208201E-3</v>
      </c>
      <c r="F27" s="16">
        <f t="shared" si="21"/>
        <v>8.5285996457900564E-3</v>
      </c>
      <c r="G27" s="16">
        <f t="shared" si="19"/>
        <v>8.0188112397955383E-3</v>
      </c>
      <c r="H27" s="16">
        <f t="shared" si="20"/>
        <v>8.0188112397955383E-3</v>
      </c>
      <c r="I27" s="16">
        <f t="shared" si="20"/>
        <v>8.0188112397955383E-3</v>
      </c>
      <c r="J27" s="16">
        <f t="shared" si="20"/>
        <v>8.0188112397955383E-3</v>
      </c>
      <c r="K27" s="16">
        <f t="shared" si="20"/>
        <v>8.0188112397955383E-3</v>
      </c>
    </row>
    <row r="28" spans="2:11" ht="14.25" customHeight="1" x14ac:dyDescent="0.2">
      <c r="B28" s="15" t="s">
        <v>48</v>
      </c>
      <c r="C28" s="16">
        <f t="shared" si="21"/>
        <v>1.1470870769056903E-2</v>
      </c>
      <c r="D28" s="16">
        <f t="shared" si="21"/>
        <v>1.1204756946490901E-2</v>
      </c>
      <c r="E28" s="16">
        <f t="shared" si="21"/>
        <v>1.1099717559861118E-2</v>
      </c>
      <c r="F28" s="16">
        <f t="shared" si="21"/>
        <v>1.0422142714963074E-2</v>
      </c>
      <c r="G28" s="16">
        <f t="shared" si="19"/>
        <v>1.1049371997593E-2</v>
      </c>
      <c r="H28" s="16">
        <f t="shared" si="20"/>
        <v>1.1049371997593E-2</v>
      </c>
      <c r="I28" s="16">
        <f t="shared" si="20"/>
        <v>1.1049371997593E-2</v>
      </c>
      <c r="J28" s="16">
        <f t="shared" si="20"/>
        <v>1.1049371997593E-2</v>
      </c>
      <c r="K28" s="16">
        <f t="shared" si="20"/>
        <v>1.1049371997593E-2</v>
      </c>
    </row>
    <row r="29" spans="2:11" ht="14.25" customHeight="1" x14ac:dyDescent="0.2">
      <c r="B29" s="15" t="s">
        <v>49</v>
      </c>
      <c r="C29" s="16">
        <f t="shared" si="21"/>
        <v>2.0653218059558116E-2</v>
      </c>
      <c r="D29" s="16">
        <f t="shared" si="21"/>
        <v>2.4832518025186146E-2</v>
      </c>
      <c r="E29" s="16">
        <f t="shared" si="21"/>
        <v>2.2355346873669503E-2</v>
      </c>
      <c r="F29" s="16">
        <f t="shared" si="21"/>
        <v>2.3278840804577167E-2</v>
      </c>
      <c r="G29" s="16">
        <f t="shared" si="19"/>
        <v>2.2779980940747731E-2</v>
      </c>
      <c r="H29" s="16">
        <f t="shared" si="20"/>
        <v>2.2779980940747731E-2</v>
      </c>
      <c r="I29" s="16">
        <f t="shared" si="20"/>
        <v>2.2779980940747731E-2</v>
      </c>
      <c r="J29" s="16">
        <f t="shared" si="20"/>
        <v>2.2779980940747731E-2</v>
      </c>
      <c r="K29" s="16">
        <f t="shared" si="20"/>
        <v>2.2779980940747731E-2</v>
      </c>
    </row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000"/>
  <sheetViews>
    <sheetView showGridLines="0" workbookViewId="0">
      <selection activeCell="H23" sqref="H23"/>
    </sheetView>
  </sheetViews>
  <sheetFormatPr baseColWidth="10" defaultColWidth="14.5" defaultRowHeight="15" customHeight="1" x14ac:dyDescent="0.2"/>
  <cols>
    <col min="1" max="1" width="8.83203125" customWidth="1"/>
    <col min="2" max="2" width="28.5" customWidth="1"/>
    <col min="3" max="3" width="12" bestFit="1" customWidth="1"/>
    <col min="4" max="10" width="9.5" customWidth="1"/>
    <col min="11" max="11" width="8.1640625" customWidth="1"/>
    <col min="12" max="26" width="8.83203125" customWidth="1"/>
  </cols>
  <sheetData>
    <row r="1" spans="2:13" ht="14.25" customHeight="1" x14ac:dyDescent="0.2"/>
    <row r="2" spans="2:13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6" t="s">
        <v>185</v>
      </c>
    </row>
    <row r="3" spans="2:13" ht="14.25" customHeight="1" x14ac:dyDescent="0.2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  <c r="M3" s="6" t="s">
        <v>186</v>
      </c>
    </row>
    <row r="4" spans="2:13" ht="14.25" customHeight="1" x14ac:dyDescent="0.2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  <c r="M4" s="6" t="s">
        <v>187</v>
      </c>
    </row>
    <row r="5" spans="2:13" ht="14.25" customHeight="1" x14ac:dyDescent="0.2">
      <c r="M5" s="6" t="s">
        <v>188</v>
      </c>
    </row>
    <row r="6" spans="2:13" ht="14.25" customHeight="1" x14ac:dyDescent="0.2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M6" s="6" t="s">
        <v>189</v>
      </c>
    </row>
    <row r="7" spans="2:13" ht="14.25" customHeight="1" x14ac:dyDescent="0.2">
      <c r="B7" s="18" t="s">
        <v>51</v>
      </c>
      <c r="C7" s="18"/>
      <c r="D7" s="18"/>
      <c r="E7" s="18"/>
      <c r="F7" s="18"/>
      <c r="G7" s="38">
        <f>G4/(1+$C$12)^G6</f>
        <v>3661.2615778672789</v>
      </c>
      <c r="H7" s="38">
        <f t="shared" ref="H7:K7" si="0">H4/(1+$C$12)^H6</f>
        <v>4657.4817796908446</v>
      </c>
      <c r="I7" s="38">
        <f t="shared" si="0"/>
        <v>4731.9428669391891</v>
      </c>
      <c r="J7" s="38">
        <f t="shared" si="0"/>
        <v>4552.4791031573495</v>
      </c>
      <c r="K7" s="38">
        <f t="shared" si="0"/>
        <v>4215.81876555901</v>
      </c>
      <c r="M7" s="6" t="s">
        <v>190</v>
      </c>
    </row>
    <row r="8" spans="2:13" ht="14.25" customHeight="1" x14ac:dyDescent="0.2"/>
    <row r="9" spans="2:13" ht="14.25" customHeight="1" x14ac:dyDescent="0.2">
      <c r="B9" s="32" t="s">
        <v>52</v>
      </c>
      <c r="C9" s="33"/>
      <c r="E9" s="32" t="s">
        <v>53</v>
      </c>
      <c r="F9" s="34"/>
      <c r="G9" s="34"/>
      <c r="H9" s="34"/>
      <c r="I9" s="34"/>
      <c r="J9" s="34"/>
      <c r="K9" s="33"/>
    </row>
    <row r="10" spans="2:13" ht="14.25" customHeight="1" x14ac:dyDescent="0.2">
      <c r="B10" s="1" t="s">
        <v>54</v>
      </c>
      <c r="C10" s="39">
        <f>SUM(G7:K7)</f>
        <v>21818.984093213672</v>
      </c>
    </row>
    <row r="11" spans="2:13" ht="14.25" customHeight="1" x14ac:dyDescent="0.2">
      <c r="B11" s="1" t="s">
        <v>55</v>
      </c>
      <c r="C11" s="40">
        <v>0.03</v>
      </c>
      <c r="D11" s="6" t="s">
        <v>181</v>
      </c>
      <c r="E11" s="46"/>
      <c r="F11" s="46"/>
      <c r="G11" s="32" t="s">
        <v>55</v>
      </c>
      <c r="H11" s="34"/>
      <c r="I11" s="34"/>
      <c r="J11" s="34"/>
      <c r="K11" s="33"/>
      <c r="L11" s="6"/>
    </row>
    <row r="12" spans="2:13" ht="15" customHeight="1" x14ac:dyDescent="0.2">
      <c r="B12" s="1" t="s">
        <v>56</v>
      </c>
      <c r="C12" s="41">
        <f>WACC!C18</f>
        <v>6.2352675736655094E-2</v>
      </c>
      <c r="E12" s="46"/>
      <c r="F12" s="47">
        <f>C21</f>
        <v>358.48060863831506</v>
      </c>
      <c r="G12" s="24">
        <f>H12-0.5%</f>
        <v>1.9999999999999997E-2</v>
      </c>
      <c r="H12" s="24">
        <f>I12-0.5%</f>
        <v>2.4999999999999998E-2</v>
      </c>
      <c r="I12" s="24">
        <v>0.03</v>
      </c>
      <c r="J12" s="24">
        <f>I12+0.5%</f>
        <v>3.4999999999999996E-2</v>
      </c>
      <c r="K12" s="24">
        <f>J12+0.5%</f>
        <v>3.9999999999999994E-2</v>
      </c>
    </row>
    <row r="13" spans="2:13" ht="14.25" customHeight="1" x14ac:dyDescent="0.2">
      <c r="B13" s="1" t="s">
        <v>57</v>
      </c>
      <c r="C13" s="42">
        <f>K4*(1+C11)/(C12-C11)</f>
        <v>181615.34199875552</v>
      </c>
      <c r="E13" s="35" t="s">
        <v>56</v>
      </c>
      <c r="F13" s="24">
        <f>F14-0.5%</f>
        <v>5.2352675736655099E-2</v>
      </c>
      <c r="G13" s="47">
        <f t="dataTable" ref="G13:K17" dt2D="1" dtr="1" r1="C11" r2="C12"/>
        <v>371.47221252628356</v>
      </c>
      <c r="H13" s="47">
        <v>430.61734133032343</v>
      </c>
      <c r="I13" s="47">
        <v>516.22244723099823</v>
      </c>
      <c r="J13" s="47">
        <v>651.16006369074796</v>
      </c>
      <c r="K13" s="47">
        <v>895.33524077012839</v>
      </c>
    </row>
    <row r="14" spans="2:13" ht="14.25" customHeight="1" x14ac:dyDescent="0.2">
      <c r="B14" s="1" t="s">
        <v>58</v>
      </c>
      <c r="C14" s="42">
        <f>C13/(1+C12)^K6</f>
        <v>134217.44043278706</v>
      </c>
      <c r="D14" s="17"/>
      <c r="E14" s="36"/>
      <c r="F14" s="24">
        <f>F15-0.5%</f>
        <v>5.7352675736655097E-2</v>
      </c>
      <c r="G14" s="47">
        <v>322.40328567298167</v>
      </c>
      <c r="H14" s="25">
        <v>364.90073308911582</v>
      </c>
      <c r="I14" s="25">
        <v>422.9350324846647</v>
      </c>
      <c r="J14" s="25">
        <v>506.93235307699194</v>
      </c>
      <c r="K14" s="47">
        <v>639.33564970844668</v>
      </c>
    </row>
    <row r="15" spans="2:13" ht="14.25" customHeight="1" x14ac:dyDescent="0.2">
      <c r="B15" s="1" t="s">
        <v>59</v>
      </c>
      <c r="C15" s="42">
        <f>C14+C10</f>
        <v>156036.42452600074</v>
      </c>
      <c r="E15" s="36"/>
      <c r="F15" s="24">
        <v>6.2352675736655094E-2</v>
      </c>
      <c r="G15" s="47">
        <v>284.92118535794816</v>
      </c>
      <c r="H15" s="25">
        <v>316.77759352457474</v>
      </c>
      <c r="I15" s="26">
        <v>358.48060863831506</v>
      </c>
      <c r="J15" s="25">
        <v>415.43003529703424</v>
      </c>
      <c r="K15" s="47">
        <v>497.85713958578776</v>
      </c>
    </row>
    <row r="16" spans="2:13" ht="14.25" customHeight="1" x14ac:dyDescent="0.2">
      <c r="B16" s="12" t="s">
        <v>60</v>
      </c>
      <c r="C16" s="42">
        <f>'Balance Sheet'!F4</f>
        <v>11258</v>
      </c>
      <c r="E16" s="36"/>
      <c r="F16" s="24">
        <f>F15+0.5%</f>
        <v>6.7352675736655099E-2</v>
      </c>
      <c r="G16" s="47">
        <v>255.35555684804623</v>
      </c>
      <c r="H16" s="25">
        <v>280.01692077475582</v>
      </c>
      <c r="I16" s="25">
        <v>311.28058652866997</v>
      </c>
      <c r="J16" s="25">
        <v>352.2076464353259</v>
      </c>
      <c r="K16" s="47">
        <v>408.09743258518074</v>
      </c>
    </row>
    <row r="17" spans="2:11" ht="14.25" customHeight="1" x14ac:dyDescent="0.2">
      <c r="B17" s="12" t="s">
        <v>61</v>
      </c>
      <c r="C17" s="42">
        <f>WACC!C4</f>
        <v>7491</v>
      </c>
      <c r="E17" s="37"/>
      <c r="F17" s="24">
        <f>F16+0.5%</f>
        <v>7.2352675736655103E-2</v>
      </c>
      <c r="G17" s="47">
        <v>231.43820897389321</v>
      </c>
      <c r="H17" s="47">
        <v>251.01945280911673</v>
      </c>
      <c r="I17" s="47">
        <v>275.22407485944484</v>
      </c>
      <c r="J17" s="47">
        <v>305.90872051530414</v>
      </c>
      <c r="K17" s="47">
        <v>346.07778900704488</v>
      </c>
    </row>
    <row r="18" spans="2:11" ht="14.25" customHeight="1" x14ac:dyDescent="0.2">
      <c r="B18" s="12" t="s">
        <v>62</v>
      </c>
      <c r="C18" s="42">
        <f>'Balance Sheet'!F35</f>
        <v>514</v>
      </c>
      <c r="E18" s="6" t="s">
        <v>191</v>
      </c>
    </row>
    <row r="19" spans="2:11" ht="14.25" customHeight="1" x14ac:dyDescent="0.2">
      <c r="B19" s="27" t="s">
        <v>63</v>
      </c>
      <c r="C19" s="43">
        <f>C15+C16-C17-C18</f>
        <v>159289.42452600074</v>
      </c>
    </row>
    <row r="20" spans="2:11" ht="14.25" customHeight="1" x14ac:dyDescent="0.2">
      <c r="B20" s="1" t="s">
        <v>64</v>
      </c>
      <c r="C20" s="44">
        <v>444.346</v>
      </c>
      <c r="E20" s="6"/>
    </row>
    <row r="21" spans="2:11" ht="14.25" customHeight="1" x14ac:dyDescent="0.2">
      <c r="B21" s="13" t="s">
        <v>65</v>
      </c>
      <c r="C21" s="45">
        <f>C19/C20</f>
        <v>358.48060863831506</v>
      </c>
      <c r="D21" s="6" t="s">
        <v>182</v>
      </c>
    </row>
    <row r="22" spans="2:11" ht="14.25" customHeight="1" x14ac:dyDescent="0.2"/>
    <row r="23" spans="2:11" ht="14.25" customHeight="1" x14ac:dyDescent="0.2">
      <c r="B23" s="6" t="s">
        <v>179</v>
      </c>
    </row>
    <row r="24" spans="2:11" ht="14.25" customHeight="1" x14ac:dyDescent="0.2">
      <c r="B24" s="6" t="s">
        <v>180</v>
      </c>
    </row>
    <row r="25" spans="2:11" ht="14.25" customHeight="1" x14ac:dyDescent="0.2"/>
    <row r="26" spans="2:11" ht="14.25" customHeight="1" x14ac:dyDescent="0.2"/>
    <row r="27" spans="2:11" ht="14.25" customHeight="1" x14ac:dyDescent="0.2"/>
    <row r="28" spans="2:11" ht="14.25" customHeight="1" x14ac:dyDescent="0.2"/>
    <row r="29" spans="2:11" ht="14.25" customHeight="1" x14ac:dyDescent="0.2"/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>
      <selection activeCell="C26" sqref="C26"/>
    </sheetView>
  </sheetViews>
  <sheetFormatPr baseColWidth="10" defaultColWidth="14.5" defaultRowHeight="15" customHeight="1" x14ac:dyDescent="0.2"/>
  <cols>
    <col min="1" max="1" width="8.83203125" customWidth="1"/>
    <col min="2" max="2" width="37.1640625" customWidth="1"/>
    <col min="3" max="26" width="8.83203125" customWidth="1"/>
  </cols>
  <sheetData>
    <row r="1" spans="2:4" ht="14.25" customHeight="1" x14ac:dyDescent="0.2"/>
    <row r="2" spans="2:4" ht="14.25" customHeight="1" x14ac:dyDescent="0.2">
      <c r="B2" s="32" t="s">
        <v>66</v>
      </c>
      <c r="C2" s="33"/>
    </row>
    <row r="3" spans="2:4" ht="14.25" customHeight="1" x14ac:dyDescent="0.2">
      <c r="B3" s="1" t="s">
        <v>67</v>
      </c>
      <c r="C3" s="28">
        <v>214560</v>
      </c>
      <c r="D3" s="6" t="s">
        <v>175</v>
      </c>
    </row>
    <row r="4" spans="2:4" ht="14.25" customHeight="1" x14ac:dyDescent="0.2">
      <c r="B4" s="1" t="s">
        <v>68</v>
      </c>
      <c r="C4" s="17">
        <f>SUM('Balance Sheet'!F20,'Balance Sheet'!F24)</f>
        <v>7491</v>
      </c>
    </row>
    <row r="5" spans="2:4" ht="14.25" customHeight="1" x14ac:dyDescent="0.2">
      <c r="B5" s="1"/>
      <c r="C5" s="1"/>
    </row>
    <row r="6" spans="2:4" ht="14.25" customHeight="1" x14ac:dyDescent="0.2">
      <c r="B6" s="1" t="s">
        <v>69</v>
      </c>
      <c r="C6" s="41">
        <f>-'Income Statement'!E13/C4</f>
        <v>2.2827392871445733E-2</v>
      </c>
    </row>
    <row r="7" spans="2:4" ht="14.25" customHeight="1" x14ac:dyDescent="0.2">
      <c r="B7" s="1" t="s">
        <v>70</v>
      </c>
      <c r="C7" s="48">
        <v>0.21</v>
      </c>
      <c r="D7" s="6" t="s">
        <v>174</v>
      </c>
    </row>
    <row r="8" spans="2:4" ht="14.25" customHeight="1" x14ac:dyDescent="0.2">
      <c r="B8" s="1" t="s">
        <v>71</v>
      </c>
      <c r="C8" s="41">
        <f>C4/SUM(C3:C4)</f>
        <v>3.3735493197508681E-2</v>
      </c>
    </row>
    <row r="9" spans="2:4" ht="14.25" customHeight="1" x14ac:dyDescent="0.2">
      <c r="B9" s="18" t="s">
        <v>72</v>
      </c>
      <c r="C9" s="49">
        <f>C6*(1-C7)</f>
        <v>1.8033640368442131E-2</v>
      </c>
    </row>
    <row r="10" spans="2:4" ht="14.25" customHeight="1" x14ac:dyDescent="0.2">
      <c r="B10" s="10"/>
      <c r="C10" s="50"/>
    </row>
    <row r="11" spans="2:4" ht="14.25" customHeight="1" x14ac:dyDescent="0.2">
      <c r="B11" s="1" t="s">
        <v>73</v>
      </c>
      <c r="C11" s="48">
        <v>3.1E-2</v>
      </c>
      <c r="D11" s="6" t="s">
        <v>175</v>
      </c>
    </row>
    <row r="12" spans="2:4" ht="14.25" customHeight="1" x14ac:dyDescent="0.2">
      <c r="B12" s="1" t="s">
        <v>74</v>
      </c>
      <c r="C12" s="48">
        <v>7.8E-2</v>
      </c>
      <c r="D12" s="6" t="s">
        <v>175</v>
      </c>
    </row>
    <row r="13" spans="2:4" ht="14.25" customHeight="1" x14ac:dyDescent="0.2">
      <c r="B13" s="1" t="s">
        <v>75</v>
      </c>
      <c r="C13" s="41">
        <f>C12-C11</f>
        <v>4.7E-2</v>
      </c>
    </row>
    <row r="14" spans="2:4" ht="14.25" customHeight="1" x14ac:dyDescent="0.2">
      <c r="B14" s="1" t="s">
        <v>76</v>
      </c>
      <c r="C14" s="51">
        <v>0.7</v>
      </c>
      <c r="D14" s="6" t="s">
        <v>175</v>
      </c>
    </row>
    <row r="15" spans="2:4" ht="14.25" customHeight="1" x14ac:dyDescent="0.2">
      <c r="B15" s="1" t="s">
        <v>77</v>
      </c>
      <c r="C15" s="41">
        <f>C3/SUM(C3:C4)</f>
        <v>0.96626450680249132</v>
      </c>
    </row>
    <row r="16" spans="2:4" ht="14.25" customHeight="1" x14ac:dyDescent="0.2">
      <c r="B16" s="18" t="s">
        <v>78</v>
      </c>
      <c r="C16" s="49">
        <f>C11+C14*(C13)</f>
        <v>6.3899999999999998E-2</v>
      </c>
      <c r="D16" s="6" t="s">
        <v>176</v>
      </c>
    </row>
    <row r="17" spans="2:4" ht="14.25" customHeight="1" x14ac:dyDescent="0.2">
      <c r="B17" s="1"/>
      <c r="C17" s="46"/>
      <c r="D17" s="6" t="s">
        <v>177</v>
      </c>
    </row>
    <row r="18" spans="2:4" ht="14.25" customHeight="1" x14ac:dyDescent="0.2">
      <c r="B18" s="52" t="s">
        <v>56</v>
      </c>
      <c r="C18" s="53">
        <f>C9*C8+C16*C15</f>
        <v>6.2352675736655094E-2</v>
      </c>
    </row>
    <row r="19" spans="2:4" ht="14.25" customHeight="1" x14ac:dyDescent="0.2"/>
    <row r="20" spans="2:4" ht="14.25" customHeight="1" x14ac:dyDescent="0.2">
      <c r="B20" s="6" t="s">
        <v>172</v>
      </c>
    </row>
    <row r="21" spans="2:4" ht="14.25" customHeight="1" x14ac:dyDescent="0.2">
      <c r="B21" s="6" t="s">
        <v>173</v>
      </c>
    </row>
    <row r="22" spans="2:4" ht="14.25" customHeight="1" x14ac:dyDescent="0.2"/>
    <row r="23" spans="2:4" ht="14.25" customHeight="1" x14ac:dyDescent="0.2"/>
    <row r="24" spans="2:4" ht="14.25" customHeight="1" x14ac:dyDescent="0.2"/>
    <row r="25" spans="2:4" ht="14.25" customHeight="1" x14ac:dyDescent="0.2"/>
    <row r="26" spans="2:4" ht="14.25" customHeight="1" x14ac:dyDescent="0.2"/>
    <row r="27" spans="2:4" ht="14.25" customHeight="1" x14ac:dyDescent="0.2"/>
    <row r="28" spans="2:4" ht="14.25" customHeight="1" x14ac:dyDescent="0.2"/>
    <row r="29" spans="2:4" ht="14.25" customHeight="1" x14ac:dyDescent="0.2"/>
    <row r="30" spans="2:4" ht="14.25" customHeight="1" x14ac:dyDescent="0.2"/>
    <row r="31" spans="2:4" ht="14.25" customHeight="1" x14ac:dyDescent="0.2"/>
    <row r="32" spans="2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2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>
      <selection activeCell="B9" sqref="B9"/>
    </sheetView>
  </sheetViews>
  <sheetFormatPr baseColWidth="10" defaultColWidth="14.5" defaultRowHeight="15" customHeight="1" x14ac:dyDescent="0.2"/>
  <cols>
    <col min="1" max="1" width="8.83203125" customWidth="1"/>
    <col min="2" max="2" width="69.5" customWidth="1"/>
    <col min="3" max="6" width="15.5" customWidth="1"/>
    <col min="7" max="26" width="8.83203125" customWidth="1"/>
  </cols>
  <sheetData>
    <row r="1" spans="2:7" ht="14.25" customHeight="1" x14ac:dyDescent="0.2"/>
    <row r="2" spans="2:7" ht="14.25" customHeight="1" x14ac:dyDescent="0.2">
      <c r="B2" s="6" t="s">
        <v>183</v>
      </c>
    </row>
    <row r="3" spans="2:7" ht="14.25" customHeight="1" x14ac:dyDescent="0.2">
      <c r="C3" s="29" t="s">
        <v>79</v>
      </c>
      <c r="D3" s="29" t="s">
        <v>80</v>
      </c>
      <c r="E3" s="29" t="s">
        <v>81</v>
      </c>
    </row>
    <row r="4" spans="2:7" ht="14.25" customHeight="1" x14ac:dyDescent="0.2">
      <c r="B4" s="6" t="s">
        <v>82</v>
      </c>
    </row>
    <row r="5" spans="2:7" ht="14.25" customHeight="1" x14ac:dyDescent="0.2">
      <c r="B5" s="6" t="s">
        <v>83</v>
      </c>
      <c r="C5" s="30">
        <v>152703</v>
      </c>
      <c r="D5" s="30">
        <v>166761</v>
      </c>
      <c r="E5" s="30">
        <v>195929</v>
      </c>
    </row>
    <row r="6" spans="2:7" ht="14.25" customHeight="1" x14ac:dyDescent="0.2">
      <c r="B6" s="6" t="s">
        <v>84</v>
      </c>
    </row>
    <row r="7" spans="2:7" ht="14.25" customHeight="1" x14ac:dyDescent="0.2">
      <c r="B7" s="6" t="s">
        <v>85</v>
      </c>
      <c r="C7" s="17">
        <v>132886</v>
      </c>
      <c r="D7" s="17">
        <v>144939</v>
      </c>
      <c r="E7" s="17">
        <v>170684</v>
      </c>
    </row>
    <row r="8" spans="2:7" ht="14.25" customHeight="1" x14ac:dyDescent="0.2">
      <c r="B8" s="6" t="s">
        <v>86</v>
      </c>
      <c r="C8" s="17">
        <v>13502</v>
      </c>
      <c r="D8" s="17">
        <v>14687</v>
      </c>
      <c r="E8" s="17">
        <v>16680</v>
      </c>
      <c r="G8" s="30"/>
    </row>
    <row r="9" spans="2:7" ht="14.25" customHeight="1" x14ac:dyDescent="0.2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2">
      <c r="B10" s="6" t="s">
        <v>87</v>
      </c>
      <c r="C10" s="17">
        <v>86</v>
      </c>
      <c r="D10" s="17">
        <v>55</v>
      </c>
      <c r="E10" s="17">
        <v>76</v>
      </c>
    </row>
    <row r="11" spans="2:7" ht="14.25" customHeight="1" x14ac:dyDescent="0.2">
      <c r="B11" s="6" t="s">
        <v>88</v>
      </c>
      <c r="C11" s="17">
        <v>4737</v>
      </c>
      <c r="D11" s="17">
        <v>5435</v>
      </c>
      <c r="E11" s="17">
        <v>6708</v>
      </c>
    </row>
    <row r="12" spans="2:7" ht="14.25" customHeight="1" x14ac:dyDescent="0.2">
      <c r="B12" s="6" t="s">
        <v>89</v>
      </c>
      <c r="C12" s="17"/>
      <c r="D12" s="17"/>
      <c r="E12" s="17"/>
    </row>
    <row r="13" spans="2:7" ht="14.25" customHeight="1" x14ac:dyDescent="0.2">
      <c r="B13" s="6" t="s">
        <v>90</v>
      </c>
      <c r="C13" s="17">
        <v>-150</v>
      </c>
      <c r="D13" s="17">
        <v>-160</v>
      </c>
      <c r="E13" s="17">
        <v>-171</v>
      </c>
    </row>
    <row r="14" spans="2:7" ht="14.25" customHeight="1" x14ac:dyDescent="0.2">
      <c r="B14" s="6" t="s">
        <v>91</v>
      </c>
      <c r="C14" s="17">
        <v>178</v>
      </c>
      <c r="D14" s="17">
        <v>92</v>
      </c>
      <c r="E14" s="17">
        <v>143</v>
      </c>
    </row>
    <row r="15" spans="2:7" ht="14.25" customHeight="1" x14ac:dyDescent="0.2">
      <c r="B15" s="6" t="s">
        <v>92</v>
      </c>
      <c r="C15" s="17">
        <v>4765</v>
      </c>
      <c r="D15" s="17">
        <v>5367</v>
      </c>
      <c r="E15" s="17">
        <v>6680</v>
      </c>
    </row>
    <row r="16" spans="2:7" ht="14.25" customHeight="1" x14ac:dyDescent="0.2">
      <c r="B16" s="6" t="s">
        <v>93</v>
      </c>
      <c r="C16" s="17">
        <v>1061</v>
      </c>
      <c r="D16" s="17">
        <v>1308</v>
      </c>
      <c r="E16" s="17">
        <v>1601</v>
      </c>
    </row>
    <row r="17" spans="2:6" ht="14.25" customHeight="1" x14ac:dyDescent="0.2">
      <c r="B17" s="6" t="s">
        <v>94</v>
      </c>
      <c r="C17" s="17">
        <v>3704</v>
      </c>
      <c r="D17" s="17">
        <v>4059</v>
      </c>
      <c r="E17" s="17">
        <v>5079</v>
      </c>
    </row>
    <row r="18" spans="2:6" ht="14.25" customHeight="1" x14ac:dyDescent="0.2">
      <c r="C18" s="17"/>
      <c r="D18" s="17"/>
      <c r="E18" s="17"/>
    </row>
    <row r="19" spans="2:6" ht="14.25" customHeight="1" x14ac:dyDescent="0.2">
      <c r="B19" s="6" t="s">
        <v>95</v>
      </c>
      <c r="C19" s="17">
        <v>442923</v>
      </c>
      <c r="D19" s="17">
        <v>443901</v>
      </c>
      <c r="E19" s="17">
        <v>444346</v>
      </c>
    </row>
    <row r="20" spans="2:6" ht="14.25" customHeight="1" x14ac:dyDescent="0.2">
      <c r="C20" s="17"/>
      <c r="D20" s="17"/>
      <c r="E20" s="17"/>
    </row>
    <row r="21" spans="2:6" ht="14.25" customHeight="1" x14ac:dyDescent="0.2">
      <c r="B21" s="6" t="s">
        <v>96</v>
      </c>
      <c r="C21" s="17">
        <v>149351</v>
      </c>
      <c r="D21" s="17">
        <v>163220</v>
      </c>
      <c r="E21" s="17">
        <v>192052</v>
      </c>
    </row>
    <row r="22" spans="2:6" ht="14.25" customHeight="1" x14ac:dyDescent="0.2">
      <c r="B22" s="6" t="s">
        <v>97</v>
      </c>
      <c r="C22" s="17">
        <v>3352</v>
      </c>
      <c r="D22" s="17">
        <v>3541</v>
      </c>
      <c r="E22" s="17">
        <v>3877</v>
      </c>
    </row>
    <row r="23" spans="2:6" ht="14.25" customHeight="1" x14ac:dyDescent="0.2">
      <c r="D23" s="23"/>
      <c r="E23" s="23"/>
      <c r="F23" s="23"/>
    </row>
    <row r="24" spans="2:6" ht="14.25" customHeight="1" x14ac:dyDescent="0.2">
      <c r="D24" s="17"/>
      <c r="E24" s="17"/>
      <c r="F24" s="17"/>
    </row>
    <row r="25" spans="2:6" ht="14.25" customHeight="1" x14ac:dyDescent="0.2">
      <c r="D25" s="17"/>
      <c r="E25" s="17"/>
      <c r="F25" s="17"/>
    </row>
    <row r="26" spans="2:6" ht="14.25" customHeight="1" x14ac:dyDescent="0.2">
      <c r="D26" s="17"/>
      <c r="E26" s="17"/>
      <c r="F26" s="17"/>
    </row>
    <row r="27" spans="2:6" ht="14.25" customHeight="1" x14ac:dyDescent="0.2">
      <c r="D27" s="17"/>
      <c r="E27" s="17"/>
      <c r="F27" s="17"/>
    </row>
    <row r="28" spans="2:6" ht="14.25" customHeight="1" x14ac:dyDescent="0.2">
      <c r="D28" s="17"/>
      <c r="E28" s="17"/>
      <c r="F28" s="17"/>
    </row>
    <row r="29" spans="2:6" ht="14.25" customHeight="1" x14ac:dyDescent="0.2">
      <c r="D29" s="17"/>
      <c r="E29" s="17"/>
      <c r="F29" s="17"/>
    </row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topLeftCell="B1" workbookViewId="0"/>
  </sheetViews>
  <sheetFormatPr baseColWidth="10" defaultColWidth="14.5" defaultRowHeight="15" customHeight="1" x14ac:dyDescent="0.2"/>
  <cols>
    <col min="1" max="1" width="8.83203125" customWidth="1"/>
    <col min="2" max="2" width="104.83203125" customWidth="1"/>
    <col min="3" max="5" width="11.83203125" customWidth="1"/>
    <col min="6" max="6" width="11.5" customWidth="1"/>
    <col min="7" max="26" width="8.83203125" customWidth="1"/>
  </cols>
  <sheetData>
    <row r="1" spans="2:6" ht="14.25" customHeight="1" x14ac:dyDescent="0.2"/>
    <row r="2" spans="2:6" ht="14.25" customHeight="1" x14ac:dyDescent="0.2">
      <c r="B2" s="6" t="s">
        <v>98</v>
      </c>
      <c r="C2" s="6" t="s">
        <v>99</v>
      </c>
      <c r="D2" s="6" t="s">
        <v>79</v>
      </c>
      <c r="E2" s="6" t="s">
        <v>80</v>
      </c>
      <c r="F2" s="6" t="s">
        <v>81</v>
      </c>
    </row>
    <row r="3" spans="2:6" ht="14.25" customHeight="1" x14ac:dyDescent="0.2">
      <c r="B3" s="6" t="s">
        <v>100</v>
      </c>
    </row>
    <row r="4" spans="2:6" ht="14.25" customHeight="1" x14ac:dyDescent="0.2">
      <c r="B4" s="6" t="s">
        <v>101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2">
      <c r="B5" s="6" t="s">
        <v>102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2">
      <c r="B6" s="6" t="s">
        <v>103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2">
      <c r="B7" s="6" t="s">
        <v>104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2">
      <c r="B8" s="6" t="s">
        <v>105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2">
      <c r="B9" s="6" t="s">
        <v>106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2">
      <c r="B10" s="6" t="s">
        <v>107</v>
      </c>
      <c r="C10" s="17"/>
      <c r="D10" s="17"/>
      <c r="E10" s="17"/>
      <c r="F10" s="17"/>
    </row>
    <row r="11" spans="2:6" ht="14.25" customHeight="1" x14ac:dyDescent="0.2">
      <c r="B11" s="6" t="s">
        <v>108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2">
      <c r="B12" s="6" t="s">
        <v>109</v>
      </c>
      <c r="C12" s="17"/>
      <c r="D12" s="17">
        <v>0</v>
      </c>
      <c r="E12" s="17">
        <v>2788</v>
      </c>
      <c r="F12" s="17">
        <v>2890</v>
      </c>
    </row>
    <row r="13" spans="2:6" ht="14.25" customHeight="1" x14ac:dyDescent="0.2">
      <c r="B13" s="6" t="s">
        <v>110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2">
      <c r="B14" s="6" t="s">
        <v>111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2">
      <c r="B15" s="6" t="s">
        <v>112</v>
      </c>
      <c r="C15" s="17"/>
      <c r="D15" s="17"/>
      <c r="E15" s="17"/>
      <c r="F15" s="17"/>
    </row>
    <row r="16" spans="2:6" ht="14.25" customHeight="1" x14ac:dyDescent="0.2">
      <c r="B16" s="6" t="s">
        <v>113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2">
      <c r="B17" s="6" t="s">
        <v>114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2">
      <c r="B18" s="6" t="s">
        <v>115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2">
      <c r="B19" s="6" t="s">
        <v>116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2">
      <c r="B20" s="6" t="s">
        <v>117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2">
      <c r="B21" s="6" t="s">
        <v>118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2">
      <c r="B22" s="6" t="s">
        <v>119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2">
      <c r="B23" s="6" t="s">
        <v>120</v>
      </c>
      <c r="C23" s="17"/>
      <c r="D23" s="17"/>
      <c r="E23" s="17"/>
      <c r="F23" s="17"/>
    </row>
    <row r="24" spans="2:6" ht="14.25" customHeight="1" x14ac:dyDescent="0.2">
      <c r="B24" s="6" t="s">
        <v>121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2">
      <c r="B25" s="6" t="s">
        <v>122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2">
      <c r="B26" s="6" t="s">
        <v>123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2">
      <c r="B27" s="6" t="s">
        <v>124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2">
      <c r="B28" s="6" t="s">
        <v>125</v>
      </c>
      <c r="C28" s="17"/>
      <c r="D28" s="17"/>
      <c r="E28" s="17"/>
      <c r="F28" s="17"/>
    </row>
    <row r="29" spans="2:6" ht="14.25" customHeight="1" x14ac:dyDescent="0.2">
      <c r="B29" s="6" t="s">
        <v>126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2">
      <c r="B30" s="6" t="s">
        <v>127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2">
      <c r="B31" s="6" t="s">
        <v>128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2">
      <c r="B32" s="6" t="s">
        <v>129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2">
      <c r="B33" s="6" t="s">
        <v>130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2">
      <c r="B34" s="6" t="s">
        <v>131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2">
      <c r="B35" s="6" t="s">
        <v>132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2">
      <c r="B36" s="6" t="s">
        <v>133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2">
      <c r="B37" s="6" t="s">
        <v>134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2"/>
    <row r="39" spans="2:6" ht="14.25" customHeight="1" x14ac:dyDescent="0.2"/>
    <row r="40" spans="2:6" ht="14.25" customHeight="1" x14ac:dyDescent="0.2"/>
    <row r="41" spans="2:6" ht="14.25" customHeight="1" x14ac:dyDescent="0.2"/>
    <row r="42" spans="2:6" ht="14.25" customHeight="1" x14ac:dyDescent="0.2"/>
    <row r="43" spans="2:6" ht="14.25" customHeight="1" x14ac:dyDescent="0.2"/>
    <row r="44" spans="2:6" ht="14.25" customHeight="1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topLeftCell="B1" workbookViewId="0">
      <selection activeCell="B11" sqref="B11"/>
    </sheetView>
  </sheetViews>
  <sheetFormatPr baseColWidth="10" defaultColWidth="14.5" defaultRowHeight="15" customHeight="1" x14ac:dyDescent="0.2"/>
  <cols>
    <col min="1" max="1" width="8.83203125" customWidth="1"/>
    <col min="2" max="2" width="101.5" customWidth="1"/>
    <col min="3" max="5" width="15.5" customWidth="1"/>
    <col min="6" max="26" width="8.83203125" customWidth="1"/>
  </cols>
  <sheetData>
    <row r="1" spans="2:5" ht="14.25" customHeight="1" x14ac:dyDescent="0.2"/>
    <row r="2" spans="2:5" ht="14.25" customHeight="1" x14ac:dyDescent="0.2">
      <c r="B2" s="6" t="s">
        <v>184</v>
      </c>
    </row>
    <row r="3" spans="2:5" ht="14.25" customHeight="1" x14ac:dyDescent="0.2">
      <c r="C3" s="6" t="s">
        <v>79</v>
      </c>
      <c r="D3" s="6" t="s">
        <v>80</v>
      </c>
      <c r="E3" s="6" t="s">
        <v>81</v>
      </c>
    </row>
    <row r="4" spans="2:5" ht="14.25" customHeight="1" x14ac:dyDescent="0.2">
      <c r="B4" s="6" t="s">
        <v>135</v>
      </c>
    </row>
    <row r="5" spans="2:5" ht="14.25" customHeight="1" x14ac:dyDescent="0.2">
      <c r="B5" s="6" t="s">
        <v>136</v>
      </c>
      <c r="C5" s="6">
        <v>3704</v>
      </c>
      <c r="D5" s="6">
        <v>4059</v>
      </c>
      <c r="E5" s="6">
        <v>5079</v>
      </c>
    </row>
    <row r="6" spans="2:5" ht="14.25" customHeight="1" x14ac:dyDescent="0.2">
      <c r="B6" s="6" t="s">
        <v>137</v>
      </c>
    </row>
    <row r="7" spans="2:5" ht="14.25" customHeight="1" x14ac:dyDescent="0.2">
      <c r="B7" s="6" t="s">
        <v>138</v>
      </c>
      <c r="C7" s="6">
        <v>1492</v>
      </c>
      <c r="D7" s="6">
        <v>1645</v>
      </c>
      <c r="E7" s="6">
        <v>1781</v>
      </c>
    </row>
    <row r="8" spans="2:5" ht="14.25" customHeight="1" x14ac:dyDescent="0.2">
      <c r="B8" s="6" t="s">
        <v>139</v>
      </c>
      <c r="C8" s="6">
        <v>0</v>
      </c>
      <c r="D8" s="6">
        <v>194</v>
      </c>
      <c r="E8" s="6">
        <v>286</v>
      </c>
    </row>
    <row r="9" spans="2:5" ht="14.25" customHeight="1" x14ac:dyDescent="0.2">
      <c r="B9" s="6" t="s">
        <v>140</v>
      </c>
      <c r="C9" s="6">
        <v>595</v>
      </c>
      <c r="D9" s="6">
        <v>619</v>
      </c>
      <c r="E9" s="6">
        <v>665</v>
      </c>
    </row>
    <row r="10" spans="2:5" ht="14.25" customHeight="1" x14ac:dyDescent="0.2">
      <c r="B10" s="6" t="s">
        <v>141</v>
      </c>
      <c r="C10" s="6">
        <v>9</v>
      </c>
      <c r="D10" s="6">
        <v>42</v>
      </c>
      <c r="E10" s="6">
        <v>85</v>
      </c>
    </row>
    <row r="11" spans="2:5" ht="14.25" customHeight="1" x14ac:dyDescent="0.2">
      <c r="B11" s="6" t="s">
        <v>142</v>
      </c>
      <c r="C11" s="6">
        <v>147</v>
      </c>
      <c r="D11" s="6">
        <v>104</v>
      </c>
      <c r="E11" s="6">
        <v>59</v>
      </c>
    </row>
    <row r="12" spans="2:5" ht="14.25" customHeight="1" x14ac:dyDescent="0.2">
      <c r="B12" s="6" t="s">
        <v>143</v>
      </c>
    </row>
    <row r="13" spans="2:5" ht="14.25" customHeight="1" x14ac:dyDescent="0.2">
      <c r="B13" s="6" t="s">
        <v>104</v>
      </c>
      <c r="C13" s="6">
        <v>-536</v>
      </c>
      <c r="D13" s="6">
        <v>-791</v>
      </c>
      <c r="E13" s="6">
        <v>-1892</v>
      </c>
    </row>
    <row r="14" spans="2:5" ht="14.25" customHeight="1" x14ac:dyDescent="0.2">
      <c r="B14" s="6" t="s">
        <v>113</v>
      </c>
      <c r="C14" s="6">
        <v>322</v>
      </c>
      <c r="D14" s="6">
        <v>2261</v>
      </c>
      <c r="E14" s="6">
        <v>1838</v>
      </c>
    </row>
    <row r="15" spans="2:5" ht="14.25" customHeight="1" x14ac:dyDescent="0.2">
      <c r="B15" s="6" t="s">
        <v>144</v>
      </c>
      <c r="C15" s="6">
        <v>623</v>
      </c>
      <c r="D15" s="6">
        <v>728</v>
      </c>
      <c r="E15" s="6">
        <v>1057</v>
      </c>
    </row>
    <row r="16" spans="2:5" ht="14.25" customHeight="1" x14ac:dyDescent="0.2">
      <c r="B16" s="6" t="s">
        <v>145</v>
      </c>
      <c r="C16" s="6">
        <v>6356</v>
      </c>
      <c r="D16" s="6">
        <v>8861</v>
      </c>
      <c r="E16" s="6">
        <v>8958</v>
      </c>
    </row>
    <row r="17" spans="2:5" ht="14.25" customHeight="1" x14ac:dyDescent="0.2">
      <c r="B17" s="6" t="s">
        <v>146</v>
      </c>
    </row>
    <row r="18" spans="2:5" ht="14.25" customHeight="1" x14ac:dyDescent="0.2">
      <c r="B18" s="6" t="s">
        <v>147</v>
      </c>
      <c r="C18" s="6">
        <v>-1094</v>
      </c>
      <c r="D18" s="6">
        <v>-1626</v>
      </c>
      <c r="E18" s="6">
        <v>-1331</v>
      </c>
    </row>
    <row r="19" spans="2:5" ht="14.25" customHeight="1" x14ac:dyDescent="0.2">
      <c r="B19" s="6" t="s">
        <v>148</v>
      </c>
      <c r="C19" s="6">
        <v>1231</v>
      </c>
      <c r="D19" s="6">
        <v>1678</v>
      </c>
      <c r="E19" s="6">
        <v>1446</v>
      </c>
    </row>
    <row r="20" spans="2:5" ht="14.25" customHeight="1" x14ac:dyDescent="0.2">
      <c r="B20" s="6" t="s">
        <v>149</v>
      </c>
      <c r="C20" s="6">
        <v>-2998</v>
      </c>
      <c r="D20" s="6">
        <v>-2810</v>
      </c>
      <c r="E20" s="6">
        <v>-3588</v>
      </c>
    </row>
    <row r="21" spans="2:5" ht="14.25" customHeight="1" x14ac:dyDescent="0.2">
      <c r="B21" s="6" t="s">
        <v>150</v>
      </c>
      <c r="C21" s="6">
        <v>0</v>
      </c>
      <c r="D21" s="6">
        <v>-1163</v>
      </c>
      <c r="E21" s="6">
        <v>0</v>
      </c>
    </row>
    <row r="22" spans="2:5" ht="14.25" customHeight="1" x14ac:dyDescent="0.2">
      <c r="B22" s="6" t="s">
        <v>151</v>
      </c>
      <c r="C22" s="6">
        <v>-4</v>
      </c>
      <c r="D22" s="6">
        <v>30</v>
      </c>
      <c r="E22" s="6">
        <v>-62</v>
      </c>
    </row>
    <row r="23" spans="2:5" ht="14.25" customHeight="1" x14ac:dyDescent="0.2">
      <c r="B23" s="6" t="s">
        <v>152</v>
      </c>
      <c r="C23" s="6">
        <v>-2865</v>
      </c>
      <c r="D23" s="6">
        <v>-3891</v>
      </c>
      <c r="E23" s="6">
        <v>-3535</v>
      </c>
    </row>
    <row r="24" spans="2:5" ht="14.25" customHeight="1" x14ac:dyDescent="0.2">
      <c r="B24" s="6" t="s">
        <v>153</v>
      </c>
    </row>
    <row r="25" spans="2:5" ht="14.25" customHeight="1" x14ac:dyDescent="0.2">
      <c r="B25" s="6" t="s">
        <v>154</v>
      </c>
      <c r="C25" s="6">
        <v>210</v>
      </c>
      <c r="D25" s="6">
        <v>137</v>
      </c>
      <c r="E25" s="6">
        <v>188</v>
      </c>
    </row>
    <row r="26" spans="2:5" ht="14.25" customHeight="1" x14ac:dyDescent="0.2">
      <c r="B26" s="6" t="s">
        <v>155</v>
      </c>
      <c r="C26" s="6">
        <v>0</v>
      </c>
      <c r="D26" s="6">
        <v>0</v>
      </c>
      <c r="E26" s="6">
        <v>41</v>
      </c>
    </row>
    <row r="27" spans="2:5" ht="14.25" customHeight="1" x14ac:dyDescent="0.2">
      <c r="B27" s="6" t="s">
        <v>156</v>
      </c>
      <c r="C27" s="6">
        <v>298</v>
      </c>
      <c r="D27" s="6">
        <v>3992</v>
      </c>
      <c r="E27" s="6">
        <v>0</v>
      </c>
    </row>
    <row r="28" spans="2:5" ht="14.25" customHeight="1" x14ac:dyDescent="0.2">
      <c r="B28" s="6" t="s">
        <v>157</v>
      </c>
      <c r="C28" s="6">
        <v>-89</v>
      </c>
      <c r="D28" s="6">
        <v>-3200</v>
      </c>
      <c r="E28" s="6">
        <v>-94</v>
      </c>
    </row>
    <row r="29" spans="2:5" ht="14.25" customHeight="1" x14ac:dyDescent="0.2">
      <c r="B29" s="6" t="s">
        <v>158</v>
      </c>
      <c r="C29" s="6">
        <v>-272</v>
      </c>
      <c r="D29" s="6">
        <v>-330</v>
      </c>
      <c r="E29" s="6">
        <v>-312</v>
      </c>
    </row>
    <row r="30" spans="2:5" ht="14.25" customHeight="1" x14ac:dyDescent="0.2">
      <c r="B30" s="6" t="s">
        <v>159</v>
      </c>
      <c r="C30" s="6">
        <v>-247</v>
      </c>
      <c r="D30" s="6">
        <v>-196</v>
      </c>
      <c r="E30" s="6">
        <v>-496</v>
      </c>
    </row>
    <row r="31" spans="2:5" ht="14.25" customHeight="1" x14ac:dyDescent="0.2">
      <c r="B31" s="6" t="s">
        <v>160</v>
      </c>
      <c r="C31" s="6">
        <v>-1038</v>
      </c>
      <c r="D31" s="6">
        <v>-1479</v>
      </c>
      <c r="E31" s="6">
        <v>-5748</v>
      </c>
    </row>
    <row r="32" spans="2:5" ht="14.25" customHeight="1" x14ac:dyDescent="0.2">
      <c r="B32" s="6" t="s">
        <v>161</v>
      </c>
      <c r="C32" s="6">
        <v>-9</v>
      </c>
      <c r="D32" s="6">
        <v>-71</v>
      </c>
      <c r="E32" s="6">
        <v>-67</v>
      </c>
    </row>
    <row r="33" spans="2:5" ht="14.25" customHeight="1" x14ac:dyDescent="0.2">
      <c r="B33" s="6" t="s">
        <v>162</v>
      </c>
      <c r="C33" s="6">
        <v>-1147</v>
      </c>
      <c r="D33" s="6">
        <v>-1147</v>
      </c>
      <c r="E33" s="6">
        <v>-6488</v>
      </c>
    </row>
    <row r="34" spans="2:5" ht="14.25" customHeight="1" x14ac:dyDescent="0.2">
      <c r="B34" s="6" t="s">
        <v>163</v>
      </c>
      <c r="C34" s="6">
        <v>-15</v>
      </c>
      <c r="D34" s="6">
        <v>70</v>
      </c>
      <c r="E34" s="6">
        <v>46</v>
      </c>
    </row>
    <row r="35" spans="2:5" ht="14.25" customHeight="1" x14ac:dyDescent="0.2">
      <c r="B35" s="6" t="s">
        <v>164</v>
      </c>
      <c r="C35" s="6">
        <v>2329</v>
      </c>
      <c r="D35" s="6">
        <v>3893</v>
      </c>
      <c r="E35" s="6">
        <v>-1019</v>
      </c>
    </row>
    <row r="36" spans="2:5" ht="14.25" customHeight="1" x14ac:dyDescent="0.2">
      <c r="B36" s="6" t="s">
        <v>165</v>
      </c>
      <c r="C36" s="6">
        <v>6055</v>
      </c>
      <c r="D36" s="6">
        <v>8384</v>
      </c>
      <c r="E36" s="6">
        <v>12277</v>
      </c>
    </row>
    <row r="37" spans="2:5" ht="14.25" customHeight="1" x14ac:dyDescent="0.2">
      <c r="B37" s="6" t="s">
        <v>166</v>
      </c>
      <c r="C37" s="6">
        <v>8384</v>
      </c>
      <c r="D37" s="6">
        <v>12277</v>
      </c>
      <c r="E37" s="6">
        <v>11258</v>
      </c>
    </row>
    <row r="38" spans="2:5" ht="14.25" customHeight="1" x14ac:dyDescent="0.2">
      <c r="B38" s="6" t="s">
        <v>167</v>
      </c>
    </row>
    <row r="39" spans="2:5" ht="14.25" customHeight="1" x14ac:dyDescent="0.2">
      <c r="B39" s="6" t="s">
        <v>168</v>
      </c>
      <c r="C39" s="6">
        <v>141</v>
      </c>
      <c r="D39" s="6">
        <v>124</v>
      </c>
      <c r="E39" s="6">
        <v>149</v>
      </c>
    </row>
    <row r="40" spans="2:5" ht="14.25" customHeight="1" x14ac:dyDescent="0.2">
      <c r="B40" s="6" t="s">
        <v>169</v>
      </c>
      <c r="C40" s="6">
        <v>1187</v>
      </c>
      <c r="D40" s="6">
        <v>1052</v>
      </c>
      <c r="E40" s="6">
        <v>1527</v>
      </c>
    </row>
    <row r="41" spans="2:5" ht="14.25" customHeight="1" x14ac:dyDescent="0.2">
      <c r="B41" s="6" t="s">
        <v>170</v>
      </c>
    </row>
    <row r="42" spans="2:5" ht="14.25" customHeight="1" x14ac:dyDescent="0.2">
      <c r="B42" s="6" t="s">
        <v>171</v>
      </c>
      <c r="C42" s="6">
        <v>286</v>
      </c>
      <c r="D42" s="6">
        <v>0</v>
      </c>
      <c r="E42" s="6">
        <v>0</v>
      </c>
    </row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Nadia Ali</cp:lastModifiedBy>
  <dcterms:created xsi:type="dcterms:W3CDTF">2022-06-25T16:24:49Z</dcterms:created>
  <dcterms:modified xsi:type="dcterms:W3CDTF">2023-06-03T19:05:50Z</dcterms:modified>
</cp:coreProperties>
</file>