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ature (jinguji)" sheetId="1" r:id="rId4"/>
    <sheet state="visible" name="Headwear (eji)" sheetId="2" r:id="rId5"/>
    <sheet state="visible" name="Facewear (tanaka)" sheetId="3" r:id="rId6"/>
    <sheet state="visible" name="Outwear (america)" sheetId="4" r:id="rId7"/>
    <sheet state="visible" name="Innerwear (avante)" sheetId="5" r:id="rId8"/>
    <sheet state="visible" name="Legwear (maxiwear)" sheetId="6" r:id="rId9"/>
    <sheet state="visible" name="Footwear (4store)" sheetId="7" r:id="rId10"/>
  </sheets>
  <definedNames>
    <definedName hidden="1" localSheetId="0" name="_xlnm._FilterDatabase">'Signature (jinguji)'!$A$1:$E$1000</definedName>
    <definedName hidden="1" localSheetId="1" name="_xlnm._FilterDatabase">'Headwear (eji)'!$A$1:$E$998</definedName>
    <definedName hidden="1" localSheetId="2" name="_xlnm._FilterDatabase">'Facewear (tanaka)'!$A$1:$E$1000</definedName>
    <definedName hidden="1" localSheetId="3" name="_xlnm._FilterDatabase">'Outwear (america)'!$A$1:$E$997</definedName>
    <definedName hidden="1" localSheetId="4" name="_xlnm._FilterDatabase">'Innerwear (avante)'!$A$1:$E$1000</definedName>
    <definedName hidden="1" localSheetId="5" name="_xlnm._FilterDatabase">'Legwear (maxiwear)'!$A$1:$E$1000</definedName>
    <definedName hidden="1" localSheetId="6" name="_xlnm._FilterDatabase">'Footwear (4store)'!$A$1:$E$1000</definedName>
  </definedNames>
  <calcPr/>
</workbook>
</file>

<file path=xl/sharedStrings.xml><?xml version="1.0" encoding="utf-8"?>
<sst xmlns="http://schemas.openxmlformats.org/spreadsheetml/2006/main" count="6151" uniqueCount="3086">
  <si>
    <t>SLOT</t>
  </si>
  <si>
    <t>TAG</t>
  </si>
  <si>
    <t>COMMAND</t>
  </si>
  <si>
    <t xml:space="preserve">NAME </t>
  </si>
  <si>
    <t>IDENTIFIER</t>
  </si>
  <si>
    <t>FACE</t>
  </si>
  <si>
    <t>CORPO</t>
  </si>
  <si>
    <t>Game.AddToInventory("Items.Corporate_01_Set_Glasses", 1)</t>
  </si>
  <si>
    <t>TACTICAL HYBRID-GLASS CORPORATE GLASSES</t>
  </si>
  <si>
    <t>FIXER</t>
  </si>
  <si>
    <t>Game.AddToInventory("Items.Fixer_01_Set_Glasses", 1)</t>
  </si>
  <si>
    <t>POLYCARBONATE OPTI-ENHANCED FIXER GLASSES</t>
  </si>
  <si>
    <t>JOHNNY'S</t>
  </si>
  <si>
    <t>Game.AddToInventory("Items.Q005_Johnny_Glasses_Legendary", 1)</t>
  </si>
  <si>
    <t>JOHNNY'S AVIATORS</t>
  </si>
  <si>
    <t>MEDIA</t>
  </si>
  <si>
    <t>Game.AddToInventory("Items.Media_01_Set_Tech", 1)</t>
  </si>
  <si>
    <t>ARMORED MEDIA OCUSET WITH CAMERA</t>
  </si>
  <si>
    <t>NETRUNNER</t>
  </si>
  <si>
    <t>Game.AddToInventory("Items.Netrunner_01_Set_Visor", 1)</t>
  </si>
  <si>
    <t>ANTISURGE ICE-PROTECTED NETRUNNER INFOVISOR</t>
  </si>
  <si>
    <t>NOMAD</t>
  </si>
  <si>
    <t>Game.AddToInventory("Items.Nomad_01_Set_Mask", 1)</t>
  </si>
  <si>
    <t>MANGANESE-LAMINATE NOMAD GAS MASK</t>
  </si>
  <si>
    <t>POLICE</t>
  </si>
  <si>
    <t>Game.AddToInventory("Items.Cop_01_Set_Glasses", 1)</t>
  </si>
  <si>
    <t>HOLO-TINTED BADGE GOGGLES</t>
  </si>
  <si>
    <t>ROCKER</t>
  </si>
  <si>
    <t>Game.AddToInventory("Items.Rockerboy_01_Set_Glasses", 1)</t>
  </si>
  <si>
    <t>SCRATCH-RESISTANT POLARIZED ROCKER AVIATORS</t>
  </si>
  <si>
    <t>SOLO</t>
  </si>
  <si>
    <t>Game.AddToInventory("Items.Solo_01_Set_Visor", 1)</t>
  </si>
  <si>
    <t>TITANIUM SOLO TECHGOGS WITH TACTICAL SOFTWARE</t>
  </si>
  <si>
    <t>TECHIE</t>
  </si>
  <si>
    <t>Game.AddToInventory("Items.Techie_01_Set_Tech", 1)</t>
  </si>
  <si>
    <t>LAMINATED ICE-PROTECTED TECHIE OCUSET</t>
  </si>
  <si>
    <t>FEET</t>
  </si>
  <si>
    <t>2.0 PATCH</t>
  </si>
  <si>
    <t>Game.AddToInventory("Items.Twitch_Drop_Boots", 1)</t>
  </si>
  <si>
    <t>NUS INFILTRATOR BOOTS</t>
  </si>
  <si>
    <t>Game.AddToInventory("Items.VHard_50_RefBody_Feet", 1)</t>
  </si>
  <si>
    <t>RETROTHRUSTERS (FROM ROGUE)</t>
  </si>
  <si>
    <t>Game.AddToInventory("Items.Corporate_01_Set_FormalShoes", 1)</t>
  </si>
  <si>
    <t>ERGONOMIC REINFORCED CORPORATE PUMPS</t>
  </si>
  <si>
    <t>Game.AddToInventory("Items.Fixer_01_Set_FormalShoes", 1)</t>
  </si>
  <si>
    <t>ELASTIWEAVE FIXER PUMPS WITH REINFORCED SEAMS</t>
  </si>
  <si>
    <t>Game.AddToInventory("Items.Q005_Johnny_Shoes_Legendary", 1)</t>
  </si>
  <si>
    <t>JOHNNY'S SHOES</t>
  </si>
  <si>
    <t>Game.AddToInventory("Items.Media_01_Set_Shoes", 1)</t>
  </si>
  <si>
    <t>LIGHTWEIGHT HARDENED-RUBBER MEDIA STEEL-TOES</t>
  </si>
  <si>
    <t>Game.AddToInventory("Items.Netrunner_01_Set_Shoes", 1)</t>
  </si>
  <si>
    <t>HARDENED NETRUNNER BOOTS WITH COMPOSITE INSERT</t>
  </si>
  <si>
    <t>Game.AddToInventory("Items.Nomad_01_Set_Boots", 1)</t>
  </si>
  <si>
    <t>DURABLE BIOLEATHER NOMAD WESTERN BOOTS</t>
  </si>
  <si>
    <t>Game.AddToInventory("Items.Cop_01_Set_Boots", 1)</t>
  </si>
  <si>
    <t>WATERPROOF BADGE COMBAT BOOTS</t>
  </si>
  <si>
    <t>Game.AddToInventory("Items.Rockerboy_01_Set_Boots", 1)</t>
  </si>
  <si>
    <t>PUNCTURE-RESISTANT ROCKER PLATFORM BOOTS</t>
  </si>
  <si>
    <t>ROGUE</t>
  </si>
  <si>
    <t>Game.AddToInventory("Items.Q115_Custom_Predator_Boots", 1)</t>
  </si>
  <si>
    <t>PREDATOR EXO JACKS (FROM ROGUE)</t>
  </si>
  <si>
    <t>Game.AddToInventory("Items.Solo_01_Set_Boots", 1)</t>
  </si>
  <si>
    <t>GOLD-TIPPED MANGANESE STEEL SOLO BOOTS</t>
  </si>
  <si>
    <t>Game.AddToInventory("Items.Techie_01_Set_Shoes", 1)</t>
  </si>
  <si>
    <t>CUSHIONED ARAMID-SOLE TECHIE SHOES</t>
  </si>
  <si>
    <t>V'S CORPO</t>
  </si>
  <si>
    <t>Game.AddToInventory("Items.Q000_Corpo_FormalShoes", 1)</t>
  </si>
  <si>
    <t>V'S OFFICE PUMPS</t>
  </si>
  <si>
    <t>V'S NOMAD</t>
  </si>
  <si>
    <t>Game.AddToInventory("Items.Q000_Nomad_Boots", 1)</t>
  </si>
  <si>
    <t>V'S NOMAD SHOES</t>
  </si>
  <si>
    <t>V'S OUTFIT</t>
  </si>
  <si>
    <t>Game.AddToInventory("Items.Q203_Epilogue_Boots", 1)</t>
  </si>
  <si>
    <t>V'S GOLD-PLATED BOOTS</t>
  </si>
  <si>
    <t>Game.AddToInventory("Items.Q202_Epilogue_Boots", 1)</t>
  </si>
  <si>
    <t>V'S MUDDY SNEAKERS</t>
  </si>
  <si>
    <t>Game.AddToInventory("Items.Q001_Shoes", 1)</t>
  </si>
  <si>
    <t>V'S SNEAKERS</t>
  </si>
  <si>
    <t>V'S STREET</t>
  </si>
  <si>
    <t>Game.AddToInventory("Items.Q000_StreetKid_Shoes", 1)</t>
  </si>
  <si>
    <t>V'S STREET TONGUES</t>
  </si>
  <si>
    <t>HEAD</t>
  </si>
  <si>
    <t xml:space="preserve"> -</t>
  </si>
  <si>
    <t>Game.AddToInventory("Items.Proficiency_Scarf_02_rich_01_Crafting", 1)</t>
  </si>
  <si>
    <t>SANDY BOA SHOCK-ABSORBENT HEADBAND</t>
  </si>
  <si>
    <t>Game.AddToInventory("Items.Q303_mask_h1", 1)</t>
  </si>
  <si>
    <t>AMIKIRI SOUND CUTTER</t>
  </si>
  <si>
    <t>Game.AddToInventory("Items.q301_fia_helmet", 1)</t>
  </si>
  <si>
    <t>FIA AGENT HELMET</t>
  </si>
  <si>
    <t>Game.AddToInventory("Items.Twitch_Drop_Specs", 1)</t>
  </si>
  <si>
    <t>NUS INFILTRATOR HEADGEAR</t>
  </si>
  <si>
    <t>MAXTAC</t>
  </si>
  <si>
    <t>Game.AddToInventory("Items.SQ030_MaxTac_Helmet", 1)</t>
  </si>
  <si>
    <t>MAXTAC TACTICAL HELMET WITH MULTIFUNCTION INFOVISOR</t>
  </si>
  <si>
    <t>Game.AddToInventory("Items.Media_01_Set_Cap", 1)</t>
  </si>
  <si>
    <t>MEDIA BASEBALL CAP WITH REACTIVE LAYER</t>
  </si>
  <si>
    <t>Game.AddToInventory("Items.Helmet_02_basic_01", 1)</t>
  </si>
  <si>
    <t>POLICE HELMET WITH ANTI-SHRAPNEL VISOR</t>
  </si>
  <si>
    <t>Game.AddToInventory("Items.Techie_01_Set_Cap", 1)</t>
  </si>
  <si>
    <t>CUSHIONED TECHIE BASEBALL CAP</t>
  </si>
  <si>
    <t>INNER TORSO</t>
  </si>
  <si>
    <t>Game.AddToInventory("Items.Red_Play_TShirt", 1)</t>
  </si>
  <si>
    <t>GWENT T-SHIRT</t>
  </si>
  <si>
    <t>Game.AddToInventory("Items.Q303_lina_tshirt", 1)</t>
  </si>
  <si>
    <t>LINA MALINA'S T-SHIRT</t>
  </si>
  <si>
    <t>Game.AddToInventory("Items.Corporate_01_Set_FormalShirt", 1)</t>
  </si>
  <si>
    <t>CARBONWEAVE SILK CORPORATE SHIRT</t>
  </si>
  <si>
    <t>Game.AddToInventory("Items.Fixer_01_Set_TShirt", 1)</t>
  </si>
  <si>
    <t>HEAT-RESISTANT ARAMID-WEAVE FIXER BUSTIER</t>
  </si>
  <si>
    <t>GOG</t>
  </si>
  <si>
    <t>Game.AddToInventory("Items.GOG_Galaxy_TShirt_Legendary", 1)</t>
  </si>
  <si>
    <t>GALAXY T-SHIRT</t>
  </si>
  <si>
    <t>Game.AddToInventory("Items.GOG_DLC_TShirt_Legendary", 1)</t>
  </si>
  <si>
    <t>WOLF SCHOOL T-SHIRT</t>
  </si>
  <si>
    <t>Game.AddToInventory("Items.Q204_Epilogue_TShirt", 1)</t>
  </si>
  <si>
    <t>JOHNNY'S SHIRT</t>
  </si>
  <si>
    <t>Game.AddToInventory("Items.Q005_Johnny_Shirt_Legendary", 1)</t>
  </si>
  <si>
    <t>JOHNNY'S TANK TOP</t>
  </si>
  <si>
    <t>Game.AddToInventory("Items.Media_01_Set_Shirt", 1)</t>
  </si>
  <si>
    <t>HEAT-RESISTANT NANOWEAVE MEDIA SHIRT</t>
  </si>
  <si>
    <t>Game.AddToInventory("Items.Netrunner_01_Set_Jumpsuit", 1)</t>
  </si>
  <si>
    <t>HEAT-RESISTANT HYBRIDWEAVE NETRUNNING SUIT</t>
  </si>
  <si>
    <t>Game.AddToInventory("Items.Nomad_01_Set_TShirt", 1)</t>
  </si>
  <si>
    <t>POLYCARBONATE NOMAD SHIRT WITH REINFORCED SEAMS</t>
  </si>
  <si>
    <t>Game.AddToInventory("Items.Rockerboy_01_Set_TShirt", 1)</t>
  </si>
  <si>
    <t>ARMORWEAVE ROCKER BRA</t>
  </si>
  <si>
    <t>Game.AddToInventory("Items.Solo_01_Set_TShirt", 1)</t>
  </si>
  <si>
    <t>ULTRATHIN COMPOSITE-PRINT SOLO SHIRT</t>
  </si>
  <si>
    <t>Game.AddToInventory("Items.Techie_01_Set_TShirt", 1)</t>
  </si>
  <si>
    <t>THERMOACTIVE TEAR-RESISTANT TECHIE SHIRT</t>
  </si>
  <si>
    <t>Game.AddToInventory("Items.Q000_Nomad_TShirt", 1)</t>
  </si>
  <si>
    <t>V'S TATTERED CROP TOP</t>
  </si>
  <si>
    <t>Game.AddToInventory("Items.Q202_Epilogue_TShirt", 1)</t>
  </si>
  <si>
    <t>V'S BLACK TANK TOP</t>
  </si>
  <si>
    <t>Game.AddToInventory("Items.Q001_TShirt", 1)</t>
  </si>
  <si>
    <t>V'S FAVORITE TOP</t>
  </si>
  <si>
    <t>Game.AddToInventory("Items.Q203_Epilogue_TShirt", 1)</t>
  </si>
  <si>
    <t>V'S SHIRT</t>
  </si>
  <si>
    <t>Game.AddToInventory("Items.Q000_StreetKid_TShirt", 1)</t>
  </si>
  <si>
    <t>LEGS</t>
  </si>
  <si>
    <t>Game.AddToInventory("Items.q301_fia_pants", 1)</t>
  </si>
  <si>
    <t>FIA AGENT PANTS</t>
  </si>
  <si>
    <t>Game.AddToInventory("Items.VHard_50_IntTech_Legs", 1)</t>
  </si>
  <si>
    <t>HEAVY-DUTY MAXTAC CARGO PANTS</t>
  </si>
  <si>
    <t>Game.AddToInventory("Items.Twitch_Drop_Pants", 1)</t>
  </si>
  <si>
    <t>NUS INFILTRATOR PANTS</t>
  </si>
  <si>
    <t>Game.AddToInventory("Items.Corporate_01_Set_Pants", 1)</t>
  </si>
  <si>
    <t>BREATHABLE REINFORCED BIO-COTTON CORPORATE SLACKS</t>
  </si>
  <si>
    <t>Game.AddToInventory("Items.Fixer_01_Set_Pants", 1)</t>
  </si>
  <si>
    <t>PROTECTIVE-LAYER FIXER SKIRT</t>
  </si>
  <si>
    <t>Game.AddToInventory("Items.Q005_Johnny_Pants_Legendary", 1)</t>
  </si>
  <si>
    <t>JOHNNY'S PANTS</t>
  </si>
  <si>
    <t>Game.AddToInventory("Items.Media_01_Set_Pants", 1)</t>
  </si>
  <si>
    <t>ANTI-PIERCING TACTICAL MEDIA CARGO PANTS</t>
  </si>
  <si>
    <t>Game.AddToInventory("Items.Netrunner_01_Set_Pants", 1)</t>
  </si>
  <si>
    <t>DURA-MEMBRANE NETRUNNER PANTS</t>
  </si>
  <si>
    <t>Game.AddToInventory("Items.Nomad_01_Set_Pants", 1)</t>
  </si>
  <si>
    <t>ULTRALIGHT TEAR-RESISTANT NOMAD PANTS</t>
  </si>
  <si>
    <t>Game.AddToInventory("Items.Cop_01_Set_Pants", 1)</t>
  </si>
  <si>
    <t>ANTI-PUNCTURE NEOTAC BADGE PANTS WITH COMPOSITE LINING</t>
  </si>
  <si>
    <t>Game.AddToInventory("Items.Rockerboy_01_Set_Pants", 1)</t>
  </si>
  <si>
    <t>ELASTIC FLAME-RESISTANT ROCKER PANTS</t>
  </si>
  <si>
    <t>Game.AddToInventory("Items.Solo_01_Set_Pants", 1)</t>
  </si>
  <si>
    <t>ARMOR-PLATED SYNLEATHER SOLO PANTS</t>
  </si>
  <si>
    <t>Game.AddToInventory("Items.Techie_01_Set_Pants", 1)</t>
  </si>
  <si>
    <t>REINFORCED DUOLAYER TECHIE CARGO PANTS</t>
  </si>
  <si>
    <t>Game.AddToInventory("Items.Q000_Corpo_FormalPants", 1)</t>
  </si>
  <si>
    <t>V'S OFFICE SLACKS</t>
  </si>
  <si>
    <t>Game.AddToInventory("Items.Q000_Nomad_Pants", 1)</t>
  </si>
  <si>
    <t>V'S NOMAD PANTS</t>
  </si>
  <si>
    <t>Game.AddToInventory("Items.Q203_Epilogue_Pants", 1)</t>
  </si>
  <si>
    <t>V'S EXPENSIVE LEGGINGS</t>
  </si>
  <si>
    <t>Game.AddToInventory("Items.Q202_Epilogue_Pants", 1)</t>
  </si>
  <si>
    <t>V'S NEW LEGGINGS</t>
  </si>
  <si>
    <t>Game.AddToInventory("Items.Q001_Pants", 1)</t>
  </si>
  <si>
    <t>V'S PANTS</t>
  </si>
  <si>
    <t>Game.AddToInventory("Items.Q000_StreetKid_Pants", 1)</t>
  </si>
  <si>
    <t>V'S SREETWEAR PANTS</t>
  </si>
  <si>
    <t>OUTER TORSO</t>
  </si>
  <si>
    <t>Game.AddToInventory("Items.mq017_SameraiJacket", 1)</t>
  </si>
  <si>
    <t>FAKE SAMEREI JACKET</t>
  </si>
  <si>
    <t>1.5 PATCH</t>
  </si>
  <si>
    <t>Game.AddToInventory("Items.MQ049_martinez_jacket", 1)</t>
  </si>
  <si>
    <t>DAVID'S JACKET</t>
  </si>
  <si>
    <t>Game.AddToInventory("Items.q301_fia_chest", 1)</t>
  </si>
  <si>
    <t>FIA AGENT VEST</t>
  </si>
  <si>
    <t>Game.AddToInventory("Items.Twitch_Drop_Vest", 1)</t>
  </si>
  <si>
    <t>NUS INFILTRATOR JACKET</t>
  </si>
  <si>
    <t>Game.AddToInventory("Items.Red_Play_Vest", 1)</t>
  </si>
  <si>
    <t>RAROG VEST</t>
  </si>
  <si>
    <t>Game.AddToInventory("Items.Red_Play_Jacket", 1)</t>
  </si>
  <si>
    <t>WILD HUNT JACKET</t>
  </si>
  <si>
    <t>Game.AddToInventory("Items.Corporate_01_Set_FormalJacket", 1)</t>
  </si>
  <si>
    <t>CORPORATE BLAZER WITH BULLETPROOF LINING</t>
  </si>
  <si>
    <t>Game.AddToInventory("Items.Fixer_01_Set_Coat", 1)</t>
  </si>
  <si>
    <t>TRILAYER ARAMID-WEAVE FIXER SKIRT WITH JACKET</t>
  </si>
  <si>
    <t>Game.AddToInventory("Items.GOG_DLC_Jacket_Legendary", 1)</t>
  </si>
  <si>
    <t>WOLF SCHOOL JACKET</t>
  </si>
  <si>
    <t>Game.AddToInventory("Items.SQ031_Samurai_Jacket_Legendary", 1)</t>
  </si>
  <si>
    <t>REPLICA OF JOHNNY'S SAMURAI JACKET</t>
  </si>
  <si>
    <t>Game.AddToInventory("Items.SQ030_MaxTac_Chest", 1)</t>
  </si>
  <si>
    <t>MAXTAC MULTILAYERED ARMOR-WEAVE JACKET</t>
  </si>
  <si>
    <t>Game.AddToInventory("Items.Media_01_Set_Vest", 1)</t>
  </si>
  <si>
    <t>LAMINATE-ARMOR MEDIA BALLISTIC VEST</t>
  </si>
  <si>
    <t>Game.AddToInventory("Items.Q114_Aldecaldo_Jacket", 1)</t>
  </si>
  <si>
    <t>ALDECALDOS RALLY BOLERO JACKET</t>
  </si>
  <si>
    <t>Game.AddToInventory("Items.Nomad_01_Set_Jacket", 1)</t>
  </si>
  <si>
    <t>DUOLAYER MICROPLATE-MESH NOMAD JACKET</t>
  </si>
  <si>
    <t>Game.AddToInventory("Items.Cop_01_Set_Jacket", 1)</t>
  </si>
  <si>
    <t>HEAVY-DUTY ARAMID-REINFORCED BADGE COAT</t>
  </si>
  <si>
    <t>Game.AddToInventory("Items.Rockerboy_01_Set_Jacket", 1)</t>
  </si>
  <si>
    <t>REINFORCED COMPOSITE-LINED ROCKER FOLDTOP</t>
  </si>
  <si>
    <t>Game.AddToInventory("Items.Q115_Custom_Predator_Armor", 1)</t>
  </si>
  <si>
    <t>PREDATOR ARAMID ARMOR (FROM ROGUE)</t>
  </si>
  <si>
    <t>Game.AddToInventory("Items.Solo_01_Set_Jacket", 1)</t>
  </si>
  <si>
    <t>HEAVY SHOCK-ABSORBENT SOLO JACKET</t>
  </si>
  <si>
    <t>Game.AddToInventory("Items.Techie_01_Set_Vest", 1)</t>
  </si>
  <si>
    <t>POLYCARBONATE NANOWEAVE TECHIE HARNESS</t>
  </si>
  <si>
    <t>Game.AddToInventory("Items.Q000_Corpo_FormalJacket", 1)</t>
  </si>
  <si>
    <t>V'S OFFICE BLAZER</t>
  </si>
  <si>
    <t>Game.AddToInventory("Items.Q000_Nomad_Vest", 1)</t>
  </si>
  <si>
    <t>V'S VEST (WITH BAKKERS PATCH)</t>
  </si>
  <si>
    <t>Game.AddToInventory("Items.Q000_Nomad_noPatch_Vest", 1)</t>
  </si>
  <si>
    <t>V'S VEST (WITHOUT BAKKERS PATCH)</t>
  </si>
  <si>
    <t>OUTFIT</t>
  </si>
  <si>
    <t>Game.AddToInventory("Items.MQ304_assassin_outfit", 1)</t>
  </si>
  <si>
    <t>AGUILAR'S SUIT</t>
  </si>
  <si>
    <t>Game.AddToInventory("Items.Q306_corpbud_outfit", 1)</t>
  </si>
  <si>
    <t>CORP-BUD UNIFORM</t>
  </si>
  <si>
    <t>Game.AddToInventory("Items.Q307_hospital_outfit", 1)</t>
  </si>
  <si>
    <t>HOSPITAL GOWN</t>
  </si>
  <si>
    <t>Game.AddToInventory("Items.Q304_netrunner_outfit", 1)</t>
  </si>
  <si>
    <t>NETRUNNER SUIT</t>
  </si>
  <si>
    <t>Game.AddToInventory("Items.Q301_nusa_agent", 1)</t>
  </si>
  <si>
    <t>NUSA SUIT</t>
  </si>
  <si>
    <t>Game.AddToInventory("Items.Q305_hazmat", 1)</t>
  </si>
  <si>
    <t>PROJECT CYNOSURE HAZMAT SUIT</t>
  </si>
  <si>
    <t>Game.AddToInventory("Items.Q307_ending_outfit", 1)</t>
  </si>
  <si>
    <t>SIMPLE FIA-ISSUED GARMENTS</t>
  </si>
  <si>
    <t>Game.AddToInventory("Items.Q303_party_outfit", 1)</t>
  </si>
  <si>
    <t>STYLISH SUIT</t>
  </si>
  <si>
    <t>Game.AddToInventory("Items.Q303_party_outfit_ow", 1)</t>
  </si>
  <si>
    <t>Game.AddToInventory("Items.Q303_diving_suit", 1)</t>
  </si>
  <si>
    <t>TACTICAL DIVING SUIT</t>
  </si>
  <si>
    <t>Game.AddToInventory("Items.Q303_diving_suit_ow", 1)</t>
  </si>
  <si>
    <t>Game.AddToInventory("Items.Q303_diving_suit_ow_helmet", 1)</t>
  </si>
  <si>
    <t>Game.AddToInventory("Items.Trauma_Team_Outfit", 1)</t>
  </si>
  <si>
    <t>TRAUMA TEAM UNIFORM</t>
  </si>
  <si>
    <t>Game.AddToInventory("Items.Q115_Afterlife_Netrunner", 1)</t>
  </si>
  <si>
    <t>AFTERLIFE NETRUNNING SUIT</t>
  </si>
  <si>
    <t>Game.AddToInventory("Items.Jumpsuit_03_old_01", 1)</t>
  </si>
  <si>
    <t>ARASAKA HAZMAT SUIT</t>
  </si>
  <si>
    <t>Game.AddToInventory("Items.Q101_Recovery_Bandage_Outfit", 1)</t>
  </si>
  <si>
    <t>BANDAGE WRAPPING</t>
  </si>
  <si>
    <t>Game.AddToInventory("Items.Q005_Militech_Suit_Dirty", 1)</t>
  </si>
  <si>
    <t>DIRTY MILITECH SUIT</t>
  </si>
  <si>
    <t>Game.AddToInventory("Items.SQ023_Joshua_Prisonwear", 1)</t>
  </si>
  <si>
    <t>JOSHUA'S PRISON UNIFORM</t>
  </si>
  <si>
    <t>Game.AddToInventory("Items.SQ021_Lab_Costume", 1)</t>
  </si>
  <si>
    <t>KANG TAO LAB SUIT</t>
  </si>
  <si>
    <t>Game.AddToInventory("Items.Jumpsuit_03_old_03", 1)</t>
  </si>
  <si>
    <t>MILITECH ARAMID-WEAVE HAZMAT SUIT</t>
  </si>
  <si>
    <t>Game.AddToInventory("Items.Q005_Militech_Suit", 1)</t>
  </si>
  <si>
    <t>MILITECH SUIT</t>
  </si>
  <si>
    <t>Game.AddToInventory("Items.Jumpsuit_03_old_02", 1)</t>
  </si>
  <si>
    <t>NCPD CHEM-RESISTANT HAZMAT SUIT</t>
  </si>
  <si>
    <t>Game.AddToInventory("Items.SQ030_Diving_Suit_NoShoes", 1)</t>
  </si>
  <si>
    <t>NEOPRENE DIVING SUIT (FROM JUDY)</t>
  </si>
  <si>
    <t>Game.AddToInventory("Items.SQ029_Police_Suit", 1)</t>
  </si>
  <si>
    <t>POLICE UNIFORM</t>
  </si>
  <si>
    <t>Game.AddToInventory("Items.Roach_Race_Outfit", 1)</t>
  </si>
  <si>
    <t>ROACH WHISPERER [1.6 PATCH]</t>
  </si>
  <si>
    <t>Game.AddToInventory("Items.Q005_Militech_Suit_Filthy", 1)</t>
  </si>
  <si>
    <t>RUINED MILITECH SUIT</t>
  </si>
  <si>
    <t>Game.AddToInventory("Items.Q114_Cyberspace_Jumpsuit", 1)</t>
  </si>
  <si>
    <t>VIRTUAL JUMPSUIT</t>
  </si>
  <si>
    <t>SPACESUIT</t>
  </si>
  <si>
    <t>Game.AddToInventory("Items.Q203_Spacesuit_Outfit_NoHelmet", 1)</t>
  </si>
  <si>
    <t>SPACESUIT NO HELMET</t>
  </si>
  <si>
    <t>Game.AddToInventory("Items.Q203_Spacesuit_Outfit_WithHelmet", 1)</t>
  </si>
  <si>
    <t>SPACESUIT WITH HELMET</t>
  </si>
  <si>
    <t>Game.AddToInventory("Items.Q000_half_Corpo", 1)</t>
  </si>
  <si>
    <t>V'S INFORMAL OUTFIT</t>
  </si>
  <si>
    <t>Game.AddToInventory("Items.Q000_half_Nomad", 1)</t>
  </si>
  <si>
    <t>V'S NOMAD OUTFIT</t>
  </si>
  <si>
    <t>Game.AddToInventory("Items.Q000_half_StreetKid", 1)</t>
  </si>
  <si>
    <t>V'S URBAN OUTFIT</t>
  </si>
  <si>
    <t>Game.AddToInventory("Items.Cap_05_old_01", 1)</t>
  </si>
  <si>
    <t>6TH STREET SIDE CAP</t>
  </si>
  <si>
    <t>Game.AddToInventory("Items.Helmet_02_rich_02", 1)</t>
  </si>
  <si>
    <t>8L-OODY TUNGSTEN-STEEL MILITARY HELMET</t>
  </si>
  <si>
    <t>Game.AddToInventory("Items.Scarf_01_old_01", 1)</t>
  </si>
  <si>
    <t>ANTI-TEAR GRAFFITI BANDANA</t>
  </si>
  <si>
    <t>Game.AddToInventory("Items.Helmet_04_rich_01", 1)</t>
  </si>
  <si>
    <t>ARAMID KURO KABUTO WITH HARDENED CARBON-FIBER EXTERIOR</t>
  </si>
  <si>
    <t>Game.AddToInventory("Items.Cap_04_old_02", 1)</t>
  </si>
  <si>
    <t>ARASAKA CAP WITH CAMERA</t>
  </si>
  <si>
    <t>Game.AddToInventory("Items.Helmet_03_basic_02", 1)</t>
  </si>
  <si>
    <t>ARASAKA ENGINEER HARDHAT WITH HEADSET</t>
  </si>
  <si>
    <t>Game.AddToInventory("Items.Helmet_04_basic_01", 1)</t>
  </si>
  <si>
    <t>ARASAKA KABUTO WITH COMPOSITE PLATING</t>
  </si>
  <si>
    <t>Game.AddToInventory("Items.Cap_03_basic_02", 1)</t>
  </si>
  <si>
    <t>AZTEC WINTER BEANIE</t>
  </si>
  <si>
    <t>Game.AddToInventory("Items.Balaclava_01_old_01", 1)</t>
  </si>
  <si>
    <t>BALACLAVA WITH SCHOCK-ABSORBENT COMPOSITE LAYERING</t>
  </si>
  <si>
    <t>Game.AddToInventory("Items.Cap_01_rich_03", 1)</t>
  </si>
  <si>
    <t>BITCH V.13 CAP WITH TITANIUM MICROPLATE MESH</t>
  </si>
  <si>
    <t>Game.AddToInventory("Items.Scarf_01_old_02", 1)</t>
  </si>
  <si>
    <t>BLOOMING AMBER BANDANA</t>
  </si>
  <si>
    <t>Game.AddToInventory("Items.Hat_01_rich_01", 1)</t>
  </si>
  <si>
    <t>BOSS MAFIOSO TRILBY WITH ARMORED LINING</t>
  </si>
  <si>
    <t>Game.AddToInventory("Items.Cap_01_old_02", 1)</t>
  </si>
  <si>
    <t>BRAINDANCE CAP</t>
  </si>
  <si>
    <t>Game.AddToInventory("Items.Cap_04_old_01", 1)</t>
  </si>
  <si>
    <t>CAP WITH MAKESHIFT CAMERA</t>
  </si>
  <si>
    <t>Game.AddToInventory("Items.Cap_05_basic_01", 1)</t>
  </si>
  <si>
    <t>CARBON-FIBER ARASAKA SIDE CAP</t>
  </si>
  <si>
    <t>Game.AddToInventory("Items.Hat_04_basic_02", 1)</t>
  </si>
  <si>
    <t>CARBON-FIBER CONICAL HAT</t>
  </si>
  <si>
    <t>Game.AddToInventory("Items.Cap_04_basic_02", 1)</t>
  </si>
  <si>
    <t>CERTIFIED CAP WITH CAMERA</t>
  </si>
  <si>
    <t>Game.AddToInventory("Items.Helmet_02_rich_01", 1)</t>
  </si>
  <si>
    <t>CHENGSE ULTRALIGHT CARBON-FIBER HELMET</t>
  </si>
  <si>
    <t>Game.AddToInventory("Items.Cap_02_basic_02", 1)</t>
  </si>
  <si>
    <t>CLASSIC HARDENED-LEATHER FLAT CAP</t>
  </si>
  <si>
    <t>Game.AddToInventory("Items.Cap_05_basic_02", 1)</t>
  </si>
  <si>
    <t>CLASSIC SIDE CAP WITH STRENGTHENED POLYAMIDE</t>
  </si>
  <si>
    <t>Game.AddToInventory("Items.Hat_01_basic_01", 1)</t>
  </si>
  <si>
    <t>CLASSIC TRILBY WITH COMPOSITE BAND</t>
  </si>
  <si>
    <t>Game.AddToInventory("Items.Helmet_02_basic_04", 1)</t>
  </si>
  <si>
    <t>COLORADO BEETLE ARAMID-REINFORCED HELMET</t>
  </si>
  <si>
    <t>Game.AddToInventory("Items.Scarf_01_old_03", 1)</t>
  </si>
  <si>
    <t>COMPOSITE CAMO BANDANA</t>
  </si>
  <si>
    <t>Game.AddToInventory("Items.Scarf_01_basic_01", 1)</t>
  </si>
  <si>
    <t>COMPOSITE MILITARY BANDANA</t>
  </si>
  <si>
    <t>Game.AddToInventory("Items.Helmet_01_rich_02", 1)</t>
  </si>
  <si>
    <t>COPPER GLEAM FIBERGLASS HELMET</t>
  </si>
  <si>
    <t>Game.AddToInventory("Items.Cap_06_basic_01", 1)</t>
  </si>
  <si>
    <t>COTTON MOTORCYCLE CAP WITH PROTECTIVE INSET</t>
  </si>
  <si>
    <t>Game.AddToInventory("Items.Hat_02_basic_01", 1)</t>
  </si>
  <si>
    <t>COWBOY HAT WITH HARDENED-LEATHER BAND</t>
  </si>
  <si>
    <t>Game.AddToInventory("Items.Helmet_02_rich_04", 1)</t>
  </si>
  <si>
    <t>D43-M0N ASSAULT HELMET WITH POLYCARBONATE VISOR</t>
  </si>
  <si>
    <t>Game.AddToInventory("Items.Scarf_01_rich_02", 1)</t>
  </si>
  <si>
    <t>DAEMON HUNTER TACTICAL BANDANA</t>
  </si>
  <si>
    <t>Game.AddToInventory("Items.Cap_01_basic_01", 1)</t>
  </si>
  <si>
    <t>DARRA POLYTECHNIC CAP</t>
  </si>
  <si>
    <t>Game.AddToInventory("Items.Balaclava_01_basic_02", 1)</t>
  </si>
  <si>
    <t>DARRA POLYTECHNIC TACTICAL BALACLAVA</t>
  </si>
  <si>
    <t>Game.AddToInventory("Items.Helmet_01_basic_01", 1)</t>
  </si>
  <si>
    <t>DOUBLE-SHELLED AT-AK MODULAR HELMET</t>
  </si>
  <si>
    <t>Game.AddToInventory("Items.Scarf_03_basic_02", 1)</t>
  </si>
  <si>
    <t>DUOLAYER FLORAL HIJAB</t>
  </si>
  <si>
    <t>Game.AddToInventory("Items.Hat_03_rich_01", 1)</t>
  </si>
  <si>
    <t>DUOLAYER MILITARY CAP WITH GAUGE</t>
  </si>
  <si>
    <t>Game.AddToInventory("Items.Scarf_03_old_02", 1)</t>
  </si>
  <si>
    <t>DUOLAYER QUILTED HIJAB</t>
  </si>
  <si>
    <t>Game.AddToInventory("Items.Cap_03_rich_02", 1)</t>
  </si>
  <si>
    <t>DURABLE EMERALD SPEED POLYAMIDE BEANIE</t>
  </si>
  <si>
    <t>Game.AddToInventory("Items.Hat_01_old_01", 1)</t>
  </si>
  <si>
    <t>DURABLE FELT-BLEND TRILBY</t>
  </si>
  <si>
    <t>Game.AddToInventory("Items.Helmet_01_basic_03", 1)</t>
  </si>
  <si>
    <t>DURABLE LIME SPEED MODULAR HELMET</t>
  </si>
  <si>
    <t>Game.AddToInventory("Items.Scarf_03_old_03", 1)</t>
  </si>
  <si>
    <t>DURABLE MODIFIED LINEN HIJAB</t>
  </si>
  <si>
    <t>Game.AddToInventory("Items.Scarf_02_old_01", 1)</t>
  </si>
  <si>
    <t>DURABLE NANOFIBER PLAID HEADBAND</t>
  </si>
  <si>
    <t>Game.AddToInventory("Items.Cap_01_rich_02", 1)</t>
  </si>
  <si>
    <t>DURABLE URBAN SOUL CAP WITH RUBBER INSETS</t>
  </si>
  <si>
    <t>Game.AddToInventory("Items.Hat_01_rich_02", 1)</t>
  </si>
  <si>
    <t>ENHANCED CEBRA EXCENTRICA CARBON-REINFORCED TRILBY</t>
  </si>
  <si>
    <t>Game.AddToInventory("Items.Cap_02_old_02", 1)</t>
  </si>
  <si>
    <t>FADED NUSA FLAT CAP</t>
  </si>
  <si>
    <t>Game.AddToInventory("Items.Cap_02_basic_03", 1)</t>
  </si>
  <si>
    <t>FLAT CAP WITH REINFORCED SEAMS</t>
  </si>
  <si>
    <t>Game.AddToInventory("Items.Cap_06_rich_02", 1)</t>
  </si>
  <si>
    <t>GOLDEN BOUGH PILOT CAP WITH COMPOSITE EXTERIOR</t>
  </si>
  <si>
    <t>Game.AddToInventory("Items.Scarf_03_basic_03", 1)</t>
  </si>
  <si>
    <t>GRAFFITI THERMOSET SYNWEAVE HIJAB</t>
  </si>
  <si>
    <t>Game.AddToInventory("Items.Scarf_03_rich_01", 1)</t>
  </si>
  <si>
    <t>GRAY AREA ANTI-TEAR HIJAB</t>
  </si>
  <si>
    <t>Game.AddToInventory("Items.Hat_02_rich_01", 1)</t>
  </si>
  <si>
    <t>GUNSLINGER COWBOY HAT WITH REINFORCED LINING</t>
  </si>
  <si>
    <t>Game.AddToInventory("Items.Helmet_04_rich_02", 1)</t>
  </si>
  <si>
    <t>HINOTE KABUTO WITH DURABLE PLASTIC ARAMID COMPOSITE</t>
  </si>
  <si>
    <t>Game.AddToInventory("Items.Hat_03_old_01", 1)</t>
  </si>
  <si>
    <t>ILLEGALLY MODDED HAT WITH GAUGE</t>
  </si>
  <si>
    <t>Game.AddToInventory("Items.Cap_06_basic_02", 1)</t>
  </si>
  <si>
    <t>INSULATED CAP WITH PROTECTIVE GOGGLES</t>
  </si>
  <si>
    <t>Game.AddToInventory("Items.Cap_04_rich_01", 1)</t>
  </si>
  <si>
    <t>KANG TAO FIELD CAP HOLODISPLAY</t>
  </si>
  <si>
    <t>Game.AddToInventory("Items.Cap_03_rich_01", 1)</t>
  </si>
  <si>
    <t>KINRYU BEANIE WITH TITANIUM SEQUINS</t>
  </si>
  <si>
    <t>Game.AddToInventory("Items.Scarf_03_rich_03", 1)</t>
  </si>
  <si>
    <t>KINRYU DELUXE HIJAB WITH PROTECTIVE MESH</t>
  </si>
  <si>
    <t>Game.AddToInventory("Items.Hat_03_basic_01", 1)</t>
  </si>
  <si>
    <t>LAMINATED NOMAD HAT WITH GAUGE</t>
  </si>
  <si>
    <t>Game.AddToInventory("Items.Helmet_03_basic_01", 1)</t>
  </si>
  <si>
    <t>LAMINATED SECURITY HARDHAT WITH HEADSET</t>
  </si>
  <si>
    <t>Game.AddToInventory("Items.Scarf_03_basic_01", 1)</t>
  </si>
  <si>
    <t>LIGHT HIJAB WITH MICROPLATE MESH</t>
  </si>
  <si>
    <t>Game.AddToInventory("Items.Helmet_01_basic_02", 1)</t>
  </si>
  <si>
    <t>LIGHT TECHNOPOLYMER HELMET</t>
  </si>
  <si>
    <t>Game.AddToInventory("Items.Cap_01_basic_02", 1)</t>
  </si>
  <si>
    <t>LIMITED-EDITION DAEMON HUNTER CAP</t>
  </si>
  <si>
    <t>Game.AddToInventory("Items.Cap_05_old_02", 1)</t>
  </si>
  <si>
    <t>MAELSTROM SIDE CAP</t>
  </si>
  <si>
    <t>Game.AddToInventory("Items.Scarf_01_rich_03", 1)</t>
  </si>
  <si>
    <t>MAGENTA SPARK REINFORCED SILKWEAVE BANDANA</t>
  </si>
  <si>
    <t>Game.AddToInventory("Items.Scarf_01_basic_02", 1)</t>
  </si>
  <si>
    <t>MAKESHIFT RABENDA BANANA BANDANA</t>
  </si>
  <si>
    <t>Game.AddToInventory("Items.Helmet_02_basic_03", 1)</t>
  </si>
  <si>
    <t>MILITECH TACTICAL HELMET</t>
  </si>
  <si>
    <t>Game.AddToInventory("Items.Hat_02_rich_02", 1)</t>
  </si>
  <si>
    <t>MIRAME REINFORCED-COMPOSITE COWBOY HAT</t>
  </si>
  <si>
    <t>Game.AddToInventory("Items.Hat_02_old_02", 1)</t>
  </si>
  <si>
    <t>MODIFIED SNAKE-SKIN COWBOY HAT</t>
  </si>
  <si>
    <t>Game.AddToInventory("Items.Helmet_01_rich_01", 1)</t>
  </si>
  <si>
    <t>MOMENTUM CARBON-REINFORCED VISORED HELMET</t>
  </si>
  <si>
    <t>Game.AddToInventory("Items.Cap_03_basic_01", 1)</t>
  </si>
  <si>
    <t>MOX BEANIE</t>
  </si>
  <si>
    <t>Game.AddToInventory("Items.Helmet_03_rich_01", 1)</t>
  </si>
  <si>
    <t>MT-77 BULLETPROOF TACTICAL HELMET</t>
  </si>
  <si>
    <t>Game.AddToInventory("Items.Balaclava_01_old_02", 1)</t>
  </si>
  <si>
    <t>NAMI BALACLAVA WITH POLYAMIDE-INSULATED LINING</t>
  </si>
  <si>
    <t>Game.AddToInventory("Items.Cap_05_basic_03", 1)</t>
  </si>
  <si>
    <t>OFFICER'S SIDE CAP WITH REINFORCED PLASTIC</t>
  </si>
  <si>
    <t>Game.AddToInventory("Items.Helmet_03_old_01", 1)</t>
  </si>
  <si>
    <t>OLD CONSTRUCTION HARDHAT</t>
  </si>
  <si>
    <t>Game.AddToInventory("Items.Helmet_02_old_02", 1)</t>
  </si>
  <si>
    <t>OLD MILITARY HELMET</t>
  </si>
  <si>
    <t>Game.AddToInventory("Items.Cap_06_old_02", 1)</t>
  </si>
  <si>
    <t>OLD MOTORCYCLE CAP</t>
  </si>
  <si>
    <t>Game.AddToInventory("Items.Cap_03_old_02", 1)</t>
  </si>
  <si>
    <t>OLD SMILEY HARD HAT</t>
  </si>
  <si>
    <t>Game.AddToInventory("Items.Balaclava_01_basic_01", 1)</t>
  </si>
  <si>
    <t>ORDINARY TACTICAL BALACLAVA WITH REACTIVE LAYERING</t>
  </si>
  <si>
    <t>Game.AddToInventory("Items.Cap_02_old_03", 1)</t>
  </si>
  <si>
    <t>PLAIN SECONDHAND FLAT CAP</t>
  </si>
  <si>
    <t>Game.AddToInventory("Items.Helmet_04_old_01", 1)</t>
  </si>
  <si>
    <t>PLASTIC ZUNARI KABUTO WITH ABSORBENT LINING</t>
  </si>
  <si>
    <t>Game.AddToInventory("Items.Hat_04_old_01", 1)</t>
  </si>
  <si>
    <t>POLYAMIDE-REINFORCED CONICAL HAT</t>
  </si>
  <si>
    <t>Game.AddToInventory("Items.Scarf_02_old_02", 1)</t>
  </si>
  <si>
    <t>PUNK BANDANA HEADBAND</t>
  </si>
  <si>
    <t>Game.AddToInventory("Items.Cap_01_basic_03", 1)</t>
  </si>
  <si>
    <t>REINFORCED BASEBALL CAP</t>
  </si>
  <si>
    <t>Game.AddToInventory("Items.Hat_02_basic_02", 1)</t>
  </si>
  <si>
    <t>REINFORCED CYAN COWBOY HAT</t>
  </si>
  <si>
    <t>Game.AddToInventory("Items.Scarf_02_basic_02", 1)</t>
  </si>
  <si>
    <t>REINFORCED-COTTON HEADBAND</t>
  </si>
  <si>
    <t>Game.AddToInventory("Items.SQ029_River_Romance_Shirt", 1)</t>
  </si>
  <si>
    <t>RIVER'S TANK TOP</t>
  </si>
  <si>
    <t>Game.AddToInventory("Items.Helmet_02_old_03", 1)</t>
  </si>
  <si>
    <t>RUSTY ASSAULT HELMET</t>
  </si>
  <si>
    <t>Game.AddToInventory("Items.Helmet_03_old_02", 1)</t>
  </si>
  <si>
    <t>RUSTY SECURITY HARDHAT</t>
  </si>
  <si>
    <t>Game.AddToInventory("Items.Balaclava_01_rich_02", 1)</t>
  </si>
  <si>
    <t>SAEKO'S DARKERNET TACTICAL BALACLAVA WITH NANOTUBING</t>
  </si>
  <si>
    <t>Game.AddToInventory("Items.Helmet_01_old_01", 1)</t>
  </si>
  <si>
    <t>SCRATCHED VISORED HELMET</t>
  </si>
  <si>
    <t>Game.AddToInventory("Items.Scarf_02_basic_01", 1)</t>
  </si>
  <si>
    <t>SIMPLE BANDANA HEADBAND WITH ENHANCED DURABILITY</t>
  </si>
  <si>
    <t>Game.AddToInventory("Items.Cap_06_old_01", 1)</t>
  </si>
  <si>
    <t>SMILEY HARD PILOT CAP</t>
  </si>
  <si>
    <t>Game.AddToInventory("Items.Hat_01_basic_02", 1)</t>
  </si>
  <si>
    <t>SOLID STRAW-WOVEN TRILBY</t>
  </si>
  <si>
    <t>Game.AddToInventory("Items.Helmet_02_basic_02", 1)</t>
  </si>
  <si>
    <t>SPEED ADDICT HELMET WITH ANTI-IMPACT TECH</t>
  </si>
  <si>
    <t>Game.AddToInventory("Items.Helmet_04_basic_02", 1)</t>
  </si>
  <si>
    <t>STEEL MICROPLATED KABUTO</t>
  </si>
  <si>
    <t>Game.AddToInventory("Items.Cap_01_rich_01", 1)</t>
  </si>
  <si>
    <t>STR33T DANDY COMPOSITE-COATED CAP</t>
  </si>
  <si>
    <t>Game.AddToInventory("Items.Scarf_01_basic_03", 1)</t>
  </si>
  <si>
    <t>STRONG CANINE POWER SYNTHETIC BANDANA</t>
  </si>
  <si>
    <t>Game.AddToInventory("Items.Hat_02_old_01", 1)</t>
  </si>
  <si>
    <t>STURDI-BOOST COWBOY HAT</t>
  </si>
  <si>
    <t>Game.AddToInventory("Items.Hat_04_basic_01", 1)</t>
  </si>
  <si>
    <t>STURDY CONICAL HAT</t>
  </si>
  <si>
    <t>Game.AddToInventory("Items.Cap_02_old_01", 1)</t>
  </si>
  <si>
    <t>STURDY PLAID FLAT CAP</t>
  </si>
  <si>
    <t>Game.AddToInventory("Items.Cap_02_basic_01", 1)</t>
  </si>
  <si>
    <t>STYLISH LEATHER FLAT CAP WITH LIGHT ARMOR LAYER</t>
  </si>
  <si>
    <t>Game.AddToInventory("Items.Helmet_02_rich_03", 1)</t>
  </si>
  <si>
    <t>SUENO SOLEADO HELMET WITH DUOLAYER REACTIVITY</t>
  </si>
  <si>
    <t>Game.AddToInventory("Items.Scarf_03_old_01", 1)</t>
  </si>
  <si>
    <t>TACTI-FIBER CAMO HIJAB</t>
  </si>
  <si>
    <t>Game.AddToInventory("Items.Cap_06_rich_01", 1)</t>
  </si>
  <si>
    <t>TELL ME I'M CUTE PILOT CAP WITH TECHNOPOLYMER GOGGLES</t>
  </si>
  <si>
    <t>Game.AddToInventory("Items.Scarf_01_rich_01", 1)</t>
  </si>
  <si>
    <t>TEN70 BADA55 POLYCARBONATE BANDANA</t>
  </si>
  <si>
    <t>Game.AddToInventory("Items.Balaclava_01_rich_01", 1)</t>
  </si>
  <si>
    <t>THERMO-IMPULSE ANTI-SHRAPNEL BALACLAVA</t>
  </si>
  <si>
    <t>Game.AddToInventory("Items.Cap_04_basic_01", 1)</t>
  </si>
  <si>
    <t>TRAUMA TEAM CAP WITH HEADSET</t>
  </si>
  <si>
    <t>Game.AddToInventory("Items.Hat_01_old_02", 1)</t>
  </si>
  <si>
    <t>TRILBY WITH CANVAS LINING</t>
  </si>
  <si>
    <t>Game.AddToInventory("Items.Helmet_04_old_02", 1)</t>
  </si>
  <si>
    <t>TYGER CLAW KABUTO</t>
  </si>
  <si>
    <t>Game.AddToInventory("Items.Hat_03_basic_02", 1)</t>
  </si>
  <si>
    <t>UPGRADED FARMER HAT WITH GAUGE</t>
  </si>
  <si>
    <t>Game.AddToInventory("Items.Helmet_02_old_04", 1)</t>
  </si>
  <si>
    <t>VETERAN'S HELMET</t>
  </si>
  <si>
    <t>Game.AddToInventory("Items.Scarf_03_rich_02", 1)</t>
  </si>
  <si>
    <t>WARDAT ZIHIRA ARAMID-WEAVE HIJAB</t>
  </si>
  <si>
    <t>Game.AddToInventory("Items.Cap_01_old_01", 1)</t>
  </si>
  <si>
    <t>WORN BASEBALL CAP</t>
  </si>
  <si>
    <t>Game.AddToInventory("Items.Cap_03_old_01", 1)</t>
  </si>
  <si>
    <t>WORN BEANIE</t>
  </si>
  <si>
    <t>Game.AddToInventory("Items.Hat_03_old_02", 1)</t>
  </si>
  <si>
    <t>WORN BRIMMED HAT WITH GAUGE</t>
  </si>
  <si>
    <t>Game.AddToInventory("Items.Helmet_02_old_01", 1)</t>
  </si>
  <si>
    <t>WORN GRAFFITI HELMET</t>
  </si>
  <si>
    <t>Game.AddToInventory("Items.Cap_01_old_03", 1)</t>
  </si>
  <si>
    <t>WORN SAMURAI CAP</t>
  </si>
  <si>
    <t>Game.AddToInventory("Items.Hat_06_basic_04", 1)</t>
  </si>
  <si>
    <t>ACRYLIC USHANKA</t>
  </si>
  <si>
    <t>Game.AddToInventory("Items.Helmet_12_rich_01", 1)</t>
  </si>
  <si>
    <t>ADAPTIVE BALLISTIC MASK WITH MAGNETIC SEAL</t>
  </si>
  <si>
    <t>Game.AddToInventory("Items.Helmet_07_rich_01", 1)</t>
  </si>
  <si>
    <t>ADVANCED LIGHTWEIGHT POLYCARBONATE ARASAKA HELMET</t>
  </si>
  <si>
    <t>Game.AddToInventory("Items.Helmet_11_rich_01", 1)</t>
  </si>
  <si>
    <t>AERODYNAMIC MULTI-AXIS CARBON FIBER HELMET</t>
  </si>
  <si>
    <t>Game.AddToInventory("Items.Helmet_12_rich_02", 1)</t>
  </si>
  <si>
    <t>ANTI-CORROSIVE MASK WITH APOCHROMATIC VISOR</t>
  </si>
  <si>
    <t>Game.AddToInventory("Items.Helmet_11_basic_02", 1)</t>
  </si>
  <si>
    <t>ANTI-FRAG HELMET WITH FIREPROOF COMPOSITE LAYER</t>
  </si>
  <si>
    <t>Game.AddToInventory("Items.Helmet_09_rich_02", 1)</t>
  </si>
  <si>
    <t>ANTI-FRAG MODIFIED ABS HELMET</t>
  </si>
  <si>
    <t>Game.AddToInventory("Items.Helmet_09_rich_05", 1)</t>
  </si>
  <si>
    <t>ANTI-GLARE HELMET WITH SPOILER</t>
  </si>
  <si>
    <t>Game.AddToInventory("Items.Helmet_07_rich_02", 1)</t>
  </si>
  <si>
    <t>ANTI-GLARE TECHNOPOLYMER ARASAKA HELMET</t>
  </si>
  <si>
    <t>Game.AddToInventory("Items.Helmet_08_rich_01", 1)</t>
  </si>
  <si>
    <t>ARAMID HELMET WITH ANTIBACTERIAL LINING</t>
  </si>
  <si>
    <t>Game.AddToInventory("Items.Balaclava_02_basic_04", 1)</t>
  </si>
  <si>
    <t>BACTERIOSTATIC ELASTANE BALACLAVA</t>
  </si>
  <si>
    <t>Game.AddToInventory("Items.Helmet_12_basic_03", 1)</t>
  </si>
  <si>
    <t>BALLISTIC MASK WITH NYLON BAND</t>
  </si>
  <si>
    <t>Game.AddToInventory("Items.Q301_kurt_militia_h1", 1)</t>
  </si>
  <si>
    <t>BARGHEST HELMET</t>
  </si>
  <si>
    <t>Game.AddToInventory("Items.Helmet_07_old_05", 1)</t>
  </si>
  <si>
    <t>BATTERED ARASAKA STEEL HELMET</t>
  </si>
  <si>
    <t>Game.AddToInventory("Items.Helmet_12_old_01", 1)</t>
  </si>
  <si>
    <t>BATTERED BALLISTIC MASK</t>
  </si>
  <si>
    <t>Game.AddToInventory("Items.Hat_05_old_01", 1)</t>
  </si>
  <si>
    <t>BATTERED DENIM BUCKET HAT</t>
  </si>
  <si>
    <t>Game.AddToInventory("Items.Helmet_08_old_02", 1)</t>
  </si>
  <si>
    <t>BATTERED FULL-FACE HELMET</t>
  </si>
  <si>
    <t>Game.AddToInventory("Items.Helmet_07_old_03", 1)</t>
  </si>
  <si>
    <t>BEAT-UP HEAVY ARASAKA HELMET</t>
  </si>
  <si>
    <t>Game.AddToInventory("Items.Hat_05_rich_03", 1)</t>
  </si>
  <si>
    <t>BIOSYNTH RIP-STOP HAT</t>
  </si>
  <si>
    <t>Game.AddToInventory("Items.Hat_05_basic_03", 1)</t>
  </si>
  <si>
    <t>BUCKET HAT WITH ANTI-UV COATING</t>
  </si>
  <si>
    <t>Game.AddToInventory("Items.Hat_06_old_02", 1)</t>
  </si>
  <si>
    <t>CELLULOSE-LINED USHANKA</t>
  </si>
  <si>
    <t>Game.AddToInventory("Items.Helmet_09_rich_01", 1)</t>
  </si>
  <si>
    <t>CERTIFIED HELMET WITH BREATHABLE LINER</t>
  </si>
  <si>
    <t>Game.AddToInventory("Items.Helmet_10_rich_01", 1)</t>
  </si>
  <si>
    <t>CERTIFIED NETRUNNER HELMET WITH BIOFEEDBACK SYSTEM</t>
  </si>
  <si>
    <t>Game.AddToInventory("Items.Helmet_07_old_02", 1)</t>
  </si>
  <si>
    <t>CHEAP KNOCKOFF ARASAKA HELMET</t>
  </si>
  <si>
    <t>Game.AddToInventory("Items.Balaclava_02_old_05", 1)</t>
  </si>
  <si>
    <t>CHEAP SYNTHETIC BALACLAVA</t>
  </si>
  <si>
    <t>Game.AddToInventory("Items.Helmet_09_basic_01", 1)</t>
  </si>
  <si>
    <t>CLASSIC MILITECH COMBAT HELMET</t>
  </si>
  <si>
    <t>Game.AddToInventory("Items.Helmet_12_rich_03", 1)</t>
  </si>
  <si>
    <t>COMPOSITE BALLISTIC MASK WITH INFRARED SENSOR</t>
  </si>
  <si>
    <t>Game.AddToInventory("Items.Helmet_09_rich_04", 1)</t>
  </si>
  <si>
    <t>COMPOSITE SHOCKPROOF HELMET</t>
  </si>
  <si>
    <t>Game.AddToInventory("Items.Helmet_10_rich_04", 1)</t>
  </si>
  <si>
    <t>CORPORATE NETRUNNER HELMET WITH THERMOREGULATION</t>
  </si>
  <si>
    <t>Game.AddToInventory("Items.Helmet_12_basic_04", 1)</t>
  </si>
  <si>
    <t>CUSTOM BALLISTIC MASK</t>
  </si>
  <si>
    <t>Game.AddToInventory("Items.Helmet_12_old_02", 1)</t>
  </si>
  <si>
    <t>DAMAGED BALLISTIC MASK</t>
  </si>
  <si>
    <t>Game.AddToInventory("Items.Balaclava_01_basic_02_Crafting", 1)</t>
  </si>
  <si>
    <t>DARRA POLYTEHCNIC TACTICAL BALACLAVA</t>
  </si>
  <si>
    <t>Game.AddToInventory("Items.Hat_06_old_01", 1)</t>
  </si>
  <si>
    <t>DIRTY PADDED USHANKA</t>
  </si>
  <si>
    <t>Game.AddToInventory("Items.Hat_06_basic_06", 1)</t>
  </si>
  <si>
    <t>DUOLAYER SYNDOWN-INSULATED CAP</t>
  </si>
  <si>
    <t>Game.AddToInventory("Items.Helmet_11_basic_01", 1)</t>
  </si>
  <si>
    <t>DURABLE DURALUMIN FULL-FACE HELMET</t>
  </si>
  <si>
    <t>Game.AddToInventory("Items.Balaclava_02_basic_02", 1)</t>
  </si>
  <si>
    <t>ELASTIC BALACLAVA WITH FLATLOCK SEAMS</t>
  </si>
  <si>
    <t>Game.AddToInventory("Items.Helmet_12_rich_04", 1)</t>
  </si>
  <si>
    <t>EPOXY BALLISTIC MASK WITH TITANIUM-REINFORCED VISOR</t>
  </si>
  <si>
    <t>Game.AddToInventory("Items.Helmet_08_basic_04", 1)</t>
  </si>
  <si>
    <t>EPOXY CAMOUFLAGE HELMET</t>
  </si>
  <si>
    <t>Game.AddToInventory("Items.Hat_05_old_03", 1)</t>
  </si>
  <si>
    <t>FADED BUCKET HAT</t>
  </si>
  <si>
    <t>Game.AddToInventory("Items.Hat_06_old_03", 1)</t>
  </si>
  <si>
    <t>FADED CORDUROY USHANKA</t>
  </si>
  <si>
    <t>Game.AddToInventory("Items.Helmet_08_rich_03", 1)</t>
  </si>
  <si>
    <t>FIBERGLASS HELMET WITH DUSTPROOF GOGGLES</t>
  </si>
  <si>
    <t>Game.AddToInventory("Items.Balaclava_02_basic_03", 1)</t>
  </si>
  <si>
    <t>FIREPROOF BALACLAVA WITH BREATHABLE LINING</t>
  </si>
  <si>
    <t>Game.AddToInventory("Items.Hat_05_old_02", 1)</t>
  </si>
  <si>
    <t>FISHERMAN'S HAT</t>
  </si>
  <si>
    <t>Game.AddToInventory("Items.Balaclava_02_old_03", 1)</t>
  </si>
  <si>
    <t>FRAYED BALACLAVA</t>
  </si>
  <si>
    <t>Game.AddToInventory("Items.Helmet_12_basic_01", 1)</t>
  </si>
  <si>
    <t>FULL-FACE BALLISTIC MASK</t>
  </si>
  <si>
    <t>Game.AddToInventory("Items.Helmet_11_rich_02", 1)</t>
  </si>
  <si>
    <t>HELMET WITH ACTIVE VENTILATION SYSTEM</t>
  </si>
  <si>
    <t>Game.AddToInventory("Items.Helmet_11_old_03", 1)</t>
  </si>
  <si>
    <t>HELMET WITH BROKEN CLASP</t>
  </si>
  <si>
    <t>Game.AddToInventory("Items.Helmet_11_old_01", 1)</t>
  </si>
  <si>
    <t>HELMET WITH CLOGGED FILTERS</t>
  </si>
  <si>
    <t>Game.AddToInventory("Items.Helmet_11_basic_03", 1)</t>
  </si>
  <si>
    <t>HELMET WITH SONIC CHAMBER</t>
  </si>
  <si>
    <t>Game.AddToInventory("Items.Helmet_11_old_02", 1)</t>
  </si>
  <si>
    <t>HELMET WITHOUT VENTILATION</t>
  </si>
  <si>
    <t>Game.AddToInventory("Items.Helmet_07_rich_03", 1)</t>
  </si>
  <si>
    <t>HYBRID ARASAKA HELMET WITH EPS LINER</t>
  </si>
  <si>
    <t>Game.AddToInventory("Items.Balaclava_02_basic_07", 1)</t>
  </si>
  <si>
    <t>HYDROPHOBIC BALACLAVA WITH POLYURETHANE MEMBRANE</t>
  </si>
  <si>
    <t>Game.AddToInventory("Items.Hat_05_basic_02", 1)</t>
  </si>
  <si>
    <t>HYDROPHOBIC BUCKET HAT WITH POLYURETHANE LAYER</t>
  </si>
  <si>
    <t>Game.AddToInventory("Items.Helmet_10_basic_01", 1)</t>
  </si>
  <si>
    <t>IMPACT-RESISTANT NETRUNNER HELMET</t>
  </si>
  <si>
    <t>Game.AddToInventory("Items.Helmet_09_basic_03", 1)</t>
  </si>
  <si>
    <t>INFUSIBLE BALLISTIC HELMET</t>
  </si>
  <si>
    <t>Game.AddToInventory("Items.Helmet_07_basic_02", 1)</t>
  </si>
  <si>
    <t>LIGHT HARDENED POLYSTYRENE ARASAKA HELMET</t>
  </si>
  <si>
    <t>Game.AddToInventory("Items.Hat_05_rich_04", 1)</t>
  </si>
  <si>
    <t>LIGHTWEIGHT HAT WITH ANTIBACTERIAL LINING</t>
  </si>
  <si>
    <t>Game.AddToInventory("Items.Balaclava_02_basic_01", 1)</t>
  </si>
  <si>
    <t>MODACRYLIC TACTICAL BALACLAVA</t>
  </si>
  <si>
    <t>Game.AddToInventory("Items.Hat_05_rich_01", 1)</t>
  </si>
  <si>
    <t>MODIFIED NYLON EXCLUSIVE HAT</t>
  </si>
  <si>
    <t>Game.AddToInventory("Items.Helmet_07_basic_03", 1)</t>
  </si>
  <si>
    <t>MODIFIED POLYCARBONATE ARASAKA HELMET</t>
  </si>
  <si>
    <t>Game.AddToInventory("Items.Helmet_12_basic_02", 1)</t>
  </si>
  <si>
    <t>MODULAR BALLISTIC MASK</t>
  </si>
  <si>
    <t>Game.AddToInventory("Items.Helmet_10_basic_04", 1)</t>
  </si>
  <si>
    <t>NETRUNNER HELMET WITH HEART MONITOR</t>
  </si>
  <si>
    <t>Game.AddToInventory("Items.Helmet_10_basic_02", 1)</t>
  </si>
  <si>
    <t>NETRUNNER HELMET WITH INTEGRATED VENTILATION</t>
  </si>
  <si>
    <t>Game.AddToInventory("Items.Helmet_10_basic_03", 1)</t>
  </si>
  <si>
    <t>NOISE-CANCELING NETRUNNER HELMET</t>
  </si>
  <si>
    <t>Game.AddToInventory("Items.Hat_06_basic_01", 1)</t>
  </si>
  <si>
    <t>NYLON INSULATED USHANKA</t>
  </si>
  <si>
    <t>Game.AddToInventory("Items.Helmet_07_old_04", 1)</t>
  </si>
  <si>
    <t>OLD-GEN ARASAKA HELMET</t>
  </si>
  <si>
    <t>Game.AddToInventory("Items.Helmet_12_old_04", 1)</t>
  </si>
  <si>
    <t>ORDINARY BALLISTIC MASK</t>
  </si>
  <si>
    <t>Game.AddToInventory("Items.Helmet_09_old_02", 1)</t>
  </si>
  <si>
    <t>OUDATED HELMET WITH SWEATBAND</t>
  </si>
  <si>
    <t>Game.AddToInventory("Items.Helmet_07_old_01", 1)</t>
  </si>
  <si>
    <t>OUTDATED ARASAKA HELMET</t>
  </si>
  <si>
    <t>Game.AddToInventory("Items.Balaclava_02_basic_05", 1)</t>
  </si>
  <si>
    <t>PADDED BALACLAVA WITH MICROFLEECE LINING</t>
  </si>
  <si>
    <t>Game.AddToInventory("Items.Hat_05_basic_01", 1)</t>
  </si>
  <si>
    <t>PERMETHRIN-COATED CAMO BUCKET HAT</t>
  </si>
  <si>
    <t>Game.AddToInventory("Items.Helmet_08_basic_02", 1)</t>
  </si>
  <si>
    <t>PLASTIC HELMET WITH ACRYLIC VISOR</t>
  </si>
  <si>
    <t>Game.AddToInventory("Items.Helmet_08_basic_01", 1)</t>
  </si>
  <si>
    <t>POLYCARBONATE HELMET WITH TINTED VISOR</t>
  </si>
  <si>
    <t>Game.AddToInventory("Items.Balaclava_02_old_02", 1)</t>
  </si>
  <si>
    <t>POLYESTER CAMOUFLAGE BALACLAVA</t>
  </si>
  <si>
    <t>Game.AddToInventory("Items.Helmet_10_rich_03", 1)</t>
  </si>
  <si>
    <t>PROTOTYPE FIBERGLASS NETRUNNER HELMET</t>
  </si>
  <si>
    <t>Game.AddToInventory("Items.Helmet_08_rich_02", 1)</t>
  </si>
  <si>
    <t>PROTOTYPE HELMET WITH EXTENDED PERIPHERAL</t>
  </si>
  <si>
    <t>Game.AddToInventory("Items.Helmet_08_basic_03", 1)</t>
  </si>
  <si>
    <t>PTFE HELMET WITH ANTI-FOG VISOR</t>
  </si>
  <si>
    <t>Game.AddToInventory("Items.Balaclava_02_basic_06", 1)</t>
  </si>
  <si>
    <t>REFLECTIVE THERMOACTIVE BALACLAVA</t>
  </si>
  <si>
    <t>Game.AddToInventory("Items.Helmet_10_old_03", 1)</t>
  </si>
  <si>
    <t>RUSTY NETRUNNER HELMET</t>
  </si>
  <si>
    <t>Game.AddToInventory("Items.Helmet_10_old_02", 1)</t>
  </si>
  <si>
    <t>SCRATCHED HEAVY NETRUNNER HELMET</t>
  </si>
  <si>
    <t>Game.AddToInventory("Items.Helmet_08_old_01", 1)</t>
  </si>
  <si>
    <t>SCRATCHED HELMET WITH DOUBLE VISOR</t>
  </si>
  <si>
    <t>Game.AddToInventory("Items.Helmet_12_old_03", 1)</t>
  </si>
  <si>
    <t>SHABBY BALLISTIC MASK</t>
  </si>
  <si>
    <t>Game.AddToInventory("Items.Balaclava_02_old_01", 1)</t>
  </si>
  <si>
    <t>SINGED BALACLAVA</t>
  </si>
  <si>
    <t>Game.AddToInventory("Items.Hat_05_basic_04", 1)</t>
  </si>
  <si>
    <t>SOFT POLYCOTTON BUCKET HAT</t>
  </si>
  <si>
    <t>Game.AddToInventory("Items.Helmet_08_old_03", 1)</t>
  </si>
  <si>
    <t>SWEAT-STAINED LACQUERED HELMET</t>
  </si>
  <si>
    <t>Game.AddToInventory("Items.Hat_06_old_06", 1)</t>
  </si>
  <si>
    <t>SWEATY PETERSHAM USHANKA</t>
  </si>
  <si>
    <t>Game.AddToInventory("Items.Helmet_09_basic_02", 1)</t>
  </si>
  <si>
    <t>TACTICAL HELMET WITH ANTI-REFLECTIVE LENSES</t>
  </si>
  <si>
    <t>Game.AddToInventory("Items.Helmet_07_basic_01", 1)</t>
  </si>
  <si>
    <t>TACTICAL THERMOPLASTIC ARASAKA HELMET</t>
  </si>
  <si>
    <t>Game.AddToInventory("Items.Hat_06_old_05", 1)</t>
  </si>
  <si>
    <t>TATTERED USHANKA</t>
  </si>
  <si>
    <t>Game.AddToInventory("Items.Helmet_11_rich_03", 1)</t>
  </si>
  <si>
    <t>TECHIE HELMET WITH SMOKE FILTER</t>
  </si>
  <si>
    <t>Game.AddToInventory("Items.Hat_05_rich_02", 1)</t>
  </si>
  <si>
    <t>THERMOACTIVE POLYESTER BUCKET HAT</t>
  </si>
  <si>
    <t>Game.AddToInventory("Items.Balaclava_02_old_04", 1)</t>
  </si>
  <si>
    <t>THICK QUILTED BALACLAVA</t>
  </si>
  <si>
    <t>Game.AddToInventory("Items.Helmet_08_rich_04", 1)</t>
  </si>
  <si>
    <t>TITANIUM FULL-FACE HELMET WITH DOUBLE VISORS</t>
  </si>
  <si>
    <t>Game.AddToInventory("Items.Helmet_09_rich_03", 1)</t>
  </si>
  <si>
    <t>ULTRALIGHT HELMET WITH FOAM PADDING</t>
  </si>
  <si>
    <t>Game.AddToInventory("Items.Helmet_10_rich_02", 1)</t>
  </si>
  <si>
    <t>ULTRALIGHT NETRUNNER HELMET WITH BREATH DEFLECTOR</t>
  </si>
  <si>
    <t>Game.AddToInventory("Items.Helmet_10_old_01", 1)</t>
  </si>
  <si>
    <t>VINTAGE NETRUNNER HELMET</t>
  </si>
  <si>
    <t>Game.AddToInventory("Items.Hat_06_basic_03", 1)</t>
  </si>
  <si>
    <t>WATERPROOF LAMINATED USHANKA</t>
  </si>
  <si>
    <t>Game.AddToInventory("Items.Hat_06_basic_02", 1)</t>
  </si>
  <si>
    <t>WINDPROOF POLYESTER USHANKA</t>
  </si>
  <si>
    <t>Game.AddToInventory("Items.Hat_06_old_04", 1)</t>
  </si>
  <si>
    <t>WORN PLAID USHANKA</t>
  </si>
  <si>
    <t>Game.AddToInventory("Items.Helmet_09_old_01", 1)</t>
  </si>
  <si>
    <t>WORN SURPLUS HELMET</t>
  </si>
  <si>
    <t>Game.AddToInventory("Items.Glasses_05_basic_04", 1)</t>
  </si>
  <si>
    <t>2X ELECTRONIC ROCKER GOGGLES</t>
  </si>
  <si>
    <t>Game.AddToInventory("Items.Mask_03_rich_02", 1)</t>
  </si>
  <si>
    <t>AKAI ONI TITANIUM BOOSTKNIT MENPO</t>
  </si>
  <si>
    <t>Game.AddToInventory("Items.Tech_02_basic_01", 1)</t>
  </si>
  <si>
    <t>AOI TORA ENHANCED BD WREATH</t>
  </si>
  <si>
    <t>Game.AddToInventory("Items.Visor_02_basic_02", 1)</t>
  </si>
  <si>
    <t>ARASAKA TACTICAL TECHGOGS</t>
  </si>
  <si>
    <t>Game.AddToInventory("Items.Mask_02_rich_01", 1)</t>
  </si>
  <si>
    <t>ARCTIC BREATH HYBRID-POLYMER TACTICAL GAS MASK</t>
  </si>
  <si>
    <t>Game.AddToInventory("Items.Glasses_02_basic_04", 1)</t>
  </si>
  <si>
    <t>BEACH PLEASE SQUARE GLASSES WITH TEMPERED LENSES</t>
  </si>
  <si>
    <t>Game.AddToInventory("Items.Visor_02_rich_02", 1)</t>
  </si>
  <si>
    <t>BITCH ARMORED ICE-PROTECTED TECHGOGS</t>
  </si>
  <si>
    <t>Game.AddToInventory("Items.Visor_01_basic_03", 1)</t>
  </si>
  <si>
    <t>BLOUIE BLUE ARAMID-COATED INFOVISOR</t>
  </si>
  <si>
    <t>Game.AddToInventory("Items.Visor_02_basic_01", 1)</t>
  </si>
  <si>
    <t>BOOSTKNIT-POLYMER MILITARY TECHGOGS</t>
  </si>
  <si>
    <t>Game.AddToInventory("Items.Visor_02_old_01", 1)</t>
  </si>
  <si>
    <t>BROKEN TECHGOGS</t>
  </si>
  <si>
    <t>Game.AddToInventory("Items.Mask_02_old_03", 1)</t>
  </si>
  <si>
    <t>CARBON GAS MASK WITH FILTER</t>
  </si>
  <si>
    <t>Game.AddToInventory("Items.Glasses_05_old_01", 1)</t>
  </si>
  <si>
    <t>CHEMICALLY HARDENED TACTICAL GOGGLES</t>
  </si>
  <si>
    <t>Game.AddToInventory("Items.Glasses_01_basic_05", 1)</t>
  </si>
  <si>
    <t>CLASSIC ARMOR-COATED AVIATORS</t>
  </si>
  <si>
    <t>Game.AddToInventory("Items.Glasses_02_basic_05", 1)</t>
  </si>
  <si>
    <t>CLASSIC SQUARE GLASSES WITH UV FILTER</t>
  </si>
  <si>
    <t>Game.AddToInventory("Items.Tech_01_basic_02", 1)</t>
  </si>
  <si>
    <t>COMPOSITE OCUSET</t>
  </si>
  <si>
    <t>Game.AddToInventory("Items.Glasses_03_basic_01", 1)</t>
  </si>
  <si>
    <t>DARKER SPEED SQUARE GLASSES</t>
  </si>
  <si>
    <t>Game.AddToInventory("Items.Tech_02_old_01", 1)</t>
  </si>
  <si>
    <t>DATED BD WREATH</t>
  </si>
  <si>
    <t>Game.AddToInventory("Items.Visor_02_rich_03", 1)</t>
  </si>
  <si>
    <t>DRIED BLOOD METAL-REINFORCED TACTICAL TECHGOGS</t>
  </si>
  <si>
    <t>Game.AddToInventory("Items.Glasses_03_basic_09", 1)</t>
  </si>
  <si>
    <t>DURABLE ZEBRA SPORT GLASSES WITH UV FILTER</t>
  </si>
  <si>
    <t>Game.AddToInventory("Items.Glasses_02_basic_02", 1)</t>
  </si>
  <si>
    <t>ELASTIFLEX UTILITARIAN GLASSES</t>
  </si>
  <si>
    <t>Game.AddToInventory("Items.Glasses_01_basic_02", 1)</t>
  </si>
  <si>
    <t>ELEGANT SEPIA VISION AVIATORS WITH REINFORCED LENSES</t>
  </si>
  <si>
    <t>Game.AddToInventory("Items.Glasses_03_basic_03", 1)</t>
  </si>
  <si>
    <t>ERGONOMIC SAFETY 3201 MILITARY SHADES</t>
  </si>
  <si>
    <t>Game.AddToInventory("Items.Glasses_01_basic_03", 1)</t>
  </si>
  <si>
    <t>GOLD PUNK AVIATORS WITH COATED GLASS</t>
  </si>
  <si>
    <t>Game.AddToInventory("Items.Glasses_03_basic_02", 1)</t>
  </si>
  <si>
    <t>GRAFFITI GLASSES WITH COATED GLASS</t>
  </si>
  <si>
    <t>Game.AddToInventory("Items.Glasses_05_old_02", 1)</t>
  </si>
  <si>
    <t>HARDENED PLASTIC GOGGLES</t>
  </si>
  <si>
    <t>Game.AddToInventory("Items.Visor_01_basic_02", 1)</t>
  </si>
  <si>
    <t>ILLEGALLY MODIFIED MILITARY INFOVISOR</t>
  </si>
  <si>
    <t>Game.AddToInventory("Items.Glasses_03_basic_08", 1)</t>
  </si>
  <si>
    <t>IMPACT-RESISTANT TACTICAL GLASSES</t>
  </si>
  <si>
    <t>Game.AddToInventory("Items.Mask_03_rich_01", 1)</t>
  </si>
  <si>
    <t>JIGOKU NO ONI REINFORCED-COMPOSITE MENPO</t>
  </si>
  <si>
    <t>Game.AddToInventory("Items.Tech_01_rich_01", 1)</t>
  </si>
  <si>
    <t>KANG TAO MANGANESE COMBAT OCUSET</t>
  </si>
  <si>
    <t>Game.AddToInventory("Items.Tech_02_rich_02", 1)</t>
  </si>
  <si>
    <t>KOGANE NO YUME TITANIUM BD WREATH</t>
  </si>
  <si>
    <t>Game.AddToInventory("Items.Proficiency_Tech_02_basic_02_Crafting", 1)</t>
  </si>
  <si>
    <t>LIGHTWEIGHT TUNGSTEN-STEEL BD WREATH</t>
  </si>
  <si>
    <t>Game.AddToInventory("Items.Mask_02_basic_02", 1)</t>
  </si>
  <si>
    <t>MAKESHIFT MAELSTROM GAS MASK</t>
  </si>
  <si>
    <t>Game.AddToInventory("Items.Glasses_05_basic_03", 1)</t>
  </si>
  <si>
    <t>MAKESHIFT PUNK GOGGLES</t>
  </si>
  <si>
    <t>Game.AddToInventory("Items.Mask_03_basic_01", 1)</t>
  </si>
  <si>
    <t>MENPO WITH DURABLE LINING</t>
  </si>
  <si>
    <t>Game.AddToInventory("Items.Mask_03_basic_02", 1)</t>
  </si>
  <si>
    <t>MENPO WITH PROTECTIVE PADDING</t>
  </si>
  <si>
    <t>Game.AddToInventory("Items.Mask_03_old_02", 1)</t>
  </si>
  <si>
    <t>MENPO WITH REACTIVE LAYER</t>
  </si>
  <si>
    <t>Game.AddToInventory("Items.Glasses_03_basic_10", 1)</t>
  </si>
  <si>
    <t>MILITARY GLASSES WITH SPLASH GUARD</t>
  </si>
  <si>
    <t>Game.AddToInventory("Items.Mask_02_rich_02", 1)</t>
  </si>
  <si>
    <t>MOX GAS MASK WITH CUSTOM PROTECTIVE LAYER</t>
  </si>
  <si>
    <t>Game.AddToInventory("Items.Tech_01_rich_02", 1)</t>
  </si>
  <si>
    <t>NCPD TITANIUM ICE-PROTECTED OCUSET</t>
  </si>
  <si>
    <t>Game.AddToInventory("Items.Visor_02_old_02", 1)</t>
  </si>
  <si>
    <t>OLD BIKER TECHGOGS</t>
  </si>
  <si>
    <t>Game.AddToInventory("Items.Tech_01_old_01", 1)</t>
  </si>
  <si>
    <t>OLD OCUSET</t>
  </si>
  <si>
    <t>Game.AddToInventory("Items.Mask_02_old_01", 1)</t>
  </si>
  <si>
    <t>OLD PLASTIC GAS MASK</t>
  </si>
  <si>
    <t>Game.AddToInventory("Items.Mask_02_old_02", 1)</t>
  </si>
  <si>
    <t>PLASTIC GAS MASK WITH FILTER</t>
  </si>
  <si>
    <t>Game.AddToInventory("Items.Glasses_03_basic_05", 1)</t>
  </si>
  <si>
    <t>POLYCARBONATE SPORT SUNGLASSES</t>
  </si>
  <si>
    <t>Game.AddToInventory("Items.Glasses_05_basic_02", 1)</t>
  </si>
  <si>
    <t>PROTECTIVE GILT-POLYMER BIKER GOGGLES</t>
  </si>
  <si>
    <t>Game.AddToInventory("Items.Glasses_03_basic_04", 1)</t>
  </si>
  <si>
    <t>RED ELECTRO-INTEGRATED BIKER SHADES</t>
  </si>
  <si>
    <t>Game.AddToInventory("Items.Visor_02_basic_03", 1)</t>
  </si>
  <si>
    <t>REINFORCED-PLASTIC BIKER TECHGOGS</t>
  </si>
  <si>
    <t>Game.AddToInventory("Items.Glasses_03_basic_07", 1)</t>
  </si>
  <si>
    <t>SHIROI TORA PHOTOELECTRIC SPORT GLASSES</t>
  </si>
  <si>
    <t>Game.AddToInventory("Items.Glasses_01_basic_04", 1)</t>
  </si>
  <si>
    <t>SILVER POLYMER-HYBRID MILITARY AVIATORS</t>
  </si>
  <si>
    <t>Game.AddToInventory("Items.Glasses_01_basic_01", 1)</t>
  </si>
  <si>
    <t>STYLISH POLARIZED AVIATORS</t>
  </si>
  <si>
    <t>Game.AddToInventory("Items.Glasses_03_basic_06", 1)</t>
  </si>
  <si>
    <t>STYLISH TURQUOISE SPORT GLASSES</t>
  </si>
  <si>
    <t>Game.AddToInventory("Items.Visor_01_basic_05", 1)</t>
  </si>
  <si>
    <t>SUN SPARK THERMOSET CHEMGLASS INFOVISOR</t>
  </si>
  <si>
    <t>Game.AddToInventory("Items.Tech_02_rich_01", 1)</t>
  </si>
  <si>
    <t>SWEET DREAMS ARMORED-LAMINATE BD WREATH</t>
  </si>
  <si>
    <t>Game.AddToInventory("Items.Glasses_05_basic_01", 1)</t>
  </si>
  <si>
    <t>SYNLEATHER PLASTIC GOGGLES</t>
  </si>
  <si>
    <t>Game.AddToInventory("Items.Glasses_02_basic_03", 1)</t>
  </si>
  <si>
    <t>TAPED SQUARE GLASSES</t>
  </si>
  <si>
    <t>Game.AddToInventory("Items.Visor_01_basic_01", 1)</t>
  </si>
  <si>
    <t>TECHNOPOLYMER LAB INFOVISOR</t>
  </si>
  <si>
    <t>Game.AddToInventory("Items.Mask_02_basic_01", 1)</t>
  </si>
  <si>
    <t>TITANIUM-REINFORCED GAS MASK</t>
  </si>
  <si>
    <t>Game.AddToInventory("Items.Visor_01_basic_04", 1)</t>
  </si>
  <si>
    <t>TRENDY RED VISION LAMINATED-GLASS INFOVISOR</t>
  </si>
  <si>
    <t>Game.AddToInventory("Items.Glasses_02_basic_01", 1)</t>
  </si>
  <si>
    <t>TRENDY SAZAN LILY SQUARE GLASSES</t>
  </si>
  <si>
    <t>Game.AddToInventory("Items.Tech_01_basic_01", 1)</t>
  </si>
  <si>
    <t>TRILAYER STEEL OCUSET</t>
  </si>
  <si>
    <t>Game.AddToInventory("Items.Mask_03_old_01", 1)</t>
  </si>
  <si>
    <t>WEATHERED MENPO</t>
  </si>
  <si>
    <t>Game.AddToInventory("Items.SQ004_RaffenShiv_Mask", 1)</t>
  </si>
  <si>
    <t>WRAITHS GAS MASK</t>
  </si>
  <si>
    <t>Game.AddToInventory("Items.Proficiency_Visor_02_rich_01_Crafting", 1)</t>
  </si>
  <si>
    <t>YAMORI TUNGSTEN-STEEL BIKER TECHGOGS</t>
  </si>
  <si>
    <t>Game.AddToInventory("Items.Tech_03_rich_01", 1)</t>
  </si>
  <si>
    <t>10K RESOLUTION VR GOGGLES</t>
  </si>
  <si>
    <t>Game.AddToInventory("Items.Mask_04_basic_02", 1)</t>
  </si>
  <si>
    <t>ACID-PROOF BALLISTIC MASK</t>
  </si>
  <si>
    <t>Game.AddToInventory("Items.Mask_04_basic_03", 1)</t>
  </si>
  <si>
    <t>ADJUSTABLE POLYMER BALLISTIC MASK</t>
  </si>
  <si>
    <t>Game.AddToInventory("Items.Mask_04_old_02", 1)</t>
  </si>
  <si>
    <t>ALUMINUM MASK</t>
  </si>
  <si>
    <t>Game.AddToInventory("Items.Mask_04_rich_02", 1)</t>
  </si>
  <si>
    <t>ANTI-FRAG BALLISTIC MASK PLATED WITH HARDENED GOLD</t>
  </si>
  <si>
    <t>Game.AddToInventory("Items.Mask_04_rich_03", 1)</t>
  </si>
  <si>
    <t>AUTO-EXTINGUISHING FIREPROOF BASLLISTIC MASK</t>
  </si>
  <si>
    <t>Game.AddToInventory("Items.Tech_03_basic_03", 1)</t>
  </si>
  <si>
    <t>BATTERY-POWERED VR GOGGLES</t>
  </si>
  <si>
    <t>Game.AddToInventory("Items.Mask_04_old_06", 1)</t>
  </si>
  <si>
    <t>BULKY MASK</t>
  </si>
  <si>
    <t>Game.AddToInventory("Items.Tech_04_rich_02", 1)</t>
  </si>
  <si>
    <t>COMPACT TECHNOSIGHT WITH PHOSPHOR INSERT</t>
  </si>
  <si>
    <t>Game.AddToInventory("Items.Tech_04_rich_01", 1)</t>
  </si>
  <si>
    <t>CONTOURED TECHNOSIGHT WITH INFRARED</t>
  </si>
  <si>
    <t>Game.AddToInventory("Items.Mask_04_old_09", 1)</t>
  </si>
  <si>
    <t>CORRODED BALLISTIC MASK</t>
  </si>
  <si>
    <t>Game.AddToInventory("Items.Tech_04_old_04", 1)</t>
  </si>
  <si>
    <t>CRUDE TECHNOSIGHT</t>
  </si>
  <si>
    <t>Game.AddToInventory("Items.Mask_04_old_04", 1)</t>
  </si>
  <si>
    <t>CYBERPSYCHO MASK</t>
  </si>
  <si>
    <t>Game.AddToInventory("Items.Mask_04_rich_05", 1)</t>
  </si>
  <si>
    <t>ERGONOMIC BALLISTIC GAS MASK</t>
  </si>
  <si>
    <t>Game.AddToInventory("Items.Mask_04_rich_04", 1)</t>
  </si>
  <si>
    <t>FULL-FACE ANTICORROSIVE BALLISTIC MASK</t>
  </si>
  <si>
    <t>Game.AddToInventory("Items.Mask_04_old_03", 1)</t>
  </si>
  <si>
    <t>GRISLY MASK</t>
  </si>
  <si>
    <t>Game.AddToInventory("Items.Tech_03_old_03", 1)</t>
  </si>
  <si>
    <t>HEAVY VR GOGGLES</t>
  </si>
  <si>
    <t>Game.AddToInventory("Items.Tech_04_rich_03", 1)</t>
  </si>
  <si>
    <t>MODULAR TECHNOSIGHT WITH 16X DIGITAL ZOOM</t>
  </si>
  <si>
    <t>Game.AddToInventory("Items.Tech_04_old_02", 1)</t>
  </si>
  <si>
    <t>OUTDATED TECHNOSIGHT</t>
  </si>
  <si>
    <t>Game.AddToInventory("Items.Tech_03_basic_04", 1)</t>
  </si>
  <si>
    <t>PANORAMIC VR GOGGLES</t>
  </si>
  <si>
    <t>Game.AddToInventory("Items.Tech_04_basic_04", 1)</t>
  </si>
  <si>
    <t>PHOTOVOLTAIC TECHNOSIGHT</t>
  </si>
  <si>
    <t>Game.AddToInventory("Items.Tech_04_old_01", 1)</t>
  </si>
  <si>
    <t>PLASTIC TECHNOSIGHT</t>
  </si>
  <si>
    <t>Game.AddToInventory("Items.Tech_03_old_01", 1)</t>
  </si>
  <si>
    <t>PLASTIC VR GOGGLES</t>
  </si>
  <si>
    <t>Game.AddToInventory("Items.Mask_04_rich_01", 1)</t>
  </si>
  <si>
    <t>POLYETHYLENE BALLISTIC MASK WITH PHONIC MEMBRANE</t>
  </si>
  <si>
    <t>Game.AddToInventory("Items.Mask_04_old_01", 1)</t>
  </si>
  <si>
    <t>SCRATCHED CAMO MASK</t>
  </si>
  <si>
    <t>Game.AddToInventory("Items.Mask_04_old_08", 1)</t>
  </si>
  <si>
    <t>SNUG PLASTIC MASK</t>
  </si>
  <si>
    <t>Game.AddToInventory("Items.Mask_04_basic_01", 1)</t>
  </si>
  <si>
    <t>SOLID POLYCARBONATE BALLISTIC MASK</t>
  </si>
  <si>
    <t>Game.AddToInventory("Items.Mask_04_old_05", 1)</t>
  </si>
  <si>
    <t>SWEAT-STAINED MASK</t>
  </si>
  <si>
    <t>Game.AddToInventory("Items.Tech_04_basic_03", 1)</t>
  </si>
  <si>
    <t>TECHNOSIGHT WITH ANTIREFLECTIVE COATING</t>
  </si>
  <si>
    <t>Game.AddToInventory("Items.Tech_04_basic_02", 1)</t>
  </si>
  <si>
    <t>TECHNOSIGHT WITH CONTRAST-ADJUSTER</t>
  </si>
  <si>
    <t>Game.AddToInventory("Items.Tech_04_basic_01", 1)</t>
  </si>
  <si>
    <t>TECHNOSIGHT WITH IMAGE-ENHANCER</t>
  </si>
  <si>
    <t>Game.AddToInventory("Items.Tech_04_rich_04", 1)</t>
  </si>
  <si>
    <t>TECHNOSIGHT WITH INTEGRATED STATIC RANGEFINDER</t>
  </si>
  <si>
    <t>Game.AddToInventory("Items.Tech_04_old_03", 1)</t>
  </si>
  <si>
    <t>TOY TECHNOSIGHT</t>
  </si>
  <si>
    <t>Game.AddToInventory("Items.Tech_03_old_02", 1)</t>
  </si>
  <si>
    <t>UNCOMFORTABLE VR GOGGLES</t>
  </si>
  <si>
    <t>Game.AddToInventory("Items.Tech_03_basic_02", 1)</t>
  </si>
  <si>
    <t>VR GOGGLES WITH A BUILT-IN BATTERY PACK</t>
  </si>
  <si>
    <t>Game.AddToInventory("Items.Tech_03_basic_01", 1)</t>
  </si>
  <si>
    <t>VR GOGGLES WITH A BUILT-IN MIC</t>
  </si>
  <si>
    <t>Game.AddToInventory("Items.Tech_03_rich_02", 1)</t>
  </si>
  <si>
    <t>VR GOGGLES WITH HI-RES 3.0 SPEAKERS</t>
  </si>
  <si>
    <t>Game.AddToInventory("Items.Mask_04_old_07", 1)</t>
  </si>
  <si>
    <t>WORN-DOWN MASK</t>
  </si>
  <si>
    <t>Game.AddToInventory("Items.Vest_13_rich_04", 1)</t>
  </si>
  <si>
    <t>5HI3LD SUPERB COMBATWEAVE ARAMID BREASTPLATE</t>
  </si>
  <si>
    <t>Game.AddToInventory("Items.Jacket_17_old_03", 1)</t>
  </si>
  <si>
    <t>6TH STREET ARMOR-PLATED COMBAT JACKET</t>
  </si>
  <si>
    <t>Game.AddToInventory("Items.Coat_03_old_03", 1)</t>
  </si>
  <si>
    <t>6TH STREET COMBAT-TAILORED BIKER COAT</t>
  </si>
  <si>
    <t>Game.AddToInventory("Items.Vest_03_old_02", 1)</t>
  </si>
  <si>
    <t>6TH STREET MAKESHIFT BALLISTIC VEST</t>
  </si>
  <si>
    <t>Game.AddToInventory("Items.Vest_10_old_02", 1)</t>
  </si>
  <si>
    <t>6TH STREET SHOULDER STRAPS</t>
  </si>
  <si>
    <t>Game.AddToInventory("Items.Vest_06_old_01", 1)</t>
  </si>
  <si>
    <t>6TH STREET TACTICAL HARNESS</t>
  </si>
  <si>
    <t>Game.AddToInventory("Items.Jacket_07_basic_02", 1)</t>
  </si>
  <si>
    <t>6TH STREET ULTRALIGHT WINDBREAKER</t>
  </si>
  <si>
    <t>Game.AddToInventory("Items.Vest_18_rich_01", 1)</t>
  </si>
  <si>
    <t>ADAMANT ROAD COMPOSITE-REINFORCED WESTERN FRINGE VEST</t>
  </si>
  <si>
    <t>Game.AddToInventory("Items.Jacket_04_rich_01", 1)</t>
  </si>
  <si>
    <t>ADVANCED REMON BOOSTKNIT FIELD JACKET</t>
  </si>
  <si>
    <t>Game.AddToInventory("Items.Jacket_15_rich_01", 1)</t>
  </si>
  <si>
    <t>ALBA ESTIVA CROP SWEATER</t>
  </si>
  <si>
    <t>Game.AddToInventory("Items.Jacket_09_old_01", 1)</t>
  </si>
  <si>
    <t>ALDECALDOS MOTORCYCLE JACKET</t>
  </si>
  <si>
    <t>Game.AddToInventory("Items.Vest_03_rich_01", 1)</t>
  </si>
  <si>
    <t>AMBER-04 TITANIUM-PLATED BALLISTIC VEST</t>
  </si>
  <si>
    <t>Game.AddToInventory("Items.Jacket_10_basic_01", 1)</t>
  </si>
  <si>
    <t>AMETHYSPEED NANOPLASTIC RALLY BOLERO</t>
  </si>
  <si>
    <t>Game.AddToInventory("Items.Vest_18_rich_02", 1)</t>
  </si>
  <si>
    <t>ANHELO BLANCO PUNCTURE-RESISTANT WESTERN FRINGE VEST</t>
  </si>
  <si>
    <t>Game.AddToInventory("Items.Vest_06_rich_01", 1)</t>
  </si>
  <si>
    <t>ANIMALS HEAVY COMPOSITE-PLATED TACTICAL HARNESS</t>
  </si>
  <si>
    <t>Game.AddToInventory("Items.Jumpsuit_01_basic_01", 1)</t>
  </si>
  <si>
    <t>ANIMALS POWER-ABSORBENT JUMPSUIT</t>
  </si>
  <si>
    <t>Game.AddToInventory("Items.Vest_10_rich_01", 1)</t>
  </si>
  <si>
    <t>ANIMALS REINFORCED CARBON-FIBER SHOULDER STRAPS</t>
  </si>
  <si>
    <t>Game.AddToInventory("Items.Jacket_13_old_02", 1)</t>
  </si>
  <si>
    <t>ANTI-SHRAPNEL HOODED BOMBER</t>
  </si>
  <si>
    <t>Game.AddToInventory("Items.LooseShirt_02_rich_01", 1)</t>
  </si>
  <si>
    <t>AQUA UNIVERSE LUXE ARAMID-WEAVE SHIRT</t>
  </si>
  <si>
    <t>Game.AddToInventory("Items.Vest_07_basic_01", 1)</t>
  </si>
  <si>
    <t>ARAMID-ENHANCED HIGH-COLLAR MILITARY VEST</t>
  </si>
  <si>
    <t>Game.AddToInventory("Items.FormalJacket_01_old_02", 1)</t>
  </si>
  <si>
    <t>ARAMID-WEAVE SUIT JACKET</t>
  </si>
  <si>
    <t>Game.AddToInventory("Items.Jumpsuit_01_old_02", 1)</t>
  </si>
  <si>
    <t>ARAMID-WEAVE TEN70 SUNSET JUMPSUIT</t>
  </si>
  <si>
    <t>Game.AddToInventory("Items.FormalJacket_05_basic_02", 1)</t>
  </si>
  <si>
    <t>ARASAKA FORMAL JACKET WITH LIGHT ARMORPLATING</t>
  </si>
  <si>
    <t>Game.AddToInventory("Items.Dress_02_basic_02", 1)</t>
  </si>
  <si>
    <t>ARASAKA POLYAMIDE CORPORATE DRESS</t>
  </si>
  <si>
    <t>Game.AddToInventory("Items.FormalJacket_02_basic_01", 1)</t>
  </si>
  <si>
    <t>ARASAKA POLYCARBONATE CORPORATE BLAZER</t>
  </si>
  <si>
    <t>Game.AddToInventory("Items.Vest_01_basic_02", 1)</t>
  </si>
  <si>
    <t>ARASAKA POLYCARBONATE-LACED BULLETPROOF ARAMID VEST</t>
  </si>
  <si>
    <t>Game.AddToInventory("Items.Vest_12_basic_01", 1)</t>
  </si>
  <si>
    <t>ARASAKA THERMOSET ARAMID COLLAR</t>
  </si>
  <si>
    <t>Game.AddToInventory("Items.Vest_06_rich_03", 1)</t>
  </si>
  <si>
    <t>ARASAKA ULTRALIGHT HYBRID TACTICAL HARNESS</t>
  </si>
  <si>
    <t>Game.AddToInventory("Items.Jacket_14_rich_02", 1)</t>
  </si>
  <si>
    <t>ARCTIC LYCHEE BOLERO TUNGSTEN MIROPLATED BOMBER</t>
  </si>
  <si>
    <t>Game.AddToInventory("Items.Jacket_05_basic_01", 1)</t>
  </si>
  <si>
    <t>ARMOR-QUILTED JACKET</t>
  </si>
  <si>
    <t>Game.AddToInventory("Items.Coat_02_old_01", 1)</t>
  </si>
  <si>
    <t>ARMOR-WEAVE LONG VEST</t>
  </si>
  <si>
    <t>Game.AddToInventory("Items.Jacket_02_rich_02", 1)</t>
  </si>
  <si>
    <t>ARMY-J3W3L POLYCARBONATE TACTICAL FLIGHT JACKET</t>
  </si>
  <si>
    <t>Game.AddToInventory("Items.LooseShirt_01_rich_01", 1)</t>
  </si>
  <si>
    <t>ARTE URBANO ELEGANTLY NANOSTITCHED SHIRT</t>
  </si>
  <si>
    <t>Game.AddToInventory("Items.Vest_13_rich_02", 1)</t>
  </si>
  <si>
    <t>ARUMAJIRO DUAL-ARMOR ARAMID BREASTPLATE</t>
  </si>
  <si>
    <t>Game.AddToInventory("Items.Vest_19_basic_01", 1)</t>
  </si>
  <si>
    <t>ASA NO HEIWA ENHANCED YUKATA</t>
  </si>
  <si>
    <t>Game.AddToInventory("Items.Jacket_03_basic_01", 1)</t>
  </si>
  <si>
    <t>AT-AK COMPOSITE-LINED EDGERUNNER</t>
  </si>
  <si>
    <t>Game.AddToInventory("Items.Jacket_10_rich_01", 1)</t>
  </si>
  <si>
    <t>AT-AK INSULATED ARAMID-PADDED RALLY BOLERO</t>
  </si>
  <si>
    <t>Game.AddToInventory("Items.Coat_01_basic_02", 1)</t>
  </si>
  <si>
    <t>AT-AK REINFORCED BIKER COAT</t>
  </si>
  <si>
    <t>Game.AddToInventory("Items.FormalJacket_05_rich_01", 1)</t>
  </si>
  <si>
    <t>BAI LONG HIGH-ALLOY STEEL-SEQUINED JACKET</t>
  </si>
  <si>
    <t>Game.AddToInventory("Items.Vest_04_basic_01", 1)</t>
  </si>
  <si>
    <t>BASIC BALLISTIC VEST</t>
  </si>
  <si>
    <t>Game.AddToInventory("Items.Vest_07_basic_03", 1)</t>
  </si>
  <si>
    <t>BASIC DETACHABLE REACTIVE-FIBER COLLAR</t>
  </si>
  <si>
    <t>Game.AddToInventory("Items.Jacket_11_basic_02", 1)</t>
  </si>
  <si>
    <t>BASIC POLYCARBONATE FOLDTOP</t>
  </si>
  <si>
    <t>Game.AddToInventory("Items.Jacket_16_rich_01", 1)</t>
  </si>
  <si>
    <t>BERMUDA TRIANGLE CUTOUT BODYSUIT</t>
  </si>
  <si>
    <t>Game.AddToInventory("Items.Jacket_01_basic_02", 1)</t>
  </si>
  <si>
    <t>BIKER VIBE COMPOSITE-LINED CRYSTALJOCK BOMBER</t>
  </si>
  <si>
    <t>Game.AddToInventory("Items.Jacket_15_basic_02", 1)</t>
  </si>
  <si>
    <t>BIPOLAR RAINBOW HYBRID-WEAVE CROP SWEATER</t>
  </si>
  <si>
    <t>Game.AddToInventory("Items.Vest_14_rich_01", 1)</t>
  </si>
  <si>
    <t>BITCH V.13 COMPOSITE-ENHANCED VEST</t>
  </si>
  <si>
    <t>Game.AddToInventory("Items.Vest_08_rich_01", 1)</t>
  </si>
  <si>
    <t>BITCH V.13 DUAL-REINFORCED TACTICAL VEST</t>
  </si>
  <si>
    <t>Game.AddToInventory("Items.Jacket_02_rich_01", 1)</t>
  </si>
  <si>
    <t>BITCH V.13 ENHANCED NANOCARBON FLIGHT JACKET</t>
  </si>
  <si>
    <t>Game.AddToInventory("Items.Jacket_11_rich_02", 1)</t>
  </si>
  <si>
    <t>BLAUER NEBEL EAZY-BREATHE HIGH-ALLOY SEQUINED FOLDTOP</t>
  </si>
  <si>
    <t>Game.AddToInventory("Items.Vest_15_old_01", 1)</t>
  </si>
  <si>
    <t>BLOODY PIGGY CUT-OFF</t>
  </si>
  <si>
    <t>Game.AddToInventory("Items.Jacket_06_rich_02", 1)</t>
  </si>
  <si>
    <t>BLUE JAGUAR SPECIAL-OCCASION REINFORCED ROCKERJACK</t>
  </si>
  <si>
    <t>Game.AddToInventory("Items.Jacket_01_rich_02", 1)</t>
  </si>
  <si>
    <t>BLUE MIRROR DUAL-SHIELD CRYSTALJOCK BOMBER</t>
  </si>
  <si>
    <t>Game.AddToInventory("Items.Jacket_12_basic_02", 1)</t>
  </si>
  <si>
    <t>BLURRY ROAD THERMOSET-FIBER BIKER JACKET</t>
  </si>
  <si>
    <t>Game.AddToInventory("Items.Vest_03_basic_02", 1)</t>
  </si>
  <si>
    <t>BORDER GUARD BALLISTIC VEST</t>
  </si>
  <si>
    <t>Game.AddToInventory("Items.Vest_01_basic_01", 1)</t>
  </si>
  <si>
    <t>BORDER GUARD MULTILAYER ARAMID VEST</t>
  </si>
  <si>
    <t>Game.AddToInventory("Items.Vest_08_old_01", 1)</t>
  </si>
  <si>
    <t>BORDER GUARD TACTICAL VEST</t>
  </si>
  <si>
    <t>Game.AddToInventory("Items.Jacket_07_old_01", 1)</t>
  </si>
  <si>
    <t>BRAINDANCE WINDBREAKER</t>
  </si>
  <si>
    <t>Game.AddToInventory("Items.Dress_02_rich_02", 1)</t>
  </si>
  <si>
    <t>BRASS HARMONY COMPOSITE-REINFORCED FORMAL DRESS</t>
  </si>
  <si>
    <t>Game.AddToInventory("Items.Coat_01_old_03", 1)</t>
  </si>
  <si>
    <t>BURN CORPO SHIT DUOLAYER COAT</t>
  </si>
  <si>
    <t>Game.AddToInventory("Items.Vest_15_basic_02", 1)</t>
  </si>
  <si>
    <t>CAMO COMBAT CUT-OFF</t>
  </si>
  <si>
    <t>Game.AddToInventory("Items.Jacket_11_old_01", 1)</t>
  </si>
  <si>
    <t>CAMO FOLDTOP</t>
  </si>
  <si>
    <t>Game.AddToInventory("Items.Vest_08_old_02", 1)</t>
  </si>
  <si>
    <t>CAMO TACTICAL VEST</t>
  </si>
  <si>
    <t>Game.AddToInventory("Items.Vest_18_old_01", 1)</t>
  </si>
  <si>
    <t>CAMO WESTERN FRINGE VEST</t>
  </si>
  <si>
    <t>Game.AddToInventory("Items.Vest_15_basic_03", 1)</t>
  </si>
  <si>
    <t>CANDY PILL ULTRA-DURABLE CUT-OFF</t>
  </si>
  <si>
    <t>Game.AddToInventory("Items.Jacket_17_basic_01", 1)</t>
  </si>
  <si>
    <t>CANINE POWER HYBRID-STITCH POZER-JACKET</t>
  </si>
  <si>
    <t>Game.AddToInventory("Items.Coat_01_rich_02", 1)</t>
  </si>
  <si>
    <t>CANINE POWER POLYAMIDE TRILAYER COAT</t>
  </si>
  <si>
    <t>Game.AddToInventory("Items.Jacket_17_basic_02", 1)</t>
  </si>
  <si>
    <t>CARBON TRIANGLE GRAPHENE-WEAVE POZER-JACKET</t>
  </si>
  <si>
    <t>Game.AddToInventory("Items.Jacket_17_old_01", 1)</t>
  </si>
  <si>
    <t>CARBON-LINED POZER-JACKET</t>
  </si>
  <si>
    <t>Game.AddToInventory("Items.Jacket_03_old_02", 1)</t>
  </si>
  <si>
    <t>CARBON-PLATED EDGERUNNER</t>
  </si>
  <si>
    <t>Game.AddToInventory("Items.LooseShirt_01_old_02", 1)</t>
  </si>
  <si>
    <t>CLASSIC ANTI-PUNCTURE SHIRT</t>
  </si>
  <si>
    <t>Game.AddToInventory("Items.Vest_14_rich_02", 1)</t>
  </si>
  <si>
    <t>CLASSY BRASS FLAME-RESISTANT LAMINATED VEST</t>
  </si>
  <si>
    <t>Game.AddToInventory("Items.Vest_16_rich_01", 1)</t>
  </si>
  <si>
    <t>CLAW TASTE ULTRADURABLE SHORT PUFFER</t>
  </si>
  <si>
    <t>Game.AddToInventory("Items.FormalJacket_03_basic_01", 1)</t>
  </si>
  <si>
    <t>COMFORTABLE MIDORI BIOFABRIC COCKTAIL JACKET</t>
  </si>
  <si>
    <t>Game.AddToInventory("Items.Coat_02_basic_02", 1)</t>
  </si>
  <si>
    <t>COMPOSITE-LINED LONG VEST WITH PATTERN</t>
  </si>
  <si>
    <t>Game.AddToInventory("Items.Jacket_10_old_02", 1)</t>
  </si>
  <si>
    <t>COMPOSITE-LINED RALLY BOLERO JACKET</t>
  </si>
  <si>
    <t>Game.AddToInventory("Items.LooseShirt_02_old_01", 1)</t>
  </si>
  <si>
    <t>COMPOSITE-WEAVE WESTERN SHIRT</t>
  </si>
  <si>
    <t>Game.AddToInventory("Items.Jacket_16_basic_01", 1)</t>
  </si>
  <si>
    <t>CORAL CUTOUT BODYSUIT</t>
  </si>
  <si>
    <t>Game.AddToInventory("Items.Vest_13_basic_02", 1)</t>
  </si>
  <si>
    <t>CORPORATE ARMOR-PLATED ARAMID BREASTPLATE</t>
  </si>
  <si>
    <t>Game.AddToInventory("Items.Vest_15_old_03", 1)</t>
  </si>
  <si>
    <t>CUT-OFF WITH PROTECTIVE UNDERLAYER</t>
  </si>
  <si>
    <t>Game.AddToInventory("Items.Vest_01_rich_01", 1)</t>
  </si>
  <si>
    <t>CY-4N HYBRID-KNIT ARAMID TACTICAL VEST</t>
  </si>
  <si>
    <t>Game.AddToInventory("Items.FormalJacket_04_basic_02", 1)</t>
  </si>
  <si>
    <t>CYAN MULTIRESIST EVENING JACKET</t>
  </si>
  <si>
    <t>Game.AddToInventory("Items.Vest_11_rich_01", 1)</t>
  </si>
  <si>
    <t>CYAN THERMOSET COMBAT CAMO VEST</t>
  </si>
  <si>
    <t>Game.AddToInventory("Items.Vest_04_rich_02", 1)</t>
  </si>
  <si>
    <t>DAEMON HUNTER TITANIUM-WEAVE BALLISTIC VEST</t>
  </si>
  <si>
    <t>Game.AddToInventory("Items.Jacket_15_old_01", 1)</t>
  </si>
  <si>
    <t>DANSE MACABRE CROP SWEATER</t>
  </si>
  <si>
    <t>Game.AddToInventory("Items.Coat_02_old_02", 1)</t>
  </si>
  <si>
    <t>DATED LONG VEST</t>
  </si>
  <si>
    <t>Game.AddToInventory("Items.Jacket_17_rich_06", 1)</t>
  </si>
  <si>
    <t>DEADLY LAGOON ARMORED SYN-SILK POZER-JACKET</t>
  </si>
  <si>
    <t>Game.AddToInventory("Items.Vest_06_rich_02", 1)</t>
  </si>
  <si>
    <t>DECADENCIA VERDE BULLETPROOF TACTICAL HARNESS</t>
  </si>
  <si>
    <t>Game.AddToInventory("Items.Dress_01_rich_02", 1)</t>
  </si>
  <si>
    <t>DEMON RHAPSODY REACTIVE-LAYER PENCIL DRESS</t>
  </si>
  <si>
    <t>Game.AddToInventory("Items.Jacket_12_basic_01", 1)</t>
  </si>
  <si>
    <t>DENIM BIKER JACKET WITH THERMOACTIVE COLLAR</t>
  </si>
  <si>
    <t>Game.AddToInventory("Items.LooseShirt_02_basic_02", 1)</t>
  </si>
  <si>
    <t>DENIM MESH WESTERN SHIRT</t>
  </si>
  <si>
    <t>Game.AddToInventory("Items.Jacket_01_rich_01", 1)</t>
  </si>
  <si>
    <t>DENKI-SHIN THERMOSET HYBRID CRYSTALJOCK BOMBER</t>
  </si>
  <si>
    <t>Game.AddToInventory("Items.FormalJacket_02_rich_02", 1)</t>
  </si>
  <si>
    <t>DIAMANT NOIR CARBON-REINFORCED CORPORATE BLAZER</t>
  </si>
  <si>
    <t>Game.AddToInventory("Items.Vest_06_old_02", 1)</t>
  </si>
  <si>
    <t>DIRTY NUSA TACTICAL HARNESS</t>
  </si>
  <si>
    <t>Game.AddToInventory("Items.LooseShirt_02_basic_01", 1)</t>
  </si>
  <si>
    <t>DISCOWBOY DURABLE SYNTHFIBER WESTERN SHIRT</t>
  </si>
  <si>
    <t>Game.AddToInventory("Items.Coat_02_basic_01", 1)</t>
  </si>
  <si>
    <t>DUOLAYER NYLON VEST</t>
  </si>
  <si>
    <t>Game.AddToInventory("Items.Jacket_16_old_01", 1)</t>
  </si>
  <si>
    <t>DUOWEAVE PSYCHO CUTOUT BODYSUIT</t>
  </si>
  <si>
    <t>Game.AddToInventory("Items.Vest_07_old_02", 1)</t>
  </si>
  <si>
    <t>DURABLE HIGH-COLLAR VEST</t>
  </si>
  <si>
    <t>Game.AddToInventory("Items.Jumpsuit_01_old_01", 1)</t>
  </si>
  <si>
    <t>DURABLE MILITECH TRAINING JUMPSUIT</t>
  </si>
  <si>
    <t>Game.AddToInventory("Items.Coat_02_old_04", 1)</t>
  </si>
  <si>
    <t>DURABLE PLASTIC-WEAVE LONG VEST</t>
  </si>
  <si>
    <t>Game.AddToInventory("Items.FormalJacket_02_basic_02", 1)</t>
  </si>
  <si>
    <t>DURABLE SYNSILK BLAZER</t>
  </si>
  <si>
    <t>Game.AddToInventory("Items.Coat_03_basic_01", 1)</t>
  </si>
  <si>
    <t>DURABLE SYNTHETIC BIKER COAT</t>
  </si>
  <si>
    <t>Game.AddToInventory("Items.Dress_02_basic_01", 1)</t>
  </si>
  <si>
    <t>DURABLE SYNWEAVE CORPORATE DRESS</t>
  </si>
  <si>
    <t>Game.AddToInventory("Items.Jacket_01_old_02", 1)</t>
  </si>
  <si>
    <t>EDGE WARRIOR CRYSTALJOCK BOMBER</t>
  </si>
  <si>
    <t>Game.AddToInventory("Items.FormalJacket_02_rich_03", 1)</t>
  </si>
  <si>
    <t>ELEGANT CARET CASSICO BLAZER WITH NANOTUBE STRIPES</t>
  </si>
  <si>
    <t>Game.AddToInventory("Items.Dress_01_basic_03", 1)</t>
  </si>
  <si>
    <t>ELEGANT HYBRID-LINING PENCIL DRESS</t>
  </si>
  <si>
    <t>Game.AddToInventory("Items.Vest_19_basic_02", 1)</t>
  </si>
  <si>
    <t>ELEGANT NANOWEAVE YUKATA</t>
  </si>
  <si>
    <t>Game.AddToInventory("Items.Jumpsuit_01_rich_02", 1)</t>
  </si>
  <si>
    <t>EMPERATRIZ TIGRESA DUOWEAVE JUMPSUIT</t>
  </si>
  <si>
    <t>Game.AddToInventory("Items.Vest_02_basic_01", 1)</t>
  </si>
  <si>
    <t>ENHANCED ARAMID VEST</t>
  </si>
  <si>
    <t>Game.AddToInventory("Items.Vest_07_basic_02", 1)</t>
  </si>
  <si>
    <t>ENHANCED HIGH-COLLAR VEST</t>
  </si>
  <si>
    <t>Game.AddToInventory("Items.Coat_04_rich_01", 1)</t>
  </si>
  <si>
    <t>FAIRY FROST TRENCH COAT WITH PROTECTIVE MESH</t>
  </si>
  <si>
    <t>Game.AddToInventory("Items.Vest_16_rich_02", 1)</t>
  </si>
  <si>
    <t>FANCY DRAGON ARAMID-LINED SHORT PUFFER</t>
  </si>
  <si>
    <t>Game.AddToInventory("Items.FormalJacket_03_rich_01", 1)</t>
  </si>
  <si>
    <t>FELINE FURY FLAME-RESISTANT COCKTAIL JACKET</t>
  </si>
  <si>
    <t>Game.AddToInventory("Items.Vest_17_basic_02", 1)</t>
  </si>
  <si>
    <t>FINAL IMPULSE DUOLAYER PUFFER VEST</t>
  </si>
  <si>
    <t>Game.AddToInventory("Items.Vest_06_rich_04", 1)</t>
  </si>
  <si>
    <t>FLAZH ARMORED THERMOSET TACTICAL HARNESS</t>
  </si>
  <si>
    <t>Game.AddToInventory("Items.Jacket_02_old_01", 1)</t>
  </si>
  <si>
    <t>FLIGHT JACKET WITH RUBBER-PLATE INSETS</t>
  </si>
  <si>
    <t>Game.AddToInventory("Items.FormalJacket_05_basic_03", 1)</t>
  </si>
  <si>
    <t>FORMAL JACKET WITH COMPOSITE INSETS</t>
  </si>
  <si>
    <t>Game.AddToInventory("Items.FormalJacket_04_rich_01", 1)</t>
  </si>
  <si>
    <t>GATTO NERO EVENING JACKET WITH TUNGSTEN-STEEL MICROPLATES</t>
  </si>
  <si>
    <t>Game.AddToInventory("Items.Jacket_09_rich_01", 1)</t>
  </si>
  <si>
    <t>GOLDEN AGE TRILAYER COMPOSITE MOTORCYCLE JACKET</t>
  </si>
  <si>
    <t>Game.AddToInventory("Items.FormalJacket_05_rich_03", 1)</t>
  </si>
  <si>
    <t>GOLDEN HIVE FORMAL ANTICHEM MEMBRANE JACKET</t>
  </si>
  <si>
    <t>Game.AddToInventory("Items.Jacket_05_rich_02", 1)</t>
  </si>
  <si>
    <t>GOLDEN MEAN ELEGANT CHEM-RESISTANT BIKER JACKET</t>
  </si>
  <si>
    <t>Game.AddToInventory("Items.Coat_01_rich_01", 1)</t>
  </si>
  <si>
    <t>GOLDEN MEAN HYBRID-WEAVE FLAME-RESISTANT COAT</t>
  </si>
  <si>
    <t>Game.AddToInventory("Items.Jacket_03_basic_02", 1)</t>
  </si>
  <si>
    <t>GRAFFITI CARBON-COMPOSITE EDGERUNNER</t>
  </si>
  <si>
    <t>Game.AddToInventory("Items.Vest_07_old_03", 1)</t>
  </si>
  <si>
    <t>GRAFFITI DETACHABLE COLLAR</t>
  </si>
  <si>
    <t>Game.AddToInventory("Items.Vest_11_rich_02", 1)</t>
  </si>
  <si>
    <t>GRAFFITI ULTRARESISTANT DUOLAYER VEST</t>
  </si>
  <si>
    <t>Game.AddToInventory("Items.LooseShirt_02_old_02", 1)</t>
  </si>
  <si>
    <t>GRAPHITE GEM INSULATED WESTERN SHIRT</t>
  </si>
  <si>
    <t>Game.AddToInventory("Items.Dress_01_rich_03", 1)</t>
  </si>
  <si>
    <t>GREEN VIPER DOUBLE-NANOWEAVE PENCIL DRESS</t>
  </si>
  <si>
    <t>Game.AddToInventory("Items.Vest_15_basic_01", 1)</t>
  </si>
  <si>
    <t>HAND-REINFORCED HOODED DENIM CUT-OFF</t>
  </si>
  <si>
    <t>Game.AddToInventory("Items.Jacket_11_old_02", 1)</t>
  </si>
  <si>
    <t>HARDENED LEATHER FOLDTOP</t>
  </si>
  <si>
    <t>Game.AddToInventory("Items.Jacket_06_old_01", 1)</t>
  </si>
  <si>
    <t>HARDENED LEATHER ROCKERJACK</t>
  </si>
  <si>
    <t>Game.AddToInventory("Items.Jacket_05_old_02", 1)</t>
  </si>
  <si>
    <t>HARDENED RUBBER BIKER JACKET</t>
  </si>
  <si>
    <t>Game.AddToInventory("Items.FormalJacket_03_basic_03", 1)</t>
  </si>
  <si>
    <t>HARDY DANDYLION COCKTAIL JACKET</t>
  </si>
  <si>
    <t>Game.AddToInventory("Items.Coat_02_old_03", 1)</t>
  </si>
  <si>
    <t>HEAT-RESISTANT LONG VEST</t>
  </si>
  <si>
    <t>Game.AddToInventory("Items.Coat_03_rich_02", 1)</t>
  </si>
  <si>
    <t>HEAVY HYBRID-ARMOR TRICKSTER COAT</t>
  </si>
  <si>
    <t>Game.AddToInventory("Items.LooseShirt_01_rich_02", 1)</t>
  </si>
  <si>
    <t>HEBI TSUKAI CASHMERE-NANOFIBER SHIRT</t>
  </si>
  <si>
    <t>Game.AddToInventory("Items.Vest_20_basic_02", 1)</t>
  </si>
  <si>
    <t>HJUDGE WERTHER REINFORCED LEATHER BIKER VEST</t>
  </si>
  <si>
    <t>Game.AddToInventory("Items.Jacket_03_rich_02", 1)</t>
  </si>
  <si>
    <t>HOLY ROSE MULTILAYER EDGERUNNER</t>
  </si>
  <si>
    <t>Game.AddToInventory("Items.Vest_18_basic_02", 1)</t>
  </si>
  <si>
    <t>ICON AMERICA DUOLAYER WESTERN FRINGE VEST</t>
  </si>
  <si>
    <t>Game.AddToInventory("Items.Vest_20_basic_01", 1)</t>
  </si>
  <si>
    <t>IMPACT-ABSORBENT PADDED BIKER VEST</t>
  </si>
  <si>
    <t>Game.AddToInventory("Items.Jacket_06_basic_01", 1)</t>
  </si>
  <si>
    <t>INNER FLAME FLAME-RESISTANT ROCKERJACK</t>
  </si>
  <si>
    <t>Game.AddToInventory("Items.Vest_17_basic_01", 1)</t>
  </si>
  <si>
    <t>JSHLX REINFORCED PUFFER VEST</t>
  </si>
  <si>
    <t>Game.AddToInventory("Items.Vest_02_rich_01", 1)</t>
  </si>
  <si>
    <t>KANG TAO METALSTITCH ARAMID VEST</t>
  </si>
  <si>
    <t>Game.AddToInventory("Items.Vest_11_basic_02", 1)</t>
  </si>
  <si>
    <t>KANG TAO REFLECTIVE HYBRIDWEAVE UTILITY VEST</t>
  </si>
  <si>
    <t>Game.AddToInventory("Items.Vest_08_basic_02", 1)</t>
  </si>
  <si>
    <t>KANG TAO REINFORCED TACTICAL VEST</t>
  </si>
  <si>
    <t>Game.AddToInventory("Items.Jacket_09_basic_02", 1)</t>
  </si>
  <si>
    <t>KANG TAO STRETCHY MOTORCYCLE JACKET</t>
  </si>
  <si>
    <t>Game.AddToInventory("Items.Vest_13_rich_03", 1)</t>
  </si>
  <si>
    <t>KANI KARA TITANIUM-REINFORCED COMPOSITE BREASTPLATE</t>
  </si>
  <si>
    <t>Game.AddToInventory("Items.Q005_Steel_Dragons_Coat", 1)</t>
  </si>
  <si>
    <t>KOTETSU NO RYU COAT</t>
  </si>
  <si>
    <t>Game.AddToInventory("Items.Coat_04_basic_03", 1)</t>
  </si>
  <si>
    <t>KOUMORI SYN-LEATHER TRENCH COAT</t>
  </si>
  <si>
    <t>Game.AddToInventory("Items.Coat_03_basic_02", 1)</t>
  </si>
  <si>
    <t>KYUKETSUKI FLAME-RESISTANT POLYAMIDE ROCKER COAT</t>
  </si>
  <si>
    <t>Game.AddToInventory("Items.Vest_14_basic_02", 1)</t>
  </si>
  <si>
    <t>LADY IN BLUE SYNWEAVE VEST</t>
  </si>
  <si>
    <t>Game.AddToInventory("Items.Dress_01_rich_01", 1)</t>
  </si>
  <si>
    <t>LADY IN WHITE HYBRID-WEAVE PENCIL DRESS</t>
  </si>
  <si>
    <t>Game.AddToInventory("Items.Jacket_14_rich_01", 1)</t>
  </si>
  <si>
    <t>LAVENDER GALAXY BOLERO COMPOSITE-LAYERED BOMBER</t>
  </si>
  <si>
    <t>Game.AddToInventory("Items.Jacket_06_basic_02", 1)</t>
  </si>
  <si>
    <t>LAZR-MOSAIC ANTI-SHRAPNEL ROCKERJACK</t>
  </si>
  <si>
    <t>Game.AddToInventory("Items.Jacket_17_rich_03", 1)</t>
  </si>
  <si>
    <t>LAZRPUNK TUNGSTEN-PLATED POZER-JACKET</t>
  </si>
  <si>
    <t>Game.AddToInventory("Items.Vest_20_old_02", 1)</t>
  </si>
  <si>
    <t>LEATHER BIKER VEST</t>
  </si>
  <si>
    <t>Game.AddToInventory("Items.Jacket_12_rich_02", 1)</t>
  </si>
  <si>
    <t>LIGHT CHERRY JINN ANTI-SHRAPNEL DENIM JACKET</t>
  </si>
  <si>
    <t>Game.AddToInventory("Items.Jacket_13_basic_03", 1)</t>
  </si>
  <si>
    <t>LIGHT SPIRIT ANIMAL CHEM-RESISTANT BOMBER</t>
  </si>
  <si>
    <t>Game.AddToInventory("Items.FormalJacket_04_basic_01", 1)</t>
  </si>
  <si>
    <t>LIGHT SYNFIBER EVENING JACKET</t>
  </si>
  <si>
    <t>Game.AddToInventory("Items.Jumpsuit_02_rich_03", 1)</t>
  </si>
  <si>
    <t>LIGHTNING RIDER REINFORCED RACING SUIT</t>
  </si>
  <si>
    <t>Game.AddToInventory("Items.FormalJacket_02_rich_01", 1)</t>
  </si>
  <si>
    <t>LILLA NATT COMPOSITE-LEATHER ROCKER BLAZER</t>
  </si>
  <si>
    <t>Game.AddToInventory("Items.LooseShirt_01_basic_01", 1)</t>
  </si>
  <si>
    <t>LIMITED EDITION LOOSE-FIT SHIRT WITH PROTECTIVE MESH</t>
  </si>
  <si>
    <t>Game.AddToInventory("Items.Vest_01_rich_02", 1)</t>
  </si>
  <si>
    <t>M4RBL3 TITANIUM-PLEATED BALLISTIC VEST</t>
  </si>
  <si>
    <t>Game.AddToInventory("Items.Vest_17_rich_02", 1)</t>
  </si>
  <si>
    <t>MAGENTA BEE TRILAYER HYBRID PUFFER VEST</t>
  </si>
  <si>
    <t>Game.AddToInventory("Items.Vest_07_rich_03", 1)</t>
  </si>
  <si>
    <t>MAGENTA PUNCTURE-RESISTANT MULTILAYER HIGH-COLLAR VEST</t>
  </si>
  <si>
    <t>Game.AddToInventory("Items.FormalJacket_01_rich_01", 1)</t>
  </si>
  <si>
    <t>MARBRE DORÉ SUIT JACKET WITH DISCREET BULLETPROOF LINING</t>
  </si>
  <si>
    <t>Game.AddToInventory("Items.Jumpsuit_02_old_02", 1)</t>
  </si>
  <si>
    <t>MAXIWEAR MOTORCYCLE SUIT</t>
  </si>
  <si>
    <t>Game.AddToInventory("Items.Jacket_17_basic_04", 1)</t>
  </si>
  <si>
    <t>MELTING CERAMIC MEMBRANE POZER-JACKET</t>
  </si>
  <si>
    <t>Game.AddToInventory("Items.Vest_14_basic_01", 1)</t>
  </si>
  <si>
    <t>MICROPLATE-LINED CAMO VEST</t>
  </si>
  <si>
    <t>Game.AddToInventory("Items.Jacket_08_old_02", 1)</t>
  </si>
  <si>
    <t>MICROPLATED PUNK SHORT-SLEEVE JACKET</t>
  </si>
  <si>
    <t>Game.AddToInventory("Items.Jacket_10_basic_02", 1)</t>
  </si>
  <si>
    <t>MIDORI TORA STURDY RALLY BOLERO</t>
  </si>
  <si>
    <t>Game.AddToInventory("Items.Vest_12_old_01", 1)</t>
  </si>
  <si>
    <t>MILITARY ARAMID COLLAR</t>
  </si>
  <si>
    <t>Game.AddToInventory("Items.Vest_02_old_02", 1)</t>
  </si>
  <si>
    <t>MILITARY ARAMID VEST</t>
  </si>
  <si>
    <t>Game.AddToInventory("Items.Vest_02_rich_02", 1)</t>
  </si>
  <si>
    <t>MILITECH ARMOR-QUILTED ARAMID VEST</t>
  </si>
  <si>
    <t>Game.AddToInventory("Items.Vest_06_basic_01", 1)</t>
  </si>
  <si>
    <t>MILITECH ARMORFIBER TACTICAL HARNESS</t>
  </si>
  <si>
    <t>Game.AddToInventory("Items.Vest_08_basic_01", 1)</t>
  </si>
  <si>
    <t>MILITECH HEAVY TACTICAL VEST</t>
  </si>
  <si>
    <t>Game.AddToInventory("Items.Jacket_04_basic_02", 1)</t>
  </si>
  <si>
    <t>MILITECH REINFORCED-COMPOSITE FIELD JACKET</t>
  </si>
  <si>
    <t>Game.AddToInventory("Items.Vest_13_basic_01", 1)</t>
  </si>
  <si>
    <t>MILITECH ULTRALIGHT ARAMID BREASTPLATE</t>
  </si>
  <si>
    <t>Game.AddToInventory("Items.Coat_04_rich_02", 1)</t>
  </si>
  <si>
    <t>MILKY GOLD TRENCH COAT WITH BULLETPROOF TRIWEAVE</t>
  </si>
  <si>
    <t>Game.AddToInventory("Items.Jacket_11_basic_01", 1)</t>
  </si>
  <si>
    <t>MINI COOLQUILT FOLDTOP</t>
  </si>
  <si>
    <t>Game.AddToInventory("Items.Coat_03_rich_01", 1)</t>
  </si>
  <si>
    <t>MOLTO VIVACE NANOWEAVE ROCKER COAT</t>
  </si>
  <si>
    <t>Game.AddToInventory("Items.FormalJacket_01_rich_02", 1)</t>
  </si>
  <si>
    <t>MOSAIC GLEAM BLAZER WITH PUNCTURE-RESISTANT MESH</t>
  </si>
  <si>
    <t>Game.AddToInventory("Items.Vest_12_basic_02", 1)</t>
  </si>
  <si>
    <t>MOX NANOPLASTIC COLLAR</t>
  </si>
  <si>
    <t>Game.AddToInventory("Items.Vest_11_old_01", 1)</t>
  </si>
  <si>
    <t>MUDDY NCPD VEST</t>
  </si>
  <si>
    <t>Game.AddToInventory("Items.Jacket_13_rich_03", 1)</t>
  </si>
  <si>
    <t>MULTILAYERED MAROON SCALES SYN-COATED BOMBER</t>
  </si>
  <si>
    <t>Game.AddToInventory("Items.Vest_19_rich_02", 1)</t>
  </si>
  <si>
    <t>MURASAKI TEAR-RESISTANT YUKATA</t>
  </si>
  <si>
    <t>Game.AddToInventory("Items.Vest_16_basic_02", 1)</t>
  </si>
  <si>
    <t>NANOSTITCHED SHORT PUFFER</t>
  </si>
  <si>
    <t>Game.AddToInventory("Items.Jumpsuit_02_rich_02", 1)</t>
  </si>
  <si>
    <t>NATSUNOSHIO PROTECTIVE-MESH TRACKSUIT</t>
  </si>
  <si>
    <t>Game.AddToInventory("Items.Jumpsuit_02_rich_01", 1)</t>
  </si>
  <si>
    <t>NC PYTHON ULTRARESISTANT HYBRID-WEAVE RACING SUIT</t>
  </si>
  <si>
    <t>Game.AddToInventory("Items.Vest_12_old_02", 1)</t>
  </si>
  <si>
    <t>NCPD ARAMID COLLAR</t>
  </si>
  <si>
    <t>Game.AddToInventory("Items.Vest_03_basic_01", 1)</t>
  </si>
  <si>
    <t>NCPD REINFORCED BALLISTIC VEST</t>
  </si>
  <si>
    <t>Game.AddToInventory("Items.Jacket_11_rich_01", 1)</t>
  </si>
  <si>
    <t>NEOKITSCH PASION PURPURA POLYAMIDE FOLDTOP</t>
  </si>
  <si>
    <t>Game.AddToInventory("Items.Jacket_05_rich_01", 1)</t>
  </si>
  <si>
    <t>NIGHT CITY BIKER JACKET</t>
  </si>
  <si>
    <t>Game.AddToInventory("Items.Jacket_04_rich_03", 1)</t>
  </si>
  <si>
    <t>NIGHT CITY LIGHTWEIGHT CARBON-FIBER SLEEVELESS FIELD JACKET</t>
  </si>
  <si>
    <t>Game.AddToInventory("Items.FormalJacket_04_rich_03", 1)</t>
  </si>
  <si>
    <t>NOBLE WHITE ALBINO ALLIGATOR EVENING JACKET</t>
  </si>
  <si>
    <t>Game.AddToInventory("Items.Jacket_04_rich_02", 1)</t>
  </si>
  <si>
    <t>NU-TEK FOXY CARBON-LINED FIELD JACKET</t>
  </si>
  <si>
    <t>Game.AddToInventory("Items.Vest_14_old_01", 1)</t>
  </si>
  <si>
    <t>NUSA LEATHER VEST</t>
  </si>
  <si>
    <t>Game.AddToInventory("Items.Jacket_03_rich_03", 1)</t>
  </si>
  <si>
    <t>OCEAN ARMOR ARAMID-WEAVE EDGERUNNER</t>
  </si>
  <si>
    <t>Game.AddToInventory("Items.Vest_11_old_02", 1)</t>
  </si>
  <si>
    <t>OLD 6TH STREET VEST</t>
  </si>
  <si>
    <t>Game.AddToInventory("Items.Vest_10_old_01", 1)</t>
  </si>
  <si>
    <t>OLD CAMO SHOULDER STRAPS</t>
  </si>
  <si>
    <t>Game.AddToInventory("Items.Vest_04_old_01", 1)</t>
  </si>
  <si>
    <t>OLD COMBAT VEST</t>
  </si>
  <si>
    <t>Game.AddToInventory("Items.Jacket_03_old_01", 1)</t>
  </si>
  <si>
    <t>OLD EDGERUNNER</t>
  </si>
  <si>
    <t>Game.AddToInventory("Items.Jacket_04_old_01", 1)</t>
  </si>
  <si>
    <t>OLD MAELSTROM FIELD JACKET</t>
  </si>
  <si>
    <t>Game.AddToInventory("Items.Vest_01_old_02", 1)</t>
  </si>
  <si>
    <t>OLD MAELSTROM-TAGGED ARAMID VEST</t>
  </si>
  <si>
    <t>Game.AddToInventory("Items.Coat_04_old_01", 1)</t>
  </si>
  <si>
    <t>OLD SPOTTED TRENCH COAT</t>
  </si>
  <si>
    <t>Game.AddToInventory("Items.Jacket_09_old_02", 1)</t>
  </si>
  <si>
    <t>OLD TYGER CLAWS MOTORCYCLE JACKET</t>
  </si>
  <si>
    <t>Game.AddToInventory("Items.Jacket_07_old_02", 1)</t>
  </si>
  <si>
    <t>OLD WINDBREAKER</t>
  </si>
  <si>
    <t>Game.AddToInventory("Items.Jacket_02_old_02", 1)</t>
  </si>
  <si>
    <t>OLD WRAITHS FLIGHT JACKET</t>
  </si>
  <si>
    <t>Game.AddToInventory("Items.FormalJacket_03_rich_03", 1)</t>
  </si>
  <si>
    <t>ORCHID SNAKE NANOTUBE-TRIWEAVE COCKTAIL JACKET</t>
  </si>
  <si>
    <t>Game.AddToInventory("Items.Jacket_15_basic_01", 1)</t>
  </si>
  <si>
    <t>PEACH SYN-THREAD CROP SWEATER</t>
  </si>
  <si>
    <t>Game.AddToInventory("Items.Dress_02_rich_01", 1)</t>
  </si>
  <si>
    <t>PHOENIX FORMAL DRESS WITH MICROARMOR LAYER</t>
  </si>
  <si>
    <t>Game.AddToInventory("Items.Vest_04_basic_02", 1)</t>
  </si>
  <si>
    <t>POLICE BALLISTIC VEST</t>
  </si>
  <si>
    <t>Game.AddToInventory("Items.Coat_04_basic_02", 1)</t>
  </si>
  <si>
    <t>POLKA DOT TRENCH COAT PUNCTURE-RESISTANT LINING</t>
  </si>
  <si>
    <t>Game.AddToInventory("Items.Jumpsuit_01_basic_02", 1)</t>
  </si>
  <si>
    <t>POLYAMIDE JUMPSUIT</t>
  </si>
  <si>
    <t>Game.AddToInventory("Items.Jumpsuit_01_old_03", 1)</t>
  </si>
  <si>
    <t>POLYAMIDE-BLEND JUMPSUIT WITH MICROMESH</t>
  </si>
  <si>
    <t>Game.AddToInventory("Items.FormalJacket_01_basic_01", 1)</t>
  </si>
  <si>
    <t>POLYAMIDE-BLEND SUIT JACKET</t>
  </si>
  <si>
    <t>Game.AddToInventory("Items.Jacket_13_basic_01", 1)</t>
  </si>
  <si>
    <t>POLYAMIDE-HOODED DUOLAYER BOMBER</t>
  </si>
  <si>
    <t>Game.AddToInventory("Items.Jumpsuit_02_basic_02", 1)</t>
  </si>
  <si>
    <t>POLYAMIDE-LINED ROCKER JUMPSUIT</t>
  </si>
  <si>
    <t>Game.AddToInventory("Items.Proficiency_Vest_18_basic_01_Crafting", 1)</t>
  </si>
  <si>
    <t>POLYCARBONATE WESTERN FRINGE VEST</t>
  </si>
  <si>
    <t>Game.AddToInventory("Items.FormalJacket_02_basic_03", 1)</t>
  </si>
  <si>
    <t>POWDER PINK LIGHT POLYAMIDE BLAZER</t>
  </si>
  <si>
    <t>Game.AddToInventory("Items.Vest_03_rich_02", 1)</t>
  </si>
  <si>
    <t>POWDER PINK TRIVANADIUM ALLOY BALLISTIC VEST</t>
  </si>
  <si>
    <t>Game.AddToInventory("Items.LooseShirt_01_old_01", 1)</t>
  </si>
  <si>
    <t>PRACTICAL PLAID SHIRT WITH MICROMESH</t>
  </si>
  <si>
    <t>Game.AddToInventory("Items.Jacket_12_old_02", 1)</t>
  </si>
  <si>
    <t>PRIMEVAL FLAME ROCKERJACK</t>
  </si>
  <si>
    <t>Game.AddToInventory("Items.Coat_01_old_02", 1)</t>
  </si>
  <si>
    <t>PUNCTURE-RESISTANT LONG COAT</t>
  </si>
  <si>
    <t>Game.AddToInventory("Items.Vest_02_old_01", 1)</t>
  </si>
  <si>
    <t>PUNK ARAMID VEST</t>
  </si>
  <si>
    <t>Game.AddToInventory("Items.Jacket_05_basic_02", 1)</t>
  </si>
  <si>
    <t>PUNK BOOSTWEAVE BIKER JACKET</t>
  </si>
  <si>
    <t>Game.AddToInventory("Items.Vest_07_old_01", 1)</t>
  </si>
  <si>
    <t>PUNK HIGH-COLLAR VEST</t>
  </si>
  <si>
    <t>Game.AddToInventory("Items.Jacket_08_basic_02", 1)</t>
  </si>
  <si>
    <t>PUNK SHORT-SLEEVE DUAL-MEMBRANE JACKET</t>
  </si>
  <si>
    <t>Game.AddToInventory("Items.Jacket_08_basic_01", 1)</t>
  </si>
  <si>
    <t>PUNK SHORT-SLEEVE POLYCARBONATE SPIKED JACKET</t>
  </si>
  <si>
    <t>Game.AddToInventory("Items.Jacket_02_basic_02", 1)</t>
  </si>
  <si>
    <t>PUNK ULTRAWEAVE FLIGHT JACKET</t>
  </si>
  <si>
    <t>Game.AddToInventory("Items.Jumpsuit_01_basic_03", 1)</t>
  </si>
  <si>
    <t>PURPLE FORCE TACTICAL JUMPSUIT</t>
  </si>
  <si>
    <t>Game.AddToInventory("Items.Jacket_03_rich_01", 1)</t>
  </si>
  <si>
    <t>PURPLE SYMPHONY ENHANCED POLYAMIDE EDGERUNNER</t>
  </si>
  <si>
    <t>Game.AddToInventory("Items.FormalJacket_03_rich_02", 1)</t>
  </si>
  <si>
    <t>RED DRAGON COCKTAIL JACKET WITH TITANIUM MICROPLATE LINING</t>
  </si>
  <si>
    <t>Game.AddToInventory("Items.Vest_11_basic_01", 1)</t>
  </si>
  <si>
    <t>REFLECTIVE METALWEAVE NYLON VEST</t>
  </si>
  <si>
    <t>Game.AddToInventory("Items.Vest_16_old_02", 1)</t>
  </si>
  <si>
    <t>REINFORCED SHORT PUFFER</t>
  </si>
  <si>
    <t>Game.AddToInventory("Items.Jacket_12_old_01", 1)</t>
  </si>
  <si>
    <t>REINFORCED SYN-LEATHER NOMAD JACKET</t>
  </si>
  <si>
    <t>Game.AddToInventory("Items.Jacket_02_basic_01", 1)</t>
  </si>
  <si>
    <t>REINFORCED-LAMINATE MILITARY FLIGHT JACKET</t>
  </si>
  <si>
    <t>Game.AddToInventory("Items.Jacket_01_old_01", 1)</t>
  </si>
  <si>
    <t>ROCKER'S HEART CRYSTALJOCK BOMBER</t>
  </si>
  <si>
    <t>Game.AddToInventory("Items.Jacket_06_old_02", 1)</t>
  </si>
  <si>
    <t>ROCKERJACK WITH ANTI-PUNCTURE MESH</t>
  </si>
  <si>
    <t>Game.AddToInventory("Items.Vest_20_rich_02", 1)</t>
  </si>
  <si>
    <t>ROSA ESCARLATA EMBOSSED ARMOLEATHER BIKER VEST</t>
  </si>
  <si>
    <t>Game.AddToInventory("Items.Jacket_06_rich_01", 1)</t>
  </si>
  <si>
    <t>ROSA PLATINO REINFORCED ROCKERJACK</t>
  </si>
  <si>
    <t>Game.AddToInventory("Items.Dress_01_basic_02", 1)</t>
  </si>
  <si>
    <t>ROZOVAYA REKA PENCIL DRESS WITH PROTECTIVE MEMBRANE</t>
  </si>
  <si>
    <t>Game.AddToInventory("Items.Vest_13_rich_01", 1)</t>
  </si>
  <si>
    <t>SAEKO'S PROTOTYPE TACTICAL ARAMID BREASTPLATE</t>
  </si>
  <si>
    <t>Game.AddToInventory("Items.Jacket_12_rich_01", 1)</t>
  </si>
  <si>
    <t>SALAMANDER EAZY-BREATHE TARP-WEAVE JACKET</t>
  </si>
  <si>
    <t>Game.AddToInventory("Items.LooseShirt_02_rich_02", 1)</t>
  </si>
  <si>
    <t>SALOON STYLE ULTRA-DURABLE DRESS SHIRT</t>
  </si>
  <si>
    <t>Game.AddToInventory("Items.Jacket_17_rich_01", 1)</t>
  </si>
  <si>
    <t>SAPFIR 3D HEAVY TRIPLE-WEAVE NANOCARBON POZER-JACKET</t>
  </si>
  <si>
    <t>Game.AddToInventory("Items.FormalJacket_04_rich_02", 1)</t>
  </si>
  <si>
    <t>SCALED KINRYU BLAZER WITH CARBON-COMPOSITE INSETS</t>
  </si>
  <si>
    <t>Game.AddToInventory("Items.Vest_03_old_01", 1)</t>
  </si>
  <si>
    <t>SCAV BALLISTIC VEST</t>
  </si>
  <si>
    <t>Game.AddToInventory("Items.Jacket_07_basic_01", 1)</t>
  </si>
  <si>
    <t>SCAV PLASTIC WINDBREAKER</t>
  </si>
  <si>
    <t>Game.AddToInventory("Items.Dress_02_rich_03", 1)</t>
  </si>
  <si>
    <t>SCHWARZE LIMETTE ARAMID-FABRIC DRESS</t>
  </si>
  <si>
    <t>Game.AddToInventory("Items.Jacket_05_old_01", 1)</t>
  </si>
  <si>
    <t>SECOND CONFLICT BIKER JACKET</t>
  </si>
  <si>
    <t>Game.AddToInventory("Items.Jacket_16_basic_02", 1)</t>
  </si>
  <si>
    <t>SECOND CONFLICT CUTOUT BODYSUIT</t>
  </si>
  <si>
    <t>Game.AddToInventory("Items.Jacket_02_old_03", 1)</t>
  </si>
  <si>
    <t>SECOND CONFLICT FLIGHT JACKET</t>
  </si>
  <si>
    <t>Game.AddToInventory("Items.Vest_14_old_02", 1)</t>
  </si>
  <si>
    <t>SECONDHAND SYNTHLEATHER VEST</t>
  </si>
  <si>
    <t>Game.AddToInventory("Items.MQ017_Samerai_Jacket", 1)</t>
  </si>
  <si>
    <t>SEMURAI CRYSTALJOCK BOMBER</t>
  </si>
  <si>
    <t>Game.AddToInventory("Items.Vest_01_old_01", 1)</t>
  </si>
  <si>
    <t>SHABBY 6TH STREET ARAMID VEST</t>
  </si>
  <si>
    <t>Game.AddToInventory("Items.Vest_15_old_02", 1)</t>
  </si>
  <si>
    <t>SHABBY HOODED CUT-OFF</t>
  </si>
  <si>
    <t>Game.AddToInventory("Items.Vest_07_rich_01", 1)</t>
  </si>
  <si>
    <t>SHIROKURO HIGH-COLLAR COMPOSITE-LINED VEST</t>
  </si>
  <si>
    <t>Game.AddToInventory("Items.Vest_16_old_01", 1)</t>
  </si>
  <si>
    <t>SHORT PUFFER WITH MICROPLATE UNDERLAYER</t>
  </si>
  <si>
    <t>Game.AddToInventory("Items.Jacket_14_basic_02", 1)</t>
  </si>
  <si>
    <t>SILBER IRBIS BOLERO GMO-WEAVE BOMBER</t>
  </si>
  <si>
    <t>Game.AddToInventory("Items.Vest_20_rich_01", 1)</t>
  </si>
  <si>
    <t>SILVEROCK BULLETPROOF-LAMINATE BIKER VEST</t>
  </si>
  <si>
    <t>Game.AddToInventory("Items.Jacket_14_basic_01", 1)</t>
  </si>
  <si>
    <t>SIMPLE BOLERO RUBBER-COATED BOMBER</t>
  </si>
  <si>
    <t>Game.AddToInventory("Items.Jacket_04_basic_03", 1)</t>
  </si>
  <si>
    <t>SLEEVELESS ARMOR-PLATED FIELD JACKET</t>
  </si>
  <si>
    <t>Game.AddToInventory("Items.Jacket_07_rich_02", 1)</t>
  </si>
  <si>
    <t>SMILEY HARD ANTI-PUNCTURE WINDBREAKER</t>
  </si>
  <si>
    <t>Game.AddToInventory("Items.Jacket_13_basic_02", 1)</t>
  </si>
  <si>
    <t>SMILEY HARD PROTECTION-LAYERED BOMBER</t>
  </si>
  <si>
    <t>Game.AddToInventory("Items.Jacket_13_rich_01", 1)</t>
  </si>
  <si>
    <t>SOVIET MOSCOW DREAM ANTI-SHRAPNEL BOMBER</t>
  </si>
  <si>
    <t>Game.AddToInventory("Items.Jacket_08_old_01", 1)</t>
  </si>
  <si>
    <t>SPIKED MAELSTROM SHORT-SLEEVE JACKET</t>
  </si>
  <si>
    <t>Game.AddToInventory("Items.Dress_02_basic_03", 1)</t>
  </si>
  <si>
    <t>SPOTTED ARMOR-COATED CORPORATE DRESS</t>
  </si>
  <si>
    <t>Game.AddToInventory("Items.Coat_01_basic_01", 1)</t>
  </si>
  <si>
    <t>SPUNKY MONKEY ARAMID COAT</t>
  </si>
  <si>
    <t>Game.AddToInventory("Items.Coat_03_old_01", 1)</t>
  </si>
  <si>
    <t>STAINED PUNCTURE-RESISTANT COAT</t>
  </si>
  <si>
    <t>Game.AddToInventory("Items.Jumpsuit_01_rich_01", 1)</t>
  </si>
  <si>
    <t>STREAM EXTREME HIGH-PERFORMANCE JUMPSUIT</t>
  </si>
  <si>
    <t>Game.AddToInventory("Items.Jacket_13_old_03", 1)</t>
  </si>
  <si>
    <t>STREETART HOODED BOMBER</t>
  </si>
  <si>
    <t>Game.AddToInventory("Items.Vest_20_old_01", 1)</t>
  </si>
  <si>
    <t>STUDDED BIKER VEST</t>
  </si>
  <si>
    <t>Game.AddToInventory("Items.Vest_10_basic_01", 1)</t>
  </si>
  <si>
    <t>STURDY SHOULDER STRAPS</t>
  </si>
  <si>
    <t>Game.AddToInventory("Items.Jacket_14_old_01", 1)</t>
  </si>
  <si>
    <t>STURDY SYN-LEATHER BOLERO BOMBER</t>
  </si>
  <si>
    <t>Game.AddToInventory("Items.FormalJacket_01_old_01", 1)</t>
  </si>
  <si>
    <t>STURDY SYNFABRIC SUIT JACKET</t>
  </si>
  <si>
    <t>Game.AddToInventory("Items.Coat_01_basic_03", 1)</t>
  </si>
  <si>
    <t>STYLISH TEN70 DAEMON HUNTER COAT</t>
  </si>
  <si>
    <t>Game.AddToInventory("Items.Coat_01_rich_03", 1)</t>
  </si>
  <si>
    <t>STYLISH TORA TO RYU COAT WITH TITANIUM INSERTS</t>
  </si>
  <si>
    <t>Game.AddToInventory("Items.Jacket_17_old_02", 1)</t>
  </si>
  <si>
    <t>SYN-LEATHER CARBON-COLLAR POZER-JACKET</t>
  </si>
  <si>
    <t>Game.AddToInventory("Items.FormalJacket_03_basic_02", 1)</t>
  </si>
  <si>
    <t>SYNCOTTON COCKTAIL JACKET</t>
  </si>
  <si>
    <t>Game.AddToInventory("Items.FormalJacket_05_basic_01", 1)</t>
  </si>
  <si>
    <t>SYNTHETIC CORPORATE JACKET</t>
  </si>
  <si>
    <t>Game.AddToInventory("Items.Vest_19_old_01", 1)</t>
  </si>
  <si>
    <t>SYNWEAVE ARMOR-COATED YUKATA</t>
  </si>
  <si>
    <t>Game.AddToInventory("Items.Jacket_13_old_01", 1)</t>
  </si>
  <si>
    <t>SYNWEAVE ARMOR-LAYERED PSYCHO BOMBER</t>
  </si>
  <si>
    <t>Game.AddToInventory("Items.Vest_16_basic_01", 1)</t>
  </si>
  <si>
    <t>TAMASHÍ ENHANCED SHORT PUFFER</t>
  </si>
  <si>
    <t>Game.AddToInventory("Items.Jacket_10_rich_02", 1)</t>
  </si>
  <si>
    <t>TAMASHI STRETCH-LAMINATE RALLY BOLERO</t>
  </si>
  <si>
    <t>Game.AddToInventory("Items.Jumpsuit_02_old_01", 1)</t>
  </si>
  <si>
    <t>TEN70 GRAFFITI JUMPSUIT</t>
  </si>
  <si>
    <t>Game.AddToInventory("Items.Jacket_04_old_03", 1)</t>
  </si>
  <si>
    <t>TEN70 SLEEVELESS FIELD JACKET</t>
  </si>
  <si>
    <t>Game.AddToInventory("Items.Jacket_09_basic_01", 1)</t>
  </si>
  <si>
    <t>TENKA MUSO COMBAT MOTORCYCLE JACKET</t>
  </si>
  <si>
    <t>Game.AddToInventory("Items.Jacket_16_old_02", 1)</t>
  </si>
  <si>
    <t>THERMO-QUILTED CUTOUT BODYSUIT</t>
  </si>
  <si>
    <t>Game.AddToInventory("Items.Jacket_04_basic_01", 1)</t>
  </si>
  <si>
    <t>THERMOSET MILITARY FIELD JACKET</t>
  </si>
  <si>
    <t>Game.AddToInventory("Items.FormalJacket_04_basic_03", 1)</t>
  </si>
  <si>
    <t>THICK DOUBLE KNIT EVENING JACKET</t>
  </si>
  <si>
    <t>Game.AddToInventory("Items.Coat_04_old_02", 1)</t>
  </si>
  <si>
    <t>TIMEWORN TRENCH COAT</t>
  </si>
  <si>
    <t>Game.AddToInventory("Items.Jacket_17_rich_02", 1)</t>
  </si>
  <si>
    <t>TORERO REAL ULTRAREACTIVE LAMINATED POZER-JACKET</t>
  </si>
  <si>
    <t>Game.AddToInventory("Items.Jacket_01_basic_01", 1)</t>
  </si>
  <si>
    <t>TORIKKUSUTA ARAMID-WEAVE CRYSTALJOCK BOMBER</t>
  </si>
  <si>
    <t>Game.AddToInventory("Items.Vest_08_rich_02", 1)</t>
  </si>
  <si>
    <t>TRAUMA TEAM ARMOR-WEAVE TACTICAL VEST</t>
  </si>
  <si>
    <t>Game.AddToInventory("Items.Vest_12_rich_01", 1)</t>
  </si>
  <si>
    <t>TYGER CLAWS CERAMIC-LAMINATE ARAMID COLLAR</t>
  </si>
  <si>
    <t>Game.AddToInventory("Items.Jacket_03_basic_03", 1)</t>
  </si>
  <si>
    <t>TYGER CLAWS REINFORCED EDGERUNNER</t>
  </si>
  <si>
    <t>Game.AddToInventory("Items.Vest_06_basic_02", 1)</t>
  </si>
  <si>
    <t>TYGER CLAWS REINFORCED TACTICAL HARNESS</t>
  </si>
  <si>
    <t>Game.AddToInventory("Items.Jacket_17_rich_04", 1)</t>
  </si>
  <si>
    <t>ULTIMATE PUNCH FIELD-GENERATING PROTECTIVE POZER-JACKET</t>
  </si>
  <si>
    <t>Game.AddToInventory("Items.Vest_02_basic_02", 1)</t>
  </si>
  <si>
    <t>ULTRALIGHT COMPOSITE VEST</t>
  </si>
  <si>
    <t>Game.AddToInventory("Items.Coat_04_basic_01", 1)</t>
  </si>
  <si>
    <t>ULTRALIGHT SHINE SPECTRUM TRENCH COAT</t>
  </si>
  <si>
    <t>Game.AddToInventory("Items.Vest_07_rich_02", 1)</t>
  </si>
  <si>
    <t>URBAN JUNGLE HIGH-COLLAR REINFORCED LEATHER VEST</t>
  </si>
  <si>
    <t>Game.AddToInventory("Items.Jacket_03_basic_04", 1)</t>
  </si>
  <si>
    <t>VALENTINO'S DUAL-WEAVE EDGERUNNER</t>
  </si>
  <si>
    <t>Game.AddToInventory("Items.Vest_12_rich_02", 1)</t>
  </si>
  <si>
    <t>VALENTINOS ARMOR-PLATED THERMOSET ARAMID COLLAR</t>
  </si>
  <si>
    <t>Game.AddToInventory("Items.Jacket_17_rich_05", 1)</t>
  </si>
  <si>
    <t>VALENTINOS COMPOSITE-COLLAR SUEDE POZER-JACKET</t>
  </si>
  <si>
    <t>Game.AddToInventory("Items.Vest_10_basic_02", 1)</t>
  </si>
  <si>
    <t>VALENTINOS LEATHER SHOULDER STRAPS</t>
  </si>
  <si>
    <t>Game.AddToInventory("Items.Dress_01_basic_01", 1)</t>
  </si>
  <si>
    <t>VICTORIAN ROSE ANTI-SHRAPNEL PENCIL DRESS</t>
  </si>
  <si>
    <t>Game.AddToInventory("Items.Vest_04_rich_01", 1)</t>
  </si>
  <si>
    <t>VIRTUGLOW COMPOSITE BALLISTIC VEST</t>
  </si>
  <si>
    <t>Game.AddToInventory("Items.Jacket_17_basic_03", 1)</t>
  </si>
  <si>
    <t>VOODOO BOYS ANTI-INTERFERENCE NETRUNNER JACKET</t>
  </si>
  <si>
    <t>Game.AddToInventory("Items.Vest_19_rich_01", 1)</t>
  </si>
  <si>
    <t>WAKAI UMI FLAME-RESISTANT YUKATA</t>
  </si>
  <si>
    <t>Game.AddToInventory("Items.LooseShirt_01_basic_02", 1)</t>
  </si>
  <si>
    <t>WARM NANOWEAVE COTTON SHIRT</t>
  </si>
  <si>
    <t>Game.AddToInventory("Items.Vest_17_rich_01", 1)</t>
  </si>
  <si>
    <t>WASP ANTI-PUNCTURE POLYAMIDE PUFFER VEST</t>
  </si>
  <si>
    <t>Game.AddToInventory("Items.Jacket_03_old_04", 1)</t>
  </si>
  <si>
    <t>WELL-WORN 6TH STREET EDGERUNNER</t>
  </si>
  <si>
    <t>Game.AddToInventory("Items.FormalJacket_01_basic_02", 1)</t>
  </si>
  <si>
    <t>WOOL SUIT JACKET WITH REINFORCED SYNFIBER-WEAVE</t>
  </si>
  <si>
    <t>Game.AddToInventory("Items.Coat_01_old_01", 1)</t>
  </si>
  <si>
    <t>WORN PUNK COAT</t>
  </si>
  <si>
    <t>Game.AddToInventory("Items.Jacket_04_old_02", 1)</t>
  </si>
  <si>
    <t>WORN SCAV FIELD JACKET</t>
  </si>
  <si>
    <t>Game.AddToInventory("Items.Vest_04_old_02", 1)</t>
  </si>
  <si>
    <t>WORN-OUT BALLISTIC VEST</t>
  </si>
  <si>
    <t>Game.AddToInventory("Items.Jacket_02_rich_03", 1)</t>
  </si>
  <si>
    <t>WOUNDED MACHINE DUOLAYER COMBAT FLIGHT JACKET</t>
  </si>
  <si>
    <t>Game.AddToInventory("Items.Coat_03_old_02", 1)</t>
  </si>
  <si>
    <t>WRAITHS COAT WITH IMPROVISED BULLETPROOF LINING</t>
  </si>
  <si>
    <t>Game.AddToInventory("Items.Vest_10_rich_02", 1)</t>
  </si>
  <si>
    <t>WRAITHS DUAL-REINFORCED SHOULDER STRAPS</t>
  </si>
  <si>
    <t>Game.AddToInventory("Items.Jacket_09_rich_02", 1)</t>
  </si>
  <si>
    <t>WRAITHS HEAVY IMPACT-ABSORBING MOTORCYCLE JACKET</t>
  </si>
  <si>
    <t>Game.AddToInventory("Items.Jacket_10_old_01", 1)</t>
  </si>
  <si>
    <t>WRAITHS RALLY BOLERO JACKET</t>
  </si>
  <si>
    <t>Game.AddToInventory("Items.Jacket_03_old_03", 1)</t>
  </si>
  <si>
    <t>WRAITHS TRILAYER EDGERUNNER</t>
  </si>
  <si>
    <t>Game.AddToInventory("Items.Jacket_13_rich_02", 1)</t>
  </si>
  <si>
    <t>XX PUNCH! ARMOR-COATED HOODED BOMBER</t>
  </si>
  <si>
    <t>Game.AddToInventory("Items.Jumpsuit_02_basic_01", 1)</t>
  </si>
  <si>
    <t>YELLOW COBRA CARBON-REINFORCED RACING SUIT</t>
  </si>
  <si>
    <t>Game.AddToInventory("Items.FormalJacket_05_rich_02", 1)</t>
  </si>
  <si>
    <t>YUNAMI FORMAL HYBRID DUOWEAVE JACKET</t>
  </si>
  <si>
    <t>Game.AddToInventory("Items.Jacket_07_rich_01", 1)</t>
  </si>
  <si>
    <t>ZOLOTOY ULEY SOVIET-STYLE FIREPROOF WINDBREAKER</t>
  </si>
  <si>
    <t>Game.AddToInventory("Items.Jacket_19_rich_06", 1)</t>
  </si>
  <si>
    <t>4RMY L1F3 ARAMIO JACKET WITH BUCKLES</t>
  </si>
  <si>
    <t>Game.AddToInventory("Items.Jacket_20_basic_05", 1)</t>
  </si>
  <si>
    <t>ARAMID-COATED DELTAJOCK JACKET</t>
  </si>
  <si>
    <t>Game.AddToInventory("Items.Jacket_19_rich_02", 1)</t>
  </si>
  <si>
    <t>ASTRONAUTE REINFORCED-STITCH COMPOSITE JACKET</t>
  </si>
  <si>
    <t>Game.AddToInventory("Items.Jacket_20_rich_04", 1)</t>
  </si>
  <si>
    <t>BLUTPANTHER ELASTIC DELTAJOCK JACKET WITH POLYAMID WEAVE</t>
  </si>
  <si>
    <t>Game.AddToInventory("Items.Jacket_19_basic_02", 1)</t>
  </si>
  <si>
    <t>COMPOSITE BIKER JACKET WITH BUCKLES</t>
  </si>
  <si>
    <t>Game.AddToInventory("Items.Jacket_19_rich_04", 1)</t>
  </si>
  <si>
    <t>DURABLE ZEBRIGER LED-LINED JACKET</t>
  </si>
  <si>
    <t>Game.AddToInventory("Items.Jacket_19_old_02", 1)</t>
  </si>
  <si>
    <t>DUSTY ROCKER JACKET WITH BUCKLES</t>
  </si>
  <si>
    <t>Game.AddToInventory("Items.Jacket_20_old_03", 1)</t>
  </si>
  <si>
    <t>FRAYED TACTICAL FLIGHT JACKET</t>
  </si>
  <si>
    <t>Game.AddToInventory("Items.Jacket_20_basic_06", 1)</t>
  </si>
  <si>
    <t>GADYUKA COMPOSITE FLIGHT JACKET</t>
  </si>
  <si>
    <t>Game.AddToInventory("Items.Jacket_20_basic_04", 1)</t>
  </si>
  <si>
    <t>GREEN DEATH DELTAJOCK BIKER JACKET</t>
  </si>
  <si>
    <t>Game.AddToInventory("Items.Jacket_20_basic_07", 1)</t>
  </si>
  <si>
    <t>JACKETCEPTION DUOLAYER NANOWEAVE FLIGHT JACKET</t>
  </si>
  <si>
    <t>Game.AddToInventory("Items.Jacket_20_basic_03", 1)</t>
  </si>
  <si>
    <t>KAWAII ARUMORU BULLETPROOF DELTAJOCK JACKET</t>
  </si>
  <si>
    <t>Game.AddToInventory("Items.Jacket_19_rich_03", 1)</t>
  </si>
  <si>
    <t>KIRAKYANDI ELASTI-COMPOSITE JACKET WITH BUCKLES</t>
  </si>
  <si>
    <t>Game.AddToInventory("Items.Jacket_20_rich_01", 1)</t>
  </si>
  <si>
    <t>KUROI RAION COMPOSITE DELTAJOCK  BIKER JACKET</t>
  </si>
  <si>
    <t>Game.AddToInventory("Items.Jacket_20_rich_05", 1)</t>
  </si>
  <si>
    <t>LA PROFONDITA DELL'OCEANO POLYCARBONATE REINFORCED FLIGHT JACKET WITH COMPOSITE PLATING</t>
  </si>
  <si>
    <t>Game.AddToInventory("Items.Jacket_19_basic_03", 1)</t>
  </si>
  <si>
    <t>LED-LINED POLICE JACKET</t>
  </si>
  <si>
    <t>Game.AddToInventory("Items.Jacket_19_basic_04", 1)</t>
  </si>
  <si>
    <t>LUMINESCENT PUNK JACKET</t>
  </si>
  <si>
    <t>Game.AddToInventory("Items.Jacket_20_basic_02", 1)</t>
  </si>
  <si>
    <t>MIKAN ENHANCED FLIGHT JACKET</t>
  </si>
  <si>
    <t>Game.AddToInventory("Items.Jacket_20_old_04", 1)</t>
  </si>
  <si>
    <t>MILITARY EXTRA-MEMBRANE DELTAJOCK JACKET</t>
  </si>
  <si>
    <t>Game.AddToInventory("Items.Jacket_19_rich_01", 1)</t>
  </si>
  <si>
    <t>MOSIAC GLEAM LED-HYBRID TRILAYER JACKET</t>
  </si>
  <si>
    <t>Game.AddToInventory("Items.Jacket_19_old_06", 1)</t>
  </si>
  <si>
    <t>MUDDY 6TH STREET HYBRID JACKET WITH BUCKLES</t>
  </si>
  <si>
    <t>Game.AddToInventory("Items.Jacket_20_old_05", 1)</t>
  </si>
  <si>
    <t>MUDDY DELTAJOCK BIKER JACKET</t>
  </si>
  <si>
    <t>Game.AddToInventory("Items.Jacket_20_basic_01", 1)</t>
  </si>
  <si>
    <t>MULTILAYERED SYN-LEATHER DELTAJOCK JACKET</t>
  </si>
  <si>
    <t>Game.AddToInventory("Items.Jacket_19_old_03", 1)</t>
  </si>
  <si>
    <t>OLD DUOLAYER JACKET WITH BUCKLES</t>
  </si>
  <si>
    <t>Game.AddToInventory("Items.Jacket_20_rich_03", 1)</t>
  </si>
  <si>
    <t>PINK RAGE ULTRA-LIGHT ROCKER DELTAJOCK JACKET</t>
  </si>
  <si>
    <t>Game.AddToInventory("Items.Jacket_19_old_04", 1)</t>
  </si>
  <si>
    <t>PIXEL ROCK ARAMID JACKET WITH BUCKLES</t>
  </si>
  <si>
    <t>Game.AddToInventory("Items.Jacket_20_rich_02", 1)</t>
  </si>
  <si>
    <t>ROBOSKIN 2.0 ANTI-SHRAPNEL DELTAJOCK JACKET</t>
  </si>
  <si>
    <t>Game.AddToInventory("Items.Jacket_20_old_01", 1)</t>
  </si>
  <si>
    <t>ROBOSKIN STAINED ROCKER DELTAJOCK JACKET</t>
  </si>
  <si>
    <t>Game.AddToInventory("Items.Jacket_19_rich_05", 1)</t>
  </si>
  <si>
    <t>ROSA MARMOR BREATHABLE POLYCARBONATE JACKET WITH BUCKLES</t>
  </si>
  <si>
    <t>Game.AddToInventory("Items.Jacket_19_basic_01", 1)</t>
  </si>
  <si>
    <t>SYNTHETIC BIKER JACKET WITH BUCKLES</t>
  </si>
  <si>
    <t>Game.AddToInventory("Items.Jacket_19_basic_05", 1)</t>
  </si>
  <si>
    <t>TYGER CLAWS POLYMER JACKET WITH BUCKLES</t>
  </si>
  <si>
    <t>Game.AddToInventory("Items.Jacket_20_old_02", 1)</t>
  </si>
  <si>
    <t>USED FLIGHT JACKET WITH COMPOSITE LINING</t>
  </si>
  <si>
    <t>Game.AddToInventory("Items.Jacket_19_basic_06", 1)</t>
  </si>
  <si>
    <t>WHITE HIVE LED-LINED ANTI-PIERCING JACKET</t>
  </si>
  <si>
    <t>Game.AddToInventory("Items.Jacket_19_old_05", 1)</t>
  </si>
  <si>
    <t>WORN WRAITHS JACKET WITH BUCKLES</t>
  </si>
  <si>
    <t>Game.AddToInventory("Items.Jacket_19_old_01", 1)</t>
  </si>
  <si>
    <t>WOUNDED MACHINE REINFORCED JACKET</t>
  </si>
  <si>
    <t>Game.AddToInventory("Items.Jacket_22_rich_01", 1)</t>
  </si>
  <si>
    <t>ADAPTIVE 4-WAY STRETCH POLYESTER HOODIE</t>
  </si>
  <si>
    <t>Game.AddToInventory("Items.Vest_24_basic_04", 1)</t>
  </si>
  <si>
    <t>ADJUSTABLE UTILITY CHEST HOLSTER</t>
  </si>
  <si>
    <t>Game.AddToInventory("Items.Vest_22_rich_03", 1)</t>
  </si>
  <si>
    <t>ANTI-FRAG BALLISTIC VEST WITH 48-LAYER INLAY</t>
  </si>
  <si>
    <t>Game.AddToInventory("Items.Coat_06_basic_02", 1)</t>
  </si>
  <si>
    <t>ANTI-PIERCE QUILTED DERMATOID SILKIE</t>
  </si>
  <si>
    <t>Game.AddToInventory("Items.Vest_24_rich_01", 1)</t>
  </si>
  <si>
    <t>ANTI-PIERCING TACTICAL CHEST HOLSTER WITH COOLING LAYER</t>
  </si>
  <si>
    <t>Game.AddToInventory("Items.Jacket_22_rich_02", 1)</t>
  </si>
  <si>
    <t>ANTI-PIERCING TRILAYER BALLISTIC HOODIE</t>
  </si>
  <si>
    <t>Game.AddToInventory("Items.Jacket_22_basic_05", 1)</t>
  </si>
  <si>
    <t>ANTI-PILLING COMBAT HOODIE WITH HEAT-RESISTANT PANELS</t>
  </si>
  <si>
    <t>Game.AddToInventory("Items.Jacket_24_rich_03", 1)</t>
  </si>
  <si>
    <t>ANTI-POLLUTANT JACKET WITH SILVER ACCENTS</t>
  </si>
  <si>
    <t>Game.AddToInventory("Items.Coat_05_basic_02", 1)</t>
  </si>
  <si>
    <t>ANTI-SURGE TECHNICIAN'S HALF-ZIP</t>
  </si>
  <si>
    <t>Game.AddToInventory("Items.Vest_22_basic_04", 1)</t>
  </si>
  <si>
    <t>ARAMID COMPOSITE BALLISTIC VEST</t>
  </si>
  <si>
    <t>Game.AddToInventory("Items.Vest_21_basic_02", 1)</t>
  </si>
  <si>
    <t>ARCTIC QUICK-RELEASE TAC VEST</t>
  </si>
  <si>
    <t>Game.AddToInventory("Items.Vest_21_basic_04", 1)</t>
  </si>
  <si>
    <t>ARMORED TAC VEST WITH CAMO LINING</t>
  </si>
  <si>
    <t>Game.AddToInventory("Items.Jacket_23_rich_04", 1)</t>
  </si>
  <si>
    <t>AVANT-GARDE SWEATSHIRT WITH ANTI-PIERCING MEMBRANE</t>
  </si>
  <si>
    <t>Game.AddToInventory("Items.Vest_22_basic_02", 1)</t>
  </si>
  <si>
    <t>BALLISTIC VEST WITH HIGH-ALLOY STEEL ARMOR</t>
  </si>
  <si>
    <t>Game.AddToInventory("Items.Vest_22_rich_02", 1)</t>
  </si>
  <si>
    <t>BALLISTIC VEST WITH MODIFIED SILICON CARBIDE PLATING</t>
  </si>
  <si>
    <t>Game.AddToInventory("Items.Vest_24_old_01", 1)</t>
  </si>
  <si>
    <t>BASIC CHEST HOLSTER</t>
  </si>
  <si>
    <t>Game.AddToInventory("Items.Dress_03_rich_04", 1)</t>
  </si>
  <si>
    <t>BIOSYNTHETIC SPIDER SILK DRESS</t>
  </si>
  <si>
    <t>Game.AddToInventory("Items.Vest_24_rich_02", 1)</t>
  </si>
  <si>
    <t>BLACK ANODIZED PROTECTIVE MAGAZINE CHEST HOLSTER</t>
  </si>
  <si>
    <t>Game.AddToInventory("Items.Jacket_25_old_03", 1)</t>
  </si>
  <si>
    <t>BOLERO BLAZER WITH FACTORY DEFECT</t>
  </si>
  <si>
    <t>Game.AddToInventory("Items.Dress_04_basic_06", 1)</t>
  </si>
  <si>
    <t>BREATHABLE BPA-FREE DRESS</t>
  </si>
  <si>
    <t>Game.AddToInventory("Items.Coat_05_basic_05", 1)</t>
  </si>
  <si>
    <t>BREATHABLE HALF-ZIP WITH BIPOLAR INSULATION</t>
  </si>
  <si>
    <t>Game.AddToInventory("Items.Vest_21_rich_03", 1)</t>
  </si>
  <si>
    <t>BREATHABLE TAC VEST WITH ELASTIC SYNTH-SILK</t>
  </si>
  <si>
    <t>Game.AddToInventory("Items.Jacket_24_basic_03", 1)</t>
  </si>
  <si>
    <t>BRUSHED COTTON FLOWER-PRINT JACKET</t>
  </si>
  <si>
    <t>Game.AddToInventory("Items.Jacket_22_old_01", 1)</t>
  </si>
  <si>
    <t>BURNT FIREPROOF HOODIE</t>
  </si>
  <si>
    <t>Game.AddToInventory("Items.Jacket_22_basic_06", 1)</t>
  </si>
  <si>
    <t>CAMO COMBAT HOODIE WITH POLYMER INSULATION</t>
  </si>
  <si>
    <t>Game.AddToInventory("Items.Dress_03_rich_05", 1)</t>
  </si>
  <si>
    <t>CASHMERE DRESS WITH WELDED HEMS</t>
  </si>
  <si>
    <t>Game.AddToInventory("Items.Jacket_25_old_01", 1)</t>
  </si>
  <si>
    <t>CASUAL QUILTED BOLERO BLAZER</t>
  </si>
  <si>
    <t>Game.AddToInventory("Items.Jacket_25_basic_01", 1)</t>
  </si>
  <si>
    <t>CASUAL SPACER-MESH BOLERO BLAZER</t>
  </si>
  <si>
    <t>Game.AddToInventory("Items.Coat_05_basic_04", 1)</t>
  </si>
  <si>
    <t>CHERRY TRILAMINATE COMPRESSIBLE HALF-ZIP</t>
  </si>
  <si>
    <t>Game.AddToInventory("Items.Vest_23_rich_02", 1)</t>
  </si>
  <si>
    <t>CHEST RIG VEST WITH MOISTURE PREVENTION</t>
  </si>
  <si>
    <t>Game.AddToInventory("Items.FormalJacket_06_basic_01", 1)</t>
  </si>
  <si>
    <t>CLASSIC SLIM-FIT 2-PIECE WITH BRUSHED LINING</t>
  </si>
  <si>
    <t>Game.AddToInventory("Items.Dress_03_basic_02", 1)</t>
  </si>
  <si>
    <t>COCKTAIL DRESS WITH BIOPLASTIC FUR SLEEVES</t>
  </si>
  <si>
    <t>Game.AddToInventory("Items.FormalJacket_06_rich_07", 1)</t>
  </si>
  <si>
    <t>COMPRESSION 2-PIECE WITH HIGH-PERFORMANCE FABRIC</t>
  </si>
  <si>
    <t>Game.AddToInventory("Items.Dress_03_rich_01", 1)</t>
  </si>
  <si>
    <t>COMPRESSION DRESS WITH STRETCH FABRIC</t>
  </si>
  <si>
    <t>Game.AddToInventory("Items.Vest_22_rich_01", 1)</t>
  </si>
  <si>
    <t>CORUNDUM-COATED ANTI-ARTILLERY BALLISTIC VEST</t>
  </si>
  <si>
    <t>Game.AddToInventory("Items.Vest_23_rich_03", 1)</t>
  </si>
  <si>
    <t>CUSTOM VEST WITH COMPOSITE BUCKLES</t>
  </si>
  <si>
    <t>Game.AddToInventory("Items.FormalJacket_06_basic_02", 1)</t>
  </si>
  <si>
    <t>CYAN 2-PIECE WITH MANGANESE-STEEL REINFORCEMENTS</t>
  </si>
  <si>
    <t>Game.AddToInventory("Items.Coat_06_basic_03", 1)</t>
  </si>
  <si>
    <t>DENIM SILKIE FINISHED WITH WATER-GLASS FIBER</t>
  </si>
  <si>
    <t>Game.AddToInventory("Items.Vest_23_old_04", 1)</t>
  </si>
  <si>
    <t>DENIM WORK VEST</t>
  </si>
  <si>
    <t>Game.AddToInventory("Items.Vest_21_old_02", 1)</t>
  </si>
  <si>
    <t>DESERT TAC VEST WITH ANTI-SAND SCARF</t>
  </si>
  <si>
    <t>Game.AddToInventory("Items.Jacket_23_rich_02", 1)</t>
  </si>
  <si>
    <t>DESIGNER JACKET WITH ANTI-BALLISTIC PADDING</t>
  </si>
  <si>
    <t>Game.AddToInventory("Items.Jacket_23_old_01", 1)</t>
  </si>
  <si>
    <t>DIRTY LONG-SLEEVE SWEATSHIRT</t>
  </si>
  <si>
    <t>Game.AddToInventory("Items.Vest_23_old_03", 1)</t>
  </si>
  <si>
    <t>DIRTY UNBUTTONED VEST</t>
  </si>
  <si>
    <t>Game.AddToInventory("Items.Vest_23_old_02", 1)</t>
  </si>
  <si>
    <t>DISCOLORED PLASTICIZED VEST</t>
  </si>
  <si>
    <t>Game.AddToInventory("Items.Vest_24_old_02", 1)</t>
  </si>
  <si>
    <t>DIY TACTICAL CHEST HOLSTER</t>
  </si>
  <si>
    <t>Game.AddToInventory("Items.Dress_04_basic_01", 1)</t>
  </si>
  <si>
    <t>DRESS WITH CRYSTALLINE PROTECTIVE SLEEVES</t>
  </si>
  <si>
    <t>Game.AddToInventory("Items.Coat_06_basic_05", 1)</t>
  </si>
  <si>
    <t>DURABLE META-ARAMID FLEECE SILKIE</t>
  </si>
  <si>
    <t>Game.AddToInventory("Items.Jacket_23_basic_01", 1)</t>
  </si>
  <si>
    <t>DURABLE SWEATSHIRT WITH BREATHABLE PANELS</t>
  </si>
  <si>
    <t>Game.AddToInventory("Items.Vest_24_rich_03", 1)</t>
  </si>
  <si>
    <t>ECLECTIC UTILITY CHEST HOLSTER WITH CARBON INLAYS</t>
  </si>
  <si>
    <t>Game.AddToInventory("Items.FormalJacket_06_rich_06", 1)</t>
  </si>
  <si>
    <t>ECO-FRIENDLY 2-PIECE FROM RECYCLED PET BOTTLES</t>
  </si>
  <si>
    <t>Game.AddToInventory("Items.Dress_04_rich_03", 1)</t>
  </si>
  <si>
    <t>ELASTIC PARA-ARAMID DRESS</t>
  </si>
  <si>
    <t>Game.AddToInventory("Items.FormalJacket_06_basic_04", 1)</t>
  </si>
  <si>
    <t>ELEGANT 2-PIECE WITH ANTISEPTIC MEMBRANE</t>
  </si>
  <si>
    <t>Game.AddToInventory("Items.FormalJacket_06_basic_06", 1)</t>
  </si>
  <si>
    <t>EMERALD PHEROMONE-INFUSED 2-PIECE</t>
  </si>
  <si>
    <t>Game.AddToInventory("Items.Vest_22_old_01", 1)</t>
  </si>
  <si>
    <t>ERGONOMIC BALLISTIC VEST</t>
  </si>
  <si>
    <t>Game.AddToInventory("Items.Coat_05_rich_02", 1)</t>
  </si>
  <si>
    <t>ERGONOMIC HALF-ZIP IN RESPONSIVE LIGHTWEIGHT FABRIC</t>
  </si>
  <si>
    <t>Game.AddToInventory("Items.FormalJacket_06_rich_04", 1)</t>
  </si>
  <si>
    <t>EXCLUSIVE 2-PIECE WITH ANTI-FRAG SLATS</t>
  </si>
  <si>
    <t>Game.AddToInventory("Items.Coat_06_old_02", 1)</t>
  </si>
  <si>
    <t>FADED SYNWOOL SILKIE</t>
  </si>
  <si>
    <t>Game.AddToInventory("Items.FormalJacket_06_rich_08", 1)</t>
  </si>
  <si>
    <t>FANCY 2-PIECE WITH MERINO WOOL ACCENTS</t>
  </si>
  <si>
    <t>Game.AddToInventory("Items.Jacket_25_basic_02", 1)</t>
  </si>
  <si>
    <t>FIRE-RESISTANT BOLERO BLAZER WITH PBI LINING</t>
  </si>
  <si>
    <t>Game.AddToInventory("Items.Jacket_25_rich_01", 1)</t>
  </si>
  <si>
    <t>FIREPROOF BOLERO BLAZER WITH CHLOROPRENE RUBBER COATING</t>
  </si>
  <si>
    <t>Game.AddToInventory("Items.Dress_04_rich_01", 1)</t>
  </si>
  <si>
    <t>FITTED 14-CARAT GOLD LAMÉ DRESS</t>
  </si>
  <si>
    <t>Game.AddToInventory("Items.Jacket_25_basic_03", 1)</t>
  </si>
  <si>
    <t>FITTED BOLERO BLAZER WITH BUILT-IN AC</t>
  </si>
  <si>
    <t>Game.AddToInventory("Items.Jacket_25_rich_03", 1)</t>
  </si>
  <si>
    <t>FITTED BOLERO BLAZER WITH NANOTUBE MEMBRANE</t>
  </si>
  <si>
    <t>Game.AddToInventory("Items.Dress_04_rich_02", 1)</t>
  </si>
  <si>
    <t>FITTED SHARKSKIN DRESS</t>
  </si>
  <si>
    <t>Game.AddToInventory("Items.Dress_03_basic_01", 1)</t>
  </si>
  <si>
    <t>FLAME-RETARDANT SPACER-FABRIC DRESS</t>
  </si>
  <si>
    <t>Game.AddToInventory("Items.Jacket_24_old_03", 1)</t>
  </si>
  <si>
    <t>FLASHY JACKET</t>
  </si>
  <si>
    <t>Game.AddToInventory("Items.Dress_03_basic_03", 1)</t>
  </si>
  <si>
    <t>FORM-FITTING MICROFIBER DRESS</t>
  </si>
  <si>
    <t>Game.AddToInventory("Items.Dress_04_old_03", 1)</t>
  </si>
  <si>
    <t>FRAYED POLYURETHANE DRESS</t>
  </si>
  <si>
    <t>Game.AddToInventory("Items.Jacket_23_old_04", 1)</t>
  </si>
  <si>
    <t>FRAYED STIFF SWEATSHIRT</t>
  </si>
  <si>
    <t>Game.AddToInventory("Items.FormalJacket_06_rich_01", 1)</t>
  </si>
  <si>
    <t>GALA 2-PIECE WITH SEWN-IN SOS BEACON</t>
  </si>
  <si>
    <t>Game.AddToInventory("Items.Coat_06_rich_05", 1)</t>
  </si>
  <si>
    <t>GILDED ANTI-ELECTROMAG SILKIE</t>
  </si>
  <si>
    <t>Game.AddToInventory("Items.FormalJacket_06_basic_05", 1)</t>
  </si>
  <si>
    <t>GLOSSY 2-PIECE WITH WATERPROOF SEAMS</t>
  </si>
  <si>
    <t>Game.AddToInventory("Items.FormalJacket_06_rich_05", 1)</t>
  </si>
  <si>
    <t>HAND-SEWN 2-PIECE WITH COPPER MICROFIBER</t>
  </si>
  <si>
    <t>Game.AddToInventory("Items.Coat_05_rich_01", 1)</t>
  </si>
  <si>
    <t>HANDMADE HALF-ZIP WITH VICUNA WOOL LINING</t>
  </si>
  <si>
    <t>Game.AddToInventory("Items.Jacket_22_basic_04", 1)</t>
  </si>
  <si>
    <t>HARDENED COMBAT HOODIE WITH EDC ACCESSORY</t>
  </si>
  <si>
    <t>Game.AddToInventory("Items.Jacket_23_rich_03", 1)</t>
  </si>
  <si>
    <t>HARDSHELL SWEATSHIRT WITH CHEM-RESITANT LAMINATE</t>
  </si>
  <si>
    <t>Game.AddToInventory("Items.Dress_03_rich_02", 1)</t>
  </si>
  <si>
    <t>HAUTE COUTURE PINEAPPLE-LEATHER DRESS</t>
  </si>
  <si>
    <t>Game.AddToInventory("Items.Dress_04_rich_04", 1)</t>
  </si>
  <si>
    <t>HEAT-RESISTANT DRESS WITH LEAD-GLASS SLEEVES</t>
  </si>
  <si>
    <t>Game.AddToInventory("Items.Coat_06_old_03", 1)</t>
  </si>
  <si>
    <t>HEAVY BRUSHED TRICOT SILKIE</t>
  </si>
  <si>
    <t>Game.AddToInventory("Items.Vest_22_old_02", 1)</t>
  </si>
  <si>
    <t>HEAVY-DUTY BALLISTIC VEST WITH VENTILATION PANELS</t>
  </si>
  <si>
    <t>Game.AddToInventory("Items.Coat_05_basic_06", 1)</t>
  </si>
  <si>
    <t>HI-VIS HALF-ZIP WITH FIBERGLASS WEAVE</t>
  </si>
  <si>
    <t>Game.AddToInventory("Items.Dress_03_rich_06", 1)</t>
  </si>
  <si>
    <t>HIGH-UTILITY DRESS WITH ANTI-FRAG INSERTS</t>
  </si>
  <si>
    <t>Game.AddToInventory("Items.Jacket_24_basic_07", 1)</t>
  </si>
  <si>
    <t>HIGH-VISIBILITY ACID-PROOF JACKET</t>
  </si>
  <si>
    <t>Game.AddToInventory("Items.Jacket_22_old_03", 1)</t>
  </si>
  <si>
    <t>HOODIE WITH BUSTED ZIPPER</t>
  </si>
  <si>
    <t>Game.AddToInventory("Items.Jacket_24_rich_02", 1)</t>
  </si>
  <si>
    <t>HYBRID JACKET WITH ANTI-FRAG PATTERN</t>
  </si>
  <si>
    <t>Game.AddToInventory("Items.Coat_06_basic_01", 1)</t>
  </si>
  <si>
    <t>HYBRID SILKIE WITH CUSHION INSERTS</t>
  </si>
  <si>
    <t>Game.AddToInventory("Items.Coat_06_rich_02", 1)</t>
  </si>
  <si>
    <t>HYDROPHOBIC SILKIE WITH CARBON-SILICONE LAMINATION</t>
  </si>
  <si>
    <t>Game.AddToInventory("Items.Dress_03_rich_08", 1)</t>
  </si>
  <si>
    <t>HYGROSCOPIC DRESS WITH BEJEWELED SLEEVES</t>
  </si>
  <si>
    <t>Game.AddToInventory("Items.Dress_04_basic_04", 1)</t>
  </si>
  <si>
    <t>HYPOALLERGENIC DRESS WITH BETULIN COATING</t>
  </si>
  <si>
    <t>Game.AddToInventory("Items.Coat_05_rich_04", 1)</t>
  </si>
  <si>
    <t>HYPOALLERGENIC HALF-ZIP WITH ANTIVIRAL MEMBRANE</t>
  </si>
  <si>
    <t>Game.AddToInventory("Items.FormalJacket_06_basic_08", 1)</t>
  </si>
  <si>
    <t>LASER-CUT 2-PIECE WITH COOLING PANELS</t>
  </si>
  <si>
    <t>Game.AddToInventory("Items.Dress_04_rich_05", 1)</t>
  </si>
  <si>
    <t>LASER-CUT DRESS WITH IMPREGNATED FLUOCARBON</t>
  </si>
  <si>
    <t>Game.AddToInventory("Items.FormalJacket_06_basic_07", 1)</t>
  </si>
  <si>
    <t>LAVENDER 2-PIECE WITH BALLISTIC-NYLON INSERTS</t>
  </si>
  <si>
    <t>Game.AddToInventory("Items.Dress_03_basic_04", 1)</t>
  </si>
  <si>
    <t>LIGHTWEIGHT SEERSUCKER PANELED DRESS</t>
  </si>
  <si>
    <t>Game.AddToInventory("Items.Vest_23_basic_04", 1)</t>
  </si>
  <si>
    <t>LIGHTWEIGHT SOFT SHELL VEST</t>
  </si>
  <si>
    <t>Game.AddToInventory("Items.Jacket_25_rich_06", 1)</t>
  </si>
  <si>
    <t>LIMITED-EDITION BOLERO BLAZER WITH FIBERGLASS WEAVE</t>
  </si>
  <si>
    <t>Game.AddToInventory("Items.Jacket_22_old_02", 1)</t>
  </si>
  <si>
    <t>LINTY HOODIE</t>
  </si>
  <si>
    <t>Game.AddToInventory("Items.Vest_23_rich_01", 1)</t>
  </si>
  <si>
    <t>LOW-PROFILE 900D POLYESTER VEST</t>
  </si>
  <si>
    <t>Game.AddToInventory("Items.Vest_21_old_04", 1)</t>
  </si>
  <si>
    <t>LOW-PROFILE TAC VEST WITH 3D PANELS</t>
  </si>
  <si>
    <t>Game.AddToInventory("Items.Coat_05_old_02", 1)</t>
  </si>
  <si>
    <t>LUMPY REVERSIBLE HALF-ZIP</t>
  </si>
  <si>
    <t>Game.AddToInventory("Items.Coat_05_rich_03", 1)</t>
  </si>
  <si>
    <t>LUXURY HALF-ZIP WITH SILVER NANO-INLAY</t>
  </si>
  <si>
    <t>Game.AddToInventory("Items.Jacket_24_old_01", 1)</t>
  </si>
  <si>
    <t>MATTE JACKET</t>
  </si>
  <si>
    <t>Game.AddToInventory("Items.Vest_24_basic_01", 1)</t>
  </si>
  <si>
    <t>MILITECH TACTICAL CHEST HOLSTER</t>
  </si>
  <si>
    <t>Game.AddToInventory("Items.Jacket_25_rich_05", 1)</t>
  </si>
  <si>
    <t>MINIMALIST BOLERO BLAZER</t>
  </si>
  <si>
    <t>Game.AddToInventory("Items.Vest_22_basic_01", 1)</t>
  </si>
  <si>
    <t>MODULAR SELF-EXTINGUISHING BALLISTIC VEST</t>
  </si>
  <si>
    <t>Game.AddToInventory("Items.Vest_21_basic_01", 1)</t>
  </si>
  <si>
    <t>MODULAR TAC VEST WITH DETACHABLE BALLISTIC INLAYS</t>
  </si>
  <si>
    <t>Game.AddToInventory("Items.Vest_24_basic_03", 1)</t>
  </si>
  <si>
    <t>MULITCOLOR MAGAZINE CHEST HOLSTER</t>
  </si>
  <si>
    <t>Game.AddToInventory("Items.Coat_05_old_03", 1)</t>
  </si>
  <si>
    <t>MULTI-SEASON HALF-ZIP WITH NYLON LINING</t>
  </si>
  <si>
    <t>Game.AddToInventory("Items.FormalJacket_06_rich_03", 1)</t>
  </si>
  <si>
    <t>MULTICOLOR 2-PIECE WITH EVA FOAM CUSHIONING</t>
  </si>
  <si>
    <t>Game.AddToInventory("Items.Vest_24_basic_05", 1)</t>
  </si>
  <si>
    <t>MULTIPURPOSE UTILITY CHEST HOLSTER</t>
  </si>
  <si>
    <t>Game.AddToInventory("Items.Vest_23_basic_01", 1)</t>
  </si>
  <si>
    <t>MULTIPURPOSE VEST WITH REINFORCED SEAMS</t>
  </si>
  <si>
    <t>Game.AddToInventory("Items.Coat_06_rich_04", 1)</t>
  </si>
  <si>
    <t>NATURAL LEATHER SILKIE WITH ELASTOMER MEMBRANE</t>
  </si>
  <si>
    <t>Game.AddToInventory("Items.Jacket_22_basic_03", 1)</t>
  </si>
  <si>
    <t>NO-SLIP COMBAT HOODIE WITH RIPSTOP MESH</t>
  </si>
  <si>
    <t>Game.AddToInventory("Items.Coat_06_old_05", 1)</t>
  </si>
  <si>
    <t>NYLON-COATED QUICK-DRY SILKIE</t>
  </si>
  <si>
    <t>Game.AddToInventory("Items.Dress_04_basic_05", 1)</t>
  </si>
  <si>
    <t>NYLON-COTTON DRESS WITH PADDING</t>
  </si>
  <si>
    <t>Game.AddToInventory("Items.Dress_03_rich_03", 1)</t>
  </si>
  <si>
    <t>OFF-WHITE DRESS WITH GOLD INLAY</t>
  </si>
  <si>
    <t>Game.AddToInventory("Items.Vest_21_rich_01", 1)</t>
  </si>
  <si>
    <t>OFFICIAL BARGHEST TAC VEST</t>
  </si>
  <si>
    <t>Game.AddToInventory("Items.Vest_23_basic_02", 1)</t>
  </si>
  <si>
    <t>OIL-RESISTANT VEST WITH ADJUSTABLE SUSPENDERS</t>
  </si>
  <si>
    <t>Game.AddToInventory("Items.Vest_22_old_03", 1)</t>
  </si>
  <si>
    <t>OLD ARMY SURPLUS BALLISTIC VEST</t>
  </si>
  <si>
    <t>Game.AddToInventory("Items.Vest_21_old_03", 1)</t>
  </si>
  <si>
    <t>OLD TAC VEST WITH MOUNTING STRAPS</t>
  </si>
  <si>
    <t>Game.AddToInventory("Items.Jacket_22_rich_03", 1)</t>
  </si>
  <si>
    <t>OPULENT FIREPROOF SELF-COOLING HOODIE</t>
  </si>
  <si>
    <t>Game.AddToInventory("Items.Jacket_25_basic_09", 1)</t>
  </si>
  <si>
    <t>PADDED BOLERO BLAZER WITH DETACHABLE MESH LINING</t>
  </si>
  <si>
    <t>Game.AddToInventory("Items.Coat_06_basic_04", 1)</t>
  </si>
  <si>
    <t>PADDED SILKIE WITH SPACER MESH LINING</t>
  </si>
  <si>
    <t>Game.AddToInventory("Items.Jacket_25_rich_07", 1)</t>
  </si>
  <si>
    <t>PATENTED SHOCK-ABSORBENT BOLERO BLAZER</t>
  </si>
  <si>
    <t>Game.AddToInventory("Items.Jacket_25_rich_04", 1)</t>
  </si>
  <si>
    <t>PERFORATED BOLERO BLAZER WITH ARAMID REINFORCEMENTS</t>
  </si>
  <si>
    <t>Game.AddToInventory("Items.Dress_04_basic_08", 1)</t>
  </si>
  <si>
    <t>PINK LIQUI-RUBBER DRESS</t>
  </si>
  <si>
    <t>Game.AddToInventory("Items.Coat_05_old_04", 1)</t>
  </si>
  <si>
    <t>PIQUÉ HALF-ZIP WITH CARGO POCKETS</t>
  </si>
  <si>
    <t>Game.AddToInventory("Items.Dress_04_basic_03", 1)</t>
  </si>
  <si>
    <t>PRACTICAL DRESS WITH TECH MEMBRANE</t>
  </si>
  <si>
    <t>Game.AddToInventory("Items.Vest_21_rich_04", 1)</t>
  </si>
  <si>
    <t>PROFESSIONAL TAC VEST WITH LOW INFRARED EMISSION</t>
  </si>
  <si>
    <t>Game.AddToInventory("Items.Jacket_25_basic_05", 1)</t>
  </si>
  <si>
    <t>PROTECTIVE BOLERO BLAZER WITH POLYCARBONATE CHESTPIECE</t>
  </si>
  <si>
    <t>Game.AddToInventory("Items.Vest_22_old_04", 1)</t>
  </si>
  <si>
    <t>PROTECTIVE DESERT CAMO BALLISTIC VEST</t>
  </si>
  <si>
    <t>Game.AddToInventory("Items.Vest_21_old_01", 1)</t>
  </si>
  <si>
    <t>PROTECTIVE TAC VEST WITH BALLISTIC NYLON</t>
  </si>
  <si>
    <t>Game.AddToInventory("Items.Jacket_24_rich_04", 1)</t>
  </si>
  <si>
    <t>PROTOTYPE JACKET WITH LOTUS-FIBER LINING</t>
  </si>
  <si>
    <t>Game.AddToInventory("Items.Jacket_23_basic_03", 1)</t>
  </si>
  <si>
    <t>PTFE-COATED CAMO SWEATSHIRT</t>
  </si>
  <si>
    <t>Game.AddToInventory("Items.FormalJacket_06_basic_03", 1)</t>
  </si>
  <si>
    <t>QUICK-DRY 2-PIECE WITH ANTI-PIERCING WEAVE</t>
  </si>
  <si>
    <t>Game.AddToInventory("Items.Coat_06_rich_03", 1)</t>
  </si>
  <si>
    <t>REINFORCED SILKIE OF IMPREGNATED EGYPTIAN COTTON</t>
  </si>
  <si>
    <t>Game.AddToInventory("Items.Vest_24_basic_02", 1)</t>
  </si>
  <si>
    <t>REINFORCED UTILITY CHEST HOLSTER</t>
  </si>
  <si>
    <t>Game.AddToInventory("Items.Jacket_22_basic_02", 1)</t>
  </si>
  <si>
    <t>REINFORCED-NYLON BARGHEST COMBAT HOODIE</t>
  </si>
  <si>
    <t>Game.AddToInventory("Items.Dress_04_old_01", 1)</t>
  </si>
  <si>
    <t>ROCKER DRESS WITH REINFORCED BODICE</t>
  </si>
  <si>
    <t>Game.AddToInventory("Items.Jacket_24_old_05", 1)</t>
  </si>
  <si>
    <t>SCRATCHY JACKET</t>
  </si>
  <si>
    <t>Game.AddToInventory("Items.Dress_03_rich_07", 1)</t>
  </si>
  <si>
    <t>SEA SILK APPLIQUÉ DRESS</t>
  </si>
  <si>
    <t>Game.AddToInventory("Items.Dress_03_basic_05", 1)</t>
  </si>
  <si>
    <t>SHEATH DRESS WITH ULTRASONIC QUILTING</t>
  </si>
  <si>
    <t>Game.AddToInventory("Items.Vest_23_basic_03", 1)</t>
  </si>
  <si>
    <t>SHORT VEST WITH ANTI-PANIC ZIPPER</t>
  </si>
  <si>
    <t>Game.AddToInventory("Items.Coat_06_old_01", 1)</t>
  </si>
  <si>
    <t>SILKIE WITH MODACRYLIC FUR TRIM</t>
  </si>
  <si>
    <t>Game.AddToInventory("Items.Dress_03_basic_06", 1)</t>
  </si>
  <si>
    <t>SLIM-FIT DRESS WITH THERMOACTIVE MEMBRANE</t>
  </si>
  <si>
    <t>Game.AddToInventory("Items.Jacket_24_rich_01", 1)</t>
  </si>
  <si>
    <t>SNAZZY JACKET WITH PADDED SHOULDER</t>
  </si>
  <si>
    <t>Game.AddToInventory("Items.Jacket_23_rich_01", 1)</t>
  </si>
  <si>
    <t>SNAZZY WATER-REPELLENT SWEATSHIRT</t>
  </si>
  <si>
    <t>Game.AddToInventory("Items.FormalJacket_06_rich_09", 1)</t>
  </si>
  <si>
    <t>SOPHISTICATED 2-PIECE WITH CUSTOM TRIM</t>
  </si>
  <si>
    <t>Game.AddToInventory("Items.Dress_04_basic_07", 1)</t>
  </si>
  <si>
    <t>STAIN-RESISTANT DRESS WITH TAPED SEAMS</t>
  </si>
  <si>
    <t>Game.AddToInventory("Items.Jacket_25_basic_07", 1)</t>
  </si>
  <si>
    <t>STIFFENED 500D POLYAMIDE BOLERO BLAZER</t>
  </si>
  <si>
    <t>Game.AddToInventory("Items.Dress_03_basic_07", 1)</t>
  </si>
  <si>
    <t>STREETWEAR DRESS WITH WELDED HEMS</t>
  </si>
  <si>
    <t>Game.AddToInventory("Items.Jacket_24_basic_02", 1)</t>
  </si>
  <si>
    <t>STUDDED BAMBOO-FIBER JACKET</t>
  </si>
  <si>
    <t>Game.AddToInventory("Items.Vest_22_basic_03", 1)</t>
  </si>
  <si>
    <t>STURDY BALLISTIC VEST WITH CERAMIC PLATING</t>
  </si>
  <si>
    <t>Game.AddToInventory("Items.Jacket_25_rich_02", 1)</t>
  </si>
  <si>
    <t>STURDY BOLERO BLAZER WITH MULTILAYERED PROTECTIVE LAMINATE</t>
  </si>
  <si>
    <t>Game.AddToInventory("Items.Jacket_25_basic_06", 1)</t>
  </si>
  <si>
    <t>STURDY DOUBLE-EMBROIDERED BOLERO BLAZER</t>
  </si>
  <si>
    <t>Game.AddToInventory("Items.Coat_05_old_01", 1)</t>
  </si>
  <si>
    <t>SYNLEATHER HALF-ZIP WITH ELASTIC CUFFS</t>
  </si>
  <si>
    <t>Game.AddToInventory("Items.Jacket_24_old_04", 1)</t>
  </si>
  <si>
    <t>SYNLEATHER JACKET</t>
  </si>
  <si>
    <t>Game.AddToInventory("Items.Dress_03_basic_08", 1)</t>
  </si>
  <si>
    <t>SYNTHETIC OIL-RESISTANT EVENING DRESS</t>
  </si>
  <si>
    <t>Game.AddToInventory("Items.Jacket_24_basic_06", 1)</t>
  </si>
  <si>
    <t>SYNTHETIC RUBBER JACKET</t>
  </si>
  <si>
    <t>Game.AddToInventory("Items.Coat_05_basic_03", 1)</t>
  </si>
  <si>
    <t>TACTICAL HALF-ZIP WITH FORTIFIED THREADING</t>
  </si>
  <si>
    <t>Game.AddToInventory("Items.Dress_04_basic_02", 1)</t>
  </si>
  <si>
    <t>THERMAL 2.5-LAYER RAYON DRESS</t>
  </si>
  <si>
    <t>Game.AddToInventory("Items.Coat_05_basic_01", 1)</t>
  </si>
  <si>
    <t>THERMAL HARDSHELL HALF-ZIP</t>
  </si>
  <si>
    <t>Game.AddToInventory("Items.Jacket_24_rich_05", 1)</t>
  </si>
  <si>
    <t>THERMAL JACKET WITH BI-COMPONENT FIBER</t>
  </si>
  <si>
    <t>Game.AddToInventory("Items.Jacket_22_rich_04", 1)</t>
  </si>
  <si>
    <t>THERMOACTIVE HOODIE WITH VENTILATION SLIDERS</t>
  </si>
  <si>
    <t>Game.AddToInventory("Items.Jacket_23_basic_02", 1)</t>
  </si>
  <si>
    <t>THERMOACTIVE RIPSTOP SWEATSHIRT</t>
  </si>
  <si>
    <t>Game.AddToInventory("Items.Jacket_23_old_02", 1)</t>
  </si>
  <si>
    <t>THICK URBAN SWEATSHIRT</t>
  </si>
  <si>
    <t>Game.AddToInventory("Items.Jacket_22_old_05", 1)</t>
  </si>
  <si>
    <t>THIN SYNTHETIC HOODIE</t>
  </si>
  <si>
    <t>Game.AddToInventory("Items.Jacket_22_basic_01", 1)</t>
  </si>
  <si>
    <t>TREATED COMBAT HOODIE WITH STRAPS</t>
  </si>
  <si>
    <t>Game.AddToInventory("Items.Jacket_25_basic_04", 1)</t>
  </si>
  <si>
    <t>TRILAYER ANTI-TEAR BOLERO BLAZER</t>
  </si>
  <si>
    <t>Game.AddToInventory("Items.Vest_21_rich_02", 1)</t>
  </si>
  <si>
    <t>ULTRA-LIGHT TAC VEST WITH POLYETHYLENE INLAY</t>
  </si>
  <si>
    <t>Game.AddToInventory("Items.Coat_06_rich_01", 1)</t>
  </si>
  <si>
    <t>ULTRALIGHT SILKIE WITH IRIDIUM SEQUINS</t>
  </si>
  <si>
    <t>Game.AddToInventory("Items.Vest_24_old_04", 1)</t>
  </si>
  <si>
    <t>UNCOMFORTABLE CHEST HOLSTER</t>
  </si>
  <si>
    <t>Game.AddToInventory("Items.Jacket_25_basic_08", 1)</t>
  </si>
  <si>
    <t>UNSINKABLE BOLERO BLAZER WITH NEOPRENE QUILTING</t>
  </si>
  <si>
    <t>Game.AddToInventory("Items.Jacket_22_old_04", 1)</t>
  </si>
  <si>
    <t>UNVENTED HOODIE</t>
  </si>
  <si>
    <t>Game.AddToInventory("Items.Jacket_24_basic_04", 1)</t>
  </si>
  <si>
    <t>UPCYCLED CAR UPHOLSTERY JACKET</t>
  </si>
  <si>
    <t>Game.AddToInventory("Items.Jacket_23_basic_04", 1)</t>
  </si>
  <si>
    <t>UPCYCLED STAIN-RESISTANT SWEATSHIRT</t>
  </si>
  <si>
    <t>Game.AddToInventory("Items.Jacket_23_old_03", 1)</t>
  </si>
  <si>
    <t>USED TACTICAL SWEATSHIRT</t>
  </si>
  <si>
    <t>Game.AddToInventory("Items.Q000_Corpo_FormalJacket2", 1)</t>
  </si>
  <si>
    <t>Game.AddToInventory("Items.FormalJacket_06_rich_02", 1)</t>
  </si>
  <si>
    <t>VELVET 2-PIECE WITH WINDPROOF NANOLAYER</t>
  </si>
  <si>
    <t>Game.AddToInventory("Items.Vest_23_old_01", 1)</t>
  </si>
  <si>
    <t>VEST WITH AMMUNITION PANEL</t>
  </si>
  <si>
    <t>Game.AddToInventory("Items.Jacket_24_basic_01", 1)</t>
  </si>
  <si>
    <t>VINYL JACKET WITH STIFFENED COLLAR</t>
  </si>
  <si>
    <t>Game.AddToInventory("Items.Vest_21_basic_03", 1)</t>
  </si>
  <si>
    <t>WEIGHTED TAC VEST WITH UTILITY STRAPS</t>
  </si>
  <si>
    <t>Game.AddToInventory("Items.Dress_04_old_02", 1)</t>
  </si>
  <si>
    <t>WELL-WORN THINK DENIM DRESS</t>
  </si>
  <si>
    <t>Game.AddToInventory("Items.Coat_05_old_05", 1)</t>
  </si>
  <si>
    <t>WIND-RESISTANT HALF-ZIP WITH SYNTHETIC PADDING</t>
  </si>
  <si>
    <t>Game.AddToInventory("Items.Jacket_24_basic_05", 1)</t>
  </si>
  <si>
    <t>WINDPROOF JACKET WITH INSULATED LINING</t>
  </si>
  <si>
    <t>Game.AddToInventory("Items.Jacket_25_old_02", 1)</t>
  </si>
  <si>
    <t>WORN OUT REFLECTIVE BOLERO BLAZER</t>
  </si>
  <si>
    <t>Game.AddToInventory("Items.Coat_06_old_04", 1)</t>
  </si>
  <si>
    <t>WORN WAXED CANVAS SILKIE</t>
  </si>
  <si>
    <t>Game.AddToInventory("Items.Jacket_24_old_02", 1)</t>
  </si>
  <si>
    <t>WORN-OUT JACKET</t>
  </si>
  <si>
    <t>Game.AddToInventory("Items.Vest_24_old_03", 1)</t>
  </si>
  <si>
    <t>WORN-OUT PREPPER CHEST HOLSTER</t>
  </si>
  <si>
    <t>Game.AddToInventory("Items.SQ023_Switchblade_Shirt", 1)</t>
  </si>
  <si>
    <t>4TH WALL ACTING SHIRT</t>
  </si>
  <si>
    <t>Game.AddToInventory("Items.FormalShirt_01_rich_02", 1)</t>
  </si>
  <si>
    <t>ABRASION-RESISTANT TRICKSTER DRESS SHIRT AND VEST</t>
  </si>
  <si>
    <t>Game.AddToInventory("Items.TShirt_11_rich_01", 1)</t>
  </si>
  <si>
    <t>ADAMANT ARMY REINFORCED TACTICAL TANK TOP</t>
  </si>
  <si>
    <t>Game.AddToInventory("Items.TShirt_08_rich_01", 1)</t>
  </si>
  <si>
    <t>AMETHYST PUNK EAZY-BREATHE KNOTTED TANK</t>
  </si>
  <si>
    <t>Game.AddToInventory("Items.TShirt_01_old_01", 1)</t>
  </si>
  <si>
    <t>ANTI-CHEM SYNFABRIC TANK TOP</t>
  </si>
  <si>
    <t>Game.AddToInventory("Items.Shirt_02_old_01", 1)</t>
  </si>
  <si>
    <t>ARAMID-WEAVE TACTICAL TURTLENECK</t>
  </si>
  <si>
    <t>Game.AddToInventory("Items.Shirt_02_basic_03", 1)</t>
  </si>
  <si>
    <t>ARASAKA WATERPROOF COMBAT TURTLENECK</t>
  </si>
  <si>
    <t>Game.AddToInventory("Items.FormalShirt_02_basic_02", 1)</t>
  </si>
  <si>
    <t>ARCTICOMBAT SEMI-FORMAL BUTTON-UP</t>
  </si>
  <si>
    <t>Game.AddToInventory("Items.Shirt_03_rich_02", 1)</t>
  </si>
  <si>
    <t>ATOMIC BLAST COMPOSITE ARMOR-WEAVE COMBAT SHIRT</t>
  </si>
  <si>
    <t>Game.AddToInventory("Items.SQ021_Wraiths_Vest", 1)</t>
  </si>
  <si>
    <t>BAD MOTHERFUCKER VEST</t>
  </si>
  <si>
    <t>Game.AddToInventory("Items.Undershirt_03_basic_02", 1)</t>
  </si>
  <si>
    <t>BARA KAIKA SYN-LEATHER BUSTIER</t>
  </si>
  <si>
    <t>Game.AddToInventory("Items.TShirt_01_basic_01", 1)</t>
  </si>
  <si>
    <t>BASIC TANK TOP</t>
  </si>
  <si>
    <t>Game.AddToInventory("Items.TShirt_06_basic_02", 1)</t>
  </si>
  <si>
    <t>BERMUDA TRIANGLE PROTECTIVE-MESH MUSCLE TANK</t>
  </si>
  <si>
    <t>Game.AddToInventory("Items.TShirt_04_old_03", 1)</t>
  </si>
  <si>
    <t>BLOODY PIGGY DUOWEAVE CUTOUT TANK</t>
  </si>
  <si>
    <t>Game.AddToInventory("Items.TShirt_06_old_01", 1)</t>
  </si>
  <si>
    <t>BLOODY PIGGY TRIWEAVE MUSCLE TANK</t>
  </si>
  <si>
    <t>Game.AddToInventory("Items.Shirt_03_rich_01", 1)</t>
  </si>
  <si>
    <t>BOULET TURQUOISE COMBAT SHIRT WITH PROTECTIVE LINING</t>
  </si>
  <si>
    <t>Game.AddToInventory("Items.Shirt_01_basic_01", 1)</t>
  </si>
  <si>
    <t>BRAINDANCE BLUE TRILAYER LONG-SLEEVE</t>
  </si>
  <si>
    <t>Game.AddToInventory("Items.TShirt_03_basic_03", 1)</t>
  </si>
  <si>
    <t>CANINE POWER DUOLAYER TANK TOP</t>
  </si>
  <si>
    <t>Game.AddToInventory("Items.FormalShirt_02_basic_04", 1)</t>
  </si>
  <si>
    <t>CLASSIC CHEM-HARDENED BUTTON-UP</t>
  </si>
  <si>
    <t>Game.AddToInventory("Items.FormalShirt_01_old_02", 1)</t>
  </si>
  <si>
    <t>CLASSY PASTEL SHIRT AND VEST</t>
  </si>
  <si>
    <t>Game.AddToInventory("Items.TightJumpsuit_01_rich_01", 1)</t>
  </si>
  <si>
    <t>COMPOSITE ARASAKA NETRUNNING NANOWEAVE SUIT</t>
  </si>
  <si>
    <t>Game.AddToInventory("Items.Shirt_03_basic_02", 1)</t>
  </si>
  <si>
    <t>COMPOSITE GEISHA COMBAT SHIRT</t>
  </si>
  <si>
    <t>Game.AddToInventory("Items.TShirt_02_rich_03", 1)</t>
  </si>
  <si>
    <t>COMPOSITE-COATED BITCH V.13 T-SHIRT</t>
  </si>
  <si>
    <t>Game.AddToInventory("Items.Shirt_01_old_01", 1)</t>
  </si>
  <si>
    <t>COTTON LONG-SLEEVE</t>
  </si>
  <si>
    <t>Game.AddToInventory("Items.FormalShirt_01_old_01", 1)</t>
  </si>
  <si>
    <t>COWBOY SHIRT AND VEST</t>
  </si>
  <si>
    <t>Game.AddToInventory("Items.TShirt_01_rich_02", 1)</t>
  </si>
  <si>
    <t>DAEMON HUNTER RESISTANCE-COATED TANK TOP</t>
  </si>
  <si>
    <t>Game.AddToInventory("Items.FormalShirt_01_rich_01", 1)</t>
  </si>
  <si>
    <t>DANDY CLASSICO SHIRT WITH FIBROTUBE WEAVE</t>
  </si>
  <si>
    <t>Game.AddToInventory("Items.Shirt_03_rich_03", 1)</t>
  </si>
  <si>
    <t>DECADENCIA VERDE HEAVY PLATE-WEAVE COMBAT SHIRT</t>
  </si>
  <si>
    <t>Game.AddToInventory("Items.TShirt_02_basic_03", 1)</t>
  </si>
  <si>
    <t>DED-ZED HYBRIDWEAVE T-SHIRT</t>
  </si>
  <si>
    <t>Game.AddToInventory("Items.FormalShirt_02_rich_01", 1)</t>
  </si>
  <si>
    <t>DESERT CROSS STRONG-WEAVE BUTTON-UP</t>
  </si>
  <si>
    <t>Game.AddToInventory("Items.TShirt_02_old_03", 1)</t>
  </si>
  <si>
    <t>DURABLE HARDENED SYN-COTTON T-SHIRT</t>
  </si>
  <si>
    <t>Game.AddToInventory("Items.FormalShirt_01_rich_04", 1)</t>
  </si>
  <si>
    <t>EL DORADO ARAMID-WEAVE DRESS SHIRT AND VEST</t>
  </si>
  <si>
    <t>Game.AddToInventory("Items.Shirt_02_old_03", 1)</t>
  </si>
  <si>
    <t>ELASTIC MICROPLATED SPORTY TURTLENECK</t>
  </si>
  <si>
    <t>Game.AddToInventory("Items.TShirt_03_basic_02", 1)</t>
  </si>
  <si>
    <t>EXTRA-DURABLE STRIPED TANK TOP</t>
  </si>
  <si>
    <t>Game.AddToInventory("Items.TShirt_08_basic_02", 1)</t>
  </si>
  <si>
    <t>EXTRA-REINFORCED KNOTTED TANK</t>
  </si>
  <si>
    <t>Game.AddToInventory("Items.TShirt_03_basic_01", 1)</t>
  </si>
  <si>
    <t>EXTRA-STURDY DEADLY LAGOON TANK TOP</t>
  </si>
  <si>
    <t>Game.AddToInventory("Items.TShirt_08_old_01", 1)</t>
  </si>
  <si>
    <t>FADED UNIWARE KNOTTED TANK</t>
  </si>
  <si>
    <t>Game.AddToInventory("Items.Undershirt_02_basic_02", 1)</t>
  </si>
  <si>
    <t>FLEXI-MEMBRANE LEATHER BRA</t>
  </si>
  <si>
    <t>Game.AddToInventory("Items.TShirt_04_old_02", 1)</t>
  </si>
  <si>
    <t>FRAYED NANOWEAVE CUTOUT TANK</t>
  </si>
  <si>
    <t>Game.AddToInventory("Items.Shirt_03_old_02", 1)</t>
  </si>
  <si>
    <t>FRAYED SCAV COMBAT SHIRT</t>
  </si>
  <si>
    <t>Game.AddToInventory("Items.TShirt_10_basic_01", 1)</t>
  </si>
  <si>
    <t>FUCK YOU DURABLE-WEAVE TANK TOP</t>
  </si>
  <si>
    <t>Game.AddToInventory("Items.Shirt_01_rich_02", 1)</t>
  </si>
  <si>
    <t>GEISHA SAMURAI NANOWEAVE LONG-SLEEVE</t>
  </si>
  <si>
    <t>Game.AddToInventory("Items.FormalShirt_01_rich_05", 1)</t>
  </si>
  <si>
    <t>GIN NO HOSHI NEO-SILK SHIRT AND VEST</t>
  </si>
  <si>
    <t>Game.AddToInventory("Items.TShirt_07_basic_01", 1)</t>
  </si>
  <si>
    <t>GRAY DECAY SYNFABRIC RACERBACK TANK</t>
  </si>
  <si>
    <t>Game.AddToInventory("Items.TShirt_10_old_01", 1)</t>
  </si>
  <si>
    <t>HEAT-RESISTANT REINFORCED NU-TEK TIGHT TANK</t>
  </si>
  <si>
    <t>Game.AddToInventory("Items.TShirt_04_old_01", 1)</t>
  </si>
  <si>
    <t>HIGH-TENSILE CUTOUT TANK</t>
  </si>
  <si>
    <t>Game.AddToInventory("Items.Q201_SpaceHospitalShirt", 1)</t>
  </si>
  <si>
    <t>HOSPITAL SHIRT</t>
  </si>
  <si>
    <t>Game.AddToInventory("Items.TShirt_08_basic_01", 1)</t>
  </si>
  <si>
    <t>KNOTTED ARMOR WEAVE TANK</t>
  </si>
  <si>
    <t>Game.AddToInventory("Items.TightJumpsuit_01_basic_02", 1)</t>
  </si>
  <si>
    <t>LIGHT ELASTOMER NETRUNNING SUIT</t>
  </si>
  <si>
    <t>Game.AddToInventory("Items.Shirt_02_rich_01", 1)</t>
  </si>
  <si>
    <t>LIGHT XX PUNCH! HEAT-RESISTANT BIKER TURTLENECK</t>
  </si>
  <si>
    <t>Game.AddToInventory("Items.FormalShirt_02_old_01", 1)</t>
  </si>
  <si>
    <t>LINEN BUTTON-UP WITH REACTIVE LAYERING</t>
  </si>
  <si>
    <t>Game.AddToInventory("Items.FormalShirt_02_rich_03", 1)</t>
  </si>
  <si>
    <t>LIQUID SHINE DURA-POLYAMIDE BUTTON-UP</t>
  </si>
  <si>
    <t>Game.AddToInventory("Items.Shirt_01_old_02", 1)</t>
  </si>
  <si>
    <t>LONG-SLEEVE WITH COMPOSITE LINING</t>
  </si>
  <si>
    <t>Game.AddToInventory("Items.FormalShirt_01_rich_03", 1)</t>
  </si>
  <si>
    <t>MALLOW BREEZE TRIWEAVE SHIRT AND VEST</t>
  </si>
  <si>
    <t>Game.AddToInventory("Items.TShirt_01_basic_02", 1)</t>
  </si>
  <si>
    <t>MELTING HOTTIE TANK TOP</t>
  </si>
  <si>
    <t>Game.AddToInventory("Items.TightJumpsuit_01_basic_01", 1)</t>
  </si>
  <si>
    <t>MILITARY-GRADE ARAMID NETRUNNING SUIT</t>
  </si>
  <si>
    <t>Game.AddToInventory("Items.TShirt_03_old_03", 1)</t>
  </si>
  <si>
    <t>MOX ULTRALIGHT TANK TOP WITH MICROMESH LAYER</t>
  </si>
  <si>
    <t>Game.AddToInventory("Items.TShirt_08_rich_02", 1)</t>
  </si>
  <si>
    <t>NEOKITSCH BLOOMING AMBER RESISTANCE-COATED TANK</t>
  </si>
  <si>
    <t>Game.AddToInventory("Items.TShirt_03_rich_01", 1)</t>
  </si>
  <si>
    <t>NEOKITSCH PALM BAY HEAT-RESISTANT TANK TOP</t>
  </si>
  <si>
    <t>Game.AddToInventory("Items.TShirt_07_basic_02", 1)</t>
  </si>
  <si>
    <t>NIGHT CITY STURDIMESH RACERBACK TANK</t>
  </si>
  <si>
    <t>Game.AddToInventory("Items.TShirt_06_basic_01", 1)</t>
  </si>
  <si>
    <t>NIPPON COMPOSITE-COATED MUSCLE TANK</t>
  </si>
  <si>
    <t>Game.AddToInventory("Items.TShirt_06_old_02", 1)</t>
  </si>
  <si>
    <t>OLD EMERALD SPEED MUSCLE TANK</t>
  </si>
  <si>
    <t>Game.AddToInventory("Items.Shirt_03_old_01", 1)</t>
  </si>
  <si>
    <t>OLD FLAZH COMBAT SHIRT</t>
  </si>
  <si>
    <t>Game.AddToInventory("Items.TShirt_02_old_02", 1)</t>
  </si>
  <si>
    <t>OLD HEX CAMO SHIRT</t>
  </si>
  <si>
    <t>Game.AddToInventory("Items.TightJumpsuit_01_old_02", 1)</t>
  </si>
  <si>
    <t>OLD NETRUNNING SUIT</t>
  </si>
  <si>
    <t>Game.AddToInventory("Items.TShirt_01_old_03", 1)</t>
  </si>
  <si>
    <t>ONCE WE WERE BOOSTED TANK TOP</t>
  </si>
  <si>
    <t>Game.AddToInventory("Items.Undershirt_02_rich_02", 1)</t>
  </si>
  <si>
    <t>PADDED DENKI HACHI HYBRID-WEAVE BRA</t>
  </si>
  <si>
    <t>Game.AddToInventory("Items.Shirt_03_basic_03", 1)</t>
  </si>
  <si>
    <t>PADDED SYN-FIBER COMBAT SHIRT</t>
  </si>
  <si>
    <t>Game.AddToInventory("Items.Shirt_02_old_02", 1)</t>
  </si>
  <si>
    <t>PADDED TACTICAL TURTLENECK</t>
  </si>
  <si>
    <t>Game.AddToInventory("Items.FormalShirt_02_rich_02", 1)</t>
  </si>
  <si>
    <t>PAISLEY UNIVERSE ARMOR-COATED BUTTON-UP</t>
  </si>
  <si>
    <t>Game.AddToInventory("Items.FormalShirt_01_rich_06", 1)</t>
  </si>
  <si>
    <t>PARIS BLUE OFFICE SHIRT AND VEST WITH REINFORCED SEAMS</t>
  </si>
  <si>
    <t>Game.AddToInventory("Items.FormalShirt_01_old_03", 1)</t>
  </si>
  <si>
    <t>PENGUIN DRESS SHIRT AND VEST</t>
  </si>
  <si>
    <t>Game.AddToInventory("Items.SQ012_Shirt_VoteForPeralez", 1)</t>
  </si>
  <si>
    <t>PERALEZ CAMPAIGN SHIRT</t>
  </si>
  <si>
    <t>Game.AddToInventory("Items.Shirt_01_basic_02", 1)</t>
  </si>
  <si>
    <t>PSYCHO FLEXIWEAVE LONG-SLEEVE</t>
  </si>
  <si>
    <t>Game.AddToInventory("Items.TShirt_02_rich_01", 1)</t>
  </si>
  <si>
    <t>PSYCHO IMPACT-ABSORBENT NANOWEAVE T-SHIRT</t>
  </si>
  <si>
    <t>Game.AddToInventory("Items.TShirt_07_rich_01", 1)</t>
  </si>
  <si>
    <t>PSYCHO PUNCTURE-RESISTANT RACERBACK TANK</t>
  </si>
  <si>
    <t>Game.AddToInventory("Items.TShirt_02_basic_04", 1)</t>
  </si>
  <si>
    <t>PUNCTURE-RESISTANT NUSA T-SHIRT</t>
  </si>
  <si>
    <t>Game.AddToInventory("Items.TShirt_11_old_01", 1)</t>
  </si>
  <si>
    <t>PUNK DUOLAYER TANK TOP</t>
  </si>
  <si>
    <t>Game.AddToInventory("Items.TShirt_01_old_02", 1)</t>
  </si>
  <si>
    <t>PUNK TANK TOP</t>
  </si>
  <si>
    <t>Game.AddToInventory("Items.TShirt_01_basic_03", 1)</t>
  </si>
  <si>
    <t>PURPLE DRAGON ARAMID-WEAVE TANK TOP</t>
  </si>
  <si>
    <t>Game.AddToInventory("Items.TShirt_06_rich_01", 1)</t>
  </si>
  <si>
    <t>PURPLE DRAGON NEOKITSCH MUSCLE TANK WITH TUNGSTEN SEQUINS</t>
  </si>
  <si>
    <t>Game.AddToInventory("Items.FormalShirt_02_old_02", 1)</t>
  </si>
  <si>
    <t>PURPLE PANTHER SHIRT</t>
  </si>
  <si>
    <t>Game.AddToInventory("Items.Proficiency_TightJumpsuit_01_rich_02_Crafting", 1)</t>
  </si>
  <si>
    <t>RED ALERT ANTI-SURGE NETRUNNING SUIT</t>
  </si>
  <si>
    <t>Game.AddToInventory("Items.FormalShirt_02_basic_03", 1)</t>
  </si>
  <si>
    <t>RED LEOPARD BUTTON-UP WITH COMPOSITE INSERT</t>
  </si>
  <si>
    <t>Game.AddToInventory("Items.Undershirt_03_rich_02", 1)</t>
  </si>
  <si>
    <t>REINE DE ABEILLES BUSTIER WITH BULLETPROOF LINING</t>
  </si>
  <si>
    <t>Game.AddToInventory("Items.FormalShirt_01_basic_02", 1)</t>
  </si>
  <si>
    <t>REINFORCED BREATHABLE DRESS SHIRT</t>
  </si>
  <si>
    <t>Game.AddToInventory("Items.Undershirt_02_basic_01", 1)</t>
  </si>
  <si>
    <t>REINFORCED SPOTTED BRA</t>
  </si>
  <si>
    <t>Game.AddToInventory("Items.TShirt_11_basic_01", 1)</t>
  </si>
  <si>
    <t>REINFORCED-SEAM SPORTY TANK TOP</t>
  </si>
  <si>
    <t>Game.AddToInventory("Items.TShirt_09_basic_01", 1)</t>
  </si>
  <si>
    <t>RIPPED TACTICAL CAMO CROP TOP</t>
  </si>
  <si>
    <t>Game.AddToInventory("Items.TShirt_09_old_01", 1)</t>
  </si>
  <si>
    <t>RIPPED TAMASHI POLYAMIDE TANK TOP</t>
  </si>
  <si>
    <t>Game.AddToInventory("Items.TShirt_02_old_01", 1)</t>
  </si>
  <si>
    <t>RUINED LIFE STURDIMESH T-SHIRT</t>
  </si>
  <si>
    <t>Game.AddToInventory("Items.TShirt_10_rich_01", 1)</t>
  </si>
  <si>
    <t>SAEKO'S PROTECTIVE LAYER TIGHT TANK</t>
  </si>
  <si>
    <t>Game.AddToInventory("Items.SamuraiWorldTour_TShirt", 1)</t>
  </si>
  <si>
    <t>SAMURAI 2020 TOUR T-SHIRT</t>
  </si>
  <si>
    <t>Game.AddToInventory("Items.Shirt_02_basic_04", 1)</t>
  </si>
  <si>
    <t>SAMURAI COMBAT TURTLENECK</t>
  </si>
  <si>
    <t>Game.AddToInventory("Items.TShirt_01_rich_03", 1)</t>
  </si>
  <si>
    <t>SANKAKU NICHIBOTSU TARP-WEAVE TANK TOP</t>
  </si>
  <si>
    <t>Game.AddToInventory("Items.TShirt_03_rich_02", 1)</t>
  </si>
  <si>
    <t>SANTA MUERTE HEAT-RESITANT TANK TOP</t>
  </si>
  <si>
    <t>Game.AddToInventory("Items.TShirt_07_rich_02", 1)</t>
  </si>
  <si>
    <t>SANTA MUERTE NEOKITSCH ARAMID-WEAVE RACERBACK TANK</t>
  </si>
  <si>
    <t>Game.AddToInventory("Items.TShirt_08_old_02", 1)</t>
  </si>
  <si>
    <t>SECONDHAND KNOTTED TANK</t>
  </si>
  <si>
    <t>Game.AddToInventory("Items.TShirt_04_old_05", 1)</t>
  </si>
  <si>
    <t>SECONDHAND SPEED ADDICT DUOLAYER CUTOUT TANK</t>
  </si>
  <si>
    <t>Game.AddToInventory("Items.FormalShirt_02_basic_01", 1)</t>
  </si>
  <si>
    <t>SEMI-FORMAL SYNFIBER BUTTON-UP</t>
  </si>
  <si>
    <t>Game.AddToInventory("Items.Proficiency_Shirt_02_basic_02_Crafting", 1)</t>
  </si>
  <si>
    <t>SIMPLE BIKER ARAMID-WEAVE TURTLENECK</t>
  </si>
  <si>
    <t>Game.AddToInventory("Items.Undershirt_03_basic_01", 1)</t>
  </si>
  <si>
    <t>SIMPLE DUOLAYER BUSTIER</t>
  </si>
  <si>
    <t>Game.AddToInventory("Items.Shirt_02_rich_02", 1)</t>
  </si>
  <si>
    <t>SPORT-FLEX AT-AK THERMOACTIVE TURTLENECK</t>
  </si>
  <si>
    <t>Game.AddToInventory("Items.Shirt_02_basic_01", 1)</t>
  </si>
  <si>
    <t>SPORTY DARRA-POLYTECHNIC FLEXI-WEAVE TURTLENECK</t>
  </si>
  <si>
    <t>Game.AddToInventory("Items.Undershirt_03_basic_04", 1)</t>
  </si>
  <si>
    <t>SPOTTED FLEXI-MEMBRANE BUSTIER</t>
  </si>
  <si>
    <t>Game.AddToInventory("Items.TShirt_03_old_01", 1)</t>
  </si>
  <si>
    <t>SPOTTED TANK TOP</t>
  </si>
  <si>
    <t>Game.AddToInventory("Items.TShirt_05_old_06", 1)</t>
  </si>
  <si>
    <t>STURDI-WEAVE BITCH V.13 T-SHIRT</t>
  </si>
  <si>
    <t>Game.AddToInventory("Items.TShirt_04_old_06", 1)</t>
  </si>
  <si>
    <t>STURDI-WEAVE CUTOUT TANK</t>
  </si>
  <si>
    <t>Game.AddToInventory("Items.Proficiency_Undershirt_03_basic_03_Crafting", 1)</t>
  </si>
  <si>
    <t>STYLISH ATOMIC BLAST COMPOSITE BUSTIER</t>
  </si>
  <si>
    <t>Game.AddToInventory("Items.TShirt_02_rich_02", 1)</t>
  </si>
  <si>
    <t>STYLISH BIG FISH STEEL-SEQUINED T-SHIRT</t>
  </si>
  <si>
    <t>Game.AddToInventory("Items.Shirt_01_rich_01", 1)</t>
  </si>
  <si>
    <t>STYLISH CRYSTAL MIDNIGHT CARBON-FIBER LONG-SLEEVE</t>
  </si>
  <si>
    <t>Game.AddToInventory("Items.FormalShirt_01_basic_03", 1)</t>
  </si>
  <si>
    <t>STYLISH DOUBLE-WEAVE SHIRT AND VEST</t>
  </si>
  <si>
    <t>Game.AddToInventory("Items.Shirt_03_basic_01", 1)</t>
  </si>
  <si>
    <t>SUICHU YOGAN SYN-FIBER COMBAT SHIRT</t>
  </si>
  <si>
    <t>Game.AddToInventory("Items.TShirt_07_old_01", 1)</t>
  </si>
  <si>
    <t>TACTI-FIBER RACERBACK TANK</t>
  </si>
  <si>
    <t>Game.AddToInventory("Items.TShirt_09_basic_02", 1)</t>
  </si>
  <si>
    <t>TATTERED PLAID CROP TOP</t>
  </si>
  <si>
    <t>Game.AddToInventory("Items.FormalShirt_01_basic_01", 1)</t>
  </si>
  <si>
    <t>TEAR-RESISTANT OFFICE SHIRT AND VEST</t>
  </si>
  <si>
    <t>Game.AddToInventory("Items.TShirt_05_old_01", 1)</t>
  </si>
  <si>
    <t>TORN BURN CORPO SHIT COMPOSITE T-SHIRT</t>
  </si>
  <si>
    <t>Game.AddToInventory("Items.TShirt_05_old_02", 1)</t>
  </si>
  <si>
    <t>TORN DAEMON HUNTER POLYAMIDE T-SHIRT</t>
  </si>
  <si>
    <t>Game.AddToInventory("Items.TShirt_05_old_03", 1)</t>
  </si>
  <si>
    <t>TORN POLYAMIDE-BLEND CAMO T-SHIRT</t>
  </si>
  <si>
    <t>Game.AddToInventory("Items.TShirt_09_old_02", 1)</t>
  </si>
  <si>
    <t>TORN REINFORCED TANK TOP</t>
  </si>
  <si>
    <t>Game.AddToInventory("Items.TShirt_05_old_05", 1)</t>
  </si>
  <si>
    <t>TORN STURDIMESH T-SHIRT</t>
  </si>
  <si>
    <t>Game.AddToInventory("Items.TShirt_05_old_04", 1)</t>
  </si>
  <si>
    <t>TORN SYN-BLEND T-SHIRT</t>
  </si>
  <si>
    <t>Game.AddToInventory("Items.TShirt_02_basic_02", 1)</t>
  </si>
  <si>
    <t>ULTIMATE PUNCH STURDIMESH T-SHIRT</t>
  </si>
  <si>
    <t>Game.AddToInventory("Items.Undershirt_02_rich_01", 1)</t>
  </si>
  <si>
    <t>ULTRALIGHT AMANDE ROSE ANTI-PUNCTURE BRA</t>
  </si>
  <si>
    <t>Game.AddToInventory("Items.TShirt_01_rich_01", 1)</t>
  </si>
  <si>
    <t>ULTRALIGHT GEISHA DREAM POLYAMIDE TANK TOP</t>
  </si>
  <si>
    <t>Game.AddToInventory("Items.Undershirt_03_rich_01", 1)</t>
  </si>
  <si>
    <t>ULTRALIGHT JASMIN DOUCET SYN-COTTON BUSTIER</t>
  </si>
  <si>
    <t>Game.AddToInventory("Items.Proficiency_TShirt_03_rich_03_Crafting", 1)</t>
  </si>
  <si>
    <t>ULTRALIGHT TESTED ON ANIMALS POLYAMIDE TANK TOP</t>
  </si>
  <si>
    <t>Game.AddToInventory("Items.TShirt_02_basic_01", 1)</t>
  </si>
  <si>
    <t>UTILITARIAN BURN CORPO SHIT T-SHIRT</t>
  </si>
  <si>
    <t>Game.AddToInventory("Items.TShirt_02_old_04", 1)</t>
  </si>
  <si>
    <t>UTILITARIAN COMPOSITE-MESH T-SHIRT</t>
  </si>
  <si>
    <t>Game.AddToInventory("Items.TShirt_02_basic_05", 1)</t>
  </si>
  <si>
    <t>VINTAGE SAMURAI STRONGWEAVE T-SHIRT</t>
  </si>
  <si>
    <t>Game.AddToInventory("Items.Shirt_02_rich_03", 1)</t>
  </si>
  <si>
    <t>VIOLET NEBULA ANTI-TEAR POLYAMIDE TURTLENECK</t>
  </si>
  <si>
    <t>Game.AddToInventory("Items.Shirt_03_old_03", 1)</t>
  </si>
  <si>
    <t>WORN MAELSTROM JACKET</t>
  </si>
  <si>
    <t>Game.AddToInventory("Items.TightJumpsuit_01_old_01", 1)</t>
  </si>
  <si>
    <t>WORN NETRUNNING SUIT</t>
  </si>
  <si>
    <t>Game.AddToInventory("Items.TShirt_03_old_02", 1)</t>
  </si>
  <si>
    <t>WORN TAMASHI TANK TOP</t>
  </si>
  <si>
    <t>Game.AddToInventory("Items.FormalShirt_02_old_03", 1)</t>
  </si>
  <si>
    <t>WRINKLED DRESS BUTTON-UP</t>
  </si>
  <si>
    <t>Game.AddToInventory("Items.TShirt_06_rich_02", 1)</t>
  </si>
  <si>
    <t>X NANOTUBE-WEAVE MUSCLE TANK</t>
  </si>
  <si>
    <t>Game.AddToInventory("Items.TShirt_04_old_04", 1)</t>
  </si>
  <si>
    <t>X REINFORCED POLYAMIDE TANK TOP</t>
  </si>
  <si>
    <t>Game.AddToInventory("Items.Q005_Yorinobu_FormalShirt", 1)</t>
  </si>
  <si>
    <t>YORINOBU'S FORMAL SHIRT</t>
  </si>
  <si>
    <t>Game.AddToInventory("Items.TShirt_07_old_02", 1)</t>
  </si>
  <si>
    <t>YORU NO SAMURAI COMPOSITE RACERBACK TANK</t>
  </si>
  <si>
    <t>Game.AddToInventory("Items.TShirt_02_rich_04", 1)</t>
  </si>
  <si>
    <t>YORU NO SAMURAI GMO-COTTON T-SHIRT</t>
  </si>
  <si>
    <t>Game.AddToInventory("Items.Tshirt_12_basic_10", 1)</t>
  </si>
  <si>
    <t>ACID-RESISTANT T-SHIRT WITH NONSLIP PRINT</t>
  </si>
  <si>
    <t>Game.AddToInventory("Items.TightJumpsuit_02_basic_03", 1)</t>
  </si>
  <si>
    <t>ANTISTATIC CHEM-RESISTANT UNITARD</t>
  </si>
  <si>
    <t>Game.AddToInventory("Items.TightJumpsuit_02_basic_04", 1)</t>
  </si>
  <si>
    <t>BREATHABLE UNITARD WITH MICOPORE FOIL</t>
  </si>
  <si>
    <t>Game.AddToInventory("Items.Tshirt_12_old_06", 1)</t>
  </si>
  <si>
    <t>CAMO T-SHIRT WITH COPPER MICROFIBER</t>
  </si>
  <si>
    <t>Game.AddToInventory("Items.Tshirt_12_basic_02", 1)</t>
  </si>
  <si>
    <t>CUSHIONED POLYMER-FOAM T-SHIRT</t>
  </si>
  <si>
    <t>Game.AddToInventory("Items.Tshirt_12_basic_06", 1)</t>
  </si>
  <si>
    <t>DURABLE LASER-CUT LAMINATE T-SHIRT</t>
  </si>
  <si>
    <t>Game.AddToInventory("Items.TightJumpsuit_02_rich_04", 1)</t>
  </si>
  <si>
    <t>DURABLE UNITARD WITH ANTI-SHRAPNEL WEAVE</t>
  </si>
  <si>
    <t>Game.AddToInventory("Items.TightJumpsuit_02_basic_01", 1)</t>
  </si>
  <si>
    <t>ELASTIC UNITARD WITH BREATHABLE MESH</t>
  </si>
  <si>
    <t>Game.AddToInventory("Items.TightJumpsuit_02_rich_05", 1)</t>
  </si>
  <si>
    <t>ELEGANT UNITARD WITH BALLISTIC LINING</t>
  </si>
  <si>
    <t>Game.AddToInventory("Items.Tshirt_12_old_02", 1)</t>
  </si>
  <si>
    <t>FADED T-SHIRT WITH UPF 50+ FABRIC</t>
  </si>
  <si>
    <t>Game.AddToInventory("Items.TightJumpsuit_02_rich_06", 1)</t>
  </si>
  <si>
    <t>HYBRID UNITARD OF FLAME-RETARDANT SPANDEX</t>
  </si>
  <si>
    <t>Game.AddToInventory("Items.TightJumpsuit_02_rich_01", 1)</t>
  </si>
  <si>
    <t>LASER-CUT ULTRATHIN UNITARD</t>
  </si>
  <si>
    <t>Game.AddToInventory("Items.TightJumpsuit_02_basic_02", 1)</t>
  </si>
  <si>
    <t>NONSLIP UNITARD WITH HEAT-SEALED SEAMS</t>
  </si>
  <si>
    <t>Game.AddToInventory("Items.Tshirt_12_old_08", 1)</t>
  </si>
  <si>
    <t>OLD SYN-JERSEY T-SHIRT</t>
  </si>
  <si>
    <t>Game.AddToInventory("Items.Tshirt_12_old_05", 1)</t>
  </si>
  <si>
    <t>PLANT-BASED LATEX T-SHIRT</t>
  </si>
  <si>
    <t>Game.AddToInventory("Items.TightJumpsuit_02_basic_05", 1)</t>
  </si>
  <si>
    <t>POLYETHYLENE CHEM-RESISTANT UNITARD</t>
  </si>
  <si>
    <t>Game.AddToInventory("Items.Tshirt_12_old_04", 1)</t>
  </si>
  <si>
    <t>QUICK-DRY COMPOSITE T-SHIRT</t>
  </si>
  <si>
    <t>Game.AddToInventory("Items.TightJumpsuit_02_rich_03", 1)</t>
  </si>
  <si>
    <t>REINFORCED UNITARD WITH TUNGSTEN-SEQUIN COATING</t>
  </si>
  <si>
    <t>Game.AddToInventory("Items.TightJumpsuit_02_basic_06", 1)</t>
  </si>
  <si>
    <t>REUSABLE NONWOVEN UNITARD</t>
  </si>
  <si>
    <t>Game.AddToInventory("Items.Tshirt_12_old_03", 1)</t>
  </si>
  <si>
    <t>SHABBY SYNCOTTON T-SHIRT</t>
  </si>
  <si>
    <t>Game.AddToInventory("Items.Tshirt_12_basic_08", 1)</t>
  </si>
  <si>
    <t>T-SHIRT WITH PVC WEAVE</t>
  </si>
  <si>
    <t>Game.AddToInventory("Items.Tshirt_12_basic_07", 1)</t>
  </si>
  <si>
    <t>T-SHIRT WITH SPACER-MESH LINING</t>
  </si>
  <si>
    <t>Game.AddToInventory("Items.Tshirt_12_basic_09", 1)</t>
  </si>
  <si>
    <t>TACTICAL T-SHIRT WITH ANATOMICAL EMBOSSING</t>
  </si>
  <si>
    <t>Game.AddToInventory("Items.Tshirt_12_basic_04", 1)</t>
  </si>
  <si>
    <t>TEAR-RESISTANT T-SHIRT WITH LONSDALEITE NANOPLATING</t>
  </si>
  <si>
    <t>Game.AddToInventory("Items.Tshirt_12_basic_01", 1)</t>
  </si>
  <si>
    <t>THERMODYNAMIC T-SHIRT WITH NANOTUBE LINING</t>
  </si>
  <si>
    <t>Game.AddToInventory("Items.TightJumpsuit_02_basic_08", 1)</t>
  </si>
  <si>
    <t>THERMOPLASTIC ANTI-CORP UNITARD</t>
  </si>
  <si>
    <t>Game.AddToInventory("Items.Tshirt_12_basic_03", 1)</t>
  </si>
  <si>
    <t>THICK-WEAVE VISCOELASTIC T-SHIRT</t>
  </si>
  <si>
    <t>Game.AddToInventory("Items.TightJumpsuit_02_basic_07", 1)</t>
  </si>
  <si>
    <t>TRILAYER NEOPRENE FOAM UNITARD</t>
  </si>
  <si>
    <t>Game.AddToInventory("Items.Tshirt_12_old_01", 1)</t>
  </si>
  <si>
    <t>WASHED-OUT RAGLAN T-SHIRT</t>
  </si>
  <si>
    <t>Game.AddToInventory("Items.TightJumpsuit_02_rich_02", 1)</t>
  </si>
  <si>
    <t>WATER-REPELLENT POLYAMIDE UNITARD</t>
  </si>
  <si>
    <t>Game.AddToInventory("Items.Tshirt_12_basic_05", 1)</t>
  </si>
  <si>
    <t>WATERPROOF OXFORD CLOTH T-SHIRT</t>
  </si>
  <si>
    <t>Game.AddToInventory("Items.Tshirt_12_old_07", 1)</t>
  </si>
  <si>
    <t>WORN COMPRESSION T-SHIRT</t>
  </si>
  <si>
    <t>Game.AddToInventory("Items.SQ023_Switchblade_Pants", 1)</t>
  </si>
  <si>
    <t>4TH WALL ACTING PANTS</t>
  </si>
  <si>
    <t>Game.AddToInventory("Items.Pants_11_old_03", 1)</t>
  </si>
  <si>
    <t>6TH STREET CARGO PANTS</t>
  </si>
  <si>
    <t>Game.AddToInventory("Items.Pants_10_basic_01", 1)</t>
  </si>
  <si>
    <t>6TH STREET RUBBER-WEAVE SHINOS</t>
  </si>
  <si>
    <t>Game.AddToInventory("Items.Pants_09_basic_01", 1)</t>
  </si>
  <si>
    <t>AMETHYSPEED POLYCARBONATE UTILITY PANTS</t>
  </si>
  <si>
    <t>Game.AddToInventory("Items.Shorts_01_old_02", 1)</t>
  </si>
  <si>
    <t>ANTI-PUNCTURE CUT-OFF SHORTS</t>
  </si>
  <si>
    <t>Game.AddToInventory("Items.FormalSkirt_01_rich_03", 1)</t>
  </si>
  <si>
    <t>ARASAKA REACTIVE-LAYER OFFICE SKIRT</t>
  </si>
  <si>
    <t>Game.AddToInventory("Items.Pants_11_basic_01", 1)</t>
  </si>
  <si>
    <t>ARMY STAR ANTI-CHAFING CARGO PANTS</t>
  </si>
  <si>
    <t>Game.AddToInventory("Items.Pants_12_basic_03", 1)</t>
  </si>
  <si>
    <t>AT-AK GREENER POLYCARBONATE WINDBREAKER PANTS</t>
  </si>
  <si>
    <t>Game.AddToInventory("Items.Pants_09_rich_01", 1)</t>
  </si>
  <si>
    <t>AT-AK UTILITY WEAR-RESISTANT PANTS</t>
  </si>
  <si>
    <t>Game.AddToInventory("Items.Shorts_03_basic_02", 1)</t>
  </si>
  <si>
    <t>ATHLETIC ARAMID-WEAVE SHORTS</t>
  </si>
  <si>
    <t>Game.AddToInventory("Items.Shorts_02_basic_01", 1)</t>
  </si>
  <si>
    <t>ATHLETIC HYBRID-WEAVE HOTPANTS</t>
  </si>
  <si>
    <t>Game.AddToInventory("Items.Pants_07_rich_02", 1)</t>
  </si>
  <si>
    <t>ATOMIC BLAST TACTICAL ARMOR-WEAVE PANTS</t>
  </si>
  <si>
    <t>Game.AddToInventory("Items.FormalPants_02_rich_01", 1)</t>
  </si>
  <si>
    <t>BAI LONG FORMAL PANTS WITH REINFORCED NEO-SILK</t>
  </si>
  <si>
    <t>Game.AddToInventory("Items.Pants_03_basic_03", 1)</t>
  </si>
  <si>
    <t>BITCH V.13 SYN-RESISTANT PANTS</t>
  </si>
  <si>
    <t>Game.AddToInventory("Items.Shorts_02_basic_02", 1)</t>
  </si>
  <si>
    <t>BLUE BRICK REINFORCED HOTPANTS</t>
  </si>
  <si>
    <t>Game.AddToInventory("Items.Pants_08_basic_02", 1)</t>
  </si>
  <si>
    <t>BOOSTKNIT NEOTAC PANTS</t>
  </si>
  <si>
    <t>Game.AddToInventory("Items.Pants_07_rich_01", 1)</t>
  </si>
  <si>
    <t>BOULET TURQUOISE HEAT-RESISTANT TACTICAL PANTS</t>
  </si>
  <si>
    <t>Game.AddToInventory("Items.FormalSkirt_02_rich_02", 1)</t>
  </si>
  <si>
    <t>BRASS HARMONY SKIRT WITH DOUBLE NANOFIBER WEAVE</t>
  </si>
  <si>
    <t>Game.AddToInventory("Items.FormalSkirt_02_basic_02", 1)</t>
  </si>
  <si>
    <t>BURGUNDY FORMAL SKIRT WITH REINFORCED SYNFIBER</t>
  </si>
  <si>
    <t>Game.AddToInventory("Items.Pants_03_basic_02", 1)</t>
  </si>
  <si>
    <t>CANINE POWER ANTI-TEAR PANTS</t>
  </si>
  <si>
    <t>Game.AddToInventory("Items.Pants_11_basic_02", 1)</t>
  </si>
  <si>
    <t>CAUTION EXTRA-PLASTIC CARGO PANTS</t>
  </si>
  <si>
    <t>Game.AddToInventory("Items.FormalSkirt_02_rich_03", 1)</t>
  </si>
  <si>
    <t>CHIC PINK DRAGON SKIRT WITH FIBERGLASS SEQUINS</t>
  </si>
  <si>
    <t>Game.AddToInventory("Items.Pants_02_rich_02", 1)</t>
  </si>
  <si>
    <t>CHIKURIN REINFORCED NANOWEAVE LOOSE-FITS</t>
  </si>
  <si>
    <t>Game.AddToInventory("Items.Shorts_01_basic_01", 1)</t>
  </si>
  <si>
    <t>CLASSIC ARAMID-WEAVE DENIM SHORTS</t>
  </si>
  <si>
    <t>Game.AddToInventory("Items.Shorts_03_basic_01", 1)</t>
  </si>
  <si>
    <t>CLASSIC ATHLETIC NANOWEAVE SHORTS</t>
  </si>
  <si>
    <t>Game.AddToInventory("Items.FormalPants_01_basic_02", 1)</t>
  </si>
  <si>
    <t>CLASSIC COMPOSITE-LINED PLEATED PANTS</t>
  </si>
  <si>
    <t>Game.AddToInventory("Items.FormalPants_02_basic_01", 1)</t>
  </si>
  <si>
    <t>CLASSIC IMMUNO-COTTON CORPORATE PANTS</t>
  </si>
  <si>
    <t>Game.AddToInventory("Items.FormalSkirt_01_basic_02", 1)</t>
  </si>
  <si>
    <t>CLASSY ARAMID-WEAVE SKIRT</t>
  </si>
  <si>
    <t>Game.AddToInventory("Items.FormalPants_02_basic_02", 1)</t>
  </si>
  <si>
    <t>CLASSY BORDEAUX PANTS WITH FORTIFIED SEAMS</t>
  </si>
  <si>
    <t>Game.AddToInventory("Items.Shorts_05_old_05", 1)</t>
  </si>
  <si>
    <t>COMFY NOMAD SHORTS</t>
  </si>
  <si>
    <t>Game.AddToInventory("Items.Pants_01_basic_01", 1)</t>
  </si>
  <si>
    <t>COMFY ROCKER ARAMID-WEAVE SLIM-FITS</t>
  </si>
  <si>
    <t>Game.AddToInventory("Items.Pants_07_basic_03", 1)</t>
  </si>
  <si>
    <t>COMFY TACTICAL THERMOSET-PADDED PANTS</t>
  </si>
  <si>
    <t>Game.AddToInventory("Items.Pants_13_rich_01", 1)</t>
  </si>
  <si>
    <t>COMFY TRICKSTER COMPOSITE RIDING PANTS</t>
  </si>
  <si>
    <t>Game.AddToInventory("Items.Shorts_02_rich_02", 1)</t>
  </si>
  <si>
    <t>COMPOSITE KO JAGĀ SILK-THREADED HOTPANTS</t>
  </si>
  <si>
    <t>Game.AddToInventory("Items.Pants_01_old_02", 1)</t>
  </si>
  <si>
    <t>COMPOSITE-COATED CAMO SLIM-FITS</t>
  </si>
  <si>
    <t>Game.AddToInventory("Items.Shorts_01_old_01", 1)</t>
  </si>
  <si>
    <t>COMPOSITE-COATED CUT-OFF SHORTS</t>
  </si>
  <si>
    <t>Game.AddToInventory("Items.Shorts_04_old_01", 1)</t>
  </si>
  <si>
    <t>COMPOSITE-LINED JEAN SHORTS</t>
  </si>
  <si>
    <t>Game.AddToInventory("Items.Pants_09_old_03", 1)</t>
  </si>
  <si>
    <t>COMPOSITE-LINED UTILITY PANTS</t>
  </si>
  <si>
    <t>Game.AddToInventory("Items.Pants_10_old_02", 1)</t>
  </si>
  <si>
    <t>COWBOY SHINOS WITH MICROPLATE MESH</t>
  </si>
  <si>
    <t>Game.AddToInventory("Items.Pants_06_rich_01", 1)</t>
  </si>
  <si>
    <t>CRANEO BRILLANTE POLYAMIDE EXTRA-MEMBRANE STRAIGHTCUTS</t>
  </si>
  <si>
    <t>Game.AddToInventory("Items.Pants_04_rich_03", 1)</t>
  </si>
  <si>
    <t>CYAN CAMO COMPOSITE-THREADED CARGO PANTS</t>
  </si>
  <si>
    <t>Game.AddToInventory("Items.Pants_10_basic_02", 1)</t>
  </si>
  <si>
    <t>CYAN PLASTIC SHINOS</t>
  </si>
  <si>
    <t>Game.AddToInventory("Items.Pants_03_rich_02", 1)</t>
  </si>
  <si>
    <t>DARK SAPPHIRE THERMO-FABRIC ROCKER PANTS</t>
  </si>
  <si>
    <t>Game.AddToInventory("Items.Pants_07_rich_03", 1)</t>
  </si>
  <si>
    <t>DECADENCIA VERDE TACTICAL ARMOR-WEAVE PANTS</t>
  </si>
  <si>
    <t>Game.AddToInventory("Items.Pants_01_rich_03", 1)</t>
  </si>
  <si>
    <t>DENKYOKU ROCKER STRONGWEAVE DUOLAYER SLIM-FITS</t>
  </si>
  <si>
    <t>Game.AddToInventory("Items.Shorts_04_old_03", 1)</t>
  </si>
  <si>
    <t>DUOLAYER MILITARY CAMO SHORTS</t>
  </si>
  <si>
    <t>Game.AddToInventory("Items.Pants_06_old_02", 1)</t>
  </si>
  <si>
    <t>DUOLAYER TACTICLOTH STRAIGHTCUTS</t>
  </si>
  <si>
    <t>Game.AddToInventory("Items.Pants_02_old_01", 1)</t>
  </si>
  <si>
    <t>DUOWEAVE COMPOSITE LOOSE-FITS</t>
  </si>
  <si>
    <t>Game.AddToInventory("Items.Pants_01_old_03", 1)</t>
  </si>
  <si>
    <t>DUOWEAVE COMPOSITE SKINNY JEANS</t>
  </si>
  <si>
    <t>Game.AddToInventory("Items.Pants_01_rich_02", 1)</t>
  </si>
  <si>
    <t>DURABLE BASILISK ARAMID-WEAVE SLIM-FITS</t>
  </si>
  <si>
    <t>Game.AddToInventory("Items.FormalPants_01_basic_03", 1)</t>
  </si>
  <si>
    <t>DURABLE BIOWEAVE PLEATED PANTS</t>
  </si>
  <si>
    <t>Game.AddToInventory("Items.Pants_03_old_03", 1)</t>
  </si>
  <si>
    <t>DURABLE CUSTOM-PRINTED JEANS</t>
  </si>
  <si>
    <t>Game.AddToInventory("Items.FormalSkirt_01_basic_01", 1)</t>
  </si>
  <si>
    <t>DURABLE PLAID SKIRT</t>
  </si>
  <si>
    <t>Game.AddToInventory("Items.Pants_02_basic_01", 1)</t>
  </si>
  <si>
    <t>DURABLE SMILEY HARD LOOSE-FITS</t>
  </si>
  <si>
    <t>Game.AddToInventory("Items.Pants_12_basic_01", 1)</t>
  </si>
  <si>
    <t>DURABLE WINDBREAKER PANTS</t>
  </si>
  <si>
    <t>Game.AddToInventory("Items.Pants_15_old_01", 1)</t>
  </si>
  <si>
    <t>ELASTIC STURDY-STITCHED HAREM PANTS</t>
  </si>
  <si>
    <t>Game.AddToInventory("Items.Pants_08_basic_03", 1)</t>
  </si>
  <si>
    <t>EXTRA-RUBBER NEOTAC PANTS</t>
  </si>
  <si>
    <t>Game.AddToInventory("Items.Shorts_04_old_04", 1)</t>
  </si>
  <si>
    <t>FADED SHORTS</t>
  </si>
  <si>
    <t>Game.AddToInventory("Items.FormalPants_02_basic_03", 1)</t>
  </si>
  <si>
    <t>FLASH FORMAL PANTS WITH ADDITIONAL LINING</t>
  </si>
  <si>
    <t>Game.AddToInventory("Items.Pants_15_basic_01", 1)</t>
  </si>
  <si>
    <t>FLEXI-DUOLAYER HAREM PANTS</t>
  </si>
  <si>
    <t>Game.AddToInventory("Items.Pants_05_basic_02", 1)</t>
  </si>
  <si>
    <t>FOAM-PADDED RACERS</t>
  </si>
  <si>
    <t>Game.AddToInventory("Items.Shorts_04_old_02", 1)</t>
  </si>
  <si>
    <t>FRAYED JEAN SHORTS</t>
  </si>
  <si>
    <t>Game.AddToInventory("Items.Pants_07_old_03", 1)</t>
  </si>
  <si>
    <t>FRAYED MAELSTROM TACTICAL PANTS</t>
  </si>
  <si>
    <t>Game.AddToInventory("Items.Pants_03_old_01", 1)</t>
  </si>
  <si>
    <t>FRAYED RECYCLED JEANS</t>
  </si>
  <si>
    <t>Game.AddToInventory("Items.Pants_04_basic_01", 1)</t>
  </si>
  <si>
    <t>GEISHA FLEXI-WEAVE CARGO PANTS</t>
  </si>
  <si>
    <t>Game.AddToInventory("Items.Pants_07_basic_02", 1)</t>
  </si>
  <si>
    <t>GEISHA TACTICAL EXTRA-GUARD PANTS</t>
  </si>
  <si>
    <t>Game.AddToInventory("Items.Pants_08_rich_01", 1)</t>
  </si>
  <si>
    <t>GOLD FURY NEOTAC BULLETPROOF PANTS</t>
  </si>
  <si>
    <t>Game.AddToInventory("Items.FormalPants_02_rich_03", 1)</t>
  </si>
  <si>
    <t>GOLDEN HIVE POLYAMIDE DESIGNER PANTS</t>
  </si>
  <si>
    <t>Game.AddToInventory("Items.FormalSkirt_01_rich_01", 1)</t>
  </si>
  <si>
    <t>GOLDEN MEAN ARAMID-STITCH FORMAL SKIRT</t>
  </si>
  <si>
    <t>Game.AddToInventory("Items.Shorts_02_rich_01", 1)</t>
  </si>
  <si>
    <t>GOLDEN POCKET HYBRID-WEAVE HOTPANTS</t>
  </si>
  <si>
    <t>Game.AddToInventory("Items.Pants_12_rich_03", 1)</t>
  </si>
  <si>
    <t>GOLDEN SCALE TRILAYER WINDBREAKER PANTS</t>
  </si>
  <si>
    <t>Game.AddToInventory("Items.Pants_06_rich_02", 1)</t>
  </si>
  <si>
    <t>GOLPE PUNK ANTI-SHRAPNEL STRAIGHTCUTS</t>
  </si>
  <si>
    <t>Game.AddToInventory("Items.Shorts_05_old_04", 1)</t>
  </si>
  <si>
    <t>GRAUER RECYCLED SHORTS</t>
  </si>
  <si>
    <t>Game.AddToInventory("Items.Shorts_03_rich_01", 1)</t>
  </si>
  <si>
    <t>GREEN POWER POLYAMIDE-PADDED ATHLETIC SHORTS</t>
  </si>
  <si>
    <t>Game.AddToInventory("Items.Pants_05_rich_01", 1)</t>
  </si>
  <si>
    <t>HEAT-RESISTANT KILLER CANDY TRILAYER RACERS</t>
  </si>
  <si>
    <t>Game.AddToInventory("Items.Pants_10_old_01", 1)</t>
  </si>
  <si>
    <t>HEAT-RESISTANT NYLON SHINOS</t>
  </si>
  <si>
    <t>Game.AddToInventory("Items.Pants_13_rich_02", 1)</t>
  </si>
  <si>
    <t>HEAVY-DUTY FLAMINGO ARAMIDWEAVE RIDING PANTS</t>
  </si>
  <si>
    <t>Game.AddToInventory("Items.Pants_04_rich_01", 1)</t>
  </si>
  <si>
    <t>HEAVY-DUTY ORO FLORECIENTE ARMOR-WEAVE CARGO PANTS</t>
  </si>
  <si>
    <t>Game.AddToInventory("Items.FormalSkirt_02_rich_01", 1)</t>
  </si>
  <si>
    <t>HEISE TRILAYER FORMAL SKIRT</t>
  </si>
  <si>
    <t>Game.AddToInventory("Items.Pants_02_rich_01", 1)</t>
  </si>
  <si>
    <t>HOLY ROSE BOOSTKNIT LOOSE-FITS WITH THERMOACTIVE COATING</t>
  </si>
  <si>
    <t>Game.AddToInventory("Items.Q201_SpaceHospitalPants", 1)</t>
  </si>
  <si>
    <t>HOSPITAL SCRUB PANTS</t>
  </si>
  <si>
    <t>Game.AddToInventory("Items.FormalPants_03_rich_01", 1)</t>
  </si>
  <si>
    <t>IMPERIAL MARBLE ARAMID-WEAVE FORMAL PANTS</t>
  </si>
  <si>
    <t>Game.AddToInventory("Items.Pants_04_basic_03", 1)</t>
  </si>
  <si>
    <t>KANCHO SYN-WEAVE CARGO PANTS</t>
  </si>
  <si>
    <t>Game.AddToInventory("Items.Pants_01_basic_02", 1)</t>
  </si>
  <si>
    <t>LIGHT AZURE COMPOSITE-LINED SLIM-FITS</t>
  </si>
  <si>
    <t>Game.AddToInventory("Items.Shorts_05_old_03", 1)</t>
  </si>
  <si>
    <t>LIGHT ELECTRO EXTRA-LINED SHORTS</t>
  </si>
  <si>
    <t>Game.AddToInventory("Items.Pants_13_basic_03", 1)</t>
  </si>
  <si>
    <t>LIGHT MILITARY SYN-STRENGTHENED RIDING PANTS</t>
  </si>
  <si>
    <t>Game.AddToInventory("Items.Pants_14_basic_01", 1)</t>
  </si>
  <si>
    <t>LIGHT PSYCHO KNEE-PADDED YOROS</t>
  </si>
  <si>
    <t>Game.AddToInventory("Items.Pants_03_rich_01", 1)</t>
  </si>
  <si>
    <t>LIGHT SAEKO'S DERAKKUSU STURDY-MESH PANTS</t>
  </si>
  <si>
    <t>Game.AddToInventory("Items.Shorts_02_old_02", 1)</t>
  </si>
  <si>
    <t>LIGHTWEIGHT HEAT-RESISTANT HOTPANTS</t>
  </si>
  <si>
    <t>Game.AddToInventory("Items.Pants_02_old_03", 1)</t>
  </si>
  <si>
    <t>LOOSE-FITS WITH MICROMESH UNDERLAYER</t>
  </si>
  <si>
    <t>Game.AddToInventory("Items.Shorts_01_rich_01", 1)</t>
  </si>
  <si>
    <t>MAGENTA CUT-OFF DUOLAYER NANOWEAVE SHORTS</t>
  </si>
  <si>
    <t>Game.AddToInventory("Items.Pants_04_basic_02", 1)</t>
  </si>
  <si>
    <t>MANDARINE RESISTANT CARGO PANTS</t>
  </si>
  <si>
    <t>Game.AddToInventory("Items.Pants_12_old_01", 1)</t>
  </si>
  <si>
    <t>MAXIWEAR WINDBREAKER PANTS</t>
  </si>
  <si>
    <t>Game.AddToInventory("Items.Pants_14_rich_01", 1)</t>
  </si>
  <si>
    <t>MIDORI EAZY-BREATHE THERMOACTIVE YOROS</t>
  </si>
  <si>
    <t>Game.AddToInventory("Items.Pants_09_basic_02", 1)</t>
  </si>
  <si>
    <t>MIDORI TORA REINFORCED UTILITY PANTS</t>
  </si>
  <si>
    <t>Game.AddToInventory("Items.Pants_05_old_01", 1)</t>
  </si>
  <si>
    <t>MILITARY CAMO RACERS</t>
  </si>
  <si>
    <t>Game.AddToInventory("Items.Pants_08_basic_01", 1)</t>
  </si>
  <si>
    <t>MILITECH NEOTAC PANTS</t>
  </si>
  <si>
    <t>Game.AddToInventory("Items.FormalSkirt_01_rich_02", 1)</t>
  </si>
  <si>
    <t>MOSIAC GLEAM SKIRT WITH COMPOSITE LINING</t>
  </si>
  <si>
    <t>Game.AddToInventory("Items.FormalPants_03_old_01", 1)</t>
  </si>
  <si>
    <t>MULTILAYER CUSTOM-PRINT PANTS</t>
  </si>
  <si>
    <t>Game.AddToInventory("Items.Shorts_03_basic_03", 1)</t>
  </si>
  <si>
    <t>N54 ATHLETIC SHORTS WITH THERMOACTIVE MESH</t>
  </si>
  <si>
    <t>Game.AddToInventory("Items.Pants_11_old_02", 1)</t>
  </si>
  <si>
    <t>NOMAD EAZY-BREATHE CARGO PANTS</t>
  </si>
  <si>
    <t>Game.AddToInventory("Items.Pants_08_rich_03", 1)</t>
  </si>
  <si>
    <t>OCEAN BULLETPROOF NEOTAC BIKER PANTS</t>
  </si>
  <si>
    <t>Game.AddToInventory("Items.Pants_08_old_01", 1)</t>
  </si>
  <si>
    <t>OLD BANANA JUICE NEOTAC PANTS</t>
  </si>
  <si>
    <t>Game.AddToInventory("Items.Pants_07_old_01", 1)</t>
  </si>
  <si>
    <t>OLD FLAZH TACTICAL PANTS</t>
  </si>
  <si>
    <t>Game.AddToInventory("Items.Shorts_05_old_01", 1)</t>
  </si>
  <si>
    <t>OLD MILITARY SHORTS</t>
  </si>
  <si>
    <t>Game.AddToInventory("Items.Shorts_03_old_01", 1)</t>
  </si>
  <si>
    <t>OLD N54 ATHLETIC SHORTS</t>
  </si>
  <si>
    <t>Game.AddToInventory("Items.Pants_12_old_02", 1)</t>
  </si>
  <si>
    <t>OLD SAEKO'S WINDBREAKER PANTS</t>
  </si>
  <si>
    <t>Game.AddToInventory("Items.Shorts_01_old_03", 1)</t>
  </si>
  <si>
    <t>OLD-GOLD TAC-FABRIC DUOLAYER CUT-OFF SHORTS</t>
  </si>
  <si>
    <t>Game.AddToInventory("Items.Pants_03_old_02", 1)</t>
  </si>
  <si>
    <t>PATCHED JEANS</t>
  </si>
  <si>
    <t>Game.AddToInventory("Items.Pants_09_old_02", 1)</t>
  </si>
  <si>
    <t>PERFORMANCE-BOOSTED UTILITY PANTS</t>
  </si>
  <si>
    <t>Game.AddToInventory("Items.Pants_11_basic_03", 1)</t>
  </si>
  <si>
    <t>PHANTOM TOUGH-LINED CARGO PANTS</t>
  </si>
  <si>
    <t>Game.AddToInventory("Items.Pants_15_rich_01", 1)</t>
  </si>
  <si>
    <t>PINK LAGOON ARMOR-COATED HAREM PANTS</t>
  </si>
  <si>
    <t>Game.AddToInventory("Items.FormalSkirt_01_basic_03", 1)</t>
  </si>
  <si>
    <t>POWDER PINK SKIRT WITH DURA-HYBRID WEAVE</t>
  </si>
  <si>
    <t>Game.AddToInventory("Items.Pants_11_rich_03", 1)</t>
  </si>
  <si>
    <t>POWER FAME CARGO PANTS WITH REINFORCED MESH</t>
  </si>
  <si>
    <t>Game.AddToInventory("Items.Pants_05_old_02", 1)</t>
  </si>
  <si>
    <t>PSYCHO RACERS</t>
  </si>
  <si>
    <t>Game.AddToInventory("Items.Pants_03_rich_03", 1)</t>
  </si>
  <si>
    <t>PSYCHO TAC-FIBER BIKER PANTS</t>
  </si>
  <si>
    <t>Game.AddToInventory("Items.Pants_05_basic_01", 1)</t>
  </si>
  <si>
    <t>PUNK COMPOSITE-METAL RACERS</t>
  </si>
  <si>
    <t>Game.AddToInventory("Items.Pants_02_rich_03", 1)</t>
  </si>
  <si>
    <t>PURPLE DRAGON DUOLAYER HYBRID LOOSE-FITS</t>
  </si>
  <si>
    <t>Game.AddToInventory("Items.Pants_11_rich_02", 1)</t>
  </si>
  <si>
    <t>PURPLE SHOCK ANTI-MECH CARGO PANTS</t>
  </si>
  <si>
    <t>Game.AddToInventory("Items.FormalPants_01_old_01", 1)</t>
  </si>
  <si>
    <t>REINFORCED ANTI-PUNCTURE PLEATED PANTS</t>
  </si>
  <si>
    <t>Game.AddToInventory("Items.Pants_06_basic_01", 1)</t>
  </si>
  <si>
    <t>REINFORCED FEDERALIST STRAIGHTCUTS</t>
  </si>
  <si>
    <t>Game.AddToInventory("Items.Pants_06_old_03", 1)</t>
  </si>
  <si>
    <t>REINFORCED HYBRIDWEAVE STRAIGHTCUTS</t>
  </si>
  <si>
    <t>Game.AddToInventory("Items.Pants_04_old_02", 1)</t>
  </si>
  <si>
    <t>REINFORCED SYNFIBER CARGO JEANS</t>
  </si>
  <si>
    <t>Game.AddToInventory("Items.Pants_01_rich_01", 1)</t>
  </si>
  <si>
    <t>ROSA ESCARLATA POLYAMIDE-WEAVE SLIM-FITS</t>
  </si>
  <si>
    <t>Game.AddToInventory("Items.Pants_13_old_02", 1)</t>
  </si>
  <si>
    <t>ROTTEN JUNGLE RIDING PANTS</t>
  </si>
  <si>
    <t>Game.AddToInventory("Items.FormalPants_02_rich_02", 1)</t>
  </si>
  <si>
    <t>ROYAL GRAY ARAMID-WEAVE DRESS PANTS</t>
  </si>
  <si>
    <t>Game.AddToInventory("Items.Pants_04_old_03", 1)</t>
  </si>
  <si>
    <t>RUBBER-LINED CARGO PANTS</t>
  </si>
  <si>
    <t>Game.AddToInventory("Items.Pants_14_rich_02", 1)</t>
  </si>
  <si>
    <t>RYU ANTI-TEAR TRILAYER YOROS</t>
  </si>
  <si>
    <t>Game.AddToInventory("Items.FormalSkirt_02_basic_03", 1)</t>
  </si>
  <si>
    <t>SAEKO'S LIMITED ELEGANT DUOWEAVE SKIRT</t>
  </si>
  <si>
    <t>Game.AddToInventory("Items.Pants_04_basic_04", 1)</t>
  </si>
  <si>
    <t>SAMURAI STURDY-STITCHED CARGO PANTS</t>
  </si>
  <si>
    <t>Game.AddToInventory("Items.Pants_08_old_02", 1)</t>
  </si>
  <si>
    <t>SECONDHAND MAELSTROM NEOTAC PANTS</t>
  </si>
  <si>
    <t>Game.AddToInventory("Items.Pants_12_old_03", 1)</t>
  </si>
  <si>
    <t>SECONDHAND RED DEATH WINDBREAKER PANTS</t>
  </si>
  <si>
    <t>Game.AddToInventory("Items.Pants_04_rich_02", 1)</t>
  </si>
  <si>
    <t>SILVER STAR DUOLAYER ARAMID-WEAVE CARGO PANTS</t>
  </si>
  <si>
    <t>Game.AddToInventory("Items.FormalPants_03_basic_01", 1)</t>
  </si>
  <si>
    <t>SIMPLE OFFICE PANTS</t>
  </si>
  <si>
    <t>Game.AddToInventory("Items.Pants_14_old_01", 1)</t>
  </si>
  <si>
    <t>SIMPLE YOROS</t>
  </si>
  <si>
    <t>Game.AddToInventory("Items.Pants_11_rich_01", 1)</t>
  </si>
  <si>
    <t>SLANT LIGHTNING HYBRID-WEAVE CARGO PANTS</t>
  </si>
  <si>
    <t>Game.AddToInventory("Items.Pants_06_basic_02", 1)</t>
  </si>
  <si>
    <t>SOMBRA ROSA FOAM-PADDED STRAIGHTCUTS</t>
  </si>
  <si>
    <t>Game.AddToInventory("Items.FormalPants_03_old_02", 1)</t>
  </si>
  <si>
    <t>SPEED ADDICT POLYAMIDE PANTS</t>
  </si>
  <si>
    <t>Game.AddToInventory("Items.Pants_15_basic_02", 1)</t>
  </si>
  <si>
    <t>SPORTY HAREM PANTS WITH COTTON ARMOR-WEAVE</t>
  </si>
  <si>
    <t>Game.AddToInventory("Items.Pants_01_old_01", 1)</t>
  </si>
  <si>
    <t>SPOTTED POLYAMIDE SLIM-FITS</t>
  </si>
  <si>
    <t>Game.AddToInventory("Items.Pants_02_basic_03", 1)</t>
  </si>
  <si>
    <t>STREET GLOW THERMOSET-LEATHER LOOSE-FITS</t>
  </si>
  <si>
    <t>Game.AddToInventory("Items.Pants_10_rich_02", 1)</t>
  </si>
  <si>
    <t>STRIPE'N'BLACK REINFORCED NANOWEAVE SHINOS</t>
  </si>
  <si>
    <t>Game.AddToInventory("Items.FormalPants_01_basic_01", 1)</t>
  </si>
  <si>
    <t>STURDY SYNFIBER PLEATED PANTS</t>
  </si>
  <si>
    <t>Game.AddToInventory("Items.Pants_03_basic_01", 1)</t>
  </si>
  <si>
    <t>STURDY-STITCHED PUNK JEANS</t>
  </si>
  <si>
    <t>Game.AddToInventory("Items.Pants_01_basic_03", 1)</t>
  </si>
  <si>
    <t>STURDY-STITCHED SLIM-FITS</t>
  </si>
  <si>
    <t>Game.AddToInventory("Items.Pants_12_rich_01", 1)</t>
  </si>
  <si>
    <t>SUDO CLAWS POLYAMIDE-COMPOSITE WINDBREAKER PANTS</t>
  </si>
  <si>
    <t>Game.AddToInventory("Items.Pants_07_basic_01", 1)</t>
  </si>
  <si>
    <t>SUICHU YOGAN EXTRA-PROTECTION TACTICAL PANTS</t>
  </si>
  <si>
    <t>Game.AddToInventory("Items.Pants_12_basic_02", 1)</t>
  </si>
  <si>
    <t>SWEET LICKS ULTRA-FLEXI WINDBREAKER PANTS</t>
  </si>
  <si>
    <t>Game.AddToInventory("Items.Shorts_05_old_02", 1)</t>
  </si>
  <si>
    <t>SYN-THREADED SHORTS</t>
  </si>
  <si>
    <t>Game.AddToInventory("Items.Pants_11_old_01", 1)</t>
  </si>
  <si>
    <t>TACTICLOTH CARGO PANTS</t>
  </si>
  <si>
    <t>Game.AddToInventory("Items.FormalPants_01_old_02", 1)</t>
  </si>
  <si>
    <t>TACTICLOTH PLEATED PANTS</t>
  </si>
  <si>
    <t>Game.AddToInventory("Items.Pants_09_rich_02", 1)</t>
  </si>
  <si>
    <t>TAMASHI ANTI-MECH UTILITY PANTS</t>
  </si>
  <si>
    <t>Game.AddToInventory("Items.FormalSkirt_02_basic_01", 1)</t>
  </si>
  <si>
    <t>TEAR-RESISTANT OFFICE SKIRT</t>
  </si>
  <si>
    <t>Game.AddToInventory("Items.Pants_10_rich_01", 1)</t>
  </si>
  <si>
    <t>TEN70 H2S PLASTIC SHIN-GUARD SHINOS</t>
  </si>
  <si>
    <t>Game.AddToInventory("Items.Pants_12_rich_02", 1)</t>
  </si>
  <si>
    <t>TG-TIGER HEAT-RESISTANT WINDBREAKER PANTS</t>
  </si>
  <si>
    <t>Game.AddToInventory("Items.Pants_14_basic_02", 1)</t>
  </si>
  <si>
    <t>TIGER STURDY-STITCHED YOROS</t>
  </si>
  <si>
    <t>Game.AddToInventory("Items.Shorts_02_old_01", 1)</t>
  </si>
  <si>
    <t>TRILAYER HOTPANTS WITH MICROMESH</t>
  </si>
  <si>
    <t>Game.AddToInventory("Items.Pants_13_old_01", 1)</t>
  </si>
  <si>
    <t>ULTRA-CUSHIONED MOTORCYCLE RIDING PANTS</t>
  </si>
  <si>
    <t>Game.AddToInventory("Items.FormalSkirt_01_basic_04", 1)</t>
  </si>
  <si>
    <t>ULTRA-ELASTIC BITCH V.13 SKIRT</t>
  </si>
  <si>
    <t>Game.AddToInventory("Items.FormalPants_03_rich_02", 1)</t>
  </si>
  <si>
    <t>UNIWARE BRASS OFFICE PANTS WITH MEMBRANE SUPPORT</t>
  </si>
  <si>
    <t>Game.AddToInventory("Items.Pants_08_rich_02", 1)</t>
  </si>
  <si>
    <t>URBAN LASER ANTI-PUNCTURE NEOTAC BIKER PANTS</t>
  </si>
  <si>
    <t>Game.AddToInventory("Items.Pants_13_basic_01", 1)</t>
  </si>
  <si>
    <t>VENOM DYE DUOLAYER RIDING PANTS</t>
  </si>
  <si>
    <t>Game.AddToInventory("Items.Pants_06_old_01", 1)</t>
  </si>
  <si>
    <t>VINTAGE EXTRA-LEATHER STRAIGHTCUTS</t>
  </si>
  <si>
    <t>Game.AddToInventory("Items.Pants_02_old_02", 1)</t>
  </si>
  <si>
    <t>WORKPLACE LOOSE-FITS</t>
  </si>
  <si>
    <t>Game.AddToInventory("Items.Pants_04_old_01", 1)</t>
  </si>
  <si>
    <t>WORN CARGO PANTS</t>
  </si>
  <si>
    <t>Game.AddToInventory("Items.Pants_07_old_02", 1)</t>
  </si>
  <si>
    <t>WORN KANG TAO TACTICAL PANTS</t>
  </si>
  <si>
    <t>Game.AddToInventory("Items.Pants_13_old_03", 1)</t>
  </si>
  <si>
    <t>WORN MAELSTROM RIDING PANTS</t>
  </si>
  <si>
    <t>Game.AddToInventory("Items.Pants_08_old_03", 1)</t>
  </si>
  <si>
    <t>WORN WRAITHS NEOTAC PANTS</t>
  </si>
  <si>
    <t>Game.AddToInventory("Items.Pants_13_basic_02", 1)</t>
  </si>
  <si>
    <t>WRAITHS ANTI-TEAR RIDING PANTS</t>
  </si>
  <si>
    <t>Game.AddToInventory("Items.Pants_09_old_01", 1)</t>
  </si>
  <si>
    <t>WRAITHS EXTRA-COTTON UTILITY PANTS</t>
  </si>
  <si>
    <t>Game.AddToInventory("Items.Q005_Yorinobu_FormalPants", 1)</t>
  </si>
  <si>
    <t>YORINOBU'S SLACKS</t>
  </si>
  <si>
    <t>Game.AddToInventory("Items.Pants_05_rich_02", 1)</t>
  </si>
  <si>
    <t>YORU NO SAMURAI ARMORED KNEE-PAD RACERS</t>
  </si>
  <si>
    <t>Game.AddToInventory("Items.Pants_02_basic_02", 1)</t>
  </si>
  <si>
    <t>YORU NO SAMURAI PADDED LOOSE-FITS</t>
  </si>
  <si>
    <t>Game.AddToInventory("Items.Pants_14_old_02", 1)</t>
  </si>
  <si>
    <t>YORU NO SAMURAI YOROS</t>
  </si>
  <si>
    <t>Game.AddToInventory("Items.Pants_20_rich_01", 1)</t>
  </si>
  <si>
    <t>10K/10K WATER-REPELLENT STRAPPED CARGOS</t>
  </si>
  <si>
    <t>Game.AddToInventory("Items.Pants_20_rich_04", 1)</t>
  </si>
  <si>
    <t>ADAPTIVE STRAPPED CARGOS WITH ANTI-GLARE SEQUINS</t>
  </si>
  <si>
    <t>Game.AddToInventory("Items.Pants_18_rich_04", 1)</t>
  </si>
  <si>
    <t>AEROTECH SPLICERS WITH BONDED SEAMS</t>
  </si>
  <si>
    <t>Game.AddToInventory("Items.Pants_19_rich_04", 1)</t>
  </si>
  <si>
    <t>ANTI-PILLING CRAWLERS WITH MICROPORE MEMBRANE</t>
  </si>
  <si>
    <t>Game.AddToInventory("Items.Pants_17_rich_01", 1)</t>
  </si>
  <si>
    <t>BABY BLUE BIODEGRADABLE NOVAWEAR PANTS</t>
  </si>
  <si>
    <t>Game.AddToInventory("Items.Pants_20_basic_01", 1)</t>
  </si>
  <si>
    <t>BIKER STRAPPED CARGOS WITH ANTI-CROTCHSWEAT LINING</t>
  </si>
  <si>
    <t>Game.AddToInventory("Items.Pants_17_basic_08", 1)</t>
  </si>
  <si>
    <t>BRIGHT YELLOW SILICONE-COATED NOVAWEAR PANTS</t>
  </si>
  <si>
    <t>Game.AddToInventory("Items.Pants_20_rich_03", 1)</t>
  </si>
  <si>
    <t>CERTIFIED HIP-PROTECTION STRAPPED CARGOS</t>
  </si>
  <si>
    <t>Game.AddToInventory("Items.Pants_18_old_02", 1)</t>
  </si>
  <si>
    <t>CHEAP ILL-FITTED SPLICERS</t>
  </si>
  <si>
    <t>Game.AddToInventory("Items.Pants_20_basic_03", 1)</t>
  </si>
  <si>
    <t>CHLORINE-RESISTANT PBT STRAPPED CARGOS</t>
  </si>
  <si>
    <t>Game.AddToInventory("Items.Pants_19_basic_04", 1)</t>
  </si>
  <si>
    <t>CRAWLERS COATED WITH POLYVINYL CHLORIDE</t>
  </si>
  <si>
    <t>Game.AddToInventory("Items.Pants_19_rich_02", 1)</t>
  </si>
  <si>
    <t>DAZZLING FLUOROPOLYMER-COMPOSITE CRAWLERS</t>
  </si>
  <si>
    <t>Game.AddToInventory("Items.Pants_19_basic_02", 1)</t>
  </si>
  <si>
    <t>DENIM CRAWLERS WITH POLYURETHANE INTERWEAVE</t>
  </si>
  <si>
    <t>Game.AddToInventory("Items.Pants_20_basic_06", 1)</t>
  </si>
  <si>
    <t>DURABLE PARACHUTE-FABRIC STRAPPED CARGOS</t>
  </si>
  <si>
    <t>Game.AddToInventory("Items.Pants_17_basic_03", 1)</t>
  </si>
  <si>
    <t>FLAME-RESISTANT POLYESTER NOVAWEAR PANTS</t>
  </si>
  <si>
    <t>Game.AddToInventory("Items.Pants_18_rich_03", 1)</t>
  </si>
  <si>
    <t>FORM-FITTING FIREPROOF SPLICERS</t>
  </si>
  <si>
    <t>Game.AddToInventory("Items.Pants_19_old_01", 1)</t>
  </si>
  <si>
    <t>FRAYED YELLOW CRAWLERS</t>
  </si>
  <si>
    <t>Game.AddToInventory("Items.Pants_18_rich_06", 1)</t>
  </si>
  <si>
    <t>GOLD-INFUSED VISCOSE SPLICERS</t>
  </si>
  <si>
    <t>Game.AddToInventory("Items.Pants_17_basic_01", 1)</t>
  </si>
  <si>
    <t>GRAY SOFTSHELL NOVAWEAR PANTS</t>
  </si>
  <si>
    <t>Game.AddToInventory("Items.Pants_20_rich_02", 1)</t>
  </si>
  <si>
    <t>HARDSHELL TACTICAL POLYAMIDE STRAPPED CARGOS</t>
  </si>
  <si>
    <t>Game.AddToInventory("Items.Pants_18_basic_02", 1)</t>
  </si>
  <si>
    <t>HEAT-RESISTANT SPLICERS</t>
  </si>
  <si>
    <t>Game.AddToInventory("Items.Pants_18_rich_01", 1)</t>
  </si>
  <si>
    <t>HYBRID RECYCLED-POLYAMIDE SPLICERS</t>
  </si>
  <si>
    <t>Game.AddToInventory("Items.Pants_17_old_03", 1)</t>
  </si>
  <si>
    <t>LAMINATED SYNTHLEATHER NOVAWEAR PANTS</t>
  </si>
  <si>
    <t>Game.AddToInventory("Items.Pants_17_rich_04", 1)</t>
  </si>
  <si>
    <t>MILITARY NOVAWEAR PANTS WITH NANOCERAMIC SEAMS</t>
  </si>
  <si>
    <t>Game.AddToInventory("Items.Pants_20_old_02", 1)</t>
  </si>
  <si>
    <t>MILITARY SURPLUS STRAPPED CARGOS</t>
  </si>
  <si>
    <t>Game.AddToInventory("Items.Pants_19_rich_05", 1)</t>
  </si>
  <si>
    <t>MOISTURE-WICKING CRAWLERS WITH ANTI-FRAG QUILTING</t>
  </si>
  <si>
    <t>Game.AddToInventory("Items.Pants_17_basic_02", 1)</t>
  </si>
  <si>
    <t>MOTTLED MEMBRANE NOVAWEAR PANTS</t>
  </si>
  <si>
    <t>Game.AddToInventory("Items.Pants_18_old_03", 1)</t>
  </si>
  <si>
    <t>MUD-COVERED UNSTYLISH SPLICERS</t>
  </si>
  <si>
    <t>Game.AddToInventory("Items.Pants_20_basic_05", 1)</t>
  </si>
  <si>
    <t>MULTI-DEFENSE IMPREGNATED LYOCELL STRAPPED CARGOS</t>
  </si>
  <si>
    <t>Game.AddToInventory("Items.Pants_18_basic_03", 1)</t>
  </si>
  <si>
    <t>MUTED PSEUDO-BOVINE LEATHER SPLICERS</t>
  </si>
  <si>
    <t>Game.AddToInventory("Items.Pants_17_old_04", 1)</t>
  </si>
  <si>
    <t>NITRILE NOVAWEAR PANTS WITH THERMOACTIVE LINING</t>
  </si>
  <si>
    <t>Game.AddToInventory("Items.Pants_19_rich_01", 1)</t>
  </si>
  <si>
    <t>NO-SWISH NYLON-COTTON CRAWLERS</t>
  </si>
  <si>
    <t>Game.AddToInventory("Items.Pants_20_basic_02", 1)</t>
  </si>
  <si>
    <t>NON-SLIP STRAPPED CARGOS WITH HEXAGONAL PATTERN</t>
  </si>
  <si>
    <t>Game.AddToInventory("Items.Pants_17_basic_06", 1)</t>
  </si>
  <si>
    <t>NOVAWEAR PANTS WITH PROTECTIVE PTFE LAYER</t>
  </si>
  <si>
    <t>Game.AddToInventory("Items.Pants_20_old_01", 1)</t>
  </si>
  <si>
    <t>OLD BROWN STRAPPED CARGOS</t>
  </si>
  <si>
    <t>Game.AddToInventory("Items.Pants_20_basic_04", 1)</t>
  </si>
  <si>
    <t>ORGANIC COTTON DESERT CAMO STRAPPED CARGOS</t>
  </si>
  <si>
    <t>Game.AddToInventory("Items.Pants_17_rich_03", 1)</t>
  </si>
  <si>
    <t>PADDED NOVAWEAR PANTS WITH POLYCARBONATE SCALES</t>
  </si>
  <si>
    <t>Game.AddToInventory("Items.Pants_19_basic_03", 1)</t>
  </si>
  <si>
    <t>POLYESTER CRAWLERS WITH NYLON GUSSETS</t>
  </si>
  <si>
    <t>Game.AddToInventory("Items.Pants_18_rich_02", 1)</t>
  </si>
  <si>
    <t>PREEM ANTISTATIC SPLICERS</t>
  </si>
  <si>
    <t>Game.AddToInventory("Items.Pants_17_basic_04", 1)</t>
  </si>
  <si>
    <t>RAYON-COMPOSITE NOVAWEAR PANTS</t>
  </si>
  <si>
    <t>Game.AddToInventory("Items.Pants_18_basic_05", 1)</t>
  </si>
  <si>
    <t>REFLECTIVE SEMI-ELASTIC SPLICERS</t>
  </si>
  <si>
    <t>Game.AddToInventory("Items.Pants_19_basic_01", 1)</t>
  </si>
  <si>
    <t>RUGGED DENIM CRAWLERS WITH ECO-LEATHER PADS</t>
  </si>
  <si>
    <t>Game.AddToInventory("Items.Pants_20_old_03", 1)</t>
  </si>
  <si>
    <t>SECONDHAND PERSONALIZED STRAPPED CARGOS</t>
  </si>
  <si>
    <t>Game.AddToInventory("Items.Pants_18_basic_01", 1)</t>
  </si>
  <si>
    <t>SILVERY NICKEL-PLATED SPLICERS</t>
  </si>
  <si>
    <t>Game.AddToInventory("Items.Pants_18_basic_04", 1)</t>
  </si>
  <si>
    <t>SMUDGE-RESISTANT SLIM-FIT SPLICERS</t>
  </si>
  <si>
    <t>Game.AddToInventory("Items.Pants_18_old_01", 1)</t>
  </si>
  <si>
    <t>SPRAY-PAINTED SECONDHAND SPLICERS</t>
  </si>
  <si>
    <t>Game.AddToInventory("Items.Pants_20_old_04", 1)</t>
  </si>
  <si>
    <t>TEAR-PRONE STRAPPED CARGOS</t>
  </si>
  <si>
    <t>Game.AddToInventory("Items.Pants_19_rich_03", 1)</t>
  </si>
  <si>
    <t>THERMAL CRAWLERS WITH FOAM INSERTS</t>
  </si>
  <si>
    <t>Game.AddToInventory("Items.Pants_18_rich_05", 1)</t>
  </si>
  <si>
    <t>THERMOFORMED ALUMINUM SPLICERS</t>
  </si>
  <si>
    <t>Game.AddToInventory("Items.Pants_19_old_02", 1)</t>
  </si>
  <si>
    <t>THICK CRAWLERS WITH THIGH POCKETS</t>
  </si>
  <si>
    <t>Game.AddToInventory("Items.Pants_17_basic_07", 1)</t>
  </si>
  <si>
    <t>TRILAYER NOVAWEAR PANTS WITH ELASTIC WAIST</t>
  </si>
  <si>
    <t>Game.AddToInventory("Items.Pants_17_rich_02", 1)</t>
  </si>
  <si>
    <t>ULTRALIGHT NEOPOLYESTER NOVAWEAR PANTS</t>
  </si>
  <si>
    <t>Game.AddToInventory("Items.Pants_17_old_02", 1)</t>
  </si>
  <si>
    <t>USED OUTDOORSMAN RIPSTOP NOVAWEAR PANTS</t>
  </si>
  <si>
    <t>Game.AddToInventory("Items.Pants_17_old_01", 1)</t>
  </si>
  <si>
    <t>WASHED-OUT POLYCOTTON NOVAWEAR PANTS</t>
  </si>
  <si>
    <t>Game.AddToInventory("Items.Pants_17_basic_05", 1)</t>
  </si>
  <si>
    <t>WATER-REPELLENT NOVAWEAR PANTS</t>
  </si>
  <si>
    <t>Game.AddToInventory("Items.Pants_19_old_03", 1)</t>
  </si>
  <si>
    <t>WORN SYNLEATHER CRAWLERS</t>
  </si>
  <si>
    <t>Game.AddToInventory("Items.FormalShoes_03_rich_01", 1)</t>
  </si>
  <si>
    <t>ABENDSTERN POLYCARBONATE DRESS WEDGES</t>
  </si>
  <si>
    <t>Game.AddToInventory("Items.Boots_11_old_01", 1)</t>
  </si>
  <si>
    <t>ANTI-CHEM WINTER WORK BOOTS</t>
  </si>
  <si>
    <t>Game.AddToInventory("Items.CasualShoes_02_old_02", 1)</t>
  </si>
  <si>
    <t>ANTI-PUNCTURE NANOWEAVE TONGUES</t>
  </si>
  <si>
    <t>Game.AddToInventory("Items.CasualShoes_06_old_01", 1)</t>
  </si>
  <si>
    <t>ARAMID-LINED STREET SHOES</t>
  </si>
  <si>
    <t>Game.AddToInventory("Items.Boots_05_rich_01", 1)</t>
  </si>
  <si>
    <t>AT-AK STRONG-QUILTED 8U88LEGUM PUFFED FLEETS</t>
  </si>
  <si>
    <t>Game.AddToInventory("Items.CasualShoes_07_basic_03", 1)</t>
  </si>
  <si>
    <t>BERMUDA TRIANGLE KICKS WITH REINFORCED LINING</t>
  </si>
  <si>
    <t>Game.AddToInventory("Items.CasualShoes_07_rich_02", 1)</t>
  </si>
  <si>
    <t>BITCH V.13 KICKS WITH TUNGSTEN-STEEL SEQUINS</t>
  </si>
  <si>
    <t>Game.AddToInventory("Items.CasualShoes_01_basic_02", 1)</t>
  </si>
  <si>
    <t>BLACKWALL SYNTHETIC PUNK HIGH-TOPS</t>
  </si>
  <si>
    <t>Game.AddToInventory("Items.Boots_08_old_02", 1)</t>
  </si>
  <si>
    <t>BOOSTED MILITARY STRAPPERS</t>
  </si>
  <si>
    <t>Game.AddToInventory("Items.Boots_05_basic_01", 1)</t>
  </si>
  <si>
    <t>BREATHABLE ICON AMERICA FLEETS</t>
  </si>
  <si>
    <t>Game.AddToInventory("Items.Boots_02_rich_001", 1)</t>
  </si>
  <si>
    <t>BULLETPROOF SHERIFF WESTERN SHORTIES</t>
  </si>
  <si>
    <t>Game.AddToInventory("Items.Boots_07_basic_02", 1)</t>
  </si>
  <si>
    <t>CAMO ARAMID-WEAVE STEEL-TOES</t>
  </si>
  <si>
    <t>Game.AddToInventory("Items.CasualShoes_02_old_01", 1)</t>
  </si>
  <si>
    <t>CARBON REINFORCED TONGUES</t>
  </si>
  <si>
    <t>Game.AddToInventory("Items.Boots_08_rich_01", 1)</t>
  </si>
  <si>
    <t>CARBON-COMPOSITE NEKO-KA STRAPPERS</t>
  </si>
  <si>
    <t>Game.AddToInventory("Items.CasualShoes_06_rich_01", 1)</t>
  </si>
  <si>
    <t>CHAMAN METALLIQUE STREET SHOES WITH THERMOACTIVE ALLOYS</t>
  </si>
  <si>
    <t>Game.AddToInventory("Items.Boots_07_rich_01", 1)</t>
  </si>
  <si>
    <t>CLARET SHINE ARMORED LACELESS STEEL-TOES</t>
  </si>
  <si>
    <t>Game.AddToInventory("Items.FormalShoes_02_basic_02", 1)</t>
  </si>
  <si>
    <t>CLASSIC EVENING PUMPS WITH POLYCARBONATE SUPPORT</t>
  </si>
  <si>
    <t>Game.AddToInventory("Items.Boots_04_basic_02", 1)</t>
  </si>
  <si>
    <t>CLASSIC MOLYBDENUM STEEL-TOE COMBAT BOOTS</t>
  </si>
  <si>
    <t>Game.AddToInventory("Items.FormalShoes_01_basic_02", 1)</t>
  </si>
  <si>
    <t>COMFY FORMAL PUMPS WITH METAL INSERTS</t>
  </si>
  <si>
    <t>Game.AddToInventory("Items.Boots_02_basic_01", 1)</t>
  </si>
  <si>
    <t>COMFY HARDENED-LEATHER WESTERN SHORTIES</t>
  </si>
  <si>
    <t>Game.AddToInventory("Items.Boots_09_old_01", 1)</t>
  </si>
  <si>
    <t>COMPOSITE PUNK EXO-JACKS</t>
  </si>
  <si>
    <t>Game.AddToInventory("Items.FormalShoes_03_rich_02", 1)</t>
  </si>
  <si>
    <t>CREAMY RHUBARB DRESS WEDGES WITH SOLE SUPPORT</t>
  </si>
  <si>
    <t>Game.AddToInventory("Items.FormalShoes_02_rich_03", 1)</t>
  </si>
  <si>
    <t>CRYSTAL LILY EVENING PUMPS WITH EXTRA-DURABLE SOLES</t>
  </si>
  <si>
    <t>Game.AddToInventory("Items.CasualShoes_04_basic_01", 1)</t>
  </si>
  <si>
    <t>CUT3 BRAINZZ TEAR-PROOF SNEAKERS</t>
  </si>
  <si>
    <t>Game.AddToInventory("Items.CasualShoes_04_basic_02", 1)</t>
  </si>
  <si>
    <t>DARRA POLYTECHNIC SUEDE SNEAKERS</t>
  </si>
  <si>
    <t>Game.AddToInventory("Items.FormalShoes_02_basic_03", 1)</t>
  </si>
  <si>
    <t>DOUBLE-VARNISHED FORMAL PUMP</t>
  </si>
  <si>
    <t>Game.AddToInventory("Items.CasualShoes_05_basic_01", 1)</t>
  </si>
  <si>
    <t>ELECTRIC MARBLE ULTRALIGHT ATHLETIC SHOES</t>
  </si>
  <si>
    <t>Game.AddToInventory("Items.CasualShoes_02_basic_01", 1)</t>
  </si>
  <si>
    <t>ENHANCED DAEMON HUNTER TONGUES</t>
  </si>
  <si>
    <t>Game.AddToInventory("Items.Boots_07_old_02", 1)</t>
  </si>
  <si>
    <t>FADED CIRQT LACELESS STEEL-TOES</t>
  </si>
  <si>
    <t>Game.AddToInventory("Items.FormalShoes_01_basic_03", 1)</t>
  </si>
  <si>
    <t>FORMAL PUMPS WITH CUSHIONED COMPOSITE INSOLES</t>
  </si>
  <si>
    <t>Game.AddToInventory("Items.CasualShoes_05_old_03", 1)</t>
  </si>
  <si>
    <t>FRAYED ATHLETIC SHOES</t>
  </si>
  <si>
    <t>Game.AddToInventory("Items.Boots_06_old_02", 1)</t>
  </si>
  <si>
    <t>FRAYED UNDERWATER WORK BOOTS</t>
  </si>
  <si>
    <t>Game.AddToInventory("Items.Boots_10_rich_01", 1)</t>
  </si>
  <si>
    <t>GHOST TOWN COWBOY BOOTS WITH HEAT-RESISTANT HEELS</t>
  </si>
  <si>
    <t>Game.AddToInventory("Items.CasualShoes_06_rich_02", 1)</t>
  </si>
  <si>
    <t>GLAMOR SPIRIT STREET SHOES WITH REINFORCED INSOLES</t>
  </si>
  <si>
    <t>Game.AddToInventory("Items.Boots_07_basic_01", 1)</t>
  </si>
  <si>
    <t>GLITTER LACELESS STURDY-STITCHED STEEL-TOES</t>
  </si>
  <si>
    <t>Game.AddToInventory("Items.CasualShoes_05_basic_03", 1)</t>
  </si>
  <si>
    <t>GREEN GRAFFITI ARMOR-COATED ATHLETIC SHOES</t>
  </si>
  <si>
    <t>Game.AddToInventory("Items.Boots_02_rich_02", 1)</t>
  </si>
  <si>
    <t>GUNSLINGER WESTERN SHORTIES WITH TITANIUM INSERTS</t>
  </si>
  <si>
    <t>Game.AddToInventory("Items.Boots_04_old_03", 1)</t>
  </si>
  <si>
    <t>HARDENED TUNGSTEN STEEL-TOE COMBAT BOOTS</t>
  </si>
  <si>
    <t>Game.AddToInventory("Items.Boots_07_old_03", 1)</t>
  </si>
  <si>
    <t>HAVSKUM CARBON-FIBER STEEL-TOES</t>
  </si>
  <si>
    <t>Game.AddToInventory("Items.Boots_06_basic_01", 1)</t>
  </si>
  <si>
    <t>HEAT-RESISTANT MILITARY BOOTS</t>
  </si>
  <si>
    <t>Game.AddToInventory("Items.Boots_03_basic_01", 1)</t>
  </si>
  <si>
    <t>HEAVY-DUTY BIKER BOOTS</t>
  </si>
  <si>
    <t>Game.AddToInventory("Items.Boots_09_basic_01", 1)</t>
  </si>
  <si>
    <t>HEAVY-DUTY BIKER EXO-JACKS</t>
  </si>
  <si>
    <t>Game.AddToInventory("Items.Boots_04_basic_03", 1)</t>
  </si>
  <si>
    <t>HEAVY-DUTY NEW MURICA COMBAT BOOTS</t>
  </si>
  <si>
    <t>Game.AddToInventory("Items.Boots_05_basic_03", 1)</t>
  </si>
  <si>
    <t>HEAVY-DUTY PUNK FLEETS</t>
  </si>
  <si>
    <t>Game.AddToInventory("Items.CasualShoes_07_old_01", 1)</t>
  </si>
  <si>
    <t>ICON AMERICA SYNFIBER KICKS</t>
  </si>
  <si>
    <t>Game.AddToInventory("Items.CasualShoes_07_rich_01", 1)</t>
  </si>
  <si>
    <t>KASHUU HANTEN KICKS WITH MODIFIED POLYAMIDE</t>
  </si>
  <si>
    <t>Game.AddToInventory("Items.FormalShoes_02_rich_02", 1)</t>
  </si>
  <si>
    <t>LEZARD BEIGE LEATHER-COMPOSITE FORMAL PUMP</t>
  </si>
  <si>
    <t>Game.AddToInventory("Items.CasualShoes_07_basic_02", 1)</t>
  </si>
  <si>
    <t>LICKS KICKS WITH RECYCLED RESISTANT MATERIALS</t>
  </si>
  <si>
    <t>Game.AddToInventory("Items.Boots_11_basic_01", 1)</t>
  </si>
  <si>
    <t>LIGHT PINK SNOW BOOTS WITH PROTECTIVE MESH</t>
  </si>
  <si>
    <t>Game.AddToInventory("Items.Boots_03_rich_01", 1)</t>
  </si>
  <si>
    <t>LIGHT SPEED BIKER BOOTS WITH NANOARMOR FABRIC</t>
  </si>
  <si>
    <t>Game.AddToInventory("Items.Boots_06_rich_02", 1)</t>
  </si>
  <si>
    <t>LIGHT STAR TRAIL CHEM-RESISTANT WORK BOOTS</t>
  </si>
  <si>
    <t>Game.AddToInventory("Items.CasualShoes_07_basic_04", 1)</t>
  </si>
  <si>
    <t>MAGENTA KICKS WITH REINFORCED STITCHING</t>
  </si>
  <si>
    <t>Game.AddToInventory("Items.FormalShoes_01_rich_02", 1)</t>
  </si>
  <si>
    <t>MIDDAY GLOW POLYCARBONATE FORMAL PUMPS</t>
  </si>
  <si>
    <t>Game.AddToInventory("Items.Boots_09_rich_01", 1)</t>
  </si>
  <si>
    <t>MILITOXIC CERAMIC-LAYER COMBAT EXO-JACKS</t>
  </si>
  <si>
    <t>Game.AddToInventory("Items.CasualShoes_02_basic_02", 1)</t>
  </si>
  <si>
    <t>MILKY TRAIL CERAMIC ALLOY CANVAS TONGUES</t>
  </si>
  <si>
    <t>Game.AddToInventory("Items.Boots_05_old_01", 1)</t>
  </si>
  <si>
    <t>MUDDY FLEETS</t>
  </si>
  <si>
    <t>Game.AddToInventory("Items.Boots_09_rich_02", 1)</t>
  </si>
  <si>
    <t>MULTILAYERED KASEN EXO-JACKS WITH ANTI-SHRAPNEL LINING</t>
  </si>
  <si>
    <t>Game.AddToInventory("Items.CasualShoes_07_old_02", 1)</t>
  </si>
  <si>
    <t>NEW MURICA CARBONWEAVE KICKS</t>
  </si>
  <si>
    <t>Game.AddToInventory("Items.Boots_08_basic_01", 1)</t>
  </si>
  <si>
    <t>PADDED STRAPPERS WITH ALUMINUM INSERTS</t>
  </si>
  <si>
    <t>Game.AddToInventory("Items.CasualShoes_05_rich_01", 1)</t>
  </si>
  <si>
    <t>PASTEL POWER HYBRID-FABRIC ARMORED ATHLETIC SHOES</t>
  </si>
  <si>
    <t>Game.AddToInventory("Items.Boots_11_rich_02", 1)</t>
  </si>
  <si>
    <t>PINKU INKU SNOW BOOTS THERMOACTIVE INSOLES</t>
  </si>
  <si>
    <t>Game.AddToInventory("Items.Boots_11_rich_01", 1)</t>
  </si>
  <si>
    <t>PIXEL NEIGE SNOW BOOTS WITH CANVAS DUOLAYER</t>
  </si>
  <si>
    <t>Game.AddToInventory("Items.Boots_06_old_01", 1)</t>
  </si>
  <si>
    <t>POLYAMIDE-LINED WORK BOOTS</t>
  </si>
  <si>
    <t>Game.AddToInventory("Items.CasualShoes_01_basic_04", 1)</t>
  </si>
  <si>
    <t>PRACTICAL ARAMID-FIBER HIGH-TOPS</t>
  </si>
  <si>
    <t>Game.AddToInventory("Items.CasualShoes_05_rich_03", 1)</t>
  </si>
  <si>
    <t>RAINBOW RACER HEAT-RESISTANT SHOES WITH BREATHABLE LINING</t>
  </si>
  <si>
    <t>Game.AddToInventory("Items.Boots_03_basic_02", 1)</t>
  </si>
  <si>
    <t>REINFORCED BIKER BOOTS</t>
  </si>
  <si>
    <t>Game.AddToInventory("Items.FormalShoes_03_basic_01", 1)</t>
  </si>
  <si>
    <t>REINFORCED OFFICE WEDGES</t>
  </si>
  <si>
    <t>Game.AddToInventory("Items.Boots_05_old_03", 1)</t>
  </si>
  <si>
    <t>REINFORCED PLASTIC FLEETS</t>
  </si>
  <si>
    <t>Game.AddToInventory("Items.Boots_09_rich_03", 1)</t>
  </si>
  <si>
    <t>REINFORCED ROUGE ABSURDE EXO-JACKS WITH DEFENSIVE NANOTUBING</t>
  </si>
  <si>
    <t>Game.AddToInventory("Items.Boots_10_old_02", 1)</t>
  </si>
  <si>
    <t>REINFORCED SNAKE-SKIN COWBOY BOOTS</t>
  </si>
  <si>
    <t>Game.AddToInventory("Items.Boots_08_basic_02", 1)</t>
  </si>
  <si>
    <t>REINFORCED SUDO BIKER BOOTS</t>
  </si>
  <si>
    <t>Game.AddToInventory("Items.Boots_01_basic_01", 1)</t>
  </si>
  <si>
    <t>REINFORCED UNIWARE PLATFORM BOOTS</t>
  </si>
  <si>
    <t>Game.AddToInventory("Items.FormalShoes_02_basic_01", 1)</t>
  </si>
  <si>
    <t>REINFORCED-LEATHER OFFICE PUMPS</t>
  </si>
  <si>
    <t>Game.AddToInventory("Items.Boots_11_old_02", 1)</t>
  </si>
  <si>
    <t>REPAIRED ZOLOTOY PUKH SNOW BOOTS</t>
  </si>
  <si>
    <t>Game.AddToInventory("Items.Boots_08_old_01", 1)</t>
  </si>
  <si>
    <t>REPURPOSED MILITARY BOOTS</t>
  </si>
  <si>
    <t>Game.AddToInventory("Items.CasualShoes_06_basic_02", 1)</t>
  </si>
  <si>
    <t>RIGID TIGRE URBAIN STREET SHOES</t>
  </si>
  <si>
    <t>Game.AddToInventory("Items.CasualShoes_07_basic_01", 1)</t>
  </si>
  <si>
    <t>ROBUST SPUNKY MONKEY KICKS</t>
  </si>
  <si>
    <t>Game.AddToInventory("Items.Boots_06_rich_01", 1)</t>
  </si>
  <si>
    <t>ROSTIGER TEICH THERMOACTIVE PUFFED WORK BOOTS</t>
  </si>
  <si>
    <t>Game.AddToInventory("Items.CasualShoes_05_old_02", 1)</t>
  </si>
  <si>
    <t>RUBBER-REINFORCED ATHLETIC SHOES</t>
  </si>
  <si>
    <t>Game.AddToInventory("Items.Boots_10_old_01", 1)</t>
  </si>
  <si>
    <t>RUBBER-REINFORCED COWBOY BOOTS</t>
  </si>
  <si>
    <t>Game.AddToInventory("Items.Boots_03_old_02", 1)</t>
  </si>
  <si>
    <t>RUBBER-REINFORCED TACTICAL BOOTS</t>
  </si>
  <si>
    <t>Game.AddToInventory("Items.CasualShoes_01_old_02", 1)</t>
  </si>
  <si>
    <t>RUBBER-REINFORCED WORK HIGH-TOPS</t>
  </si>
  <si>
    <t>Game.AddToInventory("Items.CasualShoes_06_old_02", 1)</t>
  </si>
  <si>
    <t>SHOCK-ABSORBENT STREET SHOES</t>
  </si>
  <si>
    <t>Game.AddToInventory("Items.FormalShoes_01_rich_01", 1)</t>
  </si>
  <si>
    <t>SILBERMOND TOUGH-LINED OFFICE PUMPS</t>
  </si>
  <si>
    <t>Game.AddToInventory("Items.FormalShoes_02_rich_01", 1)</t>
  </si>
  <si>
    <t>SILVER BLOOD EVENING PUMPS WITH PROTECTIVE INSOLES</t>
  </si>
  <si>
    <t>Game.AddToInventory("Items.FormalShoes_01_basic_01", 1)</t>
  </si>
  <si>
    <t>SIMPLE POLYCARBONATE OFFICE PUMPS</t>
  </si>
  <si>
    <t>Game.AddToInventory("Items.CasualShoes_04_old_01", 1)</t>
  </si>
  <si>
    <t>SNEAKERS WITH PROTECTIVE INSERTS</t>
  </si>
  <si>
    <t>Game.AddToInventory("Items.Boots_06_basic_02", 1)</t>
  </si>
  <si>
    <t>SPORTY FLEXIWEAVE WORK BOOTS</t>
  </si>
  <si>
    <t>Game.AddToInventory("Items.Boots_04_basic_01", 1)</t>
  </si>
  <si>
    <t>STEEL-TOE ROCKER BOOTS</t>
  </si>
  <si>
    <t>Game.AddToInventory("Items.Boots_01_rich_01", 1)</t>
  </si>
  <si>
    <t>STREET QUEEN PLATFORM BOOTS REINFORCED STITCHING</t>
  </si>
  <si>
    <t>Game.AddToInventory("Items.CasualShoes_06_basic_01", 1)</t>
  </si>
  <si>
    <t>STREET SHOES WITH MULTILAYERED PROTECTION</t>
  </si>
  <si>
    <t>Game.AddToInventory("Items.CasualShoes_01_basic_05", 1)</t>
  </si>
  <si>
    <t>STREET TACTICAL-FIBER HIGH-TOPS</t>
  </si>
  <si>
    <t>Game.AddToInventory("Items.Boots_07_old_01", 1)</t>
  </si>
  <si>
    <t>STURDY MANGANESE STEEL-TOES</t>
  </si>
  <si>
    <t>Game.AddToInventory("Items.Boots_03_rich_02", 1)</t>
  </si>
  <si>
    <t>STURDY ORCHID DAWN SYN-LEATHER BIKER BOOTS</t>
  </si>
  <si>
    <t>Game.AddToInventory("Items.Boots_07_rich_02", 1)</t>
  </si>
  <si>
    <t>STYLISH ROCK GARDEN TUNGSTEN-ALLOY STEEL-TOES</t>
  </si>
  <si>
    <t>Game.AddToInventory("Items.CasualShoes_01_basic_01", 1)</t>
  </si>
  <si>
    <t>SUNNY AMMO SYNTHETIC HIGH-TOPS</t>
  </si>
  <si>
    <t>Game.AddToInventory("Items.CasualShoes_05_rich_02", 1)</t>
  </si>
  <si>
    <t>TEAM CAPTAIN RIGID-POLYAMIDE ATHLETIC SHOES</t>
  </si>
  <si>
    <t>Game.AddToInventory("Items.CasualShoes_04_old_02", 1)</t>
  </si>
  <si>
    <t>THREADBARE SNEAKERS</t>
  </si>
  <si>
    <t>Game.AddToInventory("Items.Boots_04_old_02", 1)</t>
  </si>
  <si>
    <t>TITANIUM-FITTED POLYAMIDE COMBAT BOOTS</t>
  </si>
  <si>
    <t>Game.AddToInventory("Items.Boots_01_old_01", 1)</t>
  </si>
  <si>
    <t>TITANIUM-LAYER PLATFORM BOOTS</t>
  </si>
  <si>
    <t>Game.AddToInventory("Items.Boots_10_rich_02", 1)</t>
  </si>
  <si>
    <t>TRENDY LONELY LUKE COWBOY BOOTS WITH PROTECTIVE MESH</t>
  </si>
  <si>
    <t>Game.AddToInventory("Items.Boots_09_basic_02", 1)</t>
  </si>
  <si>
    <t>TRENDY ULTRALIGHT EXO-JACKS</t>
  </si>
  <si>
    <t>Game.AddToInventory("Items.CasualShoes_01_basic_03", 1)</t>
  </si>
  <si>
    <t>TURQUOISEWALL COMPOSITE PUNK HIGH-TOPS</t>
  </si>
  <si>
    <t>Game.AddToInventory("Items.Boots_05_basic_02", 1)</t>
  </si>
  <si>
    <t>ULTRALIGHT FLEETS WITH COMPOSITE LINING</t>
  </si>
  <si>
    <t>Game.AddToInventory("Items.Boots_04_old_01", 1)</t>
  </si>
  <si>
    <t>USED LEATHER COMBAT BOOTS</t>
  </si>
  <si>
    <t>Game.AddToInventory("Items.CasualShoes_05_old_01", 1)</t>
  </si>
  <si>
    <t>USED MILITECH TRAINING SHOES</t>
  </si>
  <si>
    <t>Game.AddToInventory("Items.Boots_05_old_02", 1)</t>
  </si>
  <si>
    <t>USED SYN-LEATHER FLEETS</t>
  </si>
  <si>
    <t>Game.AddToInventory("Items.Boots_02_basic_02", 1)</t>
  </si>
  <si>
    <t>VARNISHED ROCKER SHORTIES WITH EXTRA PROTECTION</t>
  </si>
  <si>
    <t>Game.AddToInventory("Items.Boots_03_old_01", 1)</t>
  </si>
  <si>
    <t>WEATHERED COMBAT BOOTS</t>
  </si>
  <si>
    <t>Game.AddToInventory("Items.Boots_10_basic_01", 1)</t>
  </si>
  <si>
    <t>WESTERN STAR COWBOY BOOTS WITH THICK SYNTHETIC HEELS</t>
  </si>
  <si>
    <t>Game.AddToInventory("Items.FormalShoes_03_basic_02", 1)</t>
  </si>
  <si>
    <t>WOODEN BREEZE DRESS WEDGES</t>
  </si>
  <si>
    <t>Game.AddToInventory("Items.CasualShoes_01_old_01", 1)</t>
  </si>
  <si>
    <t>WORN ARAMID HIGH-TOPS</t>
  </si>
  <si>
    <t>Game.AddToInventory("Items.Boots_02_old_02", 1)</t>
  </si>
  <si>
    <t>WORN BIKER SHORTIES COMPOSITE INSERTS</t>
  </si>
  <si>
    <t>Game.AddToInventory("Items.Boots_09_old_02", 1)</t>
  </si>
  <si>
    <t>WORN EXO-JACKS</t>
  </si>
  <si>
    <t>Game.AddToInventory("Items.CasualShoes_07_old_03", 1)</t>
  </si>
  <si>
    <t>WORN SPUNKY MONKEY KICKS</t>
  </si>
  <si>
    <t>Game.AddToInventory("Items.Boots_10_basic_02", 1)</t>
  </si>
  <si>
    <t>WORN TRADITIONAL COWBOY BOOTS</t>
  </si>
  <si>
    <t>Game.AddToInventory("Items.Boots_02_old_01", 1)</t>
  </si>
  <si>
    <t>WORN-LEATHER WESTERN SHORTIES</t>
  </si>
  <si>
    <t>Game.AddToInventory("Items.CasualShoes_07_rich_03", 1)</t>
  </si>
  <si>
    <t>YORU NO SAMURAI KICKS WITH CARBON-FIBER LAYERING</t>
  </si>
  <si>
    <t>Game.AddToInventory("Items.Boots_11_basic_02", 1)</t>
  </si>
  <si>
    <t>YUKI SNOW BOOTS WITH REINFORCED LINING</t>
  </si>
  <si>
    <t>Game.AddToInventory("Items.CasualShoes_05_basic_02", 1)</t>
  </si>
  <si>
    <t>YUKIHYO POLYCARBONATE ATHLETIC SHOES</t>
  </si>
  <si>
    <t>Game.AddToInventory("Items.Boots_12_old_03", 1)</t>
  </si>
  <si>
    <t>CANARY FLEETS WITH ANTISTATIC QUILTING</t>
  </si>
  <si>
    <t>Game.AddToInventory("Items.Boots_12_rich_01", 1)</t>
  </si>
  <si>
    <t>DESIGNER FLEETS WITH ACID-RESISTANT UPPERS</t>
  </si>
  <si>
    <t>Game.AddToInventory("Items.Boots_12_basic_02", 1)</t>
  </si>
  <si>
    <t>FAN BOOTS WITH SAMURAI LOGO</t>
  </si>
  <si>
    <t>Game.AddToInventory("Items.Boots_12_basic_03", 1)</t>
  </si>
  <si>
    <t>HIKING BOOTS WITH SELF-CLEANING SOLES</t>
  </si>
  <si>
    <t>Game.AddToInventory("Items.Boots_12_rich_02", 1)</t>
  </si>
  <si>
    <t>HYBRID SHOES WITH STABILIZING CUSHIONS</t>
  </si>
  <si>
    <t>Game.AddToInventory("Items.Boots_12_basic_05", 1)</t>
  </si>
  <si>
    <t>LIGHT SNOW BOOTS WITH PTFE MEMBRANE</t>
  </si>
  <si>
    <t>Game.AddToInventory("Items.Boots_12_basic_06", 1)</t>
  </si>
  <si>
    <t>MILITARY SHOES WITH SHOCK-ABSORBENT INSOLE</t>
  </si>
  <si>
    <t>Game.AddToInventory("Items.Boots_12_basic_04", 1)</t>
  </si>
  <si>
    <t>NO-SLIP HYDROPHOBIC FLEETS</t>
  </si>
  <si>
    <t>Game.AddToInventory("Items.Boots_12_rich_05", 1)</t>
  </si>
  <si>
    <t>PIERCE-RESISTANT SHOES WITH TITANIUM INSERTS</t>
  </si>
  <si>
    <t>Game.AddToInventory("Items.Boots_12_old_01", 1)</t>
  </si>
  <si>
    <t>REINFORCED BALLISTIC NYLON SHOES</t>
  </si>
  <si>
    <t>Game.AddToInventory("Items.Boots_12_rich_003", 1)</t>
  </si>
  <si>
    <t>STYLISH COMPOSITE-FOAM PLATFORM FLEETS</t>
  </si>
  <si>
    <t>Game.AddToInventory("Items.Boots_12_basic_01", 1)</t>
  </si>
  <si>
    <t>THERMO-RUBBER TACTICAL BOOTS</t>
  </si>
  <si>
    <t>Game.AddToInventory("Items.Boots_12_rich_04", 1)</t>
  </si>
  <si>
    <t>WATERPROOF SHOES WITH DIELECTRIC PROTECTOR</t>
  </si>
  <si>
    <t>Game.AddToInventory("Items.Boots_12_old_02", 1)</t>
  </si>
  <si>
    <t>WORN BIKER BOOTS WITH ANKLE PROTECTION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</si>
</sst>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rgb="FFFFFFFF"/>
      <name val="Roboto"/>
    </font>
    <font>
      <sz val="10.0"/>
      <color rgb="FFE53935"/>
      <name val="Roboto"/>
    </font>
    <font>
      <sz val="10.0"/>
      <color rgb="FFFFFFFF"/>
      <name val="Roboto"/>
    </font>
    <font>
      <sz val="10.0"/>
      <color rgb="FF666666"/>
      <name val="Roboto"/>
    </font>
    <font>
      <sz val="10.0"/>
      <color rgb="FFFFB300"/>
      <name val="Roboto"/>
    </font>
    <font>
      <sz val="10.0"/>
      <color rgb="FF00897B"/>
      <name val="Roboto"/>
    </font>
    <font>
      <sz val="10.0"/>
      <color rgb="FFFDD835"/>
      <name val="Roboto"/>
    </font>
    <font>
      <sz val="10.0"/>
      <color rgb="FF822EC8"/>
      <name val="Roboto"/>
    </font>
    <font>
      <sz val="10.0"/>
      <color rgb="FF808080"/>
      <name val="Roboto"/>
    </font>
    <font>
      <sz val="10.0"/>
      <color rgb="FF039BE5"/>
      <name val="Roboto"/>
    </font>
    <font>
      <sz val="10.0"/>
      <color rgb="FF43A047"/>
      <name val="Roboto"/>
    </font>
    <font>
      <sz val="10.0"/>
      <color rgb="FF3949AB"/>
      <name val="Roboto"/>
    </font>
    <font>
      <sz val="10.0"/>
      <color rgb="FFFB8C00"/>
      <name val="Roboto"/>
    </font>
    <font>
      <color theme="1"/>
      <name val="Arial"/>
      <scheme val="minor"/>
    </font>
    <font>
      <sz val="7.0"/>
      <color rgb="FF808080"/>
      <name val="Arial"/>
    </font>
    <font>
      <sz val="8.0"/>
      <color rgb="FF666666"/>
      <name val="Roboto Mono"/>
    </font>
    <font>
      <sz val="10.0"/>
      <color rgb="FF666666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wrapText="0"/>
    </xf>
    <xf borderId="1" fillId="2" fontId="1" numFmtId="49" xfId="0" applyAlignment="1" applyBorder="1" applyFont="1" applyNumberFormat="1">
      <alignment horizontal="center" readingOrder="0" shrinkToFit="0" wrapText="0"/>
    </xf>
    <xf borderId="1" fillId="2" fontId="2" numFmtId="49" xfId="0" applyAlignment="1" applyBorder="1" applyFont="1" applyNumberFormat="1">
      <alignment horizontal="center" shrinkToFit="0" wrapText="0"/>
    </xf>
    <xf borderId="1" fillId="2" fontId="3" numFmtId="49" xfId="0" applyAlignment="1" applyBorder="1" applyFont="1" applyNumberFormat="1">
      <alignment horizontal="center" shrinkToFit="0" wrapText="0"/>
    </xf>
    <xf borderId="1" fillId="2" fontId="4" numFmtId="49" xfId="0" applyBorder="1" applyFont="1" applyNumberFormat="1"/>
    <xf borderId="1" fillId="2" fontId="5" numFmtId="49" xfId="0" applyBorder="1" applyFont="1" applyNumberFormat="1"/>
    <xf borderId="1" fillId="2" fontId="4" numFmtId="0" xfId="0" applyBorder="1" applyFont="1"/>
    <xf borderId="1" fillId="2" fontId="6" numFmtId="49" xfId="0" applyAlignment="1" applyBorder="1" applyFont="1" applyNumberFormat="1">
      <alignment horizontal="center" shrinkToFit="0" wrapText="0"/>
    </xf>
    <xf borderId="1" fillId="2" fontId="7" numFmtId="49" xfId="0" applyBorder="1" applyFont="1" applyNumberFormat="1"/>
    <xf borderId="1" fillId="2" fontId="8" numFmtId="49" xfId="0" applyBorder="1" applyFont="1" applyNumberFormat="1"/>
    <xf borderId="1" fillId="2" fontId="3" numFmtId="49" xfId="0" applyBorder="1" applyFont="1" applyNumberFormat="1"/>
    <xf borderId="1" fillId="2" fontId="8" numFmtId="49" xfId="0" applyAlignment="1" applyBorder="1" applyFont="1" applyNumberFormat="1">
      <alignment horizontal="center" shrinkToFit="0" wrapText="0"/>
    </xf>
    <xf borderId="1" fillId="2" fontId="9" numFmtId="49" xfId="0" applyAlignment="1" applyBorder="1" applyFont="1" applyNumberFormat="1">
      <alignment horizontal="center" shrinkToFit="0" wrapText="0"/>
    </xf>
    <xf borderId="1" fillId="2" fontId="10" numFmtId="49" xfId="0" applyAlignment="1" applyBorder="1" applyFont="1" applyNumberFormat="1">
      <alignment horizontal="center" shrinkToFit="0" wrapText="0"/>
    </xf>
    <xf borderId="1" fillId="2" fontId="10" numFmtId="49" xfId="0" applyBorder="1" applyFont="1" applyNumberFormat="1"/>
    <xf borderId="1" fillId="2" fontId="11" numFmtId="49" xfId="0" applyAlignment="1" applyBorder="1" applyFont="1" applyNumberFormat="1">
      <alignment horizontal="center" shrinkToFit="0" wrapText="0"/>
    </xf>
    <xf borderId="1" fillId="2" fontId="12" numFmtId="49" xfId="0" applyAlignment="1" applyBorder="1" applyFont="1" applyNumberFormat="1">
      <alignment horizontal="center" shrinkToFit="0" wrapText="0"/>
    </xf>
    <xf borderId="1" fillId="2" fontId="13" numFmtId="49" xfId="0" applyAlignment="1" applyBorder="1" applyFont="1" applyNumberFormat="1">
      <alignment horizontal="center" shrinkToFit="0" wrapText="0"/>
    </xf>
    <xf borderId="2" fillId="2" fontId="13" numFmtId="49" xfId="0" applyAlignment="1" applyBorder="1" applyFont="1" applyNumberFormat="1">
      <alignment horizontal="center" shrinkToFit="0" wrapText="0"/>
    </xf>
    <xf borderId="3" fillId="2" fontId="3" numFmtId="49" xfId="0" applyAlignment="1" applyBorder="1" applyFont="1" applyNumberFormat="1">
      <alignment horizontal="center" shrinkToFit="0" wrapText="0"/>
    </xf>
    <xf borderId="3" fillId="2" fontId="4" numFmtId="49" xfId="0" applyBorder="1" applyFont="1" applyNumberFormat="1"/>
    <xf borderId="3" fillId="2" fontId="3" numFmtId="49" xfId="0" applyBorder="1" applyFont="1" applyNumberFormat="1"/>
    <xf borderId="1" fillId="2" fontId="14" numFmtId="0" xfId="0" applyBorder="1" applyFont="1"/>
    <xf borderId="4" fillId="2" fontId="15" numFmtId="49" xfId="0" applyBorder="1" applyFont="1" applyNumberFormat="1"/>
    <xf borderId="1" fillId="2" fontId="16" numFmtId="0" xfId="0" applyBorder="1" applyFont="1"/>
    <xf borderId="1" fillId="2" fontId="11" numFmtId="49" xfId="0" applyBorder="1" applyFont="1" applyNumberFormat="1"/>
    <xf borderId="1" fillId="2" fontId="17" numFmtId="49" xfId="0" applyBorder="1" applyFont="1" applyNumberFormat="1"/>
    <xf borderId="1" fillId="2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 t="s">
        <v>8</v>
      </c>
      <c r="E2" s="7" t="str">
        <f>IFERROR(__xludf.DUMMYFUNCTION("REGEXEXTRACT(C2, """"""([^""""]+)"""""")"),"Items.Corporate_01_Set_Glasses")</f>
        <v>Items.Corporate_01_Set_Glasses</v>
      </c>
    </row>
    <row r="3">
      <c r="A3" s="3" t="s">
        <v>5</v>
      </c>
      <c r="B3" s="4" t="s">
        <v>9</v>
      </c>
      <c r="C3" s="5" t="s">
        <v>10</v>
      </c>
      <c r="D3" s="6" t="s">
        <v>11</v>
      </c>
      <c r="E3" s="7" t="str">
        <f>IFERROR(__xludf.DUMMYFUNCTION("REGEXEXTRACT(C3, """"""([^""""]+)"""""")"),"Items.Fixer_01_Set_Glasses")</f>
        <v>Items.Fixer_01_Set_Glasses</v>
      </c>
    </row>
    <row r="4">
      <c r="A4" s="3" t="s">
        <v>5</v>
      </c>
      <c r="B4" s="4" t="s">
        <v>12</v>
      </c>
      <c r="C4" s="5" t="s">
        <v>13</v>
      </c>
      <c r="D4" s="6" t="s">
        <v>14</v>
      </c>
      <c r="E4" s="7" t="str">
        <f>IFERROR(__xludf.DUMMYFUNCTION("REGEXEXTRACT(C4, """"""([^""""]+)"""""")"),"Items.Q005_Johnny_Glasses_Legendary")</f>
        <v>Items.Q005_Johnny_Glasses_Legendary</v>
      </c>
    </row>
    <row r="5">
      <c r="A5" s="3" t="s">
        <v>5</v>
      </c>
      <c r="B5" s="4" t="s">
        <v>15</v>
      </c>
      <c r="C5" s="5" t="s">
        <v>16</v>
      </c>
      <c r="D5" s="6" t="s">
        <v>17</v>
      </c>
      <c r="E5" s="7" t="str">
        <f>IFERROR(__xludf.DUMMYFUNCTION("REGEXEXTRACT(C5, """"""([^""""]+)"""""")"),"Items.Media_01_Set_Tech")</f>
        <v>Items.Media_01_Set_Tech</v>
      </c>
    </row>
    <row r="6">
      <c r="A6" s="3" t="s">
        <v>5</v>
      </c>
      <c r="B6" s="4" t="s">
        <v>18</v>
      </c>
      <c r="C6" s="5" t="s">
        <v>19</v>
      </c>
      <c r="D6" s="6" t="s">
        <v>20</v>
      </c>
      <c r="E6" s="7" t="str">
        <f>IFERROR(__xludf.DUMMYFUNCTION("REGEXEXTRACT(C6, """"""([^""""]+)"""""")"),"Items.Netrunner_01_Set_Visor")</f>
        <v>Items.Netrunner_01_Set_Visor</v>
      </c>
    </row>
    <row r="7">
      <c r="A7" s="3" t="s">
        <v>5</v>
      </c>
      <c r="B7" s="4" t="s">
        <v>21</v>
      </c>
      <c r="C7" s="5" t="s">
        <v>22</v>
      </c>
      <c r="D7" s="6" t="s">
        <v>23</v>
      </c>
      <c r="E7" s="7" t="str">
        <f>IFERROR(__xludf.DUMMYFUNCTION("REGEXEXTRACT(C7, """"""([^""""]+)"""""")"),"Items.Nomad_01_Set_Mask")</f>
        <v>Items.Nomad_01_Set_Mask</v>
      </c>
    </row>
    <row r="8">
      <c r="A8" s="3" t="s">
        <v>5</v>
      </c>
      <c r="B8" s="4" t="s">
        <v>24</v>
      </c>
      <c r="C8" s="5" t="s">
        <v>25</v>
      </c>
      <c r="D8" s="6" t="s">
        <v>26</v>
      </c>
      <c r="E8" s="7" t="str">
        <f>IFERROR(__xludf.DUMMYFUNCTION("REGEXEXTRACT(C8, """"""([^""""]+)"""""")"),"Items.Cop_01_Set_Glasses")</f>
        <v>Items.Cop_01_Set_Glasses</v>
      </c>
    </row>
    <row r="9">
      <c r="A9" s="3" t="s">
        <v>5</v>
      </c>
      <c r="B9" s="4" t="s">
        <v>27</v>
      </c>
      <c r="C9" s="5" t="s">
        <v>28</v>
      </c>
      <c r="D9" s="6" t="s">
        <v>29</v>
      </c>
      <c r="E9" s="7" t="str">
        <f>IFERROR(__xludf.DUMMYFUNCTION("REGEXEXTRACT(C9, """"""([^""""]+)"""""")"),"Items.Rockerboy_01_Set_Glasses")</f>
        <v>Items.Rockerboy_01_Set_Glasses</v>
      </c>
    </row>
    <row r="10">
      <c r="A10" s="3" t="s">
        <v>5</v>
      </c>
      <c r="B10" s="4" t="s">
        <v>30</v>
      </c>
      <c r="C10" s="5" t="s">
        <v>31</v>
      </c>
      <c r="D10" s="6" t="s">
        <v>32</v>
      </c>
      <c r="E10" s="7" t="str">
        <f>IFERROR(__xludf.DUMMYFUNCTION("REGEXEXTRACT(C10, """"""([^""""]+)"""""")"),"Items.Solo_01_Set_Visor")</f>
        <v>Items.Solo_01_Set_Visor</v>
      </c>
    </row>
    <row r="11">
      <c r="A11" s="3" t="s">
        <v>5</v>
      </c>
      <c r="B11" s="4" t="s">
        <v>33</v>
      </c>
      <c r="C11" s="5" t="s">
        <v>34</v>
      </c>
      <c r="D11" s="6" t="s">
        <v>35</v>
      </c>
      <c r="E11" s="7" t="str">
        <f>IFERROR(__xludf.DUMMYFUNCTION("REGEXEXTRACT(C11, """"""([^""""]+)"""""")"),"Items.Techie_01_Set_Tech")</f>
        <v>Items.Techie_01_Set_Tech</v>
      </c>
    </row>
    <row r="12">
      <c r="A12" s="8" t="s">
        <v>36</v>
      </c>
      <c r="B12" s="3" t="s">
        <v>37</v>
      </c>
      <c r="C12" s="5" t="s">
        <v>38</v>
      </c>
      <c r="D12" s="6" t="s">
        <v>39</v>
      </c>
      <c r="E12" s="7" t="str">
        <f>IFERROR(__xludf.DUMMYFUNCTION("REGEXEXTRACT(C12, """"""([^""""]+)"""""")"),"Items.Twitch_Drop_Boots")</f>
        <v>Items.Twitch_Drop_Boots</v>
      </c>
    </row>
    <row r="13">
      <c r="A13" s="8" t="s">
        <v>36</v>
      </c>
      <c r="B13" s="3" t="s">
        <v>37</v>
      </c>
      <c r="C13" s="5" t="s">
        <v>40</v>
      </c>
      <c r="D13" s="6" t="s">
        <v>41</v>
      </c>
      <c r="E13" s="7" t="str">
        <f>IFERROR(__xludf.DUMMYFUNCTION("REGEXEXTRACT(C13, """"""([^""""]+)"""""")"),"Items.VHard_50_RefBody_Feet")</f>
        <v>Items.VHard_50_RefBody_Feet</v>
      </c>
    </row>
    <row r="14">
      <c r="A14" s="8" t="s">
        <v>36</v>
      </c>
      <c r="B14" s="4" t="s">
        <v>6</v>
      </c>
      <c r="C14" s="5" t="s">
        <v>42</v>
      </c>
      <c r="D14" s="9" t="s">
        <v>43</v>
      </c>
      <c r="E14" s="7" t="str">
        <f>IFERROR(__xludf.DUMMYFUNCTION("REGEXEXTRACT(C14, """"""([^""""]+)"""""")"),"Items.Corporate_01_Set_FormalShoes")</f>
        <v>Items.Corporate_01_Set_FormalShoes</v>
      </c>
    </row>
    <row r="15">
      <c r="A15" s="8" t="s">
        <v>36</v>
      </c>
      <c r="B15" s="4" t="s">
        <v>9</v>
      </c>
      <c r="C15" s="5" t="s">
        <v>44</v>
      </c>
      <c r="D15" s="9" t="s">
        <v>45</v>
      </c>
      <c r="E15" s="7" t="str">
        <f>IFERROR(__xludf.DUMMYFUNCTION("REGEXEXTRACT(C15, """"""([^""""]+)"""""")"),"Items.Fixer_01_Set_FormalShoes")</f>
        <v>Items.Fixer_01_Set_FormalShoes</v>
      </c>
    </row>
    <row r="16">
      <c r="A16" s="8" t="s">
        <v>36</v>
      </c>
      <c r="B16" s="4" t="s">
        <v>12</v>
      </c>
      <c r="C16" s="5" t="s">
        <v>46</v>
      </c>
      <c r="D16" s="6" t="s">
        <v>47</v>
      </c>
      <c r="E16" s="7" t="str">
        <f>IFERROR(__xludf.DUMMYFUNCTION("REGEXEXTRACT(C16, """"""([^""""]+)"""""")"),"Items.Q005_Johnny_Shoes_Legendary")</f>
        <v>Items.Q005_Johnny_Shoes_Legendary</v>
      </c>
    </row>
    <row r="17">
      <c r="A17" s="8" t="s">
        <v>36</v>
      </c>
      <c r="B17" s="4" t="s">
        <v>15</v>
      </c>
      <c r="C17" s="5" t="s">
        <v>48</v>
      </c>
      <c r="D17" s="6" t="s">
        <v>49</v>
      </c>
      <c r="E17" s="7" t="str">
        <f>IFERROR(__xludf.DUMMYFUNCTION("REGEXEXTRACT(C17, """"""([^""""]+)"""""")"),"Items.Media_01_Set_Shoes")</f>
        <v>Items.Media_01_Set_Shoes</v>
      </c>
    </row>
    <row r="18">
      <c r="A18" s="8" t="s">
        <v>36</v>
      </c>
      <c r="B18" s="4" t="s">
        <v>18</v>
      </c>
      <c r="C18" s="5" t="s">
        <v>50</v>
      </c>
      <c r="D18" s="6" t="s">
        <v>51</v>
      </c>
      <c r="E18" s="7" t="str">
        <f>IFERROR(__xludf.DUMMYFUNCTION("REGEXEXTRACT(C18, """"""([^""""]+)"""""")"),"Items.Netrunner_01_Set_Shoes")</f>
        <v>Items.Netrunner_01_Set_Shoes</v>
      </c>
    </row>
    <row r="19">
      <c r="A19" s="8" t="s">
        <v>36</v>
      </c>
      <c r="B19" s="4" t="s">
        <v>21</v>
      </c>
      <c r="C19" s="5" t="s">
        <v>52</v>
      </c>
      <c r="D19" s="6" t="s">
        <v>53</v>
      </c>
      <c r="E19" s="7" t="str">
        <f>IFERROR(__xludf.DUMMYFUNCTION("REGEXEXTRACT(C19, """"""([^""""]+)"""""")"),"Items.Nomad_01_Set_Boots")</f>
        <v>Items.Nomad_01_Set_Boots</v>
      </c>
    </row>
    <row r="20">
      <c r="A20" s="8" t="s">
        <v>36</v>
      </c>
      <c r="B20" s="4" t="s">
        <v>24</v>
      </c>
      <c r="C20" s="5" t="s">
        <v>54</v>
      </c>
      <c r="D20" s="6" t="s">
        <v>55</v>
      </c>
      <c r="E20" s="7" t="str">
        <f>IFERROR(__xludf.DUMMYFUNCTION("REGEXEXTRACT(C20, """"""([^""""]+)"""""")"),"Items.Cop_01_Set_Boots")</f>
        <v>Items.Cop_01_Set_Boots</v>
      </c>
    </row>
    <row r="21">
      <c r="A21" s="8" t="s">
        <v>36</v>
      </c>
      <c r="B21" s="4" t="s">
        <v>27</v>
      </c>
      <c r="C21" s="5" t="s">
        <v>56</v>
      </c>
      <c r="D21" s="9" t="s">
        <v>57</v>
      </c>
      <c r="E21" s="7" t="str">
        <f>IFERROR(__xludf.DUMMYFUNCTION("REGEXEXTRACT(C21, """"""([^""""]+)"""""")"),"Items.Rockerboy_01_Set_Boots")</f>
        <v>Items.Rockerboy_01_Set_Boots</v>
      </c>
    </row>
    <row r="22">
      <c r="A22" s="8" t="s">
        <v>36</v>
      </c>
      <c r="B22" s="4" t="s">
        <v>58</v>
      </c>
      <c r="C22" s="5" t="s">
        <v>59</v>
      </c>
      <c r="D22" s="10" t="s">
        <v>60</v>
      </c>
      <c r="E22" s="7" t="str">
        <f>IFERROR(__xludf.DUMMYFUNCTION("REGEXEXTRACT(C22, """"""([^""""]+)"""""")"),"Items.Q115_Custom_Predator_Boots")</f>
        <v>Items.Q115_Custom_Predator_Boots</v>
      </c>
    </row>
    <row r="23">
      <c r="A23" s="8" t="s">
        <v>36</v>
      </c>
      <c r="B23" s="4" t="s">
        <v>30</v>
      </c>
      <c r="C23" s="5" t="s">
        <v>61</v>
      </c>
      <c r="D23" s="6" t="s">
        <v>62</v>
      </c>
      <c r="E23" s="7" t="str">
        <f>IFERROR(__xludf.DUMMYFUNCTION("REGEXEXTRACT(C23, """"""([^""""]+)"""""")"),"Items.Solo_01_Set_Boots")</f>
        <v>Items.Solo_01_Set_Boots</v>
      </c>
    </row>
    <row r="24">
      <c r="A24" s="8" t="s">
        <v>36</v>
      </c>
      <c r="B24" s="4" t="s">
        <v>33</v>
      </c>
      <c r="C24" s="5" t="s">
        <v>63</v>
      </c>
      <c r="D24" s="6" t="s">
        <v>64</v>
      </c>
      <c r="E24" s="7" t="str">
        <f>IFERROR(__xludf.DUMMYFUNCTION("REGEXEXTRACT(C24, """"""([^""""]+)"""""")"),"Items.Techie_01_Set_Shoes")</f>
        <v>Items.Techie_01_Set_Shoes</v>
      </c>
    </row>
    <row r="25">
      <c r="A25" s="8" t="s">
        <v>36</v>
      </c>
      <c r="B25" s="4" t="s">
        <v>65</v>
      </c>
      <c r="C25" s="5" t="s">
        <v>66</v>
      </c>
      <c r="D25" s="11" t="s">
        <v>67</v>
      </c>
      <c r="E25" s="7" t="str">
        <f>IFERROR(__xludf.DUMMYFUNCTION("REGEXEXTRACT(C25, """"""([^""""]+)"""""")"),"Items.Q000_Corpo_FormalShoes")</f>
        <v>Items.Q000_Corpo_FormalShoes</v>
      </c>
    </row>
    <row r="26">
      <c r="A26" s="8" t="s">
        <v>36</v>
      </c>
      <c r="B26" s="4" t="s">
        <v>68</v>
      </c>
      <c r="C26" s="5" t="s">
        <v>69</v>
      </c>
      <c r="D26" s="11" t="s">
        <v>70</v>
      </c>
      <c r="E26" s="7" t="str">
        <f>IFERROR(__xludf.DUMMYFUNCTION("REGEXEXTRACT(C26, """"""([^""""]+)"""""")"),"Items.Q000_Nomad_Boots")</f>
        <v>Items.Q000_Nomad_Boots</v>
      </c>
    </row>
    <row r="27">
      <c r="A27" s="8" t="s">
        <v>36</v>
      </c>
      <c r="B27" s="4" t="s">
        <v>71</v>
      </c>
      <c r="C27" s="5" t="s">
        <v>72</v>
      </c>
      <c r="D27" s="11" t="s">
        <v>73</v>
      </c>
      <c r="E27" s="7" t="str">
        <f>IFERROR(__xludf.DUMMYFUNCTION("REGEXEXTRACT(C27, """"""([^""""]+)"""""")"),"Items.Q203_Epilogue_Boots")</f>
        <v>Items.Q203_Epilogue_Boots</v>
      </c>
    </row>
    <row r="28">
      <c r="A28" s="8" t="s">
        <v>36</v>
      </c>
      <c r="B28" s="4" t="s">
        <v>71</v>
      </c>
      <c r="C28" s="5" t="s">
        <v>74</v>
      </c>
      <c r="D28" s="11" t="s">
        <v>75</v>
      </c>
      <c r="E28" s="7" t="str">
        <f>IFERROR(__xludf.DUMMYFUNCTION("REGEXEXTRACT(C28, """"""([^""""]+)"""""")"),"Items.Q202_Epilogue_Boots")</f>
        <v>Items.Q202_Epilogue_Boots</v>
      </c>
    </row>
    <row r="29">
      <c r="A29" s="8" t="s">
        <v>36</v>
      </c>
      <c r="B29" s="4" t="s">
        <v>71</v>
      </c>
      <c r="C29" s="5" t="s">
        <v>76</v>
      </c>
      <c r="D29" s="11" t="s">
        <v>77</v>
      </c>
      <c r="E29" s="7" t="str">
        <f>IFERROR(__xludf.DUMMYFUNCTION("REGEXEXTRACT(C29, """"""([^""""]+)"""""")"),"Items.Q001_Shoes")</f>
        <v>Items.Q001_Shoes</v>
      </c>
    </row>
    <row r="30">
      <c r="A30" s="8" t="s">
        <v>36</v>
      </c>
      <c r="B30" s="4" t="s">
        <v>78</v>
      </c>
      <c r="C30" s="5" t="s">
        <v>79</v>
      </c>
      <c r="D30" s="11" t="s">
        <v>80</v>
      </c>
      <c r="E30" s="7" t="str">
        <f>IFERROR(__xludf.DUMMYFUNCTION("REGEXEXTRACT(C30, """"""([^""""]+)"""""")"),"Items.Q000_StreetKid_Shoes")</f>
        <v>Items.Q000_StreetKid_Shoes</v>
      </c>
    </row>
    <row r="31">
      <c r="A31" s="12" t="s">
        <v>81</v>
      </c>
      <c r="B31" s="13" t="s">
        <v>82</v>
      </c>
      <c r="C31" s="5" t="s">
        <v>83</v>
      </c>
      <c r="D31" s="6" t="s">
        <v>84</v>
      </c>
      <c r="E31" s="7" t="str">
        <f>IFERROR(__xludf.DUMMYFUNCTION("REGEXEXTRACT(C31, """"""([^""""]+)"""""")"),"Items.Proficiency_Scarf_02_rich_01_Crafting")</f>
        <v>Items.Proficiency_Scarf_02_rich_01_Crafting</v>
      </c>
    </row>
    <row r="32">
      <c r="A32" s="12" t="s">
        <v>81</v>
      </c>
      <c r="B32" s="3" t="s">
        <v>37</v>
      </c>
      <c r="C32" s="5" t="s">
        <v>85</v>
      </c>
      <c r="D32" s="6" t="s">
        <v>86</v>
      </c>
      <c r="E32" s="7" t="str">
        <f>IFERROR(__xludf.DUMMYFUNCTION("REGEXEXTRACT(C32, """"""([^""""]+)"""""")"),"Items.Q303_mask_h1")</f>
        <v>Items.Q303_mask_h1</v>
      </c>
    </row>
    <row r="33">
      <c r="A33" s="12" t="s">
        <v>81</v>
      </c>
      <c r="B33" s="3" t="s">
        <v>37</v>
      </c>
      <c r="C33" s="5" t="s">
        <v>87</v>
      </c>
      <c r="D33" s="6" t="s">
        <v>88</v>
      </c>
      <c r="E33" s="7" t="str">
        <f>IFERROR(__xludf.DUMMYFUNCTION("REGEXEXTRACT(C33, """"""([^""""]+)"""""")"),"Items.q301_fia_helmet")</f>
        <v>Items.q301_fia_helmet</v>
      </c>
    </row>
    <row r="34">
      <c r="A34" s="12" t="s">
        <v>81</v>
      </c>
      <c r="B34" s="3" t="s">
        <v>37</v>
      </c>
      <c r="C34" s="5" t="s">
        <v>89</v>
      </c>
      <c r="D34" s="6" t="s">
        <v>90</v>
      </c>
      <c r="E34" s="7" t="str">
        <f>IFERROR(__xludf.DUMMYFUNCTION("REGEXEXTRACT(C34, """"""([^""""]+)"""""")"),"Items.Twitch_Drop_Specs")</f>
        <v>Items.Twitch_Drop_Specs</v>
      </c>
    </row>
    <row r="35">
      <c r="A35" s="12" t="s">
        <v>81</v>
      </c>
      <c r="B35" s="4" t="s">
        <v>91</v>
      </c>
      <c r="C35" s="5" t="s">
        <v>92</v>
      </c>
      <c r="D35" s="11" t="s">
        <v>93</v>
      </c>
      <c r="E35" s="7" t="str">
        <f>IFERROR(__xludf.DUMMYFUNCTION("REGEXEXTRACT(C35, """"""([^""""]+)"""""")"),"Items.SQ030_MaxTac_Helmet")</f>
        <v>Items.SQ030_MaxTac_Helmet</v>
      </c>
    </row>
    <row r="36">
      <c r="A36" s="12" t="s">
        <v>81</v>
      </c>
      <c r="B36" s="4" t="s">
        <v>15</v>
      </c>
      <c r="C36" s="5" t="s">
        <v>94</v>
      </c>
      <c r="D36" s="6" t="s">
        <v>95</v>
      </c>
      <c r="E36" s="7" t="str">
        <f>IFERROR(__xludf.DUMMYFUNCTION("REGEXEXTRACT(C36, """"""([^""""]+)"""""")"),"Items.Media_01_Set_Cap")</f>
        <v>Items.Media_01_Set_Cap</v>
      </c>
    </row>
    <row r="37">
      <c r="A37" s="12" t="s">
        <v>81</v>
      </c>
      <c r="B37" s="4" t="s">
        <v>24</v>
      </c>
      <c r="C37" s="5" t="s">
        <v>96</v>
      </c>
      <c r="D37" s="11" t="s">
        <v>97</v>
      </c>
      <c r="E37" s="7" t="str">
        <f>IFERROR(__xludf.DUMMYFUNCTION("REGEXEXTRACT(C37, """"""([^""""]+)"""""")"),"Items.Helmet_02_basic_01")</f>
        <v>Items.Helmet_02_basic_01</v>
      </c>
    </row>
    <row r="38">
      <c r="A38" s="12" t="s">
        <v>81</v>
      </c>
      <c r="B38" s="4" t="s">
        <v>33</v>
      </c>
      <c r="C38" s="5" t="s">
        <v>98</v>
      </c>
      <c r="D38" s="6" t="s">
        <v>99</v>
      </c>
      <c r="E38" s="7" t="str">
        <f>IFERROR(__xludf.DUMMYFUNCTION("REGEXEXTRACT(C38, """"""([^""""]+)"""""")"),"Items.Techie_01_Set_Cap")</f>
        <v>Items.Techie_01_Set_Cap</v>
      </c>
    </row>
    <row r="39">
      <c r="A39" s="14" t="s">
        <v>100</v>
      </c>
      <c r="B39" s="3" t="s">
        <v>37</v>
      </c>
      <c r="C39" s="5" t="s">
        <v>101</v>
      </c>
      <c r="D39" s="6" t="s">
        <v>102</v>
      </c>
      <c r="E39" s="7" t="str">
        <f>IFERROR(__xludf.DUMMYFUNCTION("REGEXEXTRACT(C39, """"""([^""""]+)"""""")"),"Items.Red_Play_TShirt")</f>
        <v>Items.Red_Play_TShirt</v>
      </c>
    </row>
    <row r="40">
      <c r="A40" s="14" t="s">
        <v>100</v>
      </c>
      <c r="B40" s="3" t="s">
        <v>37</v>
      </c>
      <c r="C40" s="5" t="s">
        <v>103</v>
      </c>
      <c r="D40" s="15" t="s">
        <v>104</v>
      </c>
      <c r="E40" s="7" t="str">
        <f>IFERROR(__xludf.DUMMYFUNCTION("REGEXEXTRACT(C40, """"""([^""""]+)"""""")"),"Items.Q303_lina_tshirt")</f>
        <v>Items.Q303_lina_tshirt</v>
      </c>
    </row>
    <row r="41">
      <c r="A41" s="14" t="s">
        <v>100</v>
      </c>
      <c r="B41" s="4" t="s">
        <v>6</v>
      </c>
      <c r="C41" s="5" t="s">
        <v>105</v>
      </c>
      <c r="D41" s="6" t="s">
        <v>106</v>
      </c>
      <c r="E41" s="7" t="str">
        <f>IFERROR(__xludf.DUMMYFUNCTION("REGEXEXTRACT(C41, """"""([^""""]+)"""""")"),"Items.Corporate_01_Set_FormalShirt")</f>
        <v>Items.Corporate_01_Set_FormalShirt</v>
      </c>
    </row>
    <row r="42">
      <c r="A42" s="14" t="s">
        <v>100</v>
      </c>
      <c r="B42" s="4" t="s">
        <v>9</v>
      </c>
      <c r="C42" s="5" t="s">
        <v>107</v>
      </c>
      <c r="D42" s="9" t="s">
        <v>108</v>
      </c>
      <c r="E42" s="7" t="str">
        <f>IFERROR(__xludf.DUMMYFUNCTION("REGEXEXTRACT(C42, """"""([^""""]+)"""""")"),"Items.Fixer_01_Set_TShirt")</f>
        <v>Items.Fixer_01_Set_TShirt</v>
      </c>
    </row>
    <row r="43">
      <c r="A43" s="14" t="s">
        <v>100</v>
      </c>
      <c r="B43" s="4" t="s">
        <v>109</v>
      </c>
      <c r="C43" s="5" t="s">
        <v>110</v>
      </c>
      <c r="D43" s="6" t="s">
        <v>111</v>
      </c>
      <c r="E43" s="7" t="str">
        <f>IFERROR(__xludf.DUMMYFUNCTION("REGEXEXTRACT(C43, """"""([^""""]+)"""""")"),"Items.GOG_Galaxy_TShirt_Legendary")</f>
        <v>Items.GOG_Galaxy_TShirt_Legendary</v>
      </c>
    </row>
    <row r="44">
      <c r="A44" s="14" t="s">
        <v>100</v>
      </c>
      <c r="B44" s="4" t="s">
        <v>109</v>
      </c>
      <c r="C44" s="5" t="s">
        <v>112</v>
      </c>
      <c r="D44" s="6" t="s">
        <v>113</v>
      </c>
      <c r="E44" s="7" t="str">
        <f>IFERROR(__xludf.DUMMYFUNCTION("REGEXEXTRACT(C44, """"""([^""""]+)"""""")"),"Items.GOG_DLC_TShirt_Legendary")</f>
        <v>Items.GOG_DLC_TShirt_Legendary</v>
      </c>
    </row>
    <row r="45">
      <c r="A45" s="14" t="s">
        <v>100</v>
      </c>
      <c r="B45" s="4" t="s">
        <v>12</v>
      </c>
      <c r="C45" s="5" t="s">
        <v>114</v>
      </c>
      <c r="D45" s="11" t="s">
        <v>115</v>
      </c>
      <c r="E45" s="7" t="str">
        <f>IFERROR(__xludf.DUMMYFUNCTION("REGEXEXTRACT(C45, """"""([^""""]+)"""""")"),"Items.Q204_Epilogue_TShirt")</f>
        <v>Items.Q204_Epilogue_TShirt</v>
      </c>
    </row>
    <row r="46">
      <c r="A46" s="14" t="s">
        <v>100</v>
      </c>
      <c r="B46" s="4" t="s">
        <v>12</v>
      </c>
      <c r="C46" s="5" t="s">
        <v>116</v>
      </c>
      <c r="D46" s="6" t="s">
        <v>117</v>
      </c>
      <c r="E46" s="7" t="str">
        <f>IFERROR(__xludf.DUMMYFUNCTION("REGEXEXTRACT(C46, """"""([^""""]+)"""""")"),"Items.Q005_Johnny_Shirt_Legendary")</f>
        <v>Items.Q005_Johnny_Shirt_Legendary</v>
      </c>
    </row>
    <row r="47">
      <c r="A47" s="14" t="s">
        <v>100</v>
      </c>
      <c r="B47" s="4" t="s">
        <v>15</v>
      </c>
      <c r="C47" s="5" t="s">
        <v>118</v>
      </c>
      <c r="D47" s="6" t="s">
        <v>119</v>
      </c>
      <c r="E47" s="7" t="str">
        <f>IFERROR(__xludf.DUMMYFUNCTION("REGEXEXTRACT(C47, """"""([^""""]+)"""""")"),"Items.Media_01_Set_Shirt")</f>
        <v>Items.Media_01_Set_Shirt</v>
      </c>
    </row>
    <row r="48">
      <c r="A48" s="14" t="s">
        <v>100</v>
      </c>
      <c r="B48" s="4" t="s">
        <v>18</v>
      </c>
      <c r="C48" s="5" t="s">
        <v>120</v>
      </c>
      <c r="D48" s="6" t="s">
        <v>121</v>
      </c>
      <c r="E48" s="7" t="str">
        <f>IFERROR(__xludf.DUMMYFUNCTION("REGEXEXTRACT(C48, """"""([^""""]+)"""""")"),"Items.Netrunner_01_Set_Jumpsuit")</f>
        <v>Items.Netrunner_01_Set_Jumpsuit</v>
      </c>
    </row>
    <row r="49">
      <c r="A49" s="14" t="s">
        <v>100</v>
      </c>
      <c r="B49" s="4" t="s">
        <v>21</v>
      </c>
      <c r="C49" s="5" t="s">
        <v>122</v>
      </c>
      <c r="D49" s="6" t="s">
        <v>123</v>
      </c>
      <c r="E49" s="7" t="str">
        <f>IFERROR(__xludf.DUMMYFUNCTION("REGEXEXTRACT(C49, """"""([^""""]+)"""""")"),"Items.Nomad_01_Set_TShirt")</f>
        <v>Items.Nomad_01_Set_TShirt</v>
      </c>
    </row>
    <row r="50">
      <c r="A50" s="14" t="s">
        <v>100</v>
      </c>
      <c r="B50" s="4" t="s">
        <v>27</v>
      </c>
      <c r="C50" s="5" t="s">
        <v>124</v>
      </c>
      <c r="D50" s="9" t="s">
        <v>125</v>
      </c>
      <c r="E50" s="7" t="str">
        <f>IFERROR(__xludf.DUMMYFUNCTION("REGEXEXTRACT(C50, """"""([^""""]+)"""""")"),"Items.Rockerboy_01_Set_TShirt")</f>
        <v>Items.Rockerboy_01_Set_TShirt</v>
      </c>
    </row>
    <row r="51">
      <c r="A51" s="14" t="s">
        <v>100</v>
      </c>
      <c r="B51" s="4" t="s">
        <v>30</v>
      </c>
      <c r="C51" s="5" t="s">
        <v>126</v>
      </c>
      <c r="D51" s="6" t="s">
        <v>127</v>
      </c>
      <c r="E51" s="7" t="str">
        <f>IFERROR(__xludf.DUMMYFUNCTION("REGEXEXTRACT(C51, """"""([^""""]+)"""""")"),"Items.Solo_01_Set_TShirt")</f>
        <v>Items.Solo_01_Set_TShirt</v>
      </c>
    </row>
    <row r="52">
      <c r="A52" s="14" t="s">
        <v>100</v>
      </c>
      <c r="B52" s="4" t="s">
        <v>33</v>
      </c>
      <c r="C52" s="5" t="s">
        <v>128</v>
      </c>
      <c r="D52" s="6" t="s">
        <v>129</v>
      </c>
      <c r="E52" s="7" t="str">
        <f>IFERROR(__xludf.DUMMYFUNCTION("REGEXEXTRACT(C52, """"""([^""""]+)"""""")"),"Items.Techie_01_Set_TShirt")</f>
        <v>Items.Techie_01_Set_TShirt</v>
      </c>
    </row>
    <row r="53">
      <c r="A53" s="14" t="s">
        <v>100</v>
      </c>
      <c r="B53" s="4" t="s">
        <v>68</v>
      </c>
      <c r="C53" s="5" t="s">
        <v>130</v>
      </c>
      <c r="D53" s="11" t="s">
        <v>131</v>
      </c>
      <c r="E53" s="7" t="str">
        <f>IFERROR(__xludf.DUMMYFUNCTION("REGEXEXTRACT(C53, """"""([^""""]+)"""""")"),"Items.Q000_Nomad_TShirt")</f>
        <v>Items.Q000_Nomad_TShirt</v>
      </c>
    </row>
    <row r="54">
      <c r="A54" s="14" t="s">
        <v>100</v>
      </c>
      <c r="B54" s="4" t="s">
        <v>71</v>
      </c>
      <c r="C54" s="5" t="s">
        <v>132</v>
      </c>
      <c r="D54" s="11" t="s">
        <v>133</v>
      </c>
      <c r="E54" s="7" t="str">
        <f>IFERROR(__xludf.DUMMYFUNCTION("REGEXEXTRACT(C54, """"""([^""""]+)"""""")"),"Items.Q202_Epilogue_TShirt")</f>
        <v>Items.Q202_Epilogue_TShirt</v>
      </c>
    </row>
    <row r="55">
      <c r="A55" s="14" t="s">
        <v>100</v>
      </c>
      <c r="B55" s="4" t="s">
        <v>71</v>
      </c>
      <c r="C55" s="5" t="s">
        <v>134</v>
      </c>
      <c r="D55" s="11" t="s">
        <v>135</v>
      </c>
      <c r="E55" s="7" t="str">
        <f>IFERROR(__xludf.DUMMYFUNCTION("REGEXEXTRACT(C55, """"""([^""""]+)"""""")"),"Items.Q001_TShirt")</f>
        <v>Items.Q001_TShirt</v>
      </c>
    </row>
    <row r="56">
      <c r="A56" s="14" t="s">
        <v>100</v>
      </c>
      <c r="B56" s="4" t="s">
        <v>71</v>
      </c>
      <c r="C56" s="5" t="s">
        <v>136</v>
      </c>
      <c r="D56" s="11" t="s">
        <v>137</v>
      </c>
      <c r="E56" s="7" t="str">
        <f>IFERROR(__xludf.DUMMYFUNCTION("REGEXEXTRACT(C56, """"""([^""""]+)"""""")"),"Items.Q203_Epilogue_TShirt")</f>
        <v>Items.Q203_Epilogue_TShirt</v>
      </c>
    </row>
    <row r="57">
      <c r="A57" s="14" t="s">
        <v>100</v>
      </c>
      <c r="B57" s="4" t="s">
        <v>78</v>
      </c>
      <c r="C57" s="5" t="s">
        <v>138</v>
      </c>
      <c r="D57" s="11" t="s">
        <v>131</v>
      </c>
      <c r="E57" s="7" t="str">
        <f>IFERROR(__xludf.DUMMYFUNCTION("REGEXEXTRACT(C57, """"""([^""""]+)"""""")"),"Items.Q000_StreetKid_TShirt")</f>
        <v>Items.Q000_StreetKid_TShirt</v>
      </c>
    </row>
    <row r="58">
      <c r="A58" s="16" t="s">
        <v>139</v>
      </c>
      <c r="B58" s="3" t="s">
        <v>37</v>
      </c>
      <c r="C58" s="5" t="s">
        <v>140</v>
      </c>
      <c r="D58" s="6" t="s">
        <v>141</v>
      </c>
      <c r="E58" s="7" t="str">
        <f>IFERROR(__xludf.DUMMYFUNCTION("REGEXEXTRACT(C58, """"""([^""""]+)"""""")"),"Items.q301_fia_pants")</f>
        <v>Items.q301_fia_pants</v>
      </c>
    </row>
    <row r="59">
      <c r="A59" s="16" t="s">
        <v>139</v>
      </c>
      <c r="B59" s="3" t="s">
        <v>37</v>
      </c>
      <c r="C59" s="5" t="s">
        <v>142</v>
      </c>
      <c r="D59" s="6" t="s">
        <v>143</v>
      </c>
      <c r="E59" s="7" t="str">
        <f>IFERROR(__xludf.DUMMYFUNCTION("REGEXEXTRACT(C59, """"""([^""""]+)"""""")"),"Items.VHard_50_IntTech_Legs")</f>
        <v>Items.VHard_50_IntTech_Legs</v>
      </c>
    </row>
    <row r="60">
      <c r="A60" s="16" t="s">
        <v>139</v>
      </c>
      <c r="B60" s="3" t="s">
        <v>37</v>
      </c>
      <c r="C60" s="5" t="s">
        <v>144</v>
      </c>
      <c r="D60" s="6" t="s">
        <v>145</v>
      </c>
      <c r="E60" s="7" t="str">
        <f>IFERROR(__xludf.DUMMYFUNCTION("REGEXEXTRACT(C60, """"""([^""""]+)"""""")"),"Items.Twitch_Drop_Pants")</f>
        <v>Items.Twitch_Drop_Pants</v>
      </c>
    </row>
    <row r="61">
      <c r="A61" s="16" t="s">
        <v>139</v>
      </c>
      <c r="B61" s="4" t="s">
        <v>6</v>
      </c>
      <c r="C61" s="5" t="s">
        <v>146</v>
      </c>
      <c r="D61" s="6" t="s">
        <v>147</v>
      </c>
      <c r="E61" s="7" t="str">
        <f>IFERROR(__xludf.DUMMYFUNCTION("REGEXEXTRACT(C61, """"""([^""""]+)"""""")"),"Items.Corporate_01_Set_Pants")</f>
        <v>Items.Corporate_01_Set_Pants</v>
      </c>
    </row>
    <row r="62">
      <c r="A62" s="16" t="s">
        <v>139</v>
      </c>
      <c r="B62" s="4" t="s">
        <v>9</v>
      </c>
      <c r="C62" s="5" t="s">
        <v>148</v>
      </c>
      <c r="D62" s="9" t="s">
        <v>149</v>
      </c>
      <c r="E62" s="7" t="str">
        <f>IFERROR(__xludf.DUMMYFUNCTION("REGEXEXTRACT(C62, """"""([^""""]+)"""""")"),"Items.Fixer_01_Set_Pants")</f>
        <v>Items.Fixer_01_Set_Pants</v>
      </c>
    </row>
    <row r="63">
      <c r="A63" s="16" t="s">
        <v>139</v>
      </c>
      <c r="B63" s="4" t="s">
        <v>12</v>
      </c>
      <c r="C63" s="5" t="s">
        <v>150</v>
      </c>
      <c r="D63" s="6" t="s">
        <v>151</v>
      </c>
      <c r="E63" s="7" t="str">
        <f>IFERROR(__xludf.DUMMYFUNCTION("REGEXEXTRACT(C63, """"""([^""""]+)"""""")"),"Items.Q005_Johnny_Pants_Legendary")</f>
        <v>Items.Q005_Johnny_Pants_Legendary</v>
      </c>
    </row>
    <row r="64">
      <c r="A64" s="16" t="s">
        <v>139</v>
      </c>
      <c r="B64" s="4" t="s">
        <v>15</v>
      </c>
      <c r="C64" s="5" t="s">
        <v>152</v>
      </c>
      <c r="D64" s="6" t="s">
        <v>153</v>
      </c>
      <c r="E64" s="7" t="str">
        <f>IFERROR(__xludf.DUMMYFUNCTION("REGEXEXTRACT(C64, """"""([^""""]+)"""""")"),"Items.Media_01_Set_Pants")</f>
        <v>Items.Media_01_Set_Pants</v>
      </c>
    </row>
    <row r="65">
      <c r="A65" s="16" t="s">
        <v>139</v>
      </c>
      <c r="B65" s="4" t="s">
        <v>18</v>
      </c>
      <c r="C65" s="5" t="s">
        <v>154</v>
      </c>
      <c r="D65" s="9" t="s">
        <v>155</v>
      </c>
      <c r="E65" s="7" t="str">
        <f>IFERROR(__xludf.DUMMYFUNCTION("REGEXEXTRACT(C65, """"""([^""""]+)"""""")"),"Items.Netrunner_01_Set_Pants")</f>
        <v>Items.Netrunner_01_Set_Pants</v>
      </c>
    </row>
    <row r="66">
      <c r="A66" s="16" t="s">
        <v>139</v>
      </c>
      <c r="B66" s="4" t="s">
        <v>21</v>
      </c>
      <c r="C66" s="5" t="s">
        <v>156</v>
      </c>
      <c r="D66" s="6" t="s">
        <v>157</v>
      </c>
      <c r="E66" s="7" t="str">
        <f>IFERROR(__xludf.DUMMYFUNCTION("REGEXEXTRACT(C66, """"""([^""""]+)"""""")"),"Items.Nomad_01_Set_Pants")</f>
        <v>Items.Nomad_01_Set_Pants</v>
      </c>
    </row>
    <row r="67">
      <c r="A67" s="16" t="s">
        <v>139</v>
      </c>
      <c r="B67" s="4" t="s">
        <v>24</v>
      </c>
      <c r="C67" s="5" t="s">
        <v>158</v>
      </c>
      <c r="D67" s="6" t="s">
        <v>159</v>
      </c>
      <c r="E67" s="7" t="str">
        <f>IFERROR(__xludf.DUMMYFUNCTION("REGEXEXTRACT(C67, """"""([^""""]+)"""""")"),"Items.Cop_01_Set_Pants")</f>
        <v>Items.Cop_01_Set_Pants</v>
      </c>
    </row>
    <row r="68">
      <c r="A68" s="16" t="s">
        <v>139</v>
      </c>
      <c r="B68" s="4" t="s">
        <v>27</v>
      </c>
      <c r="C68" s="5" t="s">
        <v>160</v>
      </c>
      <c r="D68" s="6" t="s">
        <v>161</v>
      </c>
      <c r="E68" s="7" t="str">
        <f>IFERROR(__xludf.DUMMYFUNCTION("REGEXEXTRACT(C68, """"""([^""""]+)"""""")"),"Items.Rockerboy_01_Set_Pants")</f>
        <v>Items.Rockerboy_01_Set_Pants</v>
      </c>
    </row>
    <row r="69">
      <c r="A69" s="16" t="s">
        <v>139</v>
      </c>
      <c r="B69" s="4" t="s">
        <v>30</v>
      </c>
      <c r="C69" s="5" t="s">
        <v>162</v>
      </c>
      <c r="D69" s="6" t="s">
        <v>163</v>
      </c>
      <c r="E69" s="7" t="str">
        <f>IFERROR(__xludf.DUMMYFUNCTION("REGEXEXTRACT(C69, """"""([^""""]+)"""""")"),"Items.Solo_01_Set_Pants")</f>
        <v>Items.Solo_01_Set_Pants</v>
      </c>
    </row>
    <row r="70">
      <c r="A70" s="16" t="s">
        <v>139</v>
      </c>
      <c r="B70" s="4" t="s">
        <v>33</v>
      </c>
      <c r="C70" s="5" t="s">
        <v>164</v>
      </c>
      <c r="D70" s="6" t="s">
        <v>165</v>
      </c>
      <c r="E70" s="7" t="str">
        <f>IFERROR(__xludf.DUMMYFUNCTION("REGEXEXTRACT(C70, """"""([^""""]+)"""""")"),"Items.Techie_01_Set_Pants")</f>
        <v>Items.Techie_01_Set_Pants</v>
      </c>
    </row>
    <row r="71">
      <c r="A71" s="16" t="s">
        <v>139</v>
      </c>
      <c r="B71" s="4" t="s">
        <v>65</v>
      </c>
      <c r="C71" s="5" t="s">
        <v>166</v>
      </c>
      <c r="D71" s="11" t="s">
        <v>167</v>
      </c>
      <c r="E71" s="7" t="str">
        <f>IFERROR(__xludf.DUMMYFUNCTION("REGEXEXTRACT(C71, """"""([^""""]+)"""""")"),"Items.Q000_Corpo_FormalPants")</f>
        <v>Items.Q000_Corpo_FormalPants</v>
      </c>
    </row>
    <row r="72">
      <c r="A72" s="16" t="s">
        <v>139</v>
      </c>
      <c r="B72" s="4" t="s">
        <v>68</v>
      </c>
      <c r="C72" s="5" t="s">
        <v>168</v>
      </c>
      <c r="D72" s="11" t="s">
        <v>169</v>
      </c>
      <c r="E72" s="7" t="str">
        <f>IFERROR(__xludf.DUMMYFUNCTION("REGEXEXTRACT(C72, """"""([^""""]+)"""""")"),"Items.Q000_Nomad_Pants")</f>
        <v>Items.Q000_Nomad_Pants</v>
      </c>
    </row>
    <row r="73">
      <c r="A73" s="16" t="s">
        <v>139</v>
      </c>
      <c r="B73" s="4" t="s">
        <v>71</v>
      </c>
      <c r="C73" s="5" t="s">
        <v>170</v>
      </c>
      <c r="D73" s="11" t="s">
        <v>171</v>
      </c>
      <c r="E73" s="7" t="str">
        <f>IFERROR(__xludf.DUMMYFUNCTION("REGEXEXTRACT(C73, """"""([^""""]+)"""""")"),"Items.Q203_Epilogue_Pants")</f>
        <v>Items.Q203_Epilogue_Pants</v>
      </c>
    </row>
    <row r="74">
      <c r="A74" s="16" t="s">
        <v>139</v>
      </c>
      <c r="B74" s="4" t="s">
        <v>71</v>
      </c>
      <c r="C74" s="5" t="s">
        <v>172</v>
      </c>
      <c r="D74" s="11" t="s">
        <v>173</v>
      </c>
      <c r="E74" s="7" t="str">
        <f>IFERROR(__xludf.DUMMYFUNCTION("REGEXEXTRACT(C74, """"""([^""""]+)"""""")"),"Items.Q202_Epilogue_Pants")</f>
        <v>Items.Q202_Epilogue_Pants</v>
      </c>
    </row>
    <row r="75">
      <c r="A75" s="16" t="s">
        <v>139</v>
      </c>
      <c r="B75" s="4" t="s">
        <v>71</v>
      </c>
      <c r="C75" s="5" t="s">
        <v>174</v>
      </c>
      <c r="D75" s="11" t="s">
        <v>175</v>
      </c>
      <c r="E75" s="7" t="str">
        <f>IFERROR(__xludf.DUMMYFUNCTION("REGEXEXTRACT(C75, """"""([^""""]+)"""""")"),"Items.Q001_Pants")</f>
        <v>Items.Q001_Pants</v>
      </c>
    </row>
    <row r="76">
      <c r="A76" s="16" t="s">
        <v>139</v>
      </c>
      <c r="B76" s="4" t="s">
        <v>78</v>
      </c>
      <c r="C76" s="5" t="s">
        <v>176</v>
      </c>
      <c r="D76" s="11" t="s">
        <v>177</v>
      </c>
      <c r="E76" s="7" t="str">
        <f>IFERROR(__xludf.DUMMYFUNCTION("REGEXEXTRACT(C76, """"""([^""""]+)"""""")"),"Items.Q000_StreetKid_Pants")</f>
        <v>Items.Q000_StreetKid_Pants</v>
      </c>
    </row>
    <row r="77">
      <c r="A77" s="17" t="s">
        <v>178</v>
      </c>
      <c r="B77" s="13" t="s">
        <v>82</v>
      </c>
      <c r="C77" s="5" t="s">
        <v>179</v>
      </c>
      <c r="D77" s="11" t="s">
        <v>180</v>
      </c>
      <c r="E77" s="7" t="str">
        <f>IFERROR(__xludf.DUMMYFUNCTION("REGEXEXTRACT(C77, """"""([^""""]+)"""""")"),"Items.mq017_SameraiJacket")</f>
        <v>Items.mq017_SameraiJacket</v>
      </c>
    </row>
    <row r="78">
      <c r="A78" s="17" t="s">
        <v>178</v>
      </c>
      <c r="B78" s="3" t="s">
        <v>181</v>
      </c>
      <c r="C78" s="5" t="s">
        <v>182</v>
      </c>
      <c r="D78" s="11" t="s">
        <v>183</v>
      </c>
      <c r="E78" s="7" t="str">
        <f>IFERROR(__xludf.DUMMYFUNCTION("REGEXEXTRACT(C78, """"""([^""""]+)"""""")"),"Items.MQ049_martinez_jacket")</f>
        <v>Items.MQ049_martinez_jacket</v>
      </c>
    </row>
    <row r="79">
      <c r="A79" s="17" t="s">
        <v>178</v>
      </c>
      <c r="B79" s="3" t="s">
        <v>37</v>
      </c>
      <c r="C79" s="5" t="s">
        <v>184</v>
      </c>
      <c r="D79" s="6" t="s">
        <v>185</v>
      </c>
      <c r="E79" s="7" t="str">
        <f>IFERROR(__xludf.DUMMYFUNCTION("REGEXEXTRACT(C79, """"""([^""""]+)"""""")"),"Items.q301_fia_chest")</f>
        <v>Items.q301_fia_chest</v>
      </c>
    </row>
    <row r="80">
      <c r="A80" s="17" t="s">
        <v>178</v>
      </c>
      <c r="B80" s="3" t="s">
        <v>37</v>
      </c>
      <c r="C80" s="5" t="s">
        <v>186</v>
      </c>
      <c r="D80" s="6" t="s">
        <v>187</v>
      </c>
      <c r="E80" s="7" t="str">
        <f>IFERROR(__xludf.DUMMYFUNCTION("REGEXEXTRACT(C80, """"""([^""""]+)"""""")"),"Items.Twitch_Drop_Vest")</f>
        <v>Items.Twitch_Drop_Vest</v>
      </c>
    </row>
    <row r="81">
      <c r="A81" s="17" t="s">
        <v>178</v>
      </c>
      <c r="B81" s="3" t="s">
        <v>37</v>
      </c>
      <c r="C81" s="5" t="s">
        <v>188</v>
      </c>
      <c r="D81" s="6" t="s">
        <v>189</v>
      </c>
      <c r="E81" s="7" t="str">
        <f>IFERROR(__xludf.DUMMYFUNCTION("REGEXEXTRACT(C81, """"""([^""""]+)"""""")"),"Items.Red_Play_Vest")</f>
        <v>Items.Red_Play_Vest</v>
      </c>
    </row>
    <row r="82">
      <c r="A82" s="17" t="s">
        <v>178</v>
      </c>
      <c r="B82" s="3" t="s">
        <v>37</v>
      </c>
      <c r="C82" s="5" t="s">
        <v>190</v>
      </c>
      <c r="D82" s="6" t="s">
        <v>191</v>
      </c>
      <c r="E82" s="7" t="str">
        <f>IFERROR(__xludf.DUMMYFUNCTION("REGEXEXTRACT(C82, """"""([^""""]+)"""""")"),"Items.Red_Play_Jacket")</f>
        <v>Items.Red_Play_Jacket</v>
      </c>
    </row>
    <row r="83">
      <c r="A83" s="17" t="s">
        <v>178</v>
      </c>
      <c r="B83" s="4" t="s">
        <v>6</v>
      </c>
      <c r="C83" s="5" t="s">
        <v>192</v>
      </c>
      <c r="D83" s="6" t="s">
        <v>193</v>
      </c>
      <c r="E83" s="7" t="str">
        <f>IFERROR(__xludf.DUMMYFUNCTION("REGEXEXTRACT(C83, """"""([^""""]+)"""""")"),"Items.Corporate_01_Set_FormalJacket")</f>
        <v>Items.Corporate_01_Set_FormalJacket</v>
      </c>
    </row>
    <row r="84">
      <c r="A84" s="17" t="s">
        <v>178</v>
      </c>
      <c r="B84" s="4" t="s">
        <v>9</v>
      </c>
      <c r="C84" s="5" t="s">
        <v>194</v>
      </c>
      <c r="D84" s="9" t="s">
        <v>195</v>
      </c>
      <c r="E84" s="7" t="str">
        <f>IFERROR(__xludf.DUMMYFUNCTION("REGEXEXTRACT(C84, """"""([^""""]+)"""""")"),"Items.Fixer_01_Set_Coat")</f>
        <v>Items.Fixer_01_Set_Coat</v>
      </c>
    </row>
    <row r="85">
      <c r="A85" s="17" t="s">
        <v>178</v>
      </c>
      <c r="B85" s="4" t="s">
        <v>109</v>
      </c>
      <c r="C85" s="5" t="s">
        <v>196</v>
      </c>
      <c r="D85" s="6" t="s">
        <v>197</v>
      </c>
      <c r="E85" s="7" t="str">
        <f>IFERROR(__xludf.DUMMYFUNCTION("REGEXEXTRACT(C85, """"""([^""""]+)"""""")"),"Items.GOG_DLC_Jacket_Legendary")</f>
        <v>Items.GOG_DLC_Jacket_Legendary</v>
      </c>
    </row>
    <row r="86">
      <c r="A86" s="17" t="s">
        <v>178</v>
      </c>
      <c r="B86" s="4" t="s">
        <v>12</v>
      </c>
      <c r="C86" s="5" t="s">
        <v>198</v>
      </c>
      <c r="D86" s="6" t="s">
        <v>199</v>
      </c>
      <c r="E86" s="7" t="str">
        <f>IFERROR(__xludf.DUMMYFUNCTION("REGEXEXTRACT(C86, """"""([^""""]+)"""""")"),"Items.SQ031_Samurai_Jacket_Legendary")</f>
        <v>Items.SQ031_Samurai_Jacket_Legendary</v>
      </c>
    </row>
    <row r="87">
      <c r="A87" s="17" t="s">
        <v>178</v>
      </c>
      <c r="B87" s="4" t="s">
        <v>91</v>
      </c>
      <c r="C87" s="5" t="s">
        <v>200</v>
      </c>
      <c r="D87" s="11" t="s">
        <v>201</v>
      </c>
      <c r="E87" s="7" t="str">
        <f>IFERROR(__xludf.DUMMYFUNCTION("REGEXEXTRACT(C87, """"""([^""""]+)"""""")"),"Items.SQ030_MaxTac_Chest")</f>
        <v>Items.SQ030_MaxTac_Chest</v>
      </c>
    </row>
    <row r="88">
      <c r="A88" s="17" t="s">
        <v>178</v>
      </c>
      <c r="B88" s="4" t="s">
        <v>15</v>
      </c>
      <c r="C88" s="5" t="s">
        <v>202</v>
      </c>
      <c r="D88" s="6" t="s">
        <v>203</v>
      </c>
      <c r="E88" s="7" t="str">
        <f>IFERROR(__xludf.DUMMYFUNCTION("REGEXEXTRACT(C88, """"""([^""""]+)"""""")"),"Items.Media_01_Set_Vest")</f>
        <v>Items.Media_01_Set_Vest</v>
      </c>
    </row>
    <row r="89">
      <c r="A89" s="17" t="s">
        <v>178</v>
      </c>
      <c r="B89" s="4" t="s">
        <v>21</v>
      </c>
      <c r="C89" s="5" t="s">
        <v>204</v>
      </c>
      <c r="D89" s="6" t="s">
        <v>205</v>
      </c>
      <c r="E89" s="7" t="str">
        <f>IFERROR(__xludf.DUMMYFUNCTION("REGEXEXTRACT(C89, """"""([^""""]+)"""""")"),"Items.Q114_Aldecaldo_Jacket")</f>
        <v>Items.Q114_Aldecaldo_Jacket</v>
      </c>
    </row>
    <row r="90">
      <c r="A90" s="17" t="s">
        <v>178</v>
      </c>
      <c r="B90" s="4" t="s">
        <v>21</v>
      </c>
      <c r="C90" s="5" t="s">
        <v>206</v>
      </c>
      <c r="D90" s="6" t="s">
        <v>207</v>
      </c>
      <c r="E90" s="7" t="str">
        <f>IFERROR(__xludf.DUMMYFUNCTION("REGEXEXTRACT(C90, """"""([^""""]+)"""""")"),"Items.Nomad_01_Set_Jacket")</f>
        <v>Items.Nomad_01_Set_Jacket</v>
      </c>
    </row>
    <row r="91">
      <c r="A91" s="17" t="s">
        <v>178</v>
      </c>
      <c r="B91" s="4" t="s">
        <v>24</v>
      </c>
      <c r="C91" s="5" t="s">
        <v>208</v>
      </c>
      <c r="D91" s="6" t="s">
        <v>209</v>
      </c>
      <c r="E91" s="7" t="str">
        <f>IFERROR(__xludf.DUMMYFUNCTION("REGEXEXTRACT(C91, """"""([^""""]+)"""""")"),"Items.Cop_01_Set_Jacket")</f>
        <v>Items.Cop_01_Set_Jacket</v>
      </c>
    </row>
    <row r="92">
      <c r="A92" s="17" t="s">
        <v>178</v>
      </c>
      <c r="B92" s="4" t="s">
        <v>27</v>
      </c>
      <c r="C92" s="5" t="s">
        <v>210</v>
      </c>
      <c r="D92" s="9" t="s">
        <v>211</v>
      </c>
      <c r="E92" s="7" t="str">
        <f>IFERROR(__xludf.DUMMYFUNCTION("REGEXEXTRACT(C92, """"""([^""""]+)"""""")"),"Items.Rockerboy_01_Set_Jacket")</f>
        <v>Items.Rockerboy_01_Set_Jacket</v>
      </c>
    </row>
    <row r="93">
      <c r="A93" s="17" t="s">
        <v>178</v>
      </c>
      <c r="B93" s="4" t="s">
        <v>58</v>
      </c>
      <c r="C93" s="5" t="s">
        <v>212</v>
      </c>
      <c r="D93" s="10" t="s">
        <v>213</v>
      </c>
      <c r="E93" s="7" t="str">
        <f>IFERROR(__xludf.DUMMYFUNCTION("REGEXEXTRACT(C93, """"""([^""""]+)"""""")"),"Items.Q115_Custom_Predator_Armor")</f>
        <v>Items.Q115_Custom_Predator_Armor</v>
      </c>
    </row>
    <row r="94">
      <c r="A94" s="17" t="s">
        <v>178</v>
      </c>
      <c r="B94" s="4" t="s">
        <v>30</v>
      </c>
      <c r="C94" s="5" t="s">
        <v>214</v>
      </c>
      <c r="D94" s="6" t="s">
        <v>215</v>
      </c>
      <c r="E94" s="7" t="str">
        <f>IFERROR(__xludf.DUMMYFUNCTION("REGEXEXTRACT(C94, """"""([^""""]+)"""""")"),"Items.Solo_01_Set_Jacket")</f>
        <v>Items.Solo_01_Set_Jacket</v>
      </c>
    </row>
    <row r="95">
      <c r="A95" s="17" t="s">
        <v>178</v>
      </c>
      <c r="B95" s="4" t="s">
        <v>33</v>
      </c>
      <c r="C95" s="5" t="s">
        <v>216</v>
      </c>
      <c r="D95" s="6" t="s">
        <v>217</v>
      </c>
      <c r="E95" s="7" t="str">
        <f>IFERROR(__xludf.DUMMYFUNCTION("REGEXEXTRACT(C95, """"""([^""""]+)"""""")"),"Items.Techie_01_Set_Vest")</f>
        <v>Items.Techie_01_Set_Vest</v>
      </c>
    </row>
    <row r="96">
      <c r="A96" s="17" t="s">
        <v>178</v>
      </c>
      <c r="B96" s="4" t="s">
        <v>65</v>
      </c>
      <c r="C96" s="5" t="s">
        <v>218</v>
      </c>
      <c r="D96" s="11" t="s">
        <v>219</v>
      </c>
      <c r="E96" s="7" t="str">
        <f>IFERROR(__xludf.DUMMYFUNCTION("REGEXEXTRACT(C96, """"""([^""""]+)"""""")"),"Items.Q000_Corpo_FormalJacket")</f>
        <v>Items.Q000_Corpo_FormalJacket</v>
      </c>
    </row>
    <row r="97">
      <c r="A97" s="17" t="s">
        <v>178</v>
      </c>
      <c r="B97" s="4" t="s">
        <v>68</v>
      </c>
      <c r="C97" s="5" t="s">
        <v>220</v>
      </c>
      <c r="D97" s="11" t="s">
        <v>221</v>
      </c>
      <c r="E97" s="7" t="str">
        <f>IFERROR(__xludf.DUMMYFUNCTION("REGEXEXTRACT(C97, """"""([^""""]+)"""""")"),"Items.Q000_Nomad_Vest")</f>
        <v>Items.Q000_Nomad_Vest</v>
      </c>
    </row>
    <row r="98">
      <c r="A98" s="17" t="s">
        <v>178</v>
      </c>
      <c r="B98" s="4" t="s">
        <v>68</v>
      </c>
      <c r="C98" s="5" t="s">
        <v>222</v>
      </c>
      <c r="D98" s="11" t="s">
        <v>223</v>
      </c>
      <c r="E98" s="7" t="str">
        <f>IFERROR(__xludf.DUMMYFUNCTION("REGEXEXTRACT(C98, """"""([^""""]+)"""""")"),"Items.Q000_Nomad_noPatch_Vest")</f>
        <v>Items.Q000_Nomad_noPatch_Vest</v>
      </c>
    </row>
    <row r="99">
      <c r="A99" s="18" t="s">
        <v>224</v>
      </c>
      <c r="B99" s="3" t="s">
        <v>37</v>
      </c>
      <c r="C99" s="5" t="s">
        <v>225</v>
      </c>
      <c r="D99" s="15" t="s">
        <v>226</v>
      </c>
      <c r="E99" s="7" t="str">
        <f>IFERROR(__xludf.DUMMYFUNCTION("REGEXEXTRACT(C99, """"""([^""""]+)"""""")"),"Items.MQ304_assassin_outfit")</f>
        <v>Items.MQ304_assassin_outfit</v>
      </c>
    </row>
    <row r="100">
      <c r="A100" s="18" t="s">
        <v>224</v>
      </c>
      <c r="B100" s="3" t="s">
        <v>37</v>
      </c>
      <c r="C100" s="5" t="s">
        <v>227</v>
      </c>
      <c r="D100" s="15" t="s">
        <v>228</v>
      </c>
      <c r="E100" s="7" t="str">
        <f>IFERROR(__xludf.DUMMYFUNCTION("REGEXEXTRACT(C100, """"""([^""""]+)"""""")"),"Items.Q306_corpbud_outfit")</f>
        <v>Items.Q306_corpbud_outfit</v>
      </c>
    </row>
    <row r="101">
      <c r="A101" s="18" t="s">
        <v>224</v>
      </c>
      <c r="B101" s="3" t="s">
        <v>37</v>
      </c>
      <c r="C101" s="5" t="s">
        <v>229</v>
      </c>
      <c r="D101" s="6" t="s">
        <v>230</v>
      </c>
      <c r="E101" s="7" t="str">
        <f>IFERROR(__xludf.DUMMYFUNCTION("REGEXEXTRACT(C101, """"""([^""""]+)"""""")"),"Items.Q307_hospital_outfit")</f>
        <v>Items.Q307_hospital_outfit</v>
      </c>
    </row>
    <row r="102">
      <c r="A102" s="18" t="s">
        <v>224</v>
      </c>
      <c r="B102" s="3" t="s">
        <v>37</v>
      </c>
      <c r="C102" s="5" t="s">
        <v>231</v>
      </c>
      <c r="D102" s="15" t="s">
        <v>232</v>
      </c>
      <c r="E102" s="7" t="str">
        <f>IFERROR(__xludf.DUMMYFUNCTION("REGEXEXTRACT(C102, """"""([^""""]+)"""""")"),"Items.Q304_netrunner_outfit")</f>
        <v>Items.Q304_netrunner_outfit</v>
      </c>
    </row>
    <row r="103">
      <c r="A103" s="18" t="s">
        <v>224</v>
      </c>
      <c r="B103" s="3" t="s">
        <v>37</v>
      </c>
      <c r="C103" s="5" t="s">
        <v>233</v>
      </c>
      <c r="D103" s="6" t="s">
        <v>234</v>
      </c>
      <c r="E103" s="7" t="str">
        <f>IFERROR(__xludf.DUMMYFUNCTION("REGEXEXTRACT(C103, """"""([^""""]+)"""""")"),"Items.Q301_nusa_agent")</f>
        <v>Items.Q301_nusa_agent</v>
      </c>
    </row>
    <row r="104">
      <c r="A104" s="18" t="s">
        <v>224</v>
      </c>
      <c r="B104" s="3" t="s">
        <v>37</v>
      </c>
      <c r="C104" s="5" t="s">
        <v>235</v>
      </c>
      <c r="D104" s="15" t="s">
        <v>236</v>
      </c>
      <c r="E104" s="7" t="str">
        <f>IFERROR(__xludf.DUMMYFUNCTION("REGEXEXTRACT(C104, """"""([^""""]+)"""""")"),"Items.Q305_hazmat")</f>
        <v>Items.Q305_hazmat</v>
      </c>
    </row>
    <row r="105">
      <c r="A105" s="18" t="s">
        <v>224</v>
      </c>
      <c r="B105" s="3" t="s">
        <v>37</v>
      </c>
      <c r="C105" s="5" t="s">
        <v>237</v>
      </c>
      <c r="D105" s="15" t="s">
        <v>238</v>
      </c>
      <c r="E105" s="7" t="str">
        <f>IFERROR(__xludf.DUMMYFUNCTION("REGEXEXTRACT(C105, """"""([^""""]+)"""""")"),"Items.Q307_ending_outfit")</f>
        <v>Items.Q307_ending_outfit</v>
      </c>
    </row>
    <row r="106">
      <c r="A106" s="18" t="s">
        <v>224</v>
      </c>
      <c r="B106" s="3" t="s">
        <v>37</v>
      </c>
      <c r="C106" s="5" t="s">
        <v>239</v>
      </c>
      <c r="D106" s="15" t="s">
        <v>240</v>
      </c>
      <c r="E106" s="7" t="str">
        <f>IFERROR(__xludf.DUMMYFUNCTION("REGEXEXTRACT(C106, """"""([^""""]+)"""""")"),"Items.Q303_party_outfit")</f>
        <v>Items.Q303_party_outfit</v>
      </c>
    </row>
    <row r="107">
      <c r="A107" s="18" t="s">
        <v>224</v>
      </c>
      <c r="B107" s="3" t="s">
        <v>37</v>
      </c>
      <c r="C107" s="5" t="s">
        <v>241</v>
      </c>
      <c r="D107" s="15" t="s">
        <v>240</v>
      </c>
      <c r="E107" s="7" t="str">
        <f>IFERROR(__xludf.DUMMYFUNCTION("REGEXEXTRACT(C107, """"""([^""""]+)"""""")"),"Items.Q303_party_outfit_ow")</f>
        <v>Items.Q303_party_outfit_ow</v>
      </c>
    </row>
    <row r="108">
      <c r="A108" s="18" t="s">
        <v>224</v>
      </c>
      <c r="B108" s="3" t="s">
        <v>37</v>
      </c>
      <c r="C108" s="5" t="s">
        <v>242</v>
      </c>
      <c r="D108" s="15" t="s">
        <v>243</v>
      </c>
      <c r="E108" s="7" t="str">
        <f>IFERROR(__xludf.DUMMYFUNCTION("REGEXEXTRACT(C108, """"""([^""""]+)"""""")"),"Items.Q303_diving_suit")</f>
        <v>Items.Q303_diving_suit</v>
      </c>
    </row>
    <row r="109">
      <c r="A109" s="18" t="s">
        <v>224</v>
      </c>
      <c r="B109" s="3" t="s">
        <v>37</v>
      </c>
      <c r="C109" s="5" t="s">
        <v>244</v>
      </c>
      <c r="D109" s="15" t="s">
        <v>243</v>
      </c>
      <c r="E109" s="7" t="str">
        <f>IFERROR(__xludf.DUMMYFUNCTION("REGEXEXTRACT(C109, """"""([^""""]+)"""""")"),"Items.Q303_diving_suit_ow")</f>
        <v>Items.Q303_diving_suit_ow</v>
      </c>
    </row>
    <row r="110">
      <c r="A110" s="18" t="s">
        <v>224</v>
      </c>
      <c r="B110" s="3" t="s">
        <v>37</v>
      </c>
      <c r="C110" s="5" t="s">
        <v>245</v>
      </c>
      <c r="D110" s="15" t="s">
        <v>243</v>
      </c>
      <c r="E110" s="7" t="str">
        <f>IFERROR(__xludf.DUMMYFUNCTION("REGEXEXTRACT(C110, """"""([^""""]+)"""""")"),"Items.Q303_diving_suit_ow_helmet")</f>
        <v>Items.Q303_diving_suit_ow_helmet</v>
      </c>
    </row>
    <row r="111">
      <c r="A111" s="18" t="s">
        <v>224</v>
      </c>
      <c r="B111" s="3" t="s">
        <v>37</v>
      </c>
      <c r="C111" s="5" t="s">
        <v>246</v>
      </c>
      <c r="D111" s="15" t="s">
        <v>247</v>
      </c>
      <c r="E111" s="7" t="str">
        <f>IFERROR(__xludf.DUMMYFUNCTION("REGEXEXTRACT(C111, """"""([^""""]+)"""""")"),"Items.Trauma_Team_Outfit")</f>
        <v>Items.Trauma_Team_Outfit</v>
      </c>
    </row>
    <row r="112">
      <c r="A112" s="18" t="s">
        <v>224</v>
      </c>
      <c r="B112" s="4" t="s">
        <v>224</v>
      </c>
      <c r="C112" s="5" t="s">
        <v>248</v>
      </c>
      <c r="D112" s="11" t="s">
        <v>249</v>
      </c>
      <c r="E112" s="7" t="str">
        <f>IFERROR(__xludf.DUMMYFUNCTION("REGEXEXTRACT(C112, """"""([^""""]+)"""""")"),"Items.Q115_Afterlife_Netrunner")</f>
        <v>Items.Q115_Afterlife_Netrunner</v>
      </c>
    </row>
    <row r="113">
      <c r="A113" s="18" t="s">
        <v>224</v>
      </c>
      <c r="B113" s="4" t="s">
        <v>224</v>
      </c>
      <c r="C113" s="5" t="s">
        <v>250</v>
      </c>
      <c r="D113" s="11" t="s">
        <v>251</v>
      </c>
      <c r="E113" s="7" t="str">
        <f>IFERROR(__xludf.DUMMYFUNCTION("REGEXEXTRACT(C113, """"""([^""""]+)"""""")"),"Items.Jumpsuit_03_old_01")</f>
        <v>Items.Jumpsuit_03_old_01</v>
      </c>
    </row>
    <row r="114">
      <c r="A114" s="18" t="s">
        <v>224</v>
      </c>
      <c r="B114" s="4" t="s">
        <v>224</v>
      </c>
      <c r="C114" s="5" t="s">
        <v>252</v>
      </c>
      <c r="D114" s="11" t="s">
        <v>253</v>
      </c>
      <c r="E114" s="7" t="str">
        <f>IFERROR(__xludf.DUMMYFUNCTION("REGEXEXTRACT(C114, """"""([^""""]+)"""""")"),"Items.Q101_Recovery_Bandage_Outfit")</f>
        <v>Items.Q101_Recovery_Bandage_Outfit</v>
      </c>
    </row>
    <row r="115">
      <c r="A115" s="18" t="s">
        <v>224</v>
      </c>
      <c r="B115" s="4" t="s">
        <v>224</v>
      </c>
      <c r="C115" s="5" t="s">
        <v>254</v>
      </c>
      <c r="D115" s="11" t="s">
        <v>255</v>
      </c>
      <c r="E115" s="7" t="str">
        <f>IFERROR(__xludf.DUMMYFUNCTION("REGEXEXTRACT(C115, """"""([^""""]+)"""""")"),"Items.Q005_Militech_Suit_Dirty")</f>
        <v>Items.Q005_Militech_Suit_Dirty</v>
      </c>
    </row>
    <row r="116">
      <c r="A116" s="18" t="s">
        <v>224</v>
      </c>
      <c r="B116" s="4" t="s">
        <v>224</v>
      </c>
      <c r="C116" s="5" t="s">
        <v>256</v>
      </c>
      <c r="D116" s="15" t="s">
        <v>257</v>
      </c>
      <c r="E116" s="7" t="str">
        <f>IFERROR(__xludf.DUMMYFUNCTION("REGEXEXTRACT(C116, """"""([^""""]+)"""""")"),"Items.SQ023_Joshua_Prisonwear")</f>
        <v>Items.SQ023_Joshua_Prisonwear</v>
      </c>
    </row>
    <row r="117">
      <c r="A117" s="18" t="s">
        <v>224</v>
      </c>
      <c r="B117" s="4" t="s">
        <v>224</v>
      </c>
      <c r="C117" s="5" t="s">
        <v>258</v>
      </c>
      <c r="D117" s="15" t="s">
        <v>259</v>
      </c>
      <c r="E117" s="7" t="str">
        <f>IFERROR(__xludf.DUMMYFUNCTION("REGEXEXTRACT(C117, """"""([^""""]+)"""""")"),"Items.SQ021_Lab_Costume")</f>
        <v>Items.SQ021_Lab_Costume</v>
      </c>
    </row>
    <row r="118">
      <c r="A118" s="18" t="s">
        <v>224</v>
      </c>
      <c r="B118" s="4" t="s">
        <v>224</v>
      </c>
      <c r="C118" s="5" t="s">
        <v>260</v>
      </c>
      <c r="D118" s="11" t="s">
        <v>261</v>
      </c>
      <c r="E118" s="7" t="str">
        <f>IFERROR(__xludf.DUMMYFUNCTION("REGEXEXTRACT(C118, """"""([^""""]+)"""""")"),"Items.Jumpsuit_03_old_03")</f>
        <v>Items.Jumpsuit_03_old_03</v>
      </c>
    </row>
    <row r="119">
      <c r="A119" s="18" t="s">
        <v>224</v>
      </c>
      <c r="B119" s="4" t="s">
        <v>224</v>
      </c>
      <c r="C119" s="5" t="s">
        <v>262</v>
      </c>
      <c r="D119" s="11" t="s">
        <v>263</v>
      </c>
      <c r="E119" s="7" t="str">
        <f>IFERROR(__xludf.DUMMYFUNCTION("REGEXEXTRACT(C119, """"""([^""""]+)"""""")"),"Items.Q005_Militech_Suit")</f>
        <v>Items.Q005_Militech_Suit</v>
      </c>
    </row>
    <row r="120">
      <c r="A120" s="18" t="s">
        <v>224</v>
      </c>
      <c r="B120" s="4" t="s">
        <v>224</v>
      </c>
      <c r="C120" s="5" t="s">
        <v>264</v>
      </c>
      <c r="D120" s="11" t="s">
        <v>265</v>
      </c>
      <c r="E120" s="7" t="str">
        <f>IFERROR(__xludf.DUMMYFUNCTION("REGEXEXTRACT(C120, """"""([^""""]+)"""""")"),"Items.Jumpsuit_03_old_02")</f>
        <v>Items.Jumpsuit_03_old_02</v>
      </c>
    </row>
    <row r="121">
      <c r="A121" s="18" t="s">
        <v>224</v>
      </c>
      <c r="B121" s="4" t="s">
        <v>224</v>
      </c>
      <c r="C121" s="5" t="s">
        <v>266</v>
      </c>
      <c r="D121" s="11" t="s">
        <v>267</v>
      </c>
      <c r="E121" s="7" t="str">
        <f>IFERROR(__xludf.DUMMYFUNCTION("REGEXEXTRACT(C121, """"""([^""""]+)"""""")"),"Items.SQ030_Diving_Suit_NoShoes")</f>
        <v>Items.SQ030_Diving_Suit_NoShoes</v>
      </c>
    </row>
    <row r="122">
      <c r="A122" s="18" t="s">
        <v>224</v>
      </c>
      <c r="B122" s="4" t="s">
        <v>224</v>
      </c>
      <c r="C122" s="5" t="s">
        <v>268</v>
      </c>
      <c r="D122" s="11" t="s">
        <v>269</v>
      </c>
      <c r="E122" s="7" t="str">
        <f>IFERROR(__xludf.DUMMYFUNCTION("REGEXEXTRACT(C122, """"""([^""""]+)"""""")"),"Items.SQ029_Police_Suit")</f>
        <v>Items.SQ029_Police_Suit</v>
      </c>
    </row>
    <row r="123">
      <c r="A123" s="18" t="s">
        <v>224</v>
      </c>
      <c r="B123" s="4" t="s">
        <v>224</v>
      </c>
      <c r="C123" s="5" t="s">
        <v>270</v>
      </c>
      <c r="D123" s="11" t="s">
        <v>271</v>
      </c>
      <c r="E123" s="7" t="str">
        <f>IFERROR(__xludf.DUMMYFUNCTION("REGEXEXTRACT(C123, """"""([^""""]+)"""""")"),"Items.Roach_Race_Outfit")</f>
        <v>Items.Roach_Race_Outfit</v>
      </c>
    </row>
    <row r="124">
      <c r="A124" s="18" t="s">
        <v>224</v>
      </c>
      <c r="B124" s="4" t="s">
        <v>224</v>
      </c>
      <c r="C124" s="5" t="s">
        <v>272</v>
      </c>
      <c r="D124" s="11" t="s">
        <v>273</v>
      </c>
      <c r="E124" s="7" t="str">
        <f>IFERROR(__xludf.DUMMYFUNCTION("REGEXEXTRACT(C124, """"""([^""""]+)"""""")"),"Items.Q005_Militech_Suit_Filthy")</f>
        <v>Items.Q005_Militech_Suit_Filthy</v>
      </c>
    </row>
    <row r="125">
      <c r="A125" s="18" t="s">
        <v>224</v>
      </c>
      <c r="B125" s="4" t="s">
        <v>224</v>
      </c>
      <c r="C125" s="5" t="s">
        <v>274</v>
      </c>
      <c r="D125" s="11" t="s">
        <v>275</v>
      </c>
      <c r="E125" s="7" t="str">
        <f>IFERROR(__xludf.DUMMYFUNCTION("REGEXEXTRACT(C125, """"""([^""""]+)"""""")"),"Items.Q114_Cyberspace_Jumpsuit")</f>
        <v>Items.Q114_Cyberspace_Jumpsuit</v>
      </c>
    </row>
    <row r="126">
      <c r="A126" s="18" t="s">
        <v>224</v>
      </c>
      <c r="B126" s="4" t="s">
        <v>276</v>
      </c>
      <c r="C126" s="5" t="s">
        <v>277</v>
      </c>
      <c r="D126" s="11" t="s">
        <v>278</v>
      </c>
      <c r="E126" s="7" t="str">
        <f>IFERROR(__xludf.DUMMYFUNCTION("REGEXEXTRACT(C126, """"""([^""""]+)"""""")"),"Items.Q203_Spacesuit_Outfit_NoHelmet")</f>
        <v>Items.Q203_Spacesuit_Outfit_NoHelmet</v>
      </c>
    </row>
    <row r="127">
      <c r="A127" s="18" t="s">
        <v>224</v>
      </c>
      <c r="B127" s="4" t="s">
        <v>276</v>
      </c>
      <c r="C127" s="5" t="s">
        <v>279</v>
      </c>
      <c r="D127" s="11" t="s">
        <v>280</v>
      </c>
      <c r="E127" s="7" t="str">
        <f>IFERROR(__xludf.DUMMYFUNCTION("REGEXEXTRACT(C127, """"""([^""""]+)"""""")"),"Items.Q203_Spacesuit_Outfit_WithHelmet")</f>
        <v>Items.Q203_Spacesuit_Outfit_WithHelmet</v>
      </c>
    </row>
    <row r="128">
      <c r="A128" s="18" t="s">
        <v>224</v>
      </c>
      <c r="B128" s="4" t="s">
        <v>65</v>
      </c>
      <c r="C128" s="5" t="s">
        <v>281</v>
      </c>
      <c r="D128" s="11" t="s">
        <v>282</v>
      </c>
      <c r="E128" s="7" t="str">
        <f>IFERROR(__xludf.DUMMYFUNCTION("REGEXEXTRACT(C128, """"""([^""""]+)"""""")"),"Items.Q000_half_Corpo")</f>
        <v>Items.Q000_half_Corpo</v>
      </c>
    </row>
    <row r="129">
      <c r="A129" s="18" t="s">
        <v>224</v>
      </c>
      <c r="B129" s="4" t="s">
        <v>68</v>
      </c>
      <c r="C129" s="5" t="s">
        <v>283</v>
      </c>
      <c r="D129" s="11" t="s">
        <v>284</v>
      </c>
      <c r="E129" s="7" t="str">
        <f>IFERROR(__xludf.DUMMYFUNCTION("REGEXEXTRACT(C129, """"""([^""""]+)"""""")"),"Items.Q000_half_Nomad")</f>
        <v>Items.Q000_half_Nomad</v>
      </c>
    </row>
    <row r="130">
      <c r="A130" s="19" t="s">
        <v>224</v>
      </c>
      <c r="B130" s="20" t="s">
        <v>78</v>
      </c>
      <c r="C130" s="21" t="s">
        <v>285</v>
      </c>
      <c r="D130" s="22" t="s">
        <v>286</v>
      </c>
      <c r="E130" s="7" t="str">
        <f>IFERROR(__xludf.DUMMYFUNCTION("REGEXEXTRACT(C130, """"""([^""""]+)"""""")"),"Items.Q000_half_StreetKid")</f>
        <v>Items.Q000_half_StreetKid</v>
      </c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  <row r="954">
      <c r="A954" s="23"/>
      <c r="B954" s="23"/>
      <c r="C954" s="24"/>
      <c r="D954" s="23"/>
      <c r="E954" s="25" t="str">
        <f>IFERROR(__xludf.DUMMYFUNCTION("REGEXEXTRACT(C954, """"""([^""""]+)"""""")"),"#N/A")</f>
        <v>#N/A</v>
      </c>
    </row>
    <row r="955">
      <c r="A955" s="23"/>
      <c r="B955" s="23"/>
      <c r="C955" s="24"/>
      <c r="D955" s="23"/>
      <c r="E955" s="25" t="str">
        <f>IFERROR(__xludf.DUMMYFUNCTION("REGEXEXTRACT(C955, """"""([^""""]+)"""""")"),"#N/A")</f>
        <v>#N/A</v>
      </c>
    </row>
    <row r="956">
      <c r="A956" s="23"/>
      <c r="B956" s="23"/>
      <c r="C956" s="24"/>
      <c r="D956" s="23"/>
      <c r="E956" s="25" t="str">
        <f>IFERROR(__xludf.DUMMYFUNCTION("REGEXEXTRACT(C956, """"""([^""""]+)"""""")"),"#N/A")</f>
        <v>#N/A</v>
      </c>
    </row>
    <row r="957">
      <c r="A957" s="23"/>
      <c r="B957" s="23"/>
      <c r="C957" s="24"/>
      <c r="D957" s="23"/>
      <c r="E957" s="25" t="str">
        <f>IFERROR(__xludf.DUMMYFUNCTION("REGEXEXTRACT(C957, """"""([^""""]+)"""""")"),"#N/A")</f>
        <v>#N/A</v>
      </c>
    </row>
    <row r="958">
      <c r="A958" s="23"/>
      <c r="B958" s="23"/>
      <c r="C958" s="24"/>
      <c r="D958" s="23"/>
      <c r="E958" s="25" t="str">
        <f>IFERROR(__xludf.DUMMYFUNCTION("REGEXEXTRACT(C958, """"""([^""""]+)"""""")"),"#N/A")</f>
        <v>#N/A</v>
      </c>
    </row>
    <row r="959">
      <c r="A959" s="23"/>
      <c r="B959" s="23"/>
      <c r="C959" s="24"/>
      <c r="D959" s="23"/>
      <c r="E959" s="25" t="str">
        <f>IFERROR(__xludf.DUMMYFUNCTION("REGEXEXTRACT(C959, """"""([^""""]+)"""""")"),"#N/A")</f>
        <v>#N/A</v>
      </c>
    </row>
    <row r="960">
      <c r="A960" s="23"/>
      <c r="B960" s="23"/>
      <c r="C960" s="24"/>
      <c r="D960" s="23"/>
      <c r="E960" s="25" t="str">
        <f>IFERROR(__xludf.DUMMYFUNCTION("REGEXEXTRACT(C960, """"""([^""""]+)"""""")"),"#N/A")</f>
        <v>#N/A</v>
      </c>
    </row>
    <row r="961">
      <c r="A961" s="23"/>
      <c r="B961" s="23"/>
      <c r="C961" s="24"/>
      <c r="D961" s="23"/>
      <c r="E961" s="25" t="str">
        <f>IFERROR(__xludf.DUMMYFUNCTION("REGEXEXTRACT(C961, """"""([^""""]+)"""""")"),"#N/A")</f>
        <v>#N/A</v>
      </c>
    </row>
    <row r="962">
      <c r="A962" s="23"/>
      <c r="B962" s="23"/>
      <c r="C962" s="24"/>
      <c r="D962" s="23"/>
      <c r="E962" s="25" t="str">
        <f>IFERROR(__xludf.DUMMYFUNCTION("REGEXEXTRACT(C962, """"""([^""""]+)"""""")"),"#N/A")</f>
        <v>#N/A</v>
      </c>
    </row>
    <row r="963">
      <c r="A963" s="23"/>
      <c r="B963" s="23"/>
      <c r="C963" s="24"/>
      <c r="D963" s="23"/>
      <c r="E963" s="25" t="str">
        <f>IFERROR(__xludf.DUMMYFUNCTION("REGEXEXTRACT(C963, """"""([^""""]+)"""""")"),"#N/A")</f>
        <v>#N/A</v>
      </c>
    </row>
    <row r="964">
      <c r="A964" s="23"/>
      <c r="B964" s="23"/>
      <c r="C964" s="24"/>
      <c r="D964" s="23"/>
      <c r="E964" s="25" t="str">
        <f>IFERROR(__xludf.DUMMYFUNCTION("REGEXEXTRACT(C964, """"""([^""""]+)"""""")"),"#N/A")</f>
        <v>#N/A</v>
      </c>
    </row>
    <row r="965">
      <c r="A965" s="23"/>
      <c r="B965" s="23"/>
      <c r="C965" s="24"/>
      <c r="D965" s="23"/>
      <c r="E965" s="25" t="str">
        <f>IFERROR(__xludf.DUMMYFUNCTION("REGEXEXTRACT(C965, """"""([^""""]+)"""""")"),"#N/A")</f>
        <v>#N/A</v>
      </c>
    </row>
    <row r="966">
      <c r="A966" s="23"/>
      <c r="B966" s="23"/>
      <c r="C966" s="24"/>
      <c r="D966" s="23"/>
      <c r="E966" s="25" t="str">
        <f>IFERROR(__xludf.DUMMYFUNCTION("REGEXEXTRACT(C966, """"""([^""""]+)"""""")"),"#N/A")</f>
        <v>#N/A</v>
      </c>
    </row>
    <row r="967">
      <c r="A967" s="23"/>
      <c r="B967" s="23"/>
      <c r="C967" s="24"/>
      <c r="D967" s="23"/>
      <c r="E967" s="25" t="str">
        <f>IFERROR(__xludf.DUMMYFUNCTION("REGEXEXTRACT(C967, """"""([^""""]+)"""""")"),"#N/A")</f>
        <v>#N/A</v>
      </c>
    </row>
    <row r="968">
      <c r="A968" s="23"/>
      <c r="B968" s="23"/>
      <c r="C968" s="24"/>
      <c r="D968" s="23"/>
      <c r="E968" s="25" t="str">
        <f>IFERROR(__xludf.DUMMYFUNCTION("REGEXEXTRACT(C968, """"""([^""""]+)"""""")"),"#N/A")</f>
        <v>#N/A</v>
      </c>
    </row>
  </sheetData>
  <autoFilter ref="$A$1:$E$1000">
    <sortState ref="A1:E1000">
      <sortCondition ref="A1:A1000"/>
      <sortCondition ref="B1:B1000"/>
      <sortCondition ref="D1:D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75"/>
    <col customWidth="1" min="4" max="4" width="52.0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2" t="s">
        <v>81</v>
      </c>
      <c r="B2" s="13" t="s">
        <v>82</v>
      </c>
      <c r="C2" s="5" t="s">
        <v>287</v>
      </c>
      <c r="D2" s="11" t="s">
        <v>288</v>
      </c>
      <c r="E2" s="7" t="str">
        <f>IFERROR(__xludf.DUMMYFUNCTION("REGEXEXTRACT(C2, """"""([^""""]+)"""""")"),"Items.Cap_05_old_01")</f>
        <v>Items.Cap_05_old_01</v>
      </c>
    </row>
    <row r="3">
      <c r="A3" s="12" t="s">
        <v>81</v>
      </c>
      <c r="B3" s="13" t="s">
        <v>82</v>
      </c>
      <c r="C3" s="5" t="s">
        <v>289</v>
      </c>
      <c r="D3" s="11" t="s">
        <v>290</v>
      </c>
      <c r="E3" s="7" t="str">
        <f>IFERROR(__xludf.DUMMYFUNCTION("REGEXEXTRACT(C3, """"""([^""""]+)"""""")"),"Items.Helmet_02_rich_02")</f>
        <v>Items.Helmet_02_rich_02</v>
      </c>
    </row>
    <row r="4">
      <c r="A4" s="12" t="s">
        <v>81</v>
      </c>
      <c r="B4" s="13" t="s">
        <v>82</v>
      </c>
      <c r="C4" s="5" t="s">
        <v>291</v>
      </c>
      <c r="D4" s="11" t="s">
        <v>292</v>
      </c>
      <c r="E4" s="7" t="str">
        <f>IFERROR(__xludf.DUMMYFUNCTION("REGEXEXTRACT(C4, """"""([^""""]+)"""""")"),"Items.Scarf_01_old_01")</f>
        <v>Items.Scarf_01_old_01</v>
      </c>
    </row>
    <row r="5">
      <c r="A5" s="12" t="s">
        <v>81</v>
      </c>
      <c r="B5" s="13" t="s">
        <v>82</v>
      </c>
      <c r="C5" s="5" t="s">
        <v>293</v>
      </c>
      <c r="D5" s="11" t="s">
        <v>294</v>
      </c>
      <c r="E5" s="7" t="str">
        <f>IFERROR(__xludf.DUMMYFUNCTION("REGEXEXTRACT(C5, """"""([^""""]+)"""""")"),"Items.Helmet_04_rich_01")</f>
        <v>Items.Helmet_04_rich_01</v>
      </c>
    </row>
    <row r="6">
      <c r="A6" s="12" t="s">
        <v>81</v>
      </c>
      <c r="B6" s="13" t="s">
        <v>82</v>
      </c>
      <c r="C6" s="5" t="s">
        <v>295</v>
      </c>
      <c r="D6" s="11" t="s">
        <v>296</v>
      </c>
      <c r="E6" s="7" t="str">
        <f>IFERROR(__xludf.DUMMYFUNCTION("REGEXEXTRACT(C6, """"""([^""""]+)"""""")"),"Items.Cap_04_old_02")</f>
        <v>Items.Cap_04_old_02</v>
      </c>
    </row>
    <row r="7">
      <c r="A7" s="12" t="s">
        <v>81</v>
      </c>
      <c r="B7" s="13" t="s">
        <v>82</v>
      </c>
      <c r="C7" s="5" t="s">
        <v>297</v>
      </c>
      <c r="D7" s="11" t="s">
        <v>298</v>
      </c>
      <c r="E7" s="7" t="str">
        <f>IFERROR(__xludf.DUMMYFUNCTION("REGEXEXTRACT(C7, """"""([^""""]+)"""""")"),"Items.Helmet_03_basic_02")</f>
        <v>Items.Helmet_03_basic_02</v>
      </c>
    </row>
    <row r="8">
      <c r="A8" s="12" t="s">
        <v>81</v>
      </c>
      <c r="B8" s="13" t="s">
        <v>82</v>
      </c>
      <c r="C8" s="5" t="s">
        <v>299</v>
      </c>
      <c r="D8" s="11" t="s">
        <v>300</v>
      </c>
      <c r="E8" s="7" t="str">
        <f>IFERROR(__xludf.DUMMYFUNCTION("REGEXEXTRACT(C8, """"""([^""""]+)"""""")"),"Items.Helmet_04_basic_01")</f>
        <v>Items.Helmet_04_basic_01</v>
      </c>
    </row>
    <row r="9">
      <c r="A9" s="12" t="s">
        <v>81</v>
      </c>
      <c r="B9" s="13" t="s">
        <v>82</v>
      </c>
      <c r="C9" s="5" t="s">
        <v>301</v>
      </c>
      <c r="D9" s="11" t="s">
        <v>302</v>
      </c>
      <c r="E9" s="7" t="str">
        <f>IFERROR(__xludf.DUMMYFUNCTION("REGEXEXTRACT(C9, """"""([^""""]+)"""""")"),"Items.Cap_03_basic_02")</f>
        <v>Items.Cap_03_basic_02</v>
      </c>
    </row>
    <row r="10">
      <c r="A10" s="12" t="s">
        <v>81</v>
      </c>
      <c r="B10" s="13" t="s">
        <v>82</v>
      </c>
      <c r="C10" s="5" t="s">
        <v>303</v>
      </c>
      <c r="D10" s="11" t="s">
        <v>304</v>
      </c>
      <c r="E10" s="7" t="str">
        <f>IFERROR(__xludf.DUMMYFUNCTION("REGEXEXTRACT(C10, """"""([^""""]+)"""""")"),"Items.Balaclava_01_old_01")</f>
        <v>Items.Balaclava_01_old_01</v>
      </c>
    </row>
    <row r="11">
      <c r="A11" s="12" t="s">
        <v>81</v>
      </c>
      <c r="B11" s="13" t="s">
        <v>82</v>
      </c>
      <c r="C11" s="5" t="s">
        <v>305</v>
      </c>
      <c r="D11" s="11" t="s">
        <v>306</v>
      </c>
      <c r="E11" s="7" t="str">
        <f>IFERROR(__xludf.DUMMYFUNCTION("REGEXEXTRACT(C11, """"""([^""""]+)"""""")"),"Items.Cap_01_rich_03")</f>
        <v>Items.Cap_01_rich_03</v>
      </c>
    </row>
    <row r="12">
      <c r="A12" s="12" t="s">
        <v>81</v>
      </c>
      <c r="B12" s="13" t="s">
        <v>82</v>
      </c>
      <c r="C12" s="5" t="s">
        <v>307</v>
      </c>
      <c r="D12" s="11" t="s">
        <v>308</v>
      </c>
      <c r="E12" s="7" t="str">
        <f>IFERROR(__xludf.DUMMYFUNCTION("REGEXEXTRACT(C12, """"""([^""""]+)"""""")"),"Items.Scarf_01_old_02")</f>
        <v>Items.Scarf_01_old_02</v>
      </c>
    </row>
    <row r="13">
      <c r="A13" s="12" t="s">
        <v>81</v>
      </c>
      <c r="B13" s="13" t="s">
        <v>82</v>
      </c>
      <c r="C13" s="5" t="s">
        <v>309</v>
      </c>
      <c r="D13" s="11" t="s">
        <v>310</v>
      </c>
      <c r="E13" s="7" t="str">
        <f>IFERROR(__xludf.DUMMYFUNCTION("REGEXEXTRACT(C13, """"""([^""""]+)"""""")"),"Items.Hat_01_rich_01")</f>
        <v>Items.Hat_01_rich_01</v>
      </c>
    </row>
    <row r="14">
      <c r="A14" s="12" t="s">
        <v>81</v>
      </c>
      <c r="B14" s="13" t="s">
        <v>82</v>
      </c>
      <c r="C14" s="5" t="s">
        <v>311</v>
      </c>
      <c r="D14" s="11" t="s">
        <v>312</v>
      </c>
      <c r="E14" s="7" t="str">
        <f>IFERROR(__xludf.DUMMYFUNCTION("REGEXEXTRACT(C14, """"""([^""""]+)"""""")"),"Items.Cap_01_old_02")</f>
        <v>Items.Cap_01_old_02</v>
      </c>
    </row>
    <row r="15">
      <c r="A15" s="12" t="s">
        <v>81</v>
      </c>
      <c r="B15" s="13" t="s">
        <v>82</v>
      </c>
      <c r="C15" s="5" t="s">
        <v>313</v>
      </c>
      <c r="D15" s="11" t="s">
        <v>314</v>
      </c>
      <c r="E15" s="7" t="str">
        <f>IFERROR(__xludf.DUMMYFUNCTION("REGEXEXTRACT(C15, """"""([^""""]+)"""""")"),"Items.Cap_04_old_01")</f>
        <v>Items.Cap_04_old_01</v>
      </c>
    </row>
    <row r="16">
      <c r="A16" s="12" t="s">
        <v>81</v>
      </c>
      <c r="B16" s="13" t="s">
        <v>82</v>
      </c>
      <c r="C16" s="5" t="s">
        <v>315</v>
      </c>
      <c r="D16" s="11" t="s">
        <v>316</v>
      </c>
      <c r="E16" s="7" t="str">
        <f>IFERROR(__xludf.DUMMYFUNCTION("REGEXEXTRACT(C16, """"""([^""""]+)"""""")"),"Items.Cap_05_basic_01")</f>
        <v>Items.Cap_05_basic_01</v>
      </c>
    </row>
    <row r="17">
      <c r="A17" s="12" t="s">
        <v>81</v>
      </c>
      <c r="B17" s="13" t="s">
        <v>82</v>
      </c>
      <c r="C17" s="5" t="s">
        <v>317</v>
      </c>
      <c r="D17" s="11" t="s">
        <v>318</v>
      </c>
      <c r="E17" s="7" t="str">
        <f>IFERROR(__xludf.DUMMYFUNCTION("REGEXEXTRACT(C17, """"""([^""""]+)"""""")"),"Items.Hat_04_basic_02")</f>
        <v>Items.Hat_04_basic_02</v>
      </c>
    </row>
    <row r="18">
      <c r="A18" s="12" t="s">
        <v>81</v>
      </c>
      <c r="B18" s="13" t="s">
        <v>82</v>
      </c>
      <c r="C18" s="5" t="s">
        <v>319</v>
      </c>
      <c r="D18" s="11" t="s">
        <v>320</v>
      </c>
      <c r="E18" s="7" t="str">
        <f>IFERROR(__xludf.DUMMYFUNCTION("REGEXEXTRACT(C18, """"""([^""""]+)"""""")"),"Items.Cap_04_basic_02")</f>
        <v>Items.Cap_04_basic_02</v>
      </c>
    </row>
    <row r="19">
      <c r="A19" s="12" t="s">
        <v>81</v>
      </c>
      <c r="B19" s="13" t="s">
        <v>82</v>
      </c>
      <c r="C19" s="5" t="s">
        <v>321</v>
      </c>
      <c r="D19" s="11" t="s">
        <v>322</v>
      </c>
      <c r="E19" s="7" t="str">
        <f>IFERROR(__xludf.DUMMYFUNCTION("REGEXEXTRACT(C19, """"""([^""""]+)"""""")"),"Items.Helmet_02_rich_01")</f>
        <v>Items.Helmet_02_rich_01</v>
      </c>
    </row>
    <row r="20">
      <c r="A20" s="12" t="s">
        <v>81</v>
      </c>
      <c r="B20" s="13" t="s">
        <v>82</v>
      </c>
      <c r="C20" s="5" t="s">
        <v>323</v>
      </c>
      <c r="D20" s="11" t="s">
        <v>324</v>
      </c>
      <c r="E20" s="7" t="str">
        <f>IFERROR(__xludf.DUMMYFUNCTION("REGEXEXTRACT(C20, """"""([^""""]+)"""""")"),"Items.Cap_02_basic_02")</f>
        <v>Items.Cap_02_basic_02</v>
      </c>
    </row>
    <row r="21">
      <c r="A21" s="12" t="s">
        <v>81</v>
      </c>
      <c r="B21" s="13" t="s">
        <v>82</v>
      </c>
      <c r="C21" s="5" t="s">
        <v>325</v>
      </c>
      <c r="D21" s="11" t="s">
        <v>326</v>
      </c>
      <c r="E21" s="7" t="str">
        <f>IFERROR(__xludf.DUMMYFUNCTION("REGEXEXTRACT(C21, """"""([^""""]+)"""""")"),"Items.Cap_05_basic_02")</f>
        <v>Items.Cap_05_basic_02</v>
      </c>
    </row>
    <row r="22">
      <c r="A22" s="12" t="s">
        <v>81</v>
      </c>
      <c r="B22" s="13" t="s">
        <v>82</v>
      </c>
      <c r="C22" s="5" t="s">
        <v>327</v>
      </c>
      <c r="D22" s="11" t="s">
        <v>328</v>
      </c>
      <c r="E22" s="7" t="str">
        <f>IFERROR(__xludf.DUMMYFUNCTION("REGEXEXTRACT(C22, """"""([^""""]+)"""""")"),"Items.Hat_01_basic_01")</f>
        <v>Items.Hat_01_basic_01</v>
      </c>
    </row>
    <row r="23">
      <c r="A23" s="12" t="s">
        <v>81</v>
      </c>
      <c r="B23" s="13" t="s">
        <v>82</v>
      </c>
      <c r="C23" s="5" t="s">
        <v>329</v>
      </c>
      <c r="D23" s="11" t="s">
        <v>330</v>
      </c>
      <c r="E23" s="7" t="str">
        <f>IFERROR(__xludf.DUMMYFUNCTION("REGEXEXTRACT(C23, """"""([^""""]+)"""""")"),"Items.Helmet_02_basic_04")</f>
        <v>Items.Helmet_02_basic_04</v>
      </c>
    </row>
    <row r="24">
      <c r="A24" s="12" t="s">
        <v>81</v>
      </c>
      <c r="B24" s="13" t="s">
        <v>82</v>
      </c>
      <c r="C24" s="5" t="s">
        <v>331</v>
      </c>
      <c r="D24" s="11" t="s">
        <v>332</v>
      </c>
      <c r="E24" s="7" t="str">
        <f>IFERROR(__xludf.DUMMYFUNCTION("REGEXEXTRACT(C24, """"""([^""""]+)"""""")"),"Items.Scarf_01_old_03")</f>
        <v>Items.Scarf_01_old_03</v>
      </c>
    </row>
    <row r="25">
      <c r="A25" s="12" t="s">
        <v>81</v>
      </c>
      <c r="B25" s="13" t="s">
        <v>82</v>
      </c>
      <c r="C25" s="5" t="s">
        <v>333</v>
      </c>
      <c r="D25" s="11" t="s">
        <v>334</v>
      </c>
      <c r="E25" s="7" t="str">
        <f>IFERROR(__xludf.DUMMYFUNCTION("REGEXEXTRACT(C25, """"""([^""""]+)"""""")"),"Items.Scarf_01_basic_01")</f>
        <v>Items.Scarf_01_basic_01</v>
      </c>
    </row>
    <row r="26">
      <c r="A26" s="12" t="s">
        <v>81</v>
      </c>
      <c r="B26" s="13" t="s">
        <v>82</v>
      </c>
      <c r="C26" s="5" t="s">
        <v>335</v>
      </c>
      <c r="D26" s="11" t="s">
        <v>336</v>
      </c>
      <c r="E26" s="7" t="str">
        <f>IFERROR(__xludf.DUMMYFUNCTION("REGEXEXTRACT(C26, """"""([^""""]+)"""""")"),"Items.Helmet_01_rich_02")</f>
        <v>Items.Helmet_01_rich_02</v>
      </c>
    </row>
    <row r="27">
      <c r="A27" s="12" t="s">
        <v>81</v>
      </c>
      <c r="B27" s="13" t="s">
        <v>82</v>
      </c>
      <c r="C27" s="5" t="s">
        <v>337</v>
      </c>
      <c r="D27" s="11" t="s">
        <v>338</v>
      </c>
      <c r="E27" s="7" t="str">
        <f>IFERROR(__xludf.DUMMYFUNCTION("REGEXEXTRACT(C27, """"""([^""""]+)"""""")"),"Items.Cap_06_basic_01")</f>
        <v>Items.Cap_06_basic_01</v>
      </c>
    </row>
    <row r="28">
      <c r="A28" s="12" t="s">
        <v>81</v>
      </c>
      <c r="B28" s="13" t="s">
        <v>82</v>
      </c>
      <c r="C28" s="5" t="s">
        <v>339</v>
      </c>
      <c r="D28" s="11" t="s">
        <v>340</v>
      </c>
      <c r="E28" s="7" t="str">
        <f>IFERROR(__xludf.DUMMYFUNCTION("REGEXEXTRACT(C28, """"""([^""""]+)"""""")"),"Items.Hat_02_basic_01")</f>
        <v>Items.Hat_02_basic_01</v>
      </c>
    </row>
    <row r="29">
      <c r="A29" s="12" t="s">
        <v>81</v>
      </c>
      <c r="B29" s="13" t="s">
        <v>82</v>
      </c>
      <c r="C29" s="5" t="s">
        <v>341</v>
      </c>
      <c r="D29" s="11" t="s">
        <v>342</v>
      </c>
      <c r="E29" s="7" t="str">
        <f>IFERROR(__xludf.DUMMYFUNCTION("REGEXEXTRACT(C29, """"""([^""""]+)"""""")"),"Items.Helmet_02_rich_04")</f>
        <v>Items.Helmet_02_rich_04</v>
      </c>
    </row>
    <row r="30">
      <c r="A30" s="12" t="s">
        <v>81</v>
      </c>
      <c r="B30" s="13" t="s">
        <v>82</v>
      </c>
      <c r="C30" s="5" t="s">
        <v>343</v>
      </c>
      <c r="D30" s="11" t="s">
        <v>344</v>
      </c>
      <c r="E30" s="7" t="str">
        <f>IFERROR(__xludf.DUMMYFUNCTION("REGEXEXTRACT(C30, """"""([^""""]+)"""""")"),"Items.Scarf_01_rich_02")</f>
        <v>Items.Scarf_01_rich_02</v>
      </c>
    </row>
    <row r="31">
      <c r="A31" s="12" t="s">
        <v>81</v>
      </c>
      <c r="B31" s="13" t="s">
        <v>82</v>
      </c>
      <c r="C31" s="5" t="s">
        <v>345</v>
      </c>
      <c r="D31" s="11" t="s">
        <v>346</v>
      </c>
      <c r="E31" s="7" t="str">
        <f>IFERROR(__xludf.DUMMYFUNCTION("REGEXEXTRACT(C31, """"""([^""""]+)"""""")"),"Items.Cap_01_basic_01")</f>
        <v>Items.Cap_01_basic_01</v>
      </c>
    </row>
    <row r="32">
      <c r="A32" s="12" t="s">
        <v>81</v>
      </c>
      <c r="B32" s="13" t="s">
        <v>82</v>
      </c>
      <c r="C32" s="5" t="s">
        <v>347</v>
      </c>
      <c r="D32" s="11" t="s">
        <v>348</v>
      </c>
      <c r="E32" s="7" t="str">
        <f>IFERROR(__xludf.DUMMYFUNCTION("REGEXEXTRACT(C32, """"""([^""""]+)"""""")"),"Items.Balaclava_01_basic_02")</f>
        <v>Items.Balaclava_01_basic_02</v>
      </c>
    </row>
    <row r="33">
      <c r="A33" s="12" t="s">
        <v>81</v>
      </c>
      <c r="B33" s="13" t="s">
        <v>82</v>
      </c>
      <c r="C33" s="5" t="s">
        <v>349</v>
      </c>
      <c r="D33" s="11" t="s">
        <v>350</v>
      </c>
      <c r="E33" s="7" t="str">
        <f>IFERROR(__xludf.DUMMYFUNCTION("REGEXEXTRACT(C33, """"""([^""""]+)"""""")"),"Items.Helmet_01_basic_01")</f>
        <v>Items.Helmet_01_basic_01</v>
      </c>
    </row>
    <row r="34">
      <c r="A34" s="12" t="s">
        <v>81</v>
      </c>
      <c r="B34" s="13" t="s">
        <v>82</v>
      </c>
      <c r="C34" s="5" t="s">
        <v>351</v>
      </c>
      <c r="D34" s="11" t="s">
        <v>352</v>
      </c>
      <c r="E34" s="7" t="str">
        <f>IFERROR(__xludf.DUMMYFUNCTION("REGEXEXTRACT(C34, """"""([^""""]+)"""""")"),"Items.Scarf_03_basic_02")</f>
        <v>Items.Scarf_03_basic_02</v>
      </c>
    </row>
    <row r="35">
      <c r="A35" s="12" t="s">
        <v>81</v>
      </c>
      <c r="B35" s="13" t="s">
        <v>82</v>
      </c>
      <c r="C35" s="5" t="s">
        <v>353</v>
      </c>
      <c r="D35" s="11" t="s">
        <v>354</v>
      </c>
      <c r="E35" s="7" t="str">
        <f>IFERROR(__xludf.DUMMYFUNCTION("REGEXEXTRACT(C35, """"""([^""""]+)"""""")"),"Items.Hat_03_rich_01")</f>
        <v>Items.Hat_03_rich_01</v>
      </c>
    </row>
    <row r="36">
      <c r="A36" s="12" t="s">
        <v>81</v>
      </c>
      <c r="B36" s="13" t="s">
        <v>82</v>
      </c>
      <c r="C36" s="5" t="s">
        <v>355</v>
      </c>
      <c r="D36" s="11" t="s">
        <v>356</v>
      </c>
      <c r="E36" s="7" t="str">
        <f>IFERROR(__xludf.DUMMYFUNCTION("REGEXEXTRACT(C36, """"""([^""""]+)"""""")"),"Items.Scarf_03_old_02")</f>
        <v>Items.Scarf_03_old_02</v>
      </c>
    </row>
    <row r="37">
      <c r="A37" s="12" t="s">
        <v>81</v>
      </c>
      <c r="B37" s="13" t="s">
        <v>82</v>
      </c>
      <c r="C37" s="5" t="s">
        <v>357</v>
      </c>
      <c r="D37" s="11" t="s">
        <v>358</v>
      </c>
      <c r="E37" s="7" t="str">
        <f>IFERROR(__xludf.DUMMYFUNCTION("REGEXEXTRACT(C37, """"""([^""""]+)"""""")"),"Items.Cap_03_rich_02")</f>
        <v>Items.Cap_03_rich_02</v>
      </c>
    </row>
    <row r="38">
      <c r="A38" s="12" t="s">
        <v>81</v>
      </c>
      <c r="B38" s="13" t="s">
        <v>82</v>
      </c>
      <c r="C38" s="5" t="s">
        <v>359</v>
      </c>
      <c r="D38" s="11" t="s">
        <v>360</v>
      </c>
      <c r="E38" s="7" t="str">
        <f>IFERROR(__xludf.DUMMYFUNCTION("REGEXEXTRACT(C38, """"""([^""""]+)"""""")"),"Items.Hat_01_old_01")</f>
        <v>Items.Hat_01_old_01</v>
      </c>
    </row>
    <row r="39">
      <c r="A39" s="12" t="s">
        <v>81</v>
      </c>
      <c r="B39" s="13" t="s">
        <v>82</v>
      </c>
      <c r="C39" s="5" t="s">
        <v>361</v>
      </c>
      <c r="D39" s="11" t="s">
        <v>362</v>
      </c>
      <c r="E39" s="7" t="str">
        <f>IFERROR(__xludf.DUMMYFUNCTION("REGEXEXTRACT(C39, """"""([^""""]+)"""""")"),"Items.Helmet_01_basic_03")</f>
        <v>Items.Helmet_01_basic_03</v>
      </c>
    </row>
    <row r="40">
      <c r="A40" s="12" t="s">
        <v>81</v>
      </c>
      <c r="B40" s="13" t="s">
        <v>82</v>
      </c>
      <c r="C40" s="5" t="s">
        <v>363</v>
      </c>
      <c r="D40" s="11" t="s">
        <v>364</v>
      </c>
      <c r="E40" s="7" t="str">
        <f>IFERROR(__xludf.DUMMYFUNCTION("REGEXEXTRACT(C40, """"""([^""""]+)"""""")"),"Items.Scarf_03_old_03")</f>
        <v>Items.Scarf_03_old_03</v>
      </c>
    </row>
    <row r="41">
      <c r="A41" s="12" t="s">
        <v>81</v>
      </c>
      <c r="B41" s="13" t="s">
        <v>82</v>
      </c>
      <c r="C41" s="5" t="s">
        <v>365</v>
      </c>
      <c r="D41" s="11" t="s">
        <v>366</v>
      </c>
      <c r="E41" s="7" t="str">
        <f>IFERROR(__xludf.DUMMYFUNCTION("REGEXEXTRACT(C41, """"""([^""""]+)"""""")"),"Items.Scarf_02_old_01")</f>
        <v>Items.Scarf_02_old_01</v>
      </c>
    </row>
    <row r="42">
      <c r="A42" s="12" t="s">
        <v>81</v>
      </c>
      <c r="B42" s="13" t="s">
        <v>82</v>
      </c>
      <c r="C42" s="5" t="s">
        <v>367</v>
      </c>
      <c r="D42" s="11" t="s">
        <v>368</v>
      </c>
      <c r="E42" s="7" t="str">
        <f>IFERROR(__xludf.DUMMYFUNCTION("REGEXEXTRACT(C42, """"""([^""""]+)"""""")"),"Items.Cap_01_rich_02")</f>
        <v>Items.Cap_01_rich_02</v>
      </c>
    </row>
    <row r="43">
      <c r="A43" s="12" t="s">
        <v>81</v>
      </c>
      <c r="B43" s="13" t="s">
        <v>82</v>
      </c>
      <c r="C43" s="5" t="s">
        <v>369</v>
      </c>
      <c r="D43" s="11" t="s">
        <v>370</v>
      </c>
      <c r="E43" s="7" t="str">
        <f>IFERROR(__xludf.DUMMYFUNCTION("REGEXEXTRACT(C43, """"""([^""""]+)"""""")"),"Items.Hat_01_rich_02")</f>
        <v>Items.Hat_01_rich_02</v>
      </c>
    </row>
    <row r="44">
      <c r="A44" s="12" t="s">
        <v>81</v>
      </c>
      <c r="B44" s="13" t="s">
        <v>82</v>
      </c>
      <c r="C44" s="5" t="s">
        <v>371</v>
      </c>
      <c r="D44" s="11" t="s">
        <v>372</v>
      </c>
      <c r="E44" s="7" t="str">
        <f>IFERROR(__xludf.DUMMYFUNCTION("REGEXEXTRACT(C44, """"""([^""""]+)"""""")"),"Items.Cap_02_old_02")</f>
        <v>Items.Cap_02_old_02</v>
      </c>
    </row>
    <row r="45">
      <c r="A45" s="12" t="s">
        <v>81</v>
      </c>
      <c r="B45" s="13" t="s">
        <v>82</v>
      </c>
      <c r="C45" s="5" t="s">
        <v>373</v>
      </c>
      <c r="D45" s="11" t="s">
        <v>374</v>
      </c>
      <c r="E45" s="7" t="str">
        <f>IFERROR(__xludf.DUMMYFUNCTION("REGEXEXTRACT(C45, """"""([^""""]+)"""""")"),"Items.Cap_02_basic_03")</f>
        <v>Items.Cap_02_basic_03</v>
      </c>
    </row>
    <row r="46">
      <c r="A46" s="12" t="s">
        <v>81</v>
      </c>
      <c r="B46" s="13" t="s">
        <v>82</v>
      </c>
      <c r="C46" s="5" t="s">
        <v>375</v>
      </c>
      <c r="D46" s="11" t="s">
        <v>376</v>
      </c>
      <c r="E46" s="7" t="str">
        <f>IFERROR(__xludf.DUMMYFUNCTION("REGEXEXTRACT(C46, """"""([^""""]+)"""""")"),"Items.Cap_06_rich_02")</f>
        <v>Items.Cap_06_rich_02</v>
      </c>
    </row>
    <row r="47">
      <c r="A47" s="12" t="s">
        <v>81</v>
      </c>
      <c r="B47" s="13" t="s">
        <v>82</v>
      </c>
      <c r="C47" s="5" t="s">
        <v>377</v>
      </c>
      <c r="D47" s="11" t="s">
        <v>378</v>
      </c>
      <c r="E47" s="7" t="str">
        <f>IFERROR(__xludf.DUMMYFUNCTION("REGEXEXTRACT(C47, """"""([^""""]+)"""""")"),"Items.Scarf_03_basic_03")</f>
        <v>Items.Scarf_03_basic_03</v>
      </c>
    </row>
    <row r="48">
      <c r="A48" s="12" t="s">
        <v>81</v>
      </c>
      <c r="B48" s="13" t="s">
        <v>82</v>
      </c>
      <c r="C48" s="5" t="s">
        <v>379</v>
      </c>
      <c r="D48" s="11" t="s">
        <v>380</v>
      </c>
      <c r="E48" s="7" t="str">
        <f>IFERROR(__xludf.DUMMYFUNCTION("REGEXEXTRACT(C48, """"""([^""""]+)"""""")"),"Items.Scarf_03_rich_01")</f>
        <v>Items.Scarf_03_rich_01</v>
      </c>
    </row>
    <row r="49">
      <c r="A49" s="12" t="s">
        <v>81</v>
      </c>
      <c r="B49" s="13" t="s">
        <v>82</v>
      </c>
      <c r="C49" s="5" t="s">
        <v>381</v>
      </c>
      <c r="D49" s="11" t="s">
        <v>382</v>
      </c>
      <c r="E49" s="7" t="str">
        <f>IFERROR(__xludf.DUMMYFUNCTION("REGEXEXTRACT(C49, """"""([^""""]+)"""""")"),"Items.Hat_02_rich_01")</f>
        <v>Items.Hat_02_rich_01</v>
      </c>
    </row>
    <row r="50">
      <c r="A50" s="12" t="s">
        <v>81</v>
      </c>
      <c r="B50" s="13" t="s">
        <v>82</v>
      </c>
      <c r="C50" s="5" t="s">
        <v>383</v>
      </c>
      <c r="D50" s="11" t="s">
        <v>384</v>
      </c>
      <c r="E50" s="7" t="str">
        <f>IFERROR(__xludf.DUMMYFUNCTION("REGEXEXTRACT(C50, """"""([^""""]+)"""""")"),"Items.Helmet_04_rich_02")</f>
        <v>Items.Helmet_04_rich_02</v>
      </c>
    </row>
    <row r="51">
      <c r="A51" s="12" t="s">
        <v>81</v>
      </c>
      <c r="B51" s="13" t="s">
        <v>82</v>
      </c>
      <c r="C51" s="5" t="s">
        <v>385</v>
      </c>
      <c r="D51" s="11" t="s">
        <v>386</v>
      </c>
      <c r="E51" s="7" t="str">
        <f>IFERROR(__xludf.DUMMYFUNCTION("REGEXEXTRACT(C51, """"""([^""""]+)"""""")"),"Items.Hat_03_old_01")</f>
        <v>Items.Hat_03_old_01</v>
      </c>
    </row>
    <row r="52">
      <c r="A52" s="12" t="s">
        <v>81</v>
      </c>
      <c r="B52" s="13" t="s">
        <v>82</v>
      </c>
      <c r="C52" s="5" t="s">
        <v>387</v>
      </c>
      <c r="D52" s="11" t="s">
        <v>388</v>
      </c>
      <c r="E52" s="7" t="str">
        <f>IFERROR(__xludf.DUMMYFUNCTION("REGEXEXTRACT(C52, """"""([^""""]+)"""""")"),"Items.Cap_06_basic_02")</f>
        <v>Items.Cap_06_basic_02</v>
      </c>
    </row>
    <row r="53">
      <c r="A53" s="12" t="s">
        <v>81</v>
      </c>
      <c r="B53" s="13" t="s">
        <v>82</v>
      </c>
      <c r="C53" s="5" t="s">
        <v>389</v>
      </c>
      <c r="D53" s="11" t="s">
        <v>390</v>
      </c>
      <c r="E53" s="7" t="str">
        <f>IFERROR(__xludf.DUMMYFUNCTION("REGEXEXTRACT(C53, """"""([^""""]+)"""""")"),"Items.Cap_04_rich_01")</f>
        <v>Items.Cap_04_rich_01</v>
      </c>
    </row>
    <row r="54">
      <c r="A54" s="12" t="s">
        <v>81</v>
      </c>
      <c r="B54" s="13" t="s">
        <v>82</v>
      </c>
      <c r="C54" s="5" t="s">
        <v>391</v>
      </c>
      <c r="D54" s="11" t="s">
        <v>392</v>
      </c>
      <c r="E54" s="7" t="str">
        <f>IFERROR(__xludf.DUMMYFUNCTION("REGEXEXTRACT(C54, """"""([^""""]+)"""""")"),"Items.Cap_03_rich_01")</f>
        <v>Items.Cap_03_rich_01</v>
      </c>
    </row>
    <row r="55">
      <c r="A55" s="12" t="s">
        <v>81</v>
      </c>
      <c r="B55" s="13" t="s">
        <v>82</v>
      </c>
      <c r="C55" s="5" t="s">
        <v>393</v>
      </c>
      <c r="D55" s="11" t="s">
        <v>394</v>
      </c>
      <c r="E55" s="7" t="str">
        <f>IFERROR(__xludf.DUMMYFUNCTION("REGEXEXTRACT(C55, """"""([^""""]+)"""""")"),"Items.Scarf_03_rich_03")</f>
        <v>Items.Scarf_03_rich_03</v>
      </c>
    </row>
    <row r="56">
      <c r="A56" s="12" t="s">
        <v>81</v>
      </c>
      <c r="B56" s="13" t="s">
        <v>82</v>
      </c>
      <c r="C56" s="5" t="s">
        <v>395</v>
      </c>
      <c r="D56" s="11" t="s">
        <v>396</v>
      </c>
      <c r="E56" s="7" t="str">
        <f>IFERROR(__xludf.DUMMYFUNCTION("REGEXEXTRACT(C56, """"""([^""""]+)"""""")"),"Items.Hat_03_basic_01")</f>
        <v>Items.Hat_03_basic_01</v>
      </c>
    </row>
    <row r="57">
      <c r="A57" s="12" t="s">
        <v>81</v>
      </c>
      <c r="B57" s="13" t="s">
        <v>82</v>
      </c>
      <c r="C57" s="5" t="s">
        <v>397</v>
      </c>
      <c r="D57" s="11" t="s">
        <v>398</v>
      </c>
      <c r="E57" s="7" t="str">
        <f>IFERROR(__xludf.DUMMYFUNCTION("REGEXEXTRACT(C57, """"""([^""""]+)"""""")"),"Items.Helmet_03_basic_01")</f>
        <v>Items.Helmet_03_basic_01</v>
      </c>
    </row>
    <row r="58">
      <c r="A58" s="12" t="s">
        <v>81</v>
      </c>
      <c r="B58" s="13" t="s">
        <v>82</v>
      </c>
      <c r="C58" s="5" t="s">
        <v>399</v>
      </c>
      <c r="D58" s="11" t="s">
        <v>400</v>
      </c>
      <c r="E58" s="7" t="str">
        <f>IFERROR(__xludf.DUMMYFUNCTION("REGEXEXTRACT(C58, """"""([^""""]+)"""""")"),"Items.Scarf_03_basic_01")</f>
        <v>Items.Scarf_03_basic_01</v>
      </c>
    </row>
    <row r="59">
      <c r="A59" s="12" t="s">
        <v>81</v>
      </c>
      <c r="B59" s="13" t="s">
        <v>82</v>
      </c>
      <c r="C59" s="5" t="s">
        <v>401</v>
      </c>
      <c r="D59" s="11" t="s">
        <v>402</v>
      </c>
      <c r="E59" s="7" t="str">
        <f>IFERROR(__xludf.DUMMYFUNCTION("REGEXEXTRACT(C59, """"""([^""""]+)"""""")"),"Items.Helmet_01_basic_02")</f>
        <v>Items.Helmet_01_basic_02</v>
      </c>
    </row>
    <row r="60">
      <c r="A60" s="12" t="s">
        <v>81</v>
      </c>
      <c r="B60" s="13" t="s">
        <v>82</v>
      </c>
      <c r="C60" s="5" t="s">
        <v>403</v>
      </c>
      <c r="D60" s="11" t="s">
        <v>404</v>
      </c>
      <c r="E60" s="7" t="str">
        <f>IFERROR(__xludf.DUMMYFUNCTION("REGEXEXTRACT(C60, """"""([^""""]+)"""""")"),"Items.Cap_01_basic_02")</f>
        <v>Items.Cap_01_basic_02</v>
      </c>
    </row>
    <row r="61">
      <c r="A61" s="12" t="s">
        <v>81</v>
      </c>
      <c r="B61" s="13" t="s">
        <v>82</v>
      </c>
      <c r="C61" s="5" t="s">
        <v>405</v>
      </c>
      <c r="D61" s="11" t="s">
        <v>406</v>
      </c>
      <c r="E61" s="7" t="str">
        <f>IFERROR(__xludf.DUMMYFUNCTION("REGEXEXTRACT(C61, """"""([^""""]+)"""""")"),"Items.Cap_05_old_02")</f>
        <v>Items.Cap_05_old_02</v>
      </c>
    </row>
    <row r="62">
      <c r="A62" s="12" t="s">
        <v>81</v>
      </c>
      <c r="B62" s="13" t="s">
        <v>82</v>
      </c>
      <c r="C62" s="5" t="s">
        <v>407</v>
      </c>
      <c r="D62" s="11" t="s">
        <v>408</v>
      </c>
      <c r="E62" s="7" t="str">
        <f>IFERROR(__xludf.DUMMYFUNCTION("REGEXEXTRACT(C62, """"""([^""""]+)"""""")"),"Items.Scarf_01_rich_03")</f>
        <v>Items.Scarf_01_rich_03</v>
      </c>
    </row>
    <row r="63">
      <c r="A63" s="12" t="s">
        <v>81</v>
      </c>
      <c r="B63" s="13" t="s">
        <v>82</v>
      </c>
      <c r="C63" s="5" t="s">
        <v>409</v>
      </c>
      <c r="D63" s="11" t="s">
        <v>410</v>
      </c>
      <c r="E63" s="7" t="str">
        <f>IFERROR(__xludf.DUMMYFUNCTION("REGEXEXTRACT(C63, """"""([^""""]+)"""""")"),"Items.Scarf_01_basic_02")</f>
        <v>Items.Scarf_01_basic_02</v>
      </c>
    </row>
    <row r="64">
      <c r="A64" s="12" t="s">
        <v>81</v>
      </c>
      <c r="B64" s="13" t="s">
        <v>82</v>
      </c>
      <c r="C64" s="5" t="s">
        <v>411</v>
      </c>
      <c r="D64" s="11" t="s">
        <v>412</v>
      </c>
      <c r="E64" s="7" t="str">
        <f>IFERROR(__xludf.DUMMYFUNCTION("REGEXEXTRACT(C64, """"""([^""""]+)"""""")"),"Items.Helmet_02_basic_03")</f>
        <v>Items.Helmet_02_basic_03</v>
      </c>
    </row>
    <row r="65">
      <c r="A65" s="12" t="s">
        <v>81</v>
      </c>
      <c r="B65" s="13" t="s">
        <v>82</v>
      </c>
      <c r="C65" s="5" t="s">
        <v>413</v>
      </c>
      <c r="D65" s="11" t="s">
        <v>414</v>
      </c>
      <c r="E65" s="7" t="str">
        <f>IFERROR(__xludf.DUMMYFUNCTION("REGEXEXTRACT(C65, """"""([^""""]+)"""""")"),"Items.Hat_02_rich_02")</f>
        <v>Items.Hat_02_rich_02</v>
      </c>
    </row>
    <row r="66">
      <c r="A66" s="12" t="s">
        <v>81</v>
      </c>
      <c r="B66" s="13" t="s">
        <v>82</v>
      </c>
      <c r="C66" s="5" t="s">
        <v>415</v>
      </c>
      <c r="D66" s="11" t="s">
        <v>416</v>
      </c>
      <c r="E66" s="7" t="str">
        <f>IFERROR(__xludf.DUMMYFUNCTION("REGEXEXTRACT(C66, """"""([^""""]+)"""""")"),"Items.Hat_02_old_02")</f>
        <v>Items.Hat_02_old_02</v>
      </c>
    </row>
    <row r="67">
      <c r="A67" s="12" t="s">
        <v>81</v>
      </c>
      <c r="B67" s="13" t="s">
        <v>82</v>
      </c>
      <c r="C67" s="5" t="s">
        <v>417</v>
      </c>
      <c r="D67" s="11" t="s">
        <v>418</v>
      </c>
      <c r="E67" s="7" t="str">
        <f>IFERROR(__xludf.DUMMYFUNCTION("REGEXEXTRACT(C67, """"""([^""""]+)"""""")"),"Items.Helmet_01_rich_01")</f>
        <v>Items.Helmet_01_rich_01</v>
      </c>
    </row>
    <row r="68">
      <c r="A68" s="12" t="s">
        <v>81</v>
      </c>
      <c r="B68" s="13" t="s">
        <v>82</v>
      </c>
      <c r="C68" s="5" t="s">
        <v>419</v>
      </c>
      <c r="D68" s="11" t="s">
        <v>420</v>
      </c>
      <c r="E68" s="7" t="str">
        <f>IFERROR(__xludf.DUMMYFUNCTION("REGEXEXTRACT(C68, """"""([^""""]+)"""""")"),"Items.Cap_03_basic_01")</f>
        <v>Items.Cap_03_basic_01</v>
      </c>
    </row>
    <row r="69">
      <c r="A69" s="12" t="s">
        <v>81</v>
      </c>
      <c r="B69" s="13" t="s">
        <v>82</v>
      </c>
      <c r="C69" s="5" t="s">
        <v>421</v>
      </c>
      <c r="D69" s="11" t="s">
        <v>422</v>
      </c>
      <c r="E69" s="7" t="str">
        <f>IFERROR(__xludf.DUMMYFUNCTION("REGEXEXTRACT(C69, """"""([^""""]+)"""""")"),"Items.Helmet_03_rich_01")</f>
        <v>Items.Helmet_03_rich_01</v>
      </c>
    </row>
    <row r="70">
      <c r="A70" s="12" t="s">
        <v>81</v>
      </c>
      <c r="B70" s="13" t="s">
        <v>82</v>
      </c>
      <c r="C70" s="5" t="s">
        <v>423</v>
      </c>
      <c r="D70" s="11" t="s">
        <v>424</v>
      </c>
      <c r="E70" s="7" t="str">
        <f>IFERROR(__xludf.DUMMYFUNCTION("REGEXEXTRACT(C70, """"""([^""""]+)"""""")"),"Items.Balaclava_01_old_02")</f>
        <v>Items.Balaclava_01_old_02</v>
      </c>
    </row>
    <row r="71">
      <c r="A71" s="12" t="s">
        <v>81</v>
      </c>
      <c r="B71" s="13" t="s">
        <v>82</v>
      </c>
      <c r="C71" s="5" t="s">
        <v>425</v>
      </c>
      <c r="D71" s="11" t="s">
        <v>426</v>
      </c>
      <c r="E71" s="7" t="str">
        <f>IFERROR(__xludf.DUMMYFUNCTION("REGEXEXTRACT(C71, """"""([^""""]+)"""""")"),"Items.Cap_05_basic_03")</f>
        <v>Items.Cap_05_basic_03</v>
      </c>
    </row>
    <row r="72">
      <c r="A72" s="12" t="s">
        <v>81</v>
      </c>
      <c r="B72" s="13" t="s">
        <v>82</v>
      </c>
      <c r="C72" s="5" t="s">
        <v>427</v>
      </c>
      <c r="D72" s="11" t="s">
        <v>428</v>
      </c>
      <c r="E72" s="7" t="str">
        <f>IFERROR(__xludf.DUMMYFUNCTION("REGEXEXTRACT(C72, """"""([^""""]+)"""""")"),"Items.Helmet_03_old_01")</f>
        <v>Items.Helmet_03_old_01</v>
      </c>
    </row>
    <row r="73">
      <c r="A73" s="12" t="s">
        <v>81</v>
      </c>
      <c r="B73" s="13" t="s">
        <v>82</v>
      </c>
      <c r="C73" s="5" t="s">
        <v>429</v>
      </c>
      <c r="D73" s="11" t="s">
        <v>430</v>
      </c>
      <c r="E73" s="7" t="str">
        <f>IFERROR(__xludf.DUMMYFUNCTION("REGEXEXTRACT(C73, """"""([^""""]+)"""""")"),"Items.Helmet_02_old_02")</f>
        <v>Items.Helmet_02_old_02</v>
      </c>
    </row>
    <row r="74">
      <c r="A74" s="12" t="s">
        <v>81</v>
      </c>
      <c r="B74" s="13" t="s">
        <v>82</v>
      </c>
      <c r="C74" s="5" t="s">
        <v>431</v>
      </c>
      <c r="D74" s="11" t="s">
        <v>432</v>
      </c>
      <c r="E74" s="7" t="str">
        <f>IFERROR(__xludf.DUMMYFUNCTION("REGEXEXTRACT(C74, """"""([^""""]+)"""""")"),"Items.Cap_06_old_02")</f>
        <v>Items.Cap_06_old_02</v>
      </c>
    </row>
    <row r="75">
      <c r="A75" s="12" t="s">
        <v>81</v>
      </c>
      <c r="B75" s="13" t="s">
        <v>82</v>
      </c>
      <c r="C75" s="5" t="s">
        <v>433</v>
      </c>
      <c r="D75" s="11" t="s">
        <v>434</v>
      </c>
      <c r="E75" s="7" t="str">
        <f>IFERROR(__xludf.DUMMYFUNCTION("REGEXEXTRACT(C75, """"""([^""""]+)"""""")"),"Items.Cap_03_old_02")</f>
        <v>Items.Cap_03_old_02</v>
      </c>
    </row>
    <row r="76">
      <c r="A76" s="12" t="s">
        <v>81</v>
      </c>
      <c r="B76" s="13" t="s">
        <v>82</v>
      </c>
      <c r="C76" s="5" t="s">
        <v>435</v>
      </c>
      <c r="D76" s="11" t="s">
        <v>436</v>
      </c>
      <c r="E76" s="7" t="str">
        <f>IFERROR(__xludf.DUMMYFUNCTION("REGEXEXTRACT(C76, """"""([^""""]+)"""""")"),"Items.Balaclava_01_basic_01")</f>
        <v>Items.Balaclava_01_basic_01</v>
      </c>
    </row>
    <row r="77">
      <c r="A77" s="12" t="s">
        <v>81</v>
      </c>
      <c r="B77" s="13" t="s">
        <v>82</v>
      </c>
      <c r="C77" s="5" t="s">
        <v>437</v>
      </c>
      <c r="D77" s="11" t="s">
        <v>438</v>
      </c>
      <c r="E77" s="7" t="str">
        <f>IFERROR(__xludf.DUMMYFUNCTION("REGEXEXTRACT(C77, """"""([^""""]+)"""""")"),"Items.Cap_02_old_03")</f>
        <v>Items.Cap_02_old_03</v>
      </c>
    </row>
    <row r="78">
      <c r="A78" s="12" t="s">
        <v>81</v>
      </c>
      <c r="B78" s="13" t="s">
        <v>82</v>
      </c>
      <c r="C78" s="5" t="s">
        <v>439</v>
      </c>
      <c r="D78" s="11" t="s">
        <v>440</v>
      </c>
      <c r="E78" s="7" t="str">
        <f>IFERROR(__xludf.DUMMYFUNCTION("REGEXEXTRACT(C78, """"""([^""""]+)"""""")"),"Items.Helmet_04_old_01")</f>
        <v>Items.Helmet_04_old_01</v>
      </c>
    </row>
    <row r="79">
      <c r="A79" s="12" t="s">
        <v>81</v>
      </c>
      <c r="B79" s="13" t="s">
        <v>82</v>
      </c>
      <c r="C79" s="5" t="s">
        <v>441</v>
      </c>
      <c r="D79" s="11" t="s">
        <v>442</v>
      </c>
      <c r="E79" s="7" t="str">
        <f>IFERROR(__xludf.DUMMYFUNCTION("REGEXEXTRACT(C79, """"""([^""""]+)"""""")"),"Items.Hat_04_old_01")</f>
        <v>Items.Hat_04_old_01</v>
      </c>
    </row>
    <row r="80">
      <c r="A80" s="12" t="s">
        <v>81</v>
      </c>
      <c r="B80" s="13" t="s">
        <v>82</v>
      </c>
      <c r="C80" s="5" t="s">
        <v>443</v>
      </c>
      <c r="D80" s="11" t="s">
        <v>444</v>
      </c>
      <c r="E80" s="7" t="str">
        <f>IFERROR(__xludf.DUMMYFUNCTION("REGEXEXTRACT(C80, """"""([^""""]+)"""""")"),"Items.Scarf_02_old_02")</f>
        <v>Items.Scarf_02_old_02</v>
      </c>
    </row>
    <row r="81">
      <c r="A81" s="12" t="s">
        <v>81</v>
      </c>
      <c r="B81" s="13" t="s">
        <v>82</v>
      </c>
      <c r="C81" s="5" t="s">
        <v>445</v>
      </c>
      <c r="D81" s="11" t="s">
        <v>446</v>
      </c>
      <c r="E81" s="7" t="str">
        <f>IFERROR(__xludf.DUMMYFUNCTION("REGEXEXTRACT(C81, """"""([^""""]+)"""""")"),"Items.Cap_01_basic_03")</f>
        <v>Items.Cap_01_basic_03</v>
      </c>
    </row>
    <row r="82">
      <c r="A82" s="12" t="s">
        <v>81</v>
      </c>
      <c r="B82" s="13" t="s">
        <v>82</v>
      </c>
      <c r="C82" s="5" t="s">
        <v>447</v>
      </c>
      <c r="D82" s="11" t="s">
        <v>448</v>
      </c>
      <c r="E82" s="7" t="str">
        <f>IFERROR(__xludf.DUMMYFUNCTION("REGEXEXTRACT(C82, """"""([^""""]+)"""""")"),"Items.Hat_02_basic_02")</f>
        <v>Items.Hat_02_basic_02</v>
      </c>
    </row>
    <row r="83">
      <c r="A83" s="12" t="s">
        <v>81</v>
      </c>
      <c r="B83" s="13" t="s">
        <v>82</v>
      </c>
      <c r="C83" s="5" t="s">
        <v>449</v>
      </c>
      <c r="D83" s="11" t="s">
        <v>450</v>
      </c>
      <c r="E83" s="7" t="str">
        <f>IFERROR(__xludf.DUMMYFUNCTION("REGEXEXTRACT(C83, """"""([^""""]+)"""""")"),"Items.Scarf_02_basic_02")</f>
        <v>Items.Scarf_02_basic_02</v>
      </c>
    </row>
    <row r="84">
      <c r="A84" s="12" t="s">
        <v>81</v>
      </c>
      <c r="B84" s="13" t="s">
        <v>82</v>
      </c>
      <c r="C84" s="5" t="s">
        <v>451</v>
      </c>
      <c r="D84" s="11" t="s">
        <v>452</v>
      </c>
      <c r="E84" s="7" t="str">
        <f>IFERROR(__xludf.DUMMYFUNCTION("REGEXEXTRACT(C84, """"""([^""""]+)"""""")"),"Items.SQ029_River_Romance_Shirt")</f>
        <v>Items.SQ029_River_Romance_Shirt</v>
      </c>
    </row>
    <row r="85">
      <c r="A85" s="12" t="s">
        <v>81</v>
      </c>
      <c r="B85" s="13" t="s">
        <v>82</v>
      </c>
      <c r="C85" s="5" t="s">
        <v>453</v>
      </c>
      <c r="D85" s="11" t="s">
        <v>454</v>
      </c>
      <c r="E85" s="7" t="str">
        <f>IFERROR(__xludf.DUMMYFUNCTION("REGEXEXTRACT(C85, """"""([^""""]+)"""""")"),"Items.Helmet_02_old_03")</f>
        <v>Items.Helmet_02_old_03</v>
      </c>
    </row>
    <row r="86">
      <c r="A86" s="12" t="s">
        <v>81</v>
      </c>
      <c r="B86" s="13" t="s">
        <v>82</v>
      </c>
      <c r="C86" s="5" t="s">
        <v>455</v>
      </c>
      <c r="D86" s="11" t="s">
        <v>456</v>
      </c>
      <c r="E86" s="7" t="str">
        <f>IFERROR(__xludf.DUMMYFUNCTION("REGEXEXTRACT(C86, """"""([^""""]+)"""""")"),"Items.Helmet_03_old_02")</f>
        <v>Items.Helmet_03_old_02</v>
      </c>
    </row>
    <row r="87">
      <c r="A87" s="12" t="s">
        <v>81</v>
      </c>
      <c r="B87" s="13" t="s">
        <v>82</v>
      </c>
      <c r="C87" s="5" t="s">
        <v>457</v>
      </c>
      <c r="D87" s="11" t="s">
        <v>458</v>
      </c>
      <c r="E87" s="7" t="str">
        <f>IFERROR(__xludf.DUMMYFUNCTION("REGEXEXTRACT(C87, """"""([^""""]+)"""""")"),"Items.Balaclava_01_rich_02")</f>
        <v>Items.Balaclava_01_rich_02</v>
      </c>
    </row>
    <row r="88">
      <c r="A88" s="12" t="s">
        <v>81</v>
      </c>
      <c r="B88" s="13" t="s">
        <v>82</v>
      </c>
      <c r="C88" s="5" t="s">
        <v>459</v>
      </c>
      <c r="D88" s="11" t="s">
        <v>460</v>
      </c>
      <c r="E88" s="7" t="str">
        <f>IFERROR(__xludf.DUMMYFUNCTION("REGEXEXTRACT(C88, """"""([^""""]+)"""""")"),"Items.Helmet_01_old_01")</f>
        <v>Items.Helmet_01_old_01</v>
      </c>
    </row>
    <row r="89">
      <c r="A89" s="12" t="s">
        <v>81</v>
      </c>
      <c r="B89" s="13" t="s">
        <v>82</v>
      </c>
      <c r="C89" s="5" t="s">
        <v>461</v>
      </c>
      <c r="D89" s="11" t="s">
        <v>462</v>
      </c>
      <c r="E89" s="7" t="str">
        <f>IFERROR(__xludf.DUMMYFUNCTION("REGEXEXTRACT(C89, """"""([^""""]+)"""""")"),"Items.Scarf_02_basic_01")</f>
        <v>Items.Scarf_02_basic_01</v>
      </c>
    </row>
    <row r="90">
      <c r="A90" s="12" t="s">
        <v>81</v>
      </c>
      <c r="B90" s="13" t="s">
        <v>82</v>
      </c>
      <c r="C90" s="5" t="s">
        <v>463</v>
      </c>
      <c r="D90" s="11" t="s">
        <v>464</v>
      </c>
      <c r="E90" s="7" t="str">
        <f>IFERROR(__xludf.DUMMYFUNCTION("REGEXEXTRACT(C90, """"""([^""""]+)"""""")"),"Items.Cap_06_old_01")</f>
        <v>Items.Cap_06_old_01</v>
      </c>
    </row>
    <row r="91">
      <c r="A91" s="12" t="s">
        <v>81</v>
      </c>
      <c r="B91" s="13" t="s">
        <v>82</v>
      </c>
      <c r="C91" s="5" t="s">
        <v>465</v>
      </c>
      <c r="D91" s="11" t="s">
        <v>466</v>
      </c>
      <c r="E91" s="7" t="str">
        <f>IFERROR(__xludf.DUMMYFUNCTION("REGEXEXTRACT(C91, """"""([^""""]+)"""""")"),"Items.Hat_01_basic_02")</f>
        <v>Items.Hat_01_basic_02</v>
      </c>
    </row>
    <row r="92">
      <c r="A92" s="12" t="s">
        <v>81</v>
      </c>
      <c r="B92" s="13" t="s">
        <v>82</v>
      </c>
      <c r="C92" s="5" t="s">
        <v>467</v>
      </c>
      <c r="D92" s="11" t="s">
        <v>468</v>
      </c>
      <c r="E92" s="7" t="str">
        <f>IFERROR(__xludf.DUMMYFUNCTION("REGEXEXTRACT(C92, """"""([^""""]+)"""""")"),"Items.Helmet_02_basic_02")</f>
        <v>Items.Helmet_02_basic_02</v>
      </c>
    </row>
    <row r="93">
      <c r="A93" s="12" t="s">
        <v>81</v>
      </c>
      <c r="B93" s="13" t="s">
        <v>82</v>
      </c>
      <c r="C93" s="5" t="s">
        <v>469</v>
      </c>
      <c r="D93" s="11" t="s">
        <v>470</v>
      </c>
      <c r="E93" s="7" t="str">
        <f>IFERROR(__xludf.DUMMYFUNCTION("REGEXEXTRACT(C93, """"""([^""""]+)"""""")"),"Items.Helmet_04_basic_02")</f>
        <v>Items.Helmet_04_basic_02</v>
      </c>
    </row>
    <row r="94">
      <c r="A94" s="12" t="s">
        <v>81</v>
      </c>
      <c r="B94" s="13" t="s">
        <v>82</v>
      </c>
      <c r="C94" s="5" t="s">
        <v>471</v>
      </c>
      <c r="D94" s="11" t="s">
        <v>472</v>
      </c>
      <c r="E94" s="7" t="str">
        <f>IFERROR(__xludf.DUMMYFUNCTION("REGEXEXTRACT(C94, """"""([^""""]+)"""""")"),"Items.Cap_01_rich_01")</f>
        <v>Items.Cap_01_rich_01</v>
      </c>
    </row>
    <row r="95">
      <c r="A95" s="12" t="s">
        <v>81</v>
      </c>
      <c r="B95" s="13" t="s">
        <v>82</v>
      </c>
      <c r="C95" s="5" t="s">
        <v>473</v>
      </c>
      <c r="D95" s="11" t="s">
        <v>474</v>
      </c>
      <c r="E95" s="7" t="str">
        <f>IFERROR(__xludf.DUMMYFUNCTION("REGEXEXTRACT(C95, """"""([^""""]+)"""""")"),"Items.Scarf_01_basic_03")</f>
        <v>Items.Scarf_01_basic_03</v>
      </c>
    </row>
    <row r="96">
      <c r="A96" s="12" t="s">
        <v>81</v>
      </c>
      <c r="B96" s="13" t="s">
        <v>82</v>
      </c>
      <c r="C96" s="5" t="s">
        <v>475</v>
      </c>
      <c r="D96" s="11" t="s">
        <v>476</v>
      </c>
      <c r="E96" s="7" t="str">
        <f>IFERROR(__xludf.DUMMYFUNCTION("REGEXEXTRACT(C96, """"""([^""""]+)"""""")"),"Items.Hat_02_old_01")</f>
        <v>Items.Hat_02_old_01</v>
      </c>
    </row>
    <row r="97">
      <c r="A97" s="12" t="s">
        <v>81</v>
      </c>
      <c r="B97" s="13" t="s">
        <v>82</v>
      </c>
      <c r="C97" s="5" t="s">
        <v>477</v>
      </c>
      <c r="D97" s="11" t="s">
        <v>478</v>
      </c>
      <c r="E97" s="7" t="str">
        <f>IFERROR(__xludf.DUMMYFUNCTION("REGEXEXTRACT(C97, """"""([^""""]+)"""""")"),"Items.Hat_04_basic_01")</f>
        <v>Items.Hat_04_basic_01</v>
      </c>
    </row>
    <row r="98">
      <c r="A98" s="12" t="s">
        <v>81</v>
      </c>
      <c r="B98" s="13" t="s">
        <v>82</v>
      </c>
      <c r="C98" s="5" t="s">
        <v>479</v>
      </c>
      <c r="D98" s="11" t="s">
        <v>480</v>
      </c>
      <c r="E98" s="7" t="str">
        <f>IFERROR(__xludf.DUMMYFUNCTION("REGEXEXTRACT(C98, """"""([^""""]+)"""""")"),"Items.Cap_02_old_01")</f>
        <v>Items.Cap_02_old_01</v>
      </c>
    </row>
    <row r="99">
      <c r="A99" s="12" t="s">
        <v>81</v>
      </c>
      <c r="B99" s="13" t="s">
        <v>82</v>
      </c>
      <c r="C99" s="5" t="s">
        <v>481</v>
      </c>
      <c r="D99" s="11" t="s">
        <v>482</v>
      </c>
      <c r="E99" s="7" t="str">
        <f>IFERROR(__xludf.DUMMYFUNCTION("REGEXEXTRACT(C99, """"""([^""""]+)"""""")"),"Items.Cap_02_basic_01")</f>
        <v>Items.Cap_02_basic_01</v>
      </c>
    </row>
    <row r="100">
      <c r="A100" s="12" t="s">
        <v>81</v>
      </c>
      <c r="B100" s="13" t="s">
        <v>82</v>
      </c>
      <c r="C100" s="5" t="s">
        <v>483</v>
      </c>
      <c r="D100" s="11" t="s">
        <v>484</v>
      </c>
      <c r="E100" s="7" t="str">
        <f>IFERROR(__xludf.DUMMYFUNCTION("REGEXEXTRACT(C100, """"""([^""""]+)"""""")"),"Items.Helmet_02_rich_03")</f>
        <v>Items.Helmet_02_rich_03</v>
      </c>
    </row>
    <row r="101">
      <c r="A101" s="12" t="s">
        <v>81</v>
      </c>
      <c r="B101" s="13" t="s">
        <v>82</v>
      </c>
      <c r="C101" s="5" t="s">
        <v>485</v>
      </c>
      <c r="D101" s="11" t="s">
        <v>486</v>
      </c>
      <c r="E101" s="7" t="str">
        <f>IFERROR(__xludf.DUMMYFUNCTION("REGEXEXTRACT(C101, """"""([^""""]+)"""""")"),"Items.Scarf_03_old_01")</f>
        <v>Items.Scarf_03_old_01</v>
      </c>
    </row>
    <row r="102">
      <c r="A102" s="12" t="s">
        <v>81</v>
      </c>
      <c r="B102" s="13" t="s">
        <v>82</v>
      </c>
      <c r="C102" s="5" t="s">
        <v>487</v>
      </c>
      <c r="D102" s="11" t="s">
        <v>488</v>
      </c>
      <c r="E102" s="7" t="str">
        <f>IFERROR(__xludf.DUMMYFUNCTION("REGEXEXTRACT(C102, """"""([^""""]+)"""""")"),"Items.Cap_06_rich_01")</f>
        <v>Items.Cap_06_rich_01</v>
      </c>
    </row>
    <row r="103">
      <c r="A103" s="12" t="s">
        <v>81</v>
      </c>
      <c r="B103" s="13" t="s">
        <v>82</v>
      </c>
      <c r="C103" s="5" t="s">
        <v>489</v>
      </c>
      <c r="D103" s="11" t="s">
        <v>490</v>
      </c>
      <c r="E103" s="7" t="str">
        <f>IFERROR(__xludf.DUMMYFUNCTION("REGEXEXTRACT(C103, """"""([^""""]+)"""""")"),"Items.Scarf_01_rich_01")</f>
        <v>Items.Scarf_01_rich_01</v>
      </c>
    </row>
    <row r="104">
      <c r="A104" s="12" t="s">
        <v>81</v>
      </c>
      <c r="B104" s="13" t="s">
        <v>82</v>
      </c>
      <c r="C104" s="5" t="s">
        <v>491</v>
      </c>
      <c r="D104" s="11" t="s">
        <v>492</v>
      </c>
      <c r="E104" s="7" t="str">
        <f>IFERROR(__xludf.DUMMYFUNCTION("REGEXEXTRACT(C104, """"""([^""""]+)"""""")"),"Items.Balaclava_01_rich_01")</f>
        <v>Items.Balaclava_01_rich_01</v>
      </c>
    </row>
    <row r="105">
      <c r="A105" s="12" t="s">
        <v>81</v>
      </c>
      <c r="B105" s="13" t="s">
        <v>82</v>
      </c>
      <c r="C105" s="5" t="s">
        <v>493</v>
      </c>
      <c r="D105" s="11" t="s">
        <v>494</v>
      </c>
      <c r="E105" s="7" t="str">
        <f>IFERROR(__xludf.DUMMYFUNCTION("REGEXEXTRACT(C105, """"""([^""""]+)"""""")"),"Items.Cap_04_basic_01")</f>
        <v>Items.Cap_04_basic_01</v>
      </c>
    </row>
    <row r="106">
      <c r="A106" s="12" t="s">
        <v>81</v>
      </c>
      <c r="B106" s="13" t="s">
        <v>82</v>
      </c>
      <c r="C106" s="5" t="s">
        <v>495</v>
      </c>
      <c r="D106" s="11" t="s">
        <v>496</v>
      </c>
      <c r="E106" s="7" t="str">
        <f>IFERROR(__xludf.DUMMYFUNCTION("REGEXEXTRACT(C106, """"""([^""""]+)"""""")"),"Items.Hat_01_old_02")</f>
        <v>Items.Hat_01_old_02</v>
      </c>
    </row>
    <row r="107">
      <c r="A107" s="12" t="s">
        <v>81</v>
      </c>
      <c r="B107" s="13" t="s">
        <v>82</v>
      </c>
      <c r="C107" s="5" t="s">
        <v>497</v>
      </c>
      <c r="D107" s="11" t="s">
        <v>498</v>
      </c>
      <c r="E107" s="7" t="str">
        <f>IFERROR(__xludf.DUMMYFUNCTION("REGEXEXTRACT(C107, """"""([^""""]+)"""""")"),"Items.Helmet_04_old_02")</f>
        <v>Items.Helmet_04_old_02</v>
      </c>
    </row>
    <row r="108">
      <c r="A108" s="12" t="s">
        <v>81</v>
      </c>
      <c r="B108" s="13" t="s">
        <v>82</v>
      </c>
      <c r="C108" s="5" t="s">
        <v>499</v>
      </c>
      <c r="D108" s="11" t="s">
        <v>500</v>
      </c>
      <c r="E108" s="7" t="str">
        <f>IFERROR(__xludf.DUMMYFUNCTION("REGEXEXTRACT(C108, """"""([^""""]+)"""""")"),"Items.Hat_03_basic_02")</f>
        <v>Items.Hat_03_basic_02</v>
      </c>
    </row>
    <row r="109">
      <c r="A109" s="12" t="s">
        <v>81</v>
      </c>
      <c r="B109" s="13" t="s">
        <v>82</v>
      </c>
      <c r="C109" s="5" t="s">
        <v>501</v>
      </c>
      <c r="D109" s="11" t="s">
        <v>502</v>
      </c>
      <c r="E109" s="7" t="str">
        <f>IFERROR(__xludf.DUMMYFUNCTION("REGEXEXTRACT(C109, """"""([^""""]+)"""""")"),"Items.Helmet_02_old_04")</f>
        <v>Items.Helmet_02_old_04</v>
      </c>
    </row>
    <row r="110">
      <c r="A110" s="12" t="s">
        <v>81</v>
      </c>
      <c r="B110" s="13" t="s">
        <v>82</v>
      </c>
      <c r="C110" s="5" t="s">
        <v>503</v>
      </c>
      <c r="D110" s="11" t="s">
        <v>504</v>
      </c>
      <c r="E110" s="7" t="str">
        <f>IFERROR(__xludf.DUMMYFUNCTION("REGEXEXTRACT(C110, """"""([^""""]+)"""""")"),"Items.Scarf_03_rich_02")</f>
        <v>Items.Scarf_03_rich_02</v>
      </c>
    </row>
    <row r="111">
      <c r="A111" s="12" t="s">
        <v>81</v>
      </c>
      <c r="B111" s="13" t="s">
        <v>82</v>
      </c>
      <c r="C111" s="5" t="s">
        <v>505</v>
      </c>
      <c r="D111" s="11" t="s">
        <v>506</v>
      </c>
      <c r="E111" s="7" t="str">
        <f>IFERROR(__xludf.DUMMYFUNCTION("REGEXEXTRACT(C111, """"""([^""""]+)"""""")"),"Items.Cap_01_old_01")</f>
        <v>Items.Cap_01_old_01</v>
      </c>
    </row>
    <row r="112">
      <c r="A112" s="12" t="s">
        <v>81</v>
      </c>
      <c r="B112" s="13" t="s">
        <v>82</v>
      </c>
      <c r="C112" s="5" t="s">
        <v>507</v>
      </c>
      <c r="D112" s="11" t="s">
        <v>508</v>
      </c>
      <c r="E112" s="7" t="str">
        <f>IFERROR(__xludf.DUMMYFUNCTION("REGEXEXTRACT(C112, """"""([^""""]+)"""""")"),"Items.Cap_03_old_01")</f>
        <v>Items.Cap_03_old_01</v>
      </c>
    </row>
    <row r="113">
      <c r="A113" s="12" t="s">
        <v>81</v>
      </c>
      <c r="B113" s="13" t="s">
        <v>82</v>
      </c>
      <c r="C113" s="5" t="s">
        <v>509</v>
      </c>
      <c r="D113" s="11" t="s">
        <v>510</v>
      </c>
      <c r="E113" s="7" t="str">
        <f>IFERROR(__xludf.DUMMYFUNCTION("REGEXEXTRACT(C113, """"""([^""""]+)"""""")"),"Items.Hat_03_old_02")</f>
        <v>Items.Hat_03_old_02</v>
      </c>
    </row>
    <row r="114">
      <c r="A114" s="12" t="s">
        <v>81</v>
      </c>
      <c r="B114" s="13" t="s">
        <v>82</v>
      </c>
      <c r="C114" s="5" t="s">
        <v>511</v>
      </c>
      <c r="D114" s="11" t="s">
        <v>512</v>
      </c>
      <c r="E114" s="7" t="str">
        <f>IFERROR(__xludf.DUMMYFUNCTION("REGEXEXTRACT(C114, """"""([^""""]+)"""""")"),"Items.Helmet_02_old_01")</f>
        <v>Items.Helmet_02_old_01</v>
      </c>
    </row>
    <row r="115">
      <c r="A115" s="12" t="s">
        <v>81</v>
      </c>
      <c r="B115" s="13" t="s">
        <v>82</v>
      </c>
      <c r="C115" s="5" t="s">
        <v>513</v>
      </c>
      <c r="D115" s="11" t="s">
        <v>514</v>
      </c>
      <c r="E115" s="7" t="str">
        <f>IFERROR(__xludf.DUMMYFUNCTION("REGEXEXTRACT(C115, """"""([^""""]+)"""""")"),"Items.Cap_01_old_03")</f>
        <v>Items.Cap_01_old_03</v>
      </c>
    </row>
    <row r="116">
      <c r="A116" s="12" t="s">
        <v>81</v>
      </c>
      <c r="B116" s="3" t="s">
        <v>37</v>
      </c>
      <c r="C116" s="5" t="s">
        <v>515</v>
      </c>
      <c r="D116" s="11" t="s">
        <v>516</v>
      </c>
      <c r="E116" s="7" t="str">
        <f>IFERROR(__xludf.DUMMYFUNCTION("REGEXEXTRACT(C116, """"""([^""""]+)"""""")"),"Items.Hat_06_basic_04")</f>
        <v>Items.Hat_06_basic_04</v>
      </c>
    </row>
    <row r="117">
      <c r="A117" s="12" t="s">
        <v>81</v>
      </c>
      <c r="B117" s="3" t="s">
        <v>37</v>
      </c>
      <c r="C117" s="5" t="s">
        <v>517</v>
      </c>
      <c r="D117" s="11" t="s">
        <v>518</v>
      </c>
      <c r="E117" s="7" t="str">
        <f>IFERROR(__xludf.DUMMYFUNCTION("REGEXEXTRACT(C117, """"""([^""""]+)"""""")"),"Items.Helmet_12_rich_01")</f>
        <v>Items.Helmet_12_rich_01</v>
      </c>
    </row>
    <row r="118">
      <c r="A118" s="12" t="s">
        <v>81</v>
      </c>
      <c r="B118" s="3" t="s">
        <v>37</v>
      </c>
      <c r="C118" s="5" t="s">
        <v>519</v>
      </c>
      <c r="D118" s="11" t="s">
        <v>520</v>
      </c>
      <c r="E118" s="7" t="str">
        <f>IFERROR(__xludf.DUMMYFUNCTION("REGEXEXTRACT(C118, """"""([^""""]+)"""""")"),"Items.Helmet_07_rich_01")</f>
        <v>Items.Helmet_07_rich_01</v>
      </c>
    </row>
    <row r="119">
      <c r="A119" s="12" t="s">
        <v>81</v>
      </c>
      <c r="B119" s="3" t="s">
        <v>37</v>
      </c>
      <c r="C119" s="5" t="s">
        <v>521</v>
      </c>
      <c r="D119" s="11" t="s">
        <v>522</v>
      </c>
      <c r="E119" s="7" t="str">
        <f>IFERROR(__xludf.DUMMYFUNCTION("REGEXEXTRACT(C119, """"""([^""""]+)"""""")"),"Items.Helmet_11_rich_01")</f>
        <v>Items.Helmet_11_rich_01</v>
      </c>
    </row>
    <row r="120">
      <c r="A120" s="12" t="s">
        <v>81</v>
      </c>
      <c r="B120" s="3" t="s">
        <v>37</v>
      </c>
      <c r="C120" s="5" t="s">
        <v>523</v>
      </c>
      <c r="D120" s="11" t="s">
        <v>524</v>
      </c>
      <c r="E120" s="7" t="str">
        <f>IFERROR(__xludf.DUMMYFUNCTION("REGEXEXTRACT(C120, """"""([^""""]+)"""""")"),"Items.Helmet_12_rich_02")</f>
        <v>Items.Helmet_12_rich_02</v>
      </c>
    </row>
    <row r="121">
      <c r="A121" s="12" t="s">
        <v>81</v>
      </c>
      <c r="B121" s="3" t="s">
        <v>37</v>
      </c>
      <c r="C121" s="5" t="s">
        <v>525</v>
      </c>
      <c r="D121" s="11" t="s">
        <v>526</v>
      </c>
      <c r="E121" s="7" t="str">
        <f>IFERROR(__xludf.DUMMYFUNCTION("REGEXEXTRACT(C121, """"""([^""""]+)"""""")"),"Items.Helmet_11_basic_02")</f>
        <v>Items.Helmet_11_basic_02</v>
      </c>
    </row>
    <row r="122">
      <c r="A122" s="12" t="s">
        <v>81</v>
      </c>
      <c r="B122" s="3" t="s">
        <v>37</v>
      </c>
      <c r="C122" s="5" t="s">
        <v>527</v>
      </c>
      <c r="D122" s="11" t="s">
        <v>528</v>
      </c>
      <c r="E122" s="7" t="str">
        <f>IFERROR(__xludf.DUMMYFUNCTION("REGEXEXTRACT(C122, """"""([^""""]+)"""""")"),"Items.Helmet_09_rich_02")</f>
        <v>Items.Helmet_09_rich_02</v>
      </c>
    </row>
    <row r="123">
      <c r="A123" s="12" t="s">
        <v>81</v>
      </c>
      <c r="B123" s="3" t="s">
        <v>37</v>
      </c>
      <c r="C123" s="5" t="s">
        <v>529</v>
      </c>
      <c r="D123" s="11" t="s">
        <v>530</v>
      </c>
      <c r="E123" s="7" t="str">
        <f>IFERROR(__xludf.DUMMYFUNCTION("REGEXEXTRACT(C123, """"""([^""""]+)"""""")"),"Items.Helmet_09_rich_05")</f>
        <v>Items.Helmet_09_rich_05</v>
      </c>
    </row>
    <row r="124">
      <c r="A124" s="12" t="s">
        <v>81</v>
      </c>
      <c r="B124" s="3" t="s">
        <v>37</v>
      </c>
      <c r="C124" s="5" t="s">
        <v>531</v>
      </c>
      <c r="D124" s="11" t="s">
        <v>532</v>
      </c>
      <c r="E124" s="7" t="str">
        <f>IFERROR(__xludf.DUMMYFUNCTION("REGEXEXTRACT(C124, """"""([^""""]+)"""""")"),"Items.Helmet_07_rich_02")</f>
        <v>Items.Helmet_07_rich_02</v>
      </c>
    </row>
    <row r="125">
      <c r="A125" s="12" t="s">
        <v>81</v>
      </c>
      <c r="B125" s="3" t="s">
        <v>37</v>
      </c>
      <c r="C125" s="5" t="s">
        <v>533</v>
      </c>
      <c r="D125" s="11" t="s">
        <v>534</v>
      </c>
      <c r="E125" s="7" t="str">
        <f>IFERROR(__xludf.DUMMYFUNCTION("REGEXEXTRACT(C125, """"""([^""""]+)"""""")"),"Items.Helmet_08_rich_01")</f>
        <v>Items.Helmet_08_rich_01</v>
      </c>
    </row>
    <row r="126">
      <c r="A126" s="12" t="s">
        <v>81</v>
      </c>
      <c r="B126" s="3" t="s">
        <v>37</v>
      </c>
      <c r="C126" s="5" t="s">
        <v>535</v>
      </c>
      <c r="D126" s="11" t="s">
        <v>536</v>
      </c>
      <c r="E126" s="7" t="str">
        <f>IFERROR(__xludf.DUMMYFUNCTION("REGEXEXTRACT(C126, """"""([^""""]+)"""""")"),"Items.Balaclava_02_basic_04")</f>
        <v>Items.Balaclava_02_basic_04</v>
      </c>
    </row>
    <row r="127">
      <c r="A127" s="12" t="s">
        <v>81</v>
      </c>
      <c r="B127" s="3" t="s">
        <v>37</v>
      </c>
      <c r="C127" s="5" t="s">
        <v>537</v>
      </c>
      <c r="D127" s="11" t="s">
        <v>538</v>
      </c>
      <c r="E127" s="7" t="str">
        <f>IFERROR(__xludf.DUMMYFUNCTION("REGEXEXTRACT(C127, """"""([^""""]+)"""""")"),"Items.Helmet_12_basic_03")</f>
        <v>Items.Helmet_12_basic_03</v>
      </c>
    </row>
    <row r="128">
      <c r="A128" s="12" t="s">
        <v>81</v>
      </c>
      <c r="B128" s="3" t="s">
        <v>37</v>
      </c>
      <c r="C128" s="5" t="s">
        <v>539</v>
      </c>
      <c r="D128" s="11" t="s">
        <v>540</v>
      </c>
      <c r="E128" s="7" t="str">
        <f>IFERROR(__xludf.DUMMYFUNCTION("REGEXEXTRACT(C128, """"""([^""""]+)"""""")"),"Items.Q301_kurt_militia_h1")</f>
        <v>Items.Q301_kurt_militia_h1</v>
      </c>
    </row>
    <row r="129">
      <c r="A129" s="12" t="s">
        <v>81</v>
      </c>
      <c r="B129" s="3" t="s">
        <v>37</v>
      </c>
      <c r="C129" s="5" t="s">
        <v>541</v>
      </c>
      <c r="D129" s="11" t="s">
        <v>542</v>
      </c>
      <c r="E129" s="7" t="str">
        <f>IFERROR(__xludf.DUMMYFUNCTION("REGEXEXTRACT(C129, """"""([^""""]+)"""""")"),"Items.Helmet_07_old_05")</f>
        <v>Items.Helmet_07_old_05</v>
      </c>
    </row>
    <row r="130">
      <c r="A130" s="12" t="s">
        <v>81</v>
      </c>
      <c r="B130" s="3" t="s">
        <v>37</v>
      </c>
      <c r="C130" s="5" t="s">
        <v>543</v>
      </c>
      <c r="D130" s="11" t="s">
        <v>544</v>
      </c>
      <c r="E130" s="7" t="str">
        <f>IFERROR(__xludf.DUMMYFUNCTION("REGEXEXTRACT(C130, """"""([^""""]+)"""""")"),"Items.Helmet_12_old_01")</f>
        <v>Items.Helmet_12_old_01</v>
      </c>
    </row>
    <row r="131">
      <c r="A131" s="12" t="s">
        <v>81</v>
      </c>
      <c r="B131" s="3" t="s">
        <v>37</v>
      </c>
      <c r="C131" s="5" t="s">
        <v>545</v>
      </c>
      <c r="D131" s="11" t="s">
        <v>546</v>
      </c>
      <c r="E131" s="7" t="str">
        <f>IFERROR(__xludf.DUMMYFUNCTION("REGEXEXTRACT(C131, """"""([^""""]+)"""""")"),"Items.Hat_05_old_01")</f>
        <v>Items.Hat_05_old_01</v>
      </c>
    </row>
    <row r="132">
      <c r="A132" s="12" t="s">
        <v>81</v>
      </c>
      <c r="B132" s="3" t="s">
        <v>37</v>
      </c>
      <c r="C132" s="5" t="s">
        <v>547</v>
      </c>
      <c r="D132" s="11" t="s">
        <v>548</v>
      </c>
      <c r="E132" s="7" t="str">
        <f>IFERROR(__xludf.DUMMYFUNCTION("REGEXEXTRACT(C132, """"""([^""""]+)"""""")"),"Items.Helmet_08_old_02")</f>
        <v>Items.Helmet_08_old_02</v>
      </c>
    </row>
    <row r="133">
      <c r="A133" s="12" t="s">
        <v>81</v>
      </c>
      <c r="B133" s="3" t="s">
        <v>37</v>
      </c>
      <c r="C133" s="5" t="s">
        <v>549</v>
      </c>
      <c r="D133" s="11" t="s">
        <v>550</v>
      </c>
      <c r="E133" s="7" t="str">
        <f>IFERROR(__xludf.DUMMYFUNCTION("REGEXEXTRACT(C133, """"""([^""""]+)"""""")"),"Items.Helmet_07_old_03")</f>
        <v>Items.Helmet_07_old_03</v>
      </c>
    </row>
    <row r="134">
      <c r="A134" s="12" t="s">
        <v>81</v>
      </c>
      <c r="B134" s="3" t="s">
        <v>37</v>
      </c>
      <c r="C134" s="5" t="s">
        <v>551</v>
      </c>
      <c r="D134" s="11" t="s">
        <v>552</v>
      </c>
      <c r="E134" s="7" t="str">
        <f>IFERROR(__xludf.DUMMYFUNCTION("REGEXEXTRACT(C134, """"""([^""""]+)"""""")"),"Items.Hat_05_rich_03")</f>
        <v>Items.Hat_05_rich_03</v>
      </c>
    </row>
    <row r="135">
      <c r="A135" s="12" t="s">
        <v>81</v>
      </c>
      <c r="B135" s="3" t="s">
        <v>37</v>
      </c>
      <c r="C135" s="5" t="s">
        <v>553</v>
      </c>
      <c r="D135" s="11" t="s">
        <v>554</v>
      </c>
      <c r="E135" s="7" t="str">
        <f>IFERROR(__xludf.DUMMYFUNCTION("REGEXEXTRACT(C135, """"""([^""""]+)"""""")"),"Items.Hat_05_basic_03")</f>
        <v>Items.Hat_05_basic_03</v>
      </c>
    </row>
    <row r="136">
      <c r="A136" s="12" t="s">
        <v>81</v>
      </c>
      <c r="B136" s="3" t="s">
        <v>37</v>
      </c>
      <c r="C136" s="5" t="s">
        <v>555</v>
      </c>
      <c r="D136" s="11" t="s">
        <v>556</v>
      </c>
      <c r="E136" s="7" t="str">
        <f>IFERROR(__xludf.DUMMYFUNCTION("REGEXEXTRACT(C136, """"""([^""""]+)"""""")"),"Items.Hat_06_old_02")</f>
        <v>Items.Hat_06_old_02</v>
      </c>
    </row>
    <row r="137">
      <c r="A137" s="12" t="s">
        <v>81</v>
      </c>
      <c r="B137" s="3" t="s">
        <v>37</v>
      </c>
      <c r="C137" s="5" t="s">
        <v>557</v>
      </c>
      <c r="D137" s="11" t="s">
        <v>558</v>
      </c>
      <c r="E137" s="7" t="str">
        <f>IFERROR(__xludf.DUMMYFUNCTION("REGEXEXTRACT(C137, """"""([^""""]+)"""""")"),"Items.Helmet_09_rich_01")</f>
        <v>Items.Helmet_09_rich_01</v>
      </c>
    </row>
    <row r="138">
      <c r="A138" s="12" t="s">
        <v>81</v>
      </c>
      <c r="B138" s="3" t="s">
        <v>37</v>
      </c>
      <c r="C138" s="5" t="s">
        <v>559</v>
      </c>
      <c r="D138" s="11" t="s">
        <v>560</v>
      </c>
      <c r="E138" s="7" t="str">
        <f>IFERROR(__xludf.DUMMYFUNCTION("REGEXEXTRACT(C138, """"""([^""""]+)"""""")"),"Items.Helmet_10_rich_01")</f>
        <v>Items.Helmet_10_rich_01</v>
      </c>
    </row>
    <row r="139">
      <c r="A139" s="12" t="s">
        <v>81</v>
      </c>
      <c r="B139" s="3" t="s">
        <v>37</v>
      </c>
      <c r="C139" s="5" t="s">
        <v>561</v>
      </c>
      <c r="D139" s="11" t="s">
        <v>562</v>
      </c>
      <c r="E139" s="7" t="str">
        <f>IFERROR(__xludf.DUMMYFUNCTION("REGEXEXTRACT(C139, """"""([^""""]+)"""""")"),"Items.Helmet_07_old_02")</f>
        <v>Items.Helmet_07_old_02</v>
      </c>
    </row>
    <row r="140">
      <c r="A140" s="12" t="s">
        <v>81</v>
      </c>
      <c r="B140" s="3" t="s">
        <v>37</v>
      </c>
      <c r="C140" s="5" t="s">
        <v>563</v>
      </c>
      <c r="D140" s="11" t="s">
        <v>564</v>
      </c>
      <c r="E140" s="7" t="str">
        <f>IFERROR(__xludf.DUMMYFUNCTION("REGEXEXTRACT(C140, """"""([^""""]+)"""""")"),"Items.Balaclava_02_old_05")</f>
        <v>Items.Balaclava_02_old_05</v>
      </c>
    </row>
    <row r="141">
      <c r="A141" s="12" t="s">
        <v>81</v>
      </c>
      <c r="B141" s="3" t="s">
        <v>37</v>
      </c>
      <c r="C141" s="5" t="s">
        <v>565</v>
      </c>
      <c r="D141" s="11" t="s">
        <v>566</v>
      </c>
      <c r="E141" s="7" t="str">
        <f>IFERROR(__xludf.DUMMYFUNCTION("REGEXEXTRACT(C141, """"""([^""""]+)"""""")"),"Items.Helmet_09_basic_01")</f>
        <v>Items.Helmet_09_basic_01</v>
      </c>
    </row>
    <row r="142">
      <c r="A142" s="12" t="s">
        <v>81</v>
      </c>
      <c r="B142" s="3" t="s">
        <v>37</v>
      </c>
      <c r="C142" s="5" t="s">
        <v>567</v>
      </c>
      <c r="D142" s="11" t="s">
        <v>568</v>
      </c>
      <c r="E142" s="7" t="str">
        <f>IFERROR(__xludf.DUMMYFUNCTION("REGEXEXTRACT(C142, """"""([^""""]+)"""""")"),"Items.Helmet_12_rich_03")</f>
        <v>Items.Helmet_12_rich_03</v>
      </c>
    </row>
    <row r="143">
      <c r="A143" s="12" t="s">
        <v>81</v>
      </c>
      <c r="B143" s="3" t="s">
        <v>37</v>
      </c>
      <c r="C143" s="5" t="s">
        <v>569</v>
      </c>
      <c r="D143" s="11" t="s">
        <v>570</v>
      </c>
      <c r="E143" s="7" t="str">
        <f>IFERROR(__xludf.DUMMYFUNCTION("REGEXEXTRACT(C143, """"""([^""""]+)"""""")"),"Items.Helmet_09_rich_04")</f>
        <v>Items.Helmet_09_rich_04</v>
      </c>
    </row>
    <row r="144">
      <c r="A144" s="12" t="s">
        <v>81</v>
      </c>
      <c r="B144" s="3" t="s">
        <v>37</v>
      </c>
      <c r="C144" s="5" t="s">
        <v>571</v>
      </c>
      <c r="D144" s="11" t="s">
        <v>572</v>
      </c>
      <c r="E144" s="7" t="str">
        <f>IFERROR(__xludf.DUMMYFUNCTION("REGEXEXTRACT(C144, """"""([^""""]+)"""""")"),"Items.Helmet_10_rich_04")</f>
        <v>Items.Helmet_10_rich_04</v>
      </c>
    </row>
    <row r="145">
      <c r="A145" s="12" t="s">
        <v>81</v>
      </c>
      <c r="B145" s="3" t="s">
        <v>37</v>
      </c>
      <c r="C145" s="5" t="s">
        <v>573</v>
      </c>
      <c r="D145" s="11" t="s">
        <v>574</v>
      </c>
      <c r="E145" s="7" t="str">
        <f>IFERROR(__xludf.DUMMYFUNCTION("REGEXEXTRACT(C145, """"""([^""""]+)"""""")"),"Items.Helmet_12_basic_04")</f>
        <v>Items.Helmet_12_basic_04</v>
      </c>
    </row>
    <row r="146">
      <c r="A146" s="12" t="s">
        <v>81</v>
      </c>
      <c r="B146" s="3" t="s">
        <v>37</v>
      </c>
      <c r="C146" s="5" t="s">
        <v>575</v>
      </c>
      <c r="D146" s="11" t="s">
        <v>576</v>
      </c>
      <c r="E146" s="7" t="str">
        <f>IFERROR(__xludf.DUMMYFUNCTION("REGEXEXTRACT(C146, """"""([^""""]+)"""""")"),"Items.Helmet_12_old_02")</f>
        <v>Items.Helmet_12_old_02</v>
      </c>
    </row>
    <row r="147">
      <c r="A147" s="12" t="s">
        <v>81</v>
      </c>
      <c r="B147" s="3" t="s">
        <v>37</v>
      </c>
      <c r="C147" s="5" t="s">
        <v>577</v>
      </c>
      <c r="D147" s="11" t="s">
        <v>578</v>
      </c>
      <c r="E147" s="7" t="str">
        <f>IFERROR(__xludf.DUMMYFUNCTION("REGEXEXTRACT(C147, """"""([^""""]+)"""""")"),"Items.Balaclava_01_basic_02_Crafting")</f>
        <v>Items.Balaclava_01_basic_02_Crafting</v>
      </c>
    </row>
    <row r="148">
      <c r="A148" s="12" t="s">
        <v>81</v>
      </c>
      <c r="B148" s="3" t="s">
        <v>37</v>
      </c>
      <c r="C148" s="5" t="s">
        <v>579</v>
      </c>
      <c r="D148" s="11" t="s">
        <v>580</v>
      </c>
      <c r="E148" s="7" t="str">
        <f>IFERROR(__xludf.DUMMYFUNCTION("REGEXEXTRACT(C148, """"""([^""""]+)"""""")"),"Items.Hat_06_old_01")</f>
        <v>Items.Hat_06_old_01</v>
      </c>
    </row>
    <row r="149">
      <c r="A149" s="12" t="s">
        <v>81</v>
      </c>
      <c r="B149" s="3" t="s">
        <v>37</v>
      </c>
      <c r="C149" s="5" t="s">
        <v>581</v>
      </c>
      <c r="D149" s="11" t="s">
        <v>582</v>
      </c>
      <c r="E149" s="7" t="str">
        <f>IFERROR(__xludf.DUMMYFUNCTION("REGEXEXTRACT(C149, """"""([^""""]+)"""""")"),"Items.Hat_06_basic_06")</f>
        <v>Items.Hat_06_basic_06</v>
      </c>
    </row>
    <row r="150">
      <c r="A150" s="12" t="s">
        <v>81</v>
      </c>
      <c r="B150" s="3" t="s">
        <v>37</v>
      </c>
      <c r="C150" s="5" t="s">
        <v>583</v>
      </c>
      <c r="D150" s="11" t="s">
        <v>584</v>
      </c>
      <c r="E150" s="7" t="str">
        <f>IFERROR(__xludf.DUMMYFUNCTION("REGEXEXTRACT(C150, """"""([^""""]+)"""""")"),"Items.Helmet_11_basic_01")</f>
        <v>Items.Helmet_11_basic_01</v>
      </c>
    </row>
    <row r="151">
      <c r="A151" s="12" t="s">
        <v>81</v>
      </c>
      <c r="B151" s="3" t="s">
        <v>37</v>
      </c>
      <c r="C151" s="5" t="s">
        <v>585</v>
      </c>
      <c r="D151" s="11" t="s">
        <v>586</v>
      </c>
      <c r="E151" s="7" t="str">
        <f>IFERROR(__xludf.DUMMYFUNCTION("REGEXEXTRACT(C151, """"""([^""""]+)"""""")"),"Items.Balaclava_02_basic_02")</f>
        <v>Items.Balaclava_02_basic_02</v>
      </c>
    </row>
    <row r="152">
      <c r="A152" s="12" t="s">
        <v>81</v>
      </c>
      <c r="B152" s="3" t="s">
        <v>37</v>
      </c>
      <c r="C152" s="5" t="s">
        <v>587</v>
      </c>
      <c r="D152" s="11" t="s">
        <v>588</v>
      </c>
      <c r="E152" s="7" t="str">
        <f>IFERROR(__xludf.DUMMYFUNCTION("REGEXEXTRACT(C152, """"""([^""""]+)"""""")"),"Items.Helmet_12_rich_04")</f>
        <v>Items.Helmet_12_rich_04</v>
      </c>
    </row>
    <row r="153">
      <c r="A153" s="12" t="s">
        <v>81</v>
      </c>
      <c r="B153" s="3" t="s">
        <v>37</v>
      </c>
      <c r="C153" s="5" t="s">
        <v>589</v>
      </c>
      <c r="D153" s="11" t="s">
        <v>590</v>
      </c>
      <c r="E153" s="7" t="str">
        <f>IFERROR(__xludf.DUMMYFUNCTION("REGEXEXTRACT(C153, """"""([^""""]+)"""""")"),"Items.Helmet_08_basic_04")</f>
        <v>Items.Helmet_08_basic_04</v>
      </c>
    </row>
    <row r="154">
      <c r="A154" s="12" t="s">
        <v>81</v>
      </c>
      <c r="B154" s="3" t="s">
        <v>37</v>
      </c>
      <c r="C154" s="5" t="s">
        <v>591</v>
      </c>
      <c r="D154" s="11" t="s">
        <v>592</v>
      </c>
      <c r="E154" s="7" t="str">
        <f>IFERROR(__xludf.DUMMYFUNCTION("REGEXEXTRACT(C154, """"""([^""""]+)"""""")"),"Items.Hat_05_old_03")</f>
        <v>Items.Hat_05_old_03</v>
      </c>
    </row>
    <row r="155">
      <c r="A155" s="12" t="s">
        <v>81</v>
      </c>
      <c r="B155" s="3" t="s">
        <v>37</v>
      </c>
      <c r="C155" s="5" t="s">
        <v>593</v>
      </c>
      <c r="D155" s="11" t="s">
        <v>594</v>
      </c>
      <c r="E155" s="7" t="str">
        <f>IFERROR(__xludf.DUMMYFUNCTION("REGEXEXTRACT(C155, """"""([^""""]+)"""""")"),"Items.Hat_06_old_03")</f>
        <v>Items.Hat_06_old_03</v>
      </c>
    </row>
    <row r="156">
      <c r="A156" s="12" t="s">
        <v>81</v>
      </c>
      <c r="B156" s="3" t="s">
        <v>37</v>
      </c>
      <c r="C156" s="5" t="s">
        <v>595</v>
      </c>
      <c r="D156" s="11" t="s">
        <v>596</v>
      </c>
      <c r="E156" s="7" t="str">
        <f>IFERROR(__xludf.DUMMYFUNCTION("REGEXEXTRACT(C156, """"""([^""""]+)"""""")"),"Items.Helmet_08_rich_03")</f>
        <v>Items.Helmet_08_rich_03</v>
      </c>
    </row>
    <row r="157">
      <c r="A157" s="12" t="s">
        <v>81</v>
      </c>
      <c r="B157" s="3" t="s">
        <v>37</v>
      </c>
      <c r="C157" s="5" t="s">
        <v>597</v>
      </c>
      <c r="D157" s="11" t="s">
        <v>598</v>
      </c>
      <c r="E157" s="7" t="str">
        <f>IFERROR(__xludf.DUMMYFUNCTION("REGEXEXTRACT(C157, """"""([^""""]+)"""""")"),"Items.Balaclava_02_basic_03")</f>
        <v>Items.Balaclava_02_basic_03</v>
      </c>
    </row>
    <row r="158">
      <c r="A158" s="12" t="s">
        <v>81</v>
      </c>
      <c r="B158" s="3" t="s">
        <v>37</v>
      </c>
      <c r="C158" s="5" t="s">
        <v>599</v>
      </c>
      <c r="D158" s="11" t="s">
        <v>600</v>
      </c>
      <c r="E158" s="7" t="str">
        <f>IFERROR(__xludf.DUMMYFUNCTION("REGEXEXTRACT(C158, """"""([^""""]+)"""""")"),"Items.Hat_05_old_02")</f>
        <v>Items.Hat_05_old_02</v>
      </c>
    </row>
    <row r="159">
      <c r="A159" s="12" t="s">
        <v>81</v>
      </c>
      <c r="B159" s="3" t="s">
        <v>37</v>
      </c>
      <c r="C159" s="5" t="s">
        <v>601</v>
      </c>
      <c r="D159" s="11" t="s">
        <v>602</v>
      </c>
      <c r="E159" s="7" t="str">
        <f>IFERROR(__xludf.DUMMYFUNCTION("REGEXEXTRACT(C159, """"""([^""""]+)"""""")"),"Items.Balaclava_02_old_03")</f>
        <v>Items.Balaclava_02_old_03</v>
      </c>
    </row>
    <row r="160">
      <c r="A160" s="12" t="s">
        <v>81</v>
      </c>
      <c r="B160" s="3" t="s">
        <v>37</v>
      </c>
      <c r="C160" s="5" t="s">
        <v>603</v>
      </c>
      <c r="D160" s="11" t="s">
        <v>604</v>
      </c>
      <c r="E160" s="7" t="str">
        <f>IFERROR(__xludf.DUMMYFUNCTION("REGEXEXTRACT(C160, """"""([^""""]+)"""""")"),"Items.Helmet_12_basic_01")</f>
        <v>Items.Helmet_12_basic_01</v>
      </c>
    </row>
    <row r="161">
      <c r="A161" s="12" t="s">
        <v>81</v>
      </c>
      <c r="B161" s="3" t="s">
        <v>37</v>
      </c>
      <c r="C161" s="5" t="s">
        <v>605</v>
      </c>
      <c r="D161" s="11" t="s">
        <v>606</v>
      </c>
      <c r="E161" s="7" t="str">
        <f>IFERROR(__xludf.DUMMYFUNCTION("REGEXEXTRACT(C161, """"""([^""""]+)"""""")"),"Items.Helmet_11_rich_02")</f>
        <v>Items.Helmet_11_rich_02</v>
      </c>
    </row>
    <row r="162">
      <c r="A162" s="12" t="s">
        <v>81</v>
      </c>
      <c r="B162" s="3" t="s">
        <v>37</v>
      </c>
      <c r="C162" s="5" t="s">
        <v>607</v>
      </c>
      <c r="D162" s="11" t="s">
        <v>608</v>
      </c>
      <c r="E162" s="7" t="str">
        <f>IFERROR(__xludf.DUMMYFUNCTION("REGEXEXTRACT(C162, """"""([^""""]+)"""""")"),"Items.Helmet_11_old_03")</f>
        <v>Items.Helmet_11_old_03</v>
      </c>
    </row>
    <row r="163">
      <c r="A163" s="12" t="s">
        <v>81</v>
      </c>
      <c r="B163" s="3" t="s">
        <v>37</v>
      </c>
      <c r="C163" s="5" t="s">
        <v>609</v>
      </c>
      <c r="D163" s="11" t="s">
        <v>610</v>
      </c>
      <c r="E163" s="7" t="str">
        <f>IFERROR(__xludf.DUMMYFUNCTION("REGEXEXTRACT(C163, """"""([^""""]+)"""""")"),"Items.Helmet_11_old_01")</f>
        <v>Items.Helmet_11_old_01</v>
      </c>
    </row>
    <row r="164">
      <c r="A164" s="12" t="s">
        <v>81</v>
      </c>
      <c r="B164" s="3" t="s">
        <v>37</v>
      </c>
      <c r="C164" s="5" t="s">
        <v>611</v>
      </c>
      <c r="D164" s="11" t="s">
        <v>612</v>
      </c>
      <c r="E164" s="7" t="str">
        <f>IFERROR(__xludf.DUMMYFUNCTION("REGEXEXTRACT(C164, """"""([^""""]+)"""""")"),"Items.Helmet_11_basic_03")</f>
        <v>Items.Helmet_11_basic_03</v>
      </c>
    </row>
    <row r="165">
      <c r="A165" s="12" t="s">
        <v>81</v>
      </c>
      <c r="B165" s="3" t="s">
        <v>37</v>
      </c>
      <c r="C165" s="5" t="s">
        <v>613</v>
      </c>
      <c r="D165" s="11" t="s">
        <v>614</v>
      </c>
      <c r="E165" s="7" t="str">
        <f>IFERROR(__xludf.DUMMYFUNCTION("REGEXEXTRACT(C165, """"""([^""""]+)"""""")"),"Items.Helmet_11_old_02")</f>
        <v>Items.Helmet_11_old_02</v>
      </c>
    </row>
    <row r="166">
      <c r="A166" s="12" t="s">
        <v>81</v>
      </c>
      <c r="B166" s="3" t="s">
        <v>37</v>
      </c>
      <c r="C166" s="5" t="s">
        <v>615</v>
      </c>
      <c r="D166" s="11" t="s">
        <v>616</v>
      </c>
      <c r="E166" s="7" t="str">
        <f>IFERROR(__xludf.DUMMYFUNCTION("REGEXEXTRACT(C166, """"""([^""""]+)"""""")"),"Items.Helmet_07_rich_03")</f>
        <v>Items.Helmet_07_rich_03</v>
      </c>
    </row>
    <row r="167">
      <c r="A167" s="12" t="s">
        <v>81</v>
      </c>
      <c r="B167" s="3" t="s">
        <v>37</v>
      </c>
      <c r="C167" s="5" t="s">
        <v>617</v>
      </c>
      <c r="D167" s="11" t="s">
        <v>618</v>
      </c>
      <c r="E167" s="7" t="str">
        <f>IFERROR(__xludf.DUMMYFUNCTION("REGEXEXTRACT(C167, """"""([^""""]+)"""""")"),"Items.Balaclava_02_basic_07")</f>
        <v>Items.Balaclava_02_basic_07</v>
      </c>
    </row>
    <row r="168">
      <c r="A168" s="12" t="s">
        <v>81</v>
      </c>
      <c r="B168" s="3" t="s">
        <v>37</v>
      </c>
      <c r="C168" s="5" t="s">
        <v>619</v>
      </c>
      <c r="D168" s="11" t="s">
        <v>620</v>
      </c>
      <c r="E168" s="7" t="str">
        <f>IFERROR(__xludf.DUMMYFUNCTION("REGEXEXTRACT(C168, """"""([^""""]+)"""""")"),"Items.Hat_05_basic_02")</f>
        <v>Items.Hat_05_basic_02</v>
      </c>
    </row>
    <row r="169">
      <c r="A169" s="12" t="s">
        <v>81</v>
      </c>
      <c r="B169" s="3" t="s">
        <v>37</v>
      </c>
      <c r="C169" s="5" t="s">
        <v>621</v>
      </c>
      <c r="D169" s="11" t="s">
        <v>622</v>
      </c>
      <c r="E169" s="7" t="str">
        <f>IFERROR(__xludf.DUMMYFUNCTION("REGEXEXTRACT(C169, """"""([^""""]+)"""""")"),"Items.Helmet_10_basic_01")</f>
        <v>Items.Helmet_10_basic_01</v>
      </c>
    </row>
    <row r="170">
      <c r="A170" s="12" t="s">
        <v>81</v>
      </c>
      <c r="B170" s="3" t="s">
        <v>37</v>
      </c>
      <c r="C170" s="5" t="s">
        <v>623</v>
      </c>
      <c r="D170" s="11" t="s">
        <v>624</v>
      </c>
      <c r="E170" s="7" t="str">
        <f>IFERROR(__xludf.DUMMYFUNCTION("REGEXEXTRACT(C170, """"""([^""""]+)"""""")"),"Items.Helmet_09_basic_03")</f>
        <v>Items.Helmet_09_basic_03</v>
      </c>
    </row>
    <row r="171">
      <c r="A171" s="12" t="s">
        <v>81</v>
      </c>
      <c r="B171" s="3" t="s">
        <v>37</v>
      </c>
      <c r="C171" s="5" t="s">
        <v>625</v>
      </c>
      <c r="D171" s="11" t="s">
        <v>626</v>
      </c>
      <c r="E171" s="7" t="str">
        <f>IFERROR(__xludf.DUMMYFUNCTION("REGEXEXTRACT(C171, """"""([^""""]+)"""""")"),"Items.Helmet_07_basic_02")</f>
        <v>Items.Helmet_07_basic_02</v>
      </c>
    </row>
    <row r="172">
      <c r="A172" s="12" t="s">
        <v>81</v>
      </c>
      <c r="B172" s="3" t="s">
        <v>37</v>
      </c>
      <c r="C172" s="5" t="s">
        <v>627</v>
      </c>
      <c r="D172" s="11" t="s">
        <v>628</v>
      </c>
      <c r="E172" s="7" t="str">
        <f>IFERROR(__xludf.DUMMYFUNCTION("REGEXEXTRACT(C172, """"""([^""""]+)"""""")"),"Items.Hat_05_rich_04")</f>
        <v>Items.Hat_05_rich_04</v>
      </c>
    </row>
    <row r="173">
      <c r="A173" s="12" t="s">
        <v>81</v>
      </c>
      <c r="B173" s="3" t="s">
        <v>37</v>
      </c>
      <c r="C173" s="5" t="s">
        <v>629</v>
      </c>
      <c r="D173" s="11" t="s">
        <v>630</v>
      </c>
      <c r="E173" s="7" t="str">
        <f>IFERROR(__xludf.DUMMYFUNCTION("REGEXEXTRACT(C173, """"""([^""""]+)"""""")"),"Items.Balaclava_02_basic_01")</f>
        <v>Items.Balaclava_02_basic_01</v>
      </c>
    </row>
    <row r="174">
      <c r="A174" s="12" t="s">
        <v>81</v>
      </c>
      <c r="B174" s="3" t="s">
        <v>37</v>
      </c>
      <c r="C174" s="5" t="s">
        <v>631</v>
      </c>
      <c r="D174" s="11" t="s">
        <v>632</v>
      </c>
      <c r="E174" s="7" t="str">
        <f>IFERROR(__xludf.DUMMYFUNCTION("REGEXEXTRACT(C174, """"""([^""""]+)"""""")"),"Items.Hat_05_rich_01")</f>
        <v>Items.Hat_05_rich_01</v>
      </c>
    </row>
    <row r="175">
      <c r="A175" s="12" t="s">
        <v>81</v>
      </c>
      <c r="B175" s="3" t="s">
        <v>37</v>
      </c>
      <c r="C175" s="5" t="s">
        <v>633</v>
      </c>
      <c r="D175" s="11" t="s">
        <v>634</v>
      </c>
      <c r="E175" s="7" t="str">
        <f>IFERROR(__xludf.DUMMYFUNCTION("REGEXEXTRACT(C175, """"""([^""""]+)"""""")"),"Items.Helmet_07_basic_03")</f>
        <v>Items.Helmet_07_basic_03</v>
      </c>
    </row>
    <row r="176">
      <c r="A176" s="12" t="s">
        <v>81</v>
      </c>
      <c r="B176" s="3" t="s">
        <v>37</v>
      </c>
      <c r="C176" s="5" t="s">
        <v>635</v>
      </c>
      <c r="D176" s="11" t="s">
        <v>636</v>
      </c>
      <c r="E176" s="7" t="str">
        <f>IFERROR(__xludf.DUMMYFUNCTION("REGEXEXTRACT(C176, """"""([^""""]+)"""""")"),"Items.Helmet_12_basic_02")</f>
        <v>Items.Helmet_12_basic_02</v>
      </c>
    </row>
    <row r="177">
      <c r="A177" s="12" t="s">
        <v>81</v>
      </c>
      <c r="B177" s="3" t="s">
        <v>37</v>
      </c>
      <c r="C177" s="5" t="s">
        <v>637</v>
      </c>
      <c r="D177" s="11" t="s">
        <v>638</v>
      </c>
      <c r="E177" s="7" t="str">
        <f>IFERROR(__xludf.DUMMYFUNCTION("REGEXEXTRACT(C177, """"""([^""""]+)"""""")"),"Items.Helmet_10_basic_04")</f>
        <v>Items.Helmet_10_basic_04</v>
      </c>
    </row>
    <row r="178">
      <c r="A178" s="12" t="s">
        <v>81</v>
      </c>
      <c r="B178" s="3" t="s">
        <v>37</v>
      </c>
      <c r="C178" s="5" t="s">
        <v>639</v>
      </c>
      <c r="D178" s="11" t="s">
        <v>640</v>
      </c>
      <c r="E178" s="7" t="str">
        <f>IFERROR(__xludf.DUMMYFUNCTION("REGEXEXTRACT(C178, """"""([^""""]+)"""""")"),"Items.Helmet_10_basic_02")</f>
        <v>Items.Helmet_10_basic_02</v>
      </c>
    </row>
    <row r="179">
      <c r="A179" s="12" t="s">
        <v>81</v>
      </c>
      <c r="B179" s="3" t="s">
        <v>37</v>
      </c>
      <c r="C179" s="5" t="s">
        <v>641</v>
      </c>
      <c r="D179" s="11" t="s">
        <v>642</v>
      </c>
      <c r="E179" s="7" t="str">
        <f>IFERROR(__xludf.DUMMYFUNCTION("REGEXEXTRACT(C179, """"""([^""""]+)"""""")"),"Items.Helmet_10_basic_03")</f>
        <v>Items.Helmet_10_basic_03</v>
      </c>
    </row>
    <row r="180">
      <c r="A180" s="12" t="s">
        <v>81</v>
      </c>
      <c r="B180" s="3" t="s">
        <v>37</v>
      </c>
      <c r="C180" s="5" t="s">
        <v>643</v>
      </c>
      <c r="D180" s="11" t="s">
        <v>644</v>
      </c>
      <c r="E180" s="7" t="str">
        <f>IFERROR(__xludf.DUMMYFUNCTION("REGEXEXTRACT(C180, """"""([^""""]+)"""""")"),"Items.Hat_06_basic_01")</f>
        <v>Items.Hat_06_basic_01</v>
      </c>
    </row>
    <row r="181">
      <c r="A181" s="12" t="s">
        <v>81</v>
      </c>
      <c r="B181" s="3" t="s">
        <v>37</v>
      </c>
      <c r="C181" s="5" t="s">
        <v>645</v>
      </c>
      <c r="D181" s="11" t="s">
        <v>646</v>
      </c>
      <c r="E181" s="7" t="str">
        <f>IFERROR(__xludf.DUMMYFUNCTION("REGEXEXTRACT(C181, """"""([^""""]+)"""""")"),"Items.Helmet_07_old_04")</f>
        <v>Items.Helmet_07_old_04</v>
      </c>
    </row>
    <row r="182">
      <c r="A182" s="12" t="s">
        <v>81</v>
      </c>
      <c r="B182" s="3" t="s">
        <v>37</v>
      </c>
      <c r="C182" s="5" t="s">
        <v>647</v>
      </c>
      <c r="D182" s="11" t="s">
        <v>648</v>
      </c>
      <c r="E182" s="7" t="str">
        <f>IFERROR(__xludf.DUMMYFUNCTION("REGEXEXTRACT(C182, """"""([^""""]+)"""""")"),"Items.Helmet_12_old_04")</f>
        <v>Items.Helmet_12_old_04</v>
      </c>
    </row>
    <row r="183">
      <c r="A183" s="12" t="s">
        <v>81</v>
      </c>
      <c r="B183" s="3" t="s">
        <v>37</v>
      </c>
      <c r="C183" s="5" t="s">
        <v>649</v>
      </c>
      <c r="D183" s="11" t="s">
        <v>650</v>
      </c>
      <c r="E183" s="7" t="str">
        <f>IFERROR(__xludf.DUMMYFUNCTION("REGEXEXTRACT(C183, """"""([^""""]+)"""""")"),"Items.Helmet_09_old_02")</f>
        <v>Items.Helmet_09_old_02</v>
      </c>
    </row>
    <row r="184">
      <c r="A184" s="12" t="s">
        <v>81</v>
      </c>
      <c r="B184" s="3" t="s">
        <v>37</v>
      </c>
      <c r="C184" s="5" t="s">
        <v>651</v>
      </c>
      <c r="D184" s="11" t="s">
        <v>652</v>
      </c>
      <c r="E184" s="7" t="str">
        <f>IFERROR(__xludf.DUMMYFUNCTION("REGEXEXTRACT(C184, """"""([^""""]+)"""""")"),"Items.Helmet_07_old_01")</f>
        <v>Items.Helmet_07_old_01</v>
      </c>
    </row>
    <row r="185">
      <c r="A185" s="12" t="s">
        <v>81</v>
      </c>
      <c r="B185" s="3" t="s">
        <v>37</v>
      </c>
      <c r="C185" s="5" t="s">
        <v>653</v>
      </c>
      <c r="D185" s="11" t="s">
        <v>654</v>
      </c>
      <c r="E185" s="7" t="str">
        <f>IFERROR(__xludf.DUMMYFUNCTION("REGEXEXTRACT(C185, """"""([^""""]+)"""""")"),"Items.Balaclava_02_basic_05")</f>
        <v>Items.Balaclava_02_basic_05</v>
      </c>
    </row>
    <row r="186">
      <c r="A186" s="12" t="s">
        <v>81</v>
      </c>
      <c r="B186" s="3" t="s">
        <v>37</v>
      </c>
      <c r="C186" s="5" t="s">
        <v>655</v>
      </c>
      <c r="D186" s="11" t="s">
        <v>656</v>
      </c>
      <c r="E186" s="7" t="str">
        <f>IFERROR(__xludf.DUMMYFUNCTION("REGEXEXTRACT(C186, """"""([^""""]+)"""""")"),"Items.Hat_05_basic_01")</f>
        <v>Items.Hat_05_basic_01</v>
      </c>
    </row>
    <row r="187">
      <c r="A187" s="12" t="s">
        <v>81</v>
      </c>
      <c r="B187" s="3" t="s">
        <v>37</v>
      </c>
      <c r="C187" s="5" t="s">
        <v>657</v>
      </c>
      <c r="D187" s="11" t="s">
        <v>658</v>
      </c>
      <c r="E187" s="7" t="str">
        <f>IFERROR(__xludf.DUMMYFUNCTION("REGEXEXTRACT(C187, """"""([^""""]+)"""""")"),"Items.Helmet_08_basic_02")</f>
        <v>Items.Helmet_08_basic_02</v>
      </c>
    </row>
    <row r="188">
      <c r="A188" s="12" t="s">
        <v>81</v>
      </c>
      <c r="B188" s="3" t="s">
        <v>37</v>
      </c>
      <c r="C188" s="5" t="s">
        <v>659</v>
      </c>
      <c r="D188" s="11" t="s">
        <v>660</v>
      </c>
      <c r="E188" s="7" t="str">
        <f>IFERROR(__xludf.DUMMYFUNCTION("REGEXEXTRACT(C188, """"""([^""""]+)"""""")"),"Items.Helmet_08_basic_01")</f>
        <v>Items.Helmet_08_basic_01</v>
      </c>
    </row>
    <row r="189">
      <c r="A189" s="12" t="s">
        <v>81</v>
      </c>
      <c r="B189" s="3" t="s">
        <v>37</v>
      </c>
      <c r="C189" s="5" t="s">
        <v>661</v>
      </c>
      <c r="D189" s="11" t="s">
        <v>662</v>
      </c>
      <c r="E189" s="7" t="str">
        <f>IFERROR(__xludf.DUMMYFUNCTION("REGEXEXTRACT(C189, """"""([^""""]+)"""""")"),"Items.Balaclava_02_old_02")</f>
        <v>Items.Balaclava_02_old_02</v>
      </c>
    </row>
    <row r="190">
      <c r="A190" s="12" t="s">
        <v>81</v>
      </c>
      <c r="B190" s="3" t="s">
        <v>37</v>
      </c>
      <c r="C190" s="5" t="s">
        <v>663</v>
      </c>
      <c r="D190" s="11" t="s">
        <v>664</v>
      </c>
      <c r="E190" s="7" t="str">
        <f>IFERROR(__xludf.DUMMYFUNCTION("REGEXEXTRACT(C190, """"""([^""""]+)"""""")"),"Items.Helmet_10_rich_03")</f>
        <v>Items.Helmet_10_rich_03</v>
      </c>
    </row>
    <row r="191">
      <c r="A191" s="12" t="s">
        <v>81</v>
      </c>
      <c r="B191" s="3" t="s">
        <v>37</v>
      </c>
      <c r="C191" s="5" t="s">
        <v>665</v>
      </c>
      <c r="D191" s="11" t="s">
        <v>666</v>
      </c>
      <c r="E191" s="7" t="str">
        <f>IFERROR(__xludf.DUMMYFUNCTION("REGEXEXTRACT(C191, """"""([^""""]+)"""""")"),"Items.Helmet_08_rich_02")</f>
        <v>Items.Helmet_08_rich_02</v>
      </c>
    </row>
    <row r="192">
      <c r="A192" s="12" t="s">
        <v>81</v>
      </c>
      <c r="B192" s="3" t="s">
        <v>37</v>
      </c>
      <c r="C192" s="5" t="s">
        <v>667</v>
      </c>
      <c r="D192" s="11" t="s">
        <v>668</v>
      </c>
      <c r="E192" s="7" t="str">
        <f>IFERROR(__xludf.DUMMYFUNCTION("REGEXEXTRACT(C192, """"""([^""""]+)"""""")"),"Items.Helmet_08_basic_03")</f>
        <v>Items.Helmet_08_basic_03</v>
      </c>
    </row>
    <row r="193">
      <c r="A193" s="12" t="s">
        <v>81</v>
      </c>
      <c r="B193" s="3" t="s">
        <v>37</v>
      </c>
      <c r="C193" s="5" t="s">
        <v>669</v>
      </c>
      <c r="D193" s="11" t="s">
        <v>670</v>
      </c>
      <c r="E193" s="7" t="str">
        <f>IFERROR(__xludf.DUMMYFUNCTION("REGEXEXTRACT(C193, """"""([^""""]+)"""""")"),"Items.Balaclava_02_basic_06")</f>
        <v>Items.Balaclava_02_basic_06</v>
      </c>
    </row>
    <row r="194">
      <c r="A194" s="12" t="s">
        <v>81</v>
      </c>
      <c r="B194" s="3" t="s">
        <v>37</v>
      </c>
      <c r="C194" s="5" t="s">
        <v>671</v>
      </c>
      <c r="D194" s="11" t="s">
        <v>672</v>
      </c>
      <c r="E194" s="7" t="str">
        <f>IFERROR(__xludf.DUMMYFUNCTION("REGEXEXTRACT(C194, """"""([^""""]+)"""""")"),"Items.Helmet_10_old_03")</f>
        <v>Items.Helmet_10_old_03</v>
      </c>
    </row>
    <row r="195">
      <c r="A195" s="12" t="s">
        <v>81</v>
      </c>
      <c r="B195" s="3" t="s">
        <v>37</v>
      </c>
      <c r="C195" s="5" t="s">
        <v>673</v>
      </c>
      <c r="D195" s="11" t="s">
        <v>674</v>
      </c>
      <c r="E195" s="7" t="str">
        <f>IFERROR(__xludf.DUMMYFUNCTION("REGEXEXTRACT(C195, """"""([^""""]+)"""""")"),"Items.Helmet_10_old_02")</f>
        <v>Items.Helmet_10_old_02</v>
      </c>
    </row>
    <row r="196">
      <c r="A196" s="12" t="s">
        <v>81</v>
      </c>
      <c r="B196" s="3" t="s">
        <v>37</v>
      </c>
      <c r="C196" s="5" t="s">
        <v>675</v>
      </c>
      <c r="D196" s="11" t="s">
        <v>676</v>
      </c>
      <c r="E196" s="7" t="str">
        <f>IFERROR(__xludf.DUMMYFUNCTION("REGEXEXTRACT(C196, """"""([^""""]+)"""""")"),"Items.Helmet_08_old_01")</f>
        <v>Items.Helmet_08_old_01</v>
      </c>
    </row>
    <row r="197">
      <c r="A197" s="12" t="s">
        <v>81</v>
      </c>
      <c r="B197" s="3" t="s">
        <v>37</v>
      </c>
      <c r="C197" s="5" t="s">
        <v>677</v>
      </c>
      <c r="D197" s="11" t="s">
        <v>678</v>
      </c>
      <c r="E197" s="7" t="str">
        <f>IFERROR(__xludf.DUMMYFUNCTION("REGEXEXTRACT(C197, """"""([^""""]+)"""""")"),"Items.Helmet_12_old_03")</f>
        <v>Items.Helmet_12_old_03</v>
      </c>
    </row>
    <row r="198">
      <c r="A198" s="12" t="s">
        <v>81</v>
      </c>
      <c r="B198" s="3" t="s">
        <v>37</v>
      </c>
      <c r="C198" s="5" t="s">
        <v>679</v>
      </c>
      <c r="D198" s="11" t="s">
        <v>680</v>
      </c>
      <c r="E198" s="7" t="str">
        <f>IFERROR(__xludf.DUMMYFUNCTION("REGEXEXTRACT(C198, """"""([^""""]+)"""""")"),"Items.Balaclava_02_old_01")</f>
        <v>Items.Balaclava_02_old_01</v>
      </c>
    </row>
    <row r="199">
      <c r="A199" s="12" t="s">
        <v>81</v>
      </c>
      <c r="B199" s="3" t="s">
        <v>37</v>
      </c>
      <c r="C199" s="5" t="s">
        <v>681</v>
      </c>
      <c r="D199" s="11" t="s">
        <v>682</v>
      </c>
      <c r="E199" s="7" t="str">
        <f>IFERROR(__xludf.DUMMYFUNCTION("REGEXEXTRACT(C199, """"""([^""""]+)"""""")"),"Items.Hat_05_basic_04")</f>
        <v>Items.Hat_05_basic_04</v>
      </c>
    </row>
    <row r="200">
      <c r="A200" s="12" t="s">
        <v>81</v>
      </c>
      <c r="B200" s="3" t="s">
        <v>37</v>
      </c>
      <c r="C200" s="5" t="s">
        <v>683</v>
      </c>
      <c r="D200" s="11" t="s">
        <v>684</v>
      </c>
      <c r="E200" s="7" t="str">
        <f>IFERROR(__xludf.DUMMYFUNCTION("REGEXEXTRACT(C200, """"""([^""""]+)"""""")"),"Items.Helmet_08_old_03")</f>
        <v>Items.Helmet_08_old_03</v>
      </c>
    </row>
    <row r="201">
      <c r="A201" s="12" t="s">
        <v>81</v>
      </c>
      <c r="B201" s="3" t="s">
        <v>37</v>
      </c>
      <c r="C201" s="5" t="s">
        <v>685</v>
      </c>
      <c r="D201" s="11" t="s">
        <v>686</v>
      </c>
      <c r="E201" s="7" t="str">
        <f>IFERROR(__xludf.DUMMYFUNCTION("REGEXEXTRACT(C201, """"""([^""""]+)"""""")"),"Items.Hat_06_old_06")</f>
        <v>Items.Hat_06_old_06</v>
      </c>
    </row>
    <row r="202">
      <c r="A202" s="12" t="s">
        <v>81</v>
      </c>
      <c r="B202" s="3" t="s">
        <v>37</v>
      </c>
      <c r="C202" s="5" t="s">
        <v>687</v>
      </c>
      <c r="D202" s="11" t="s">
        <v>688</v>
      </c>
      <c r="E202" s="7" t="str">
        <f>IFERROR(__xludf.DUMMYFUNCTION("REGEXEXTRACT(C202, """"""([^""""]+)"""""")"),"Items.Helmet_09_basic_02")</f>
        <v>Items.Helmet_09_basic_02</v>
      </c>
    </row>
    <row r="203">
      <c r="A203" s="12" t="s">
        <v>81</v>
      </c>
      <c r="B203" s="3" t="s">
        <v>37</v>
      </c>
      <c r="C203" s="5" t="s">
        <v>689</v>
      </c>
      <c r="D203" s="11" t="s">
        <v>690</v>
      </c>
      <c r="E203" s="7" t="str">
        <f>IFERROR(__xludf.DUMMYFUNCTION("REGEXEXTRACT(C203, """"""([^""""]+)"""""")"),"Items.Helmet_07_basic_01")</f>
        <v>Items.Helmet_07_basic_01</v>
      </c>
    </row>
    <row r="204">
      <c r="A204" s="12" t="s">
        <v>81</v>
      </c>
      <c r="B204" s="3" t="s">
        <v>37</v>
      </c>
      <c r="C204" s="5" t="s">
        <v>691</v>
      </c>
      <c r="D204" s="11" t="s">
        <v>692</v>
      </c>
      <c r="E204" s="7" t="str">
        <f>IFERROR(__xludf.DUMMYFUNCTION("REGEXEXTRACT(C204, """"""([^""""]+)"""""")"),"Items.Hat_06_old_05")</f>
        <v>Items.Hat_06_old_05</v>
      </c>
    </row>
    <row r="205">
      <c r="A205" s="12" t="s">
        <v>81</v>
      </c>
      <c r="B205" s="3" t="s">
        <v>37</v>
      </c>
      <c r="C205" s="5" t="s">
        <v>693</v>
      </c>
      <c r="D205" s="11" t="s">
        <v>694</v>
      </c>
      <c r="E205" s="7" t="str">
        <f>IFERROR(__xludf.DUMMYFUNCTION("REGEXEXTRACT(C205, """"""([^""""]+)"""""")"),"Items.Helmet_11_rich_03")</f>
        <v>Items.Helmet_11_rich_03</v>
      </c>
    </row>
    <row r="206">
      <c r="A206" s="12" t="s">
        <v>81</v>
      </c>
      <c r="B206" s="3" t="s">
        <v>37</v>
      </c>
      <c r="C206" s="5" t="s">
        <v>695</v>
      </c>
      <c r="D206" s="11" t="s">
        <v>696</v>
      </c>
      <c r="E206" s="7" t="str">
        <f>IFERROR(__xludf.DUMMYFUNCTION("REGEXEXTRACT(C206, """"""([^""""]+)"""""")"),"Items.Hat_05_rich_02")</f>
        <v>Items.Hat_05_rich_02</v>
      </c>
    </row>
    <row r="207">
      <c r="A207" s="12" t="s">
        <v>81</v>
      </c>
      <c r="B207" s="3" t="s">
        <v>37</v>
      </c>
      <c r="C207" s="5" t="s">
        <v>697</v>
      </c>
      <c r="D207" s="11" t="s">
        <v>698</v>
      </c>
      <c r="E207" s="7" t="str">
        <f>IFERROR(__xludf.DUMMYFUNCTION("REGEXEXTRACT(C207, """"""([^""""]+)"""""")"),"Items.Balaclava_02_old_04")</f>
        <v>Items.Balaclava_02_old_04</v>
      </c>
    </row>
    <row r="208">
      <c r="A208" s="12" t="s">
        <v>81</v>
      </c>
      <c r="B208" s="3" t="s">
        <v>37</v>
      </c>
      <c r="C208" s="5" t="s">
        <v>699</v>
      </c>
      <c r="D208" s="11" t="s">
        <v>700</v>
      </c>
      <c r="E208" s="7" t="str">
        <f>IFERROR(__xludf.DUMMYFUNCTION("REGEXEXTRACT(C208, """"""([^""""]+)"""""")"),"Items.Helmet_08_rich_04")</f>
        <v>Items.Helmet_08_rich_04</v>
      </c>
    </row>
    <row r="209">
      <c r="A209" s="12" t="s">
        <v>81</v>
      </c>
      <c r="B209" s="3" t="s">
        <v>37</v>
      </c>
      <c r="C209" s="5" t="s">
        <v>701</v>
      </c>
      <c r="D209" s="11" t="s">
        <v>702</v>
      </c>
      <c r="E209" s="7" t="str">
        <f>IFERROR(__xludf.DUMMYFUNCTION("REGEXEXTRACT(C209, """"""([^""""]+)"""""")"),"Items.Helmet_09_rich_03")</f>
        <v>Items.Helmet_09_rich_03</v>
      </c>
    </row>
    <row r="210">
      <c r="A210" s="12" t="s">
        <v>81</v>
      </c>
      <c r="B210" s="3" t="s">
        <v>37</v>
      </c>
      <c r="C210" s="5" t="s">
        <v>703</v>
      </c>
      <c r="D210" s="11" t="s">
        <v>704</v>
      </c>
      <c r="E210" s="7" t="str">
        <f>IFERROR(__xludf.DUMMYFUNCTION("REGEXEXTRACT(C210, """"""([^""""]+)"""""")"),"Items.Helmet_10_rich_02")</f>
        <v>Items.Helmet_10_rich_02</v>
      </c>
    </row>
    <row r="211">
      <c r="A211" s="12" t="s">
        <v>81</v>
      </c>
      <c r="B211" s="3" t="s">
        <v>37</v>
      </c>
      <c r="C211" s="5" t="s">
        <v>705</v>
      </c>
      <c r="D211" s="11" t="s">
        <v>706</v>
      </c>
      <c r="E211" s="7" t="str">
        <f>IFERROR(__xludf.DUMMYFUNCTION("REGEXEXTRACT(C211, """"""([^""""]+)"""""")"),"Items.Helmet_10_old_01")</f>
        <v>Items.Helmet_10_old_01</v>
      </c>
    </row>
    <row r="212">
      <c r="A212" s="12" t="s">
        <v>81</v>
      </c>
      <c r="B212" s="3" t="s">
        <v>37</v>
      </c>
      <c r="C212" s="5" t="s">
        <v>707</v>
      </c>
      <c r="D212" s="11" t="s">
        <v>708</v>
      </c>
      <c r="E212" s="7" t="str">
        <f>IFERROR(__xludf.DUMMYFUNCTION("REGEXEXTRACT(C212, """"""([^""""]+)"""""")"),"Items.Hat_06_basic_03")</f>
        <v>Items.Hat_06_basic_03</v>
      </c>
    </row>
    <row r="213">
      <c r="A213" s="12" t="s">
        <v>81</v>
      </c>
      <c r="B213" s="3" t="s">
        <v>37</v>
      </c>
      <c r="C213" s="5" t="s">
        <v>709</v>
      </c>
      <c r="D213" s="11" t="s">
        <v>710</v>
      </c>
      <c r="E213" s="7" t="str">
        <f>IFERROR(__xludf.DUMMYFUNCTION("REGEXEXTRACT(C213, """"""([^""""]+)"""""")"),"Items.Hat_06_basic_02")</f>
        <v>Items.Hat_06_basic_02</v>
      </c>
    </row>
    <row r="214">
      <c r="A214" s="12" t="s">
        <v>81</v>
      </c>
      <c r="B214" s="3" t="s">
        <v>37</v>
      </c>
      <c r="C214" s="5" t="s">
        <v>711</v>
      </c>
      <c r="D214" s="11" t="s">
        <v>712</v>
      </c>
      <c r="E214" s="7" t="str">
        <f>IFERROR(__xludf.DUMMYFUNCTION("REGEXEXTRACT(C214, """"""([^""""]+)"""""")"),"Items.Hat_06_old_04")</f>
        <v>Items.Hat_06_old_04</v>
      </c>
    </row>
    <row r="215">
      <c r="A215" s="12" t="s">
        <v>81</v>
      </c>
      <c r="B215" s="3" t="s">
        <v>37</v>
      </c>
      <c r="C215" s="5" t="s">
        <v>713</v>
      </c>
      <c r="D215" s="11" t="s">
        <v>714</v>
      </c>
      <c r="E215" s="7" t="str">
        <f>IFERROR(__xludf.DUMMYFUNCTION("REGEXEXTRACT(C215, """"""([^""""]+)"""""")"),"Items.Helmet_09_old_01")</f>
        <v>Items.Helmet_09_old_01</v>
      </c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  <row r="954">
      <c r="A954" s="23"/>
      <c r="B954" s="23"/>
      <c r="C954" s="24"/>
      <c r="D954" s="23"/>
      <c r="E954" s="25" t="str">
        <f>IFERROR(__xludf.DUMMYFUNCTION("REGEXEXTRACT(C954, """"""([^""""]+)"""""")"),"#N/A")</f>
        <v>#N/A</v>
      </c>
    </row>
    <row r="955">
      <c r="A955" s="23"/>
      <c r="B955" s="23"/>
      <c r="C955" s="24"/>
      <c r="D955" s="23"/>
      <c r="E955" s="25" t="str">
        <f>IFERROR(__xludf.DUMMYFUNCTION("REGEXEXTRACT(C955, """"""([^""""]+)"""""")"),"#N/A")</f>
        <v>#N/A</v>
      </c>
    </row>
    <row r="956">
      <c r="A956" s="23"/>
      <c r="B956" s="23"/>
      <c r="C956" s="24"/>
      <c r="D956" s="23"/>
      <c r="E956" s="25" t="str">
        <f>IFERROR(__xludf.DUMMYFUNCTION("REGEXEXTRACT(C956, """"""([^""""]+)"""""")"),"#N/A")</f>
        <v>#N/A</v>
      </c>
    </row>
    <row r="957">
      <c r="A957" s="23"/>
      <c r="B957" s="23"/>
      <c r="C957" s="24"/>
      <c r="D957" s="23"/>
      <c r="E957" s="25" t="str">
        <f>IFERROR(__xludf.DUMMYFUNCTION("REGEXEXTRACT(C957, """"""([^""""]+)"""""")"),"#N/A")</f>
        <v>#N/A</v>
      </c>
    </row>
  </sheetData>
  <autoFilter ref="$A$1:$E$998">
    <sortState ref="A1:E998">
      <sortCondition ref="B1:B998"/>
      <sortCondition ref="D1:D99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55.13"/>
    <col customWidth="1" min="4" max="4" width="48.0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13" t="s">
        <v>82</v>
      </c>
      <c r="C2" s="5" t="s">
        <v>715</v>
      </c>
      <c r="D2" s="11" t="s">
        <v>716</v>
      </c>
      <c r="E2" s="7" t="str">
        <f>IFERROR(__xludf.DUMMYFUNCTION("REGEXEXTRACT(C2, """"""([^""""]+)"""""")"),"Items.Glasses_05_basic_04")</f>
        <v>Items.Glasses_05_basic_04</v>
      </c>
    </row>
    <row r="3">
      <c r="A3" s="3" t="s">
        <v>5</v>
      </c>
      <c r="B3" s="13" t="s">
        <v>82</v>
      </c>
      <c r="C3" s="5" t="s">
        <v>717</v>
      </c>
      <c r="D3" s="11" t="s">
        <v>718</v>
      </c>
      <c r="E3" s="7" t="str">
        <f>IFERROR(__xludf.DUMMYFUNCTION("REGEXEXTRACT(C3, """"""([^""""]+)"""""")"),"Items.Mask_03_rich_02")</f>
        <v>Items.Mask_03_rich_02</v>
      </c>
    </row>
    <row r="4">
      <c r="A4" s="3" t="s">
        <v>5</v>
      </c>
      <c r="B4" s="13" t="s">
        <v>82</v>
      </c>
      <c r="C4" s="5" t="s">
        <v>719</v>
      </c>
      <c r="D4" s="11" t="s">
        <v>720</v>
      </c>
      <c r="E4" s="7" t="str">
        <f>IFERROR(__xludf.DUMMYFUNCTION("REGEXEXTRACT(C4, """"""([^""""]+)"""""")"),"Items.Tech_02_basic_01")</f>
        <v>Items.Tech_02_basic_01</v>
      </c>
    </row>
    <row r="5">
      <c r="A5" s="3" t="s">
        <v>5</v>
      </c>
      <c r="B5" s="13" t="s">
        <v>82</v>
      </c>
      <c r="C5" s="5" t="s">
        <v>721</v>
      </c>
      <c r="D5" s="11" t="s">
        <v>722</v>
      </c>
      <c r="E5" s="7" t="str">
        <f>IFERROR(__xludf.DUMMYFUNCTION("REGEXEXTRACT(C5, """"""([^""""]+)"""""")"),"Items.Visor_02_basic_02")</f>
        <v>Items.Visor_02_basic_02</v>
      </c>
    </row>
    <row r="6">
      <c r="A6" s="3" t="s">
        <v>5</v>
      </c>
      <c r="B6" s="13" t="s">
        <v>82</v>
      </c>
      <c r="C6" s="5" t="s">
        <v>723</v>
      </c>
      <c r="D6" s="11" t="s">
        <v>724</v>
      </c>
      <c r="E6" s="7" t="str">
        <f>IFERROR(__xludf.DUMMYFUNCTION("REGEXEXTRACT(C6, """"""([^""""]+)"""""")"),"Items.Mask_02_rich_01")</f>
        <v>Items.Mask_02_rich_01</v>
      </c>
    </row>
    <row r="7">
      <c r="A7" s="3" t="s">
        <v>5</v>
      </c>
      <c r="B7" s="13" t="s">
        <v>82</v>
      </c>
      <c r="C7" s="5" t="s">
        <v>725</v>
      </c>
      <c r="D7" s="11" t="s">
        <v>726</v>
      </c>
      <c r="E7" s="7" t="str">
        <f>IFERROR(__xludf.DUMMYFUNCTION("REGEXEXTRACT(C7, """"""([^""""]+)"""""")"),"Items.Glasses_02_basic_04")</f>
        <v>Items.Glasses_02_basic_04</v>
      </c>
    </row>
    <row r="8">
      <c r="A8" s="3" t="s">
        <v>5</v>
      </c>
      <c r="B8" s="13" t="s">
        <v>82</v>
      </c>
      <c r="C8" s="5" t="s">
        <v>727</v>
      </c>
      <c r="D8" s="11" t="s">
        <v>728</v>
      </c>
      <c r="E8" s="7" t="str">
        <f>IFERROR(__xludf.DUMMYFUNCTION("REGEXEXTRACT(C8, """"""([^""""]+)"""""")"),"Items.Visor_02_rich_02")</f>
        <v>Items.Visor_02_rich_02</v>
      </c>
    </row>
    <row r="9">
      <c r="A9" s="3" t="s">
        <v>5</v>
      </c>
      <c r="B9" s="13" t="s">
        <v>82</v>
      </c>
      <c r="C9" s="5" t="s">
        <v>729</v>
      </c>
      <c r="D9" s="11" t="s">
        <v>730</v>
      </c>
      <c r="E9" s="7" t="str">
        <f>IFERROR(__xludf.DUMMYFUNCTION("REGEXEXTRACT(C9, """"""([^""""]+)"""""")"),"Items.Visor_01_basic_03")</f>
        <v>Items.Visor_01_basic_03</v>
      </c>
    </row>
    <row r="10">
      <c r="A10" s="3" t="s">
        <v>5</v>
      </c>
      <c r="B10" s="13" t="s">
        <v>82</v>
      </c>
      <c r="C10" s="5" t="s">
        <v>731</v>
      </c>
      <c r="D10" s="11" t="s">
        <v>732</v>
      </c>
      <c r="E10" s="7" t="str">
        <f>IFERROR(__xludf.DUMMYFUNCTION("REGEXEXTRACT(C10, """"""([^""""]+)"""""")"),"Items.Visor_02_basic_01")</f>
        <v>Items.Visor_02_basic_01</v>
      </c>
    </row>
    <row r="11">
      <c r="A11" s="3" t="s">
        <v>5</v>
      </c>
      <c r="B11" s="13" t="s">
        <v>82</v>
      </c>
      <c r="C11" s="5" t="s">
        <v>733</v>
      </c>
      <c r="D11" s="11" t="s">
        <v>734</v>
      </c>
      <c r="E11" s="7" t="str">
        <f>IFERROR(__xludf.DUMMYFUNCTION("REGEXEXTRACT(C11, """"""([^""""]+)"""""")"),"Items.Visor_02_old_01")</f>
        <v>Items.Visor_02_old_01</v>
      </c>
    </row>
    <row r="12">
      <c r="A12" s="3" t="s">
        <v>5</v>
      </c>
      <c r="B12" s="13" t="s">
        <v>82</v>
      </c>
      <c r="C12" s="5" t="s">
        <v>735</v>
      </c>
      <c r="D12" s="11" t="s">
        <v>736</v>
      </c>
      <c r="E12" s="7" t="str">
        <f>IFERROR(__xludf.DUMMYFUNCTION("REGEXEXTRACT(C12, """"""([^""""]+)"""""")"),"Items.Mask_02_old_03")</f>
        <v>Items.Mask_02_old_03</v>
      </c>
    </row>
    <row r="13">
      <c r="A13" s="3" t="s">
        <v>5</v>
      </c>
      <c r="B13" s="13" t="s">
        <v>82</v>
      </c>
      <c r="C13" s="5" t="s">
        <v>737</v>
      </c>
      <c r="D13" s="11" t="s">
        <v>738</v>
      </c>
      <c r="E13" s="7" t="str">
        <f>IFERROR(__xludf.DUMMYFUNCTION("REGEXEXTRACT(C13, """"""([^""""]+)"""""")"),"Items.Glasses_05_old_01")</f>
        <v>Items.Glasses_05_old_01</v>
      </c>
    </row>
    <row r="14">
      <c r="A14" s="3" t="s">
        <v>5</v>
      </c>
      <c r="B14" s="13" t="s">
        <v>82</v>
      </c>
      <c r="C14" s="5" t="s">
        <v>739</v>
      </c>
      <c r="D14" s="11" t="s">
        <v>740</v>
      </c>
      <c r="E14" s="7" t="str">
        <f>IFERROR(__xludf.DUMMYFUNCTION("REGEXEXTRACT(C14, """"""([^""""]+)"""""")"),"Items.Glasses_01_basic_05")</f>
        <v>Items.Glasses_01_basic_05</v>
      </c>
    </row>
    <row r="15">
      <c r="A15" s="3" t="s">
        <v>5</v>
      </c>
      <c r="B15" s="13" t="s">
        <v>82</v>
      </c>
      <c r="C15" s="5" t="s">
        <v>741</v>
      </c>
      <c r="D15" s="11" t="s">
        <v>742</v>
      </c>
      <c r="E15" s="7" t="str">
        <f>IFERROR(__xludf.DUMMYFUNCTION("REGEXEXTRACT(C15, """"""([^""""]+)"""""")"),"Items.Glasses_02_basic_05")</f>
        <v>Items.Glasses_02_basic_05</v>
      </c>
    </row>
    <row r="16">
      <c r="A16" s="3" t="s">
        <v>5</v>
      </c>
      <c r="B16" s="13" t="s">
        <v>82</v>
      </c>
      <c r="C16" s="5" t="s">
        <v>743</v>
      </c>
      <c r="D16" s="11" t="s">
        <v>744</v>
      </c>
      <c r="E16" s="7" t="str">
        <f>IFERROR(__xludf.DUMMYFUNCTION("REGEXEXTRACT(C16, """"""([^""""]+)"""""")"),"Items.Tech_01_basic_02")</f>
        <v>Items.Tech_01_basic_02</v>
      </c>
    </row>
    <row r="17">
      <c r="A17" s="3" t="s">
        <v>5</v>
      </c>
      <c r="B17" s="13" t="s">
        <v>82</v>
      </c>
      <c r="C17" s="5" t="s">
        <v>745</v>
      </c>
      <c r="D17" s="11" t="s">
        <v>746</v>
      </c>
      <c r="E17" s="7" t="str">
        <f>IFERROR(__xludf.DUMMYFUNCTION("REGEXEXTRACT(C17, """"""([^""""]+)"""""")"),"Items.Glasses_03_basic_01")</f>
        <v>Items.Glasses_03_basic_01</v>
      </c>
    </row>
    <row r="18">
      <c r="A18" s="3" t="s">
        <v>5</v>
      </c>
      <c r="B18" s="13" t="s">
        <v>82</v>
      </c>
      <c r="C18" s="5" t="s">
        <v>747</v>
      </c>
      <c r="D18" s="11" t="s">
        <v>748</v>
      </c>
      <c r="E18" s="7" t="str">
        <f>IFERROR(__xludf.DUMMYFUNCTION("REGEXEXTRACT(C18, """"""([^""""]+)"""""")"),"Items.Tech_02_old_01")</f>
        <v>Items.Tech_02_old_01</v>
      </c>
    </row>
    <row r="19">
      <c r="A19" s="3" t="s">
        <v>5</v>
      </c>
      <c r="B19" s="13" t="s">
        <v>82</v>
      </c>
      <c r="C19" s="5" t="s">
        <v>749</v>
      </c>
      <c r="D19" s="11" t="s">
        <v>750</v>
      </c>
      <c r="E19" s="7" t="str">
        <f>IFERROR(__xludf.DUMMYFUNCTION("REGEXEXTRACT(C19, """"""([^""""]+)"""""")"),"Items.Visor_02_rich_03")</f>
        <v>Items.Visor_02_rich_03</v>
      </c>
    </row>
    <row r="20">
      <c r="A20" s="3" t="s">
        <v>5</v>
      </c>
      <c r="B20" s="13" t="s">
        <v>82</v>
      </c>
      <c r="C20" s="5" t="s">
        <v>751</v>
      </c>
      <c r="D20" s="11" t="s">
        <v>752</v>
      </c>
      <c r="E20" s="7" t="str">
        <f>IFERROR(__xludf.DUMMYFUNCTION("REGEXEXTRACT(C20, """"""([^""""]+)"""""")"),"Items.Glasses_03_basic_09")</f>
        <v>Items.Glasses_03_basic_09</v>
      </c>
    </row>
    <row r="21">
      <c r="A21" s="3" t="s">
        <v>5</v>
      </c>
      <c r="B21" s="13" t="s">
        <v>82</v>
      </c>
      <c r="C21" s="5" t="s">
        <v>753</v>
      </c>
      <c r="D21" s="11" t="s">
        <v>754</v>
      </c>
      <c r="E21" s="7" t="str">
        <f>IFERROR(__xludf.DUMMYFUNCTION("REGEXEXTRACT(C21, """"""([^""""]+)"""""")"),"Items.Glasses_02_basic_02")</f>
        <v>Items.Glasses_02_basic_02</v>
      </c>
    </row>
    <row r="22">
      <c r="A22" s="3" t="s">
        <v>5</v>
      </c>
      <c r="B22" s="13" t="s">
        <v>82</v>
      </c>
      <c r="C22" s="5" t="s">
        <v>755</v>
      </c>
      <c r="D22" s="11" t="s">
        <v>756</v>
      </c>
      <c r="E22" s="7" t="str">
        <f>IFERROR(__xludf.DUMMYFUNCTION("REGEXEXTRACT(C22, """"""([^""""]+)"""""")"),"Items.Glasses_01_basic_02")</f>
        <v>Items.Glasses_01_basic_02</v>
      </c>
    </row>
    <row r="23">
      <c r="A23" s="3" t="s">
        <v>5</v>
      </c>
      <c r="B23" s="13" t="s">
        <v>82</v>
      </c>
      <c r="C23" s="5" t="s">
        <v>757</v>
      </c>
      <c r="D23" s="11" t="s">
        <v>758</v>
      </c>
      <c r="E23" s="7" t="str">
        <f>IFERROR(__xludf.DUMMYFUNCTION("REGEXEXTRACT(C23, """"""([^""""]+)"""""")"),"Items.Glasses_03_basic_03")</f>
        <v>Items.Glasses_03_basic_03</v>
      </c>
    </row>
    <row r="24">
      <c r="A24" s="3" t="s">
        <v>5</v>
      </c>
      <c r="B24" s="13" t="s">
        <v>82</v>
      </c>
      <c r="C24" s="5" t="s">
        <v>759</v>
      </c>
      <c r="D24" s="11" t="s">
        <v>760</v>
      </c>
      <c r="E24" s="7" t="str">
        <f>IFERROR(__xludf.DUMMYFUNCTION("REGEXEXTRACT(C24, """"""([^""""]+)"""""")"),"Items.Glasses_01_basic_03")</f>
        <v>Items.Glasses_01_basic_03</v>
      </c>
    </row>
    <row r="25">
      <c r="A25" s="3" t="s">
        <v>5</v>
      </c>
      <c r="B25" s="13" t="s">
        <v>82</v>
      </c>
      <c r="C25" s="5" t="s">
        <v>761</v>
      </c>
      <c r="D25" s="11" t="s">
        <v>762</v>
      </c>
      <c r="E25" s="7" t="str">
        <f>IFERROR(__xludf.DUMMYFUNCTION("REGEXEXTRACT(C25, """"""([^""""]+)"""""")"),"Items.Glasses_03_basic_02")</f>
        <v>Items.Glasses_03_basic_02</v>
      </c>
    </row>
    <row r="26">
      <c r="A26" s="3" t="s">
        <v>5</v>
      </c>
      <c r="B26" s="13" t="s">
        <v>82</v>
      </c>
      <c r="C26" s="5" t="s">
        <v>763</v>
      </c>
      <c r="D26" s="11" t="s">
        <v>764</v>
      </c>
      <c r="E26" s="7" t="str">
        <f>IFERROR(__xludf.DUMMYFUNCTION("REGEXEXTRACT(C26, """"""([^""""]+)"""""")"),"Items.Glasses_05_old_02")</f>
        <v>Items.Glasses_05_old_02</v>
      </c>
    </row>
    <row r="27">
      <c r="A27" s="3" t="s">
        <v>5</v>
      </c>
      <c r="B27" s="13" t="s">
        <v>82</v>
      </c>
      <c r="C27" s="5" t="s">
        <v>765</v>
      </c>
      <c r="D27" s="11" t="s">
        <v>766</v>
      </c>
      <c r="E27" s="7" t="str">
        <f>IFERROR(__xludf.DUMMYFUNCTION("REGEXEXTRACT(C27, """"""([^""""]+)"""""")"),"Items.Visor_01_basic_02")</f>
        <v>Items.Visor_01_basic_02</v>
      </c>
    </row>
    <row r="28">
      <c r="A28" s="3" t="s">
        <v>5</v>
      </c>
      <c r="B28" s="13" t="s">
        <v>82</v>
      </c>
      <c r="C28" s="5" t="s">
        <v>767</v>
      </c>
      <c r="D28" s="11" t="s">
        <v>768</v>
      </c>
      <c r="E28" s="7" t="str">
        <f>IFERROR(__xludf.DUMMYFUNCTION("REGEXEXTRACT(C28, """"""([^""""]+)"""""")"),"Items.Glasses_03_basic_08")</f>
        <v>Items.Glasses_03_basic_08</v>
      </c>
    </row>
    <row r="29">
      <c r="A29" s="3" t="s">
        <v>5</v>
      </c>
      <c r="B29" s="13" t="s">
        <v>82</v>
      </c>
      <c r="C29" s="5" t="s">
        <v>769</v>
      </c>
      <c r="D29" s="11" t="s">
        <v>770</v>
      </c>
      <c r="E29" s="7" t="str">
        <f>IFERROR(__xludf.DUMMYFUNCTION("REGEXEXTRACT(C29, """"""([^""""]+)"""""")"),"Items.Mask_03_rich_01")</f>
        <v>Items.Mask_03_rich_01</v>
      </c>
    </row>
    <row r="30">
      <c r="A30" s="3" t="s">
        <v>5</v>
      </c>
      <c r="B30" s="13" t="s">
        <v>82</v>
      </c>
      <c r="C30" s="5" t="s">
        <v>771</v>
      </c>
      <c r="D30" s="11" t="s">
        <v>772</v>
      </c>
      <c r="E30" s="7" t="str">
        <f>IFERROR(__xludf.DUMMYFUNCTION("REGEXEXTRACT(C30, """"""([^""""]+)"""""")"),"Items.Tech_01_rich_01")</f>
        <v>Items.Tech_01_rich_01</v>
      </c>
    </row>
    <row r="31">
      <c r="A31" s="3" t="s">
        <v>5</v>
      </c>
      <c r="B31" s="13" t="s">
        <v>82</v>
      </c>
      <c r="C31" s="5" t="s">
        <v>773</v>
      </c>
      <c r="D31" s="11" t="s">
        <v>774</v>
      </c>
      <c r="E31" s="7" t="str">
        <f>IFERROR(__xludf.DUMMYFUNCTION("REGEXEXTRACT(C31, """"""([^""""]+)"""""")"),"Items.Tech_02_rich_02")</f>
        <v>Items.Tech_02_rich_02</v>
      </c>
    </row>
    <row r="32">
      <c r="A32" s="3" t="s">
        <v>5</v>
      </c>
      <c r="B32" s="13" t="s">
        <v>82</v>
      </c>
      <c r="C32" s="5" t="s">
        <v>775</v>
      </c>
      <c r="D32" s="26" t="s">
        <v>776</v>
      </c>
      <c r="E32" s="7" t="str">
        <f>IFERROR(__xludf.DUMMYFUNCTION("REGEXEXTRACT(C32, """"""([^""""]+)"""""")"),"Items.Proficiency_Tech_02_basic_02_Crafting")</f>
        <v>Items.Proficiency_Tech_02_basic_02_Crafting</v>
      </c>
    </row>
    <row r="33">
      <c r="A33" s="3" t="s">
        <v>5</v>
      </c>
      <c r="B33" s="13" t="s">
        <v>82</v>
      </c>
      <c r="C33" s="5" t="s">
        <v>777</v>
      </c>
      <c r="D33" s="11" t="s">
        <v>778</v>
      </c>
      <c r="E33" s="7" t="str">
        <f>IFERROR(__xludf.DUMMYFUNCTION("REGEXEXTRACT(C33, """"""([^""""]+)"""""")"),"Items.Mask_02_basic_02")</f>
        <v>Items.Mask_02_basic_02</v>
      </c>
    </row>
    <row r="34">
      <c r="A34" s="3" t="s">
        <v>5</v>
      </c>
      <c r="B34" s="13" t="s">
        <v>82</v>
      </c>
      <c r="C34" s="5" t="s">
        <v>779</v>
      </c>
      <c r="D34" s="11" t="s">
        <v>780</v>
      </c>
      <c r="E34" s="7" t="str">
        <f>IFERROR(__xludf.DUMMYFUNCTION("REGEXEXTRACT(C34, """"""([^""""]+)"""""")"),"Items.Glasses_05_basic_03")</f>
        <v>Items.Glasses_05_basic_03</v>
      </c>
    </row>
    <row r="35">
      <c r="A35" s="3" t="s">
        <v>5</v>
      </c>
      <c r="B35" s="13" t="s">
        <v>82</v>
      </c>
      <c r="C35" s="5" t="s">
        <v>781</v>
      </c>
      <c r="D35" s="11" t="s">
        <v>782</v>
      </c>
      <c r="E35" s="7" t="str">
        <f>IFERROR(__xludf.DUMMYFUNCTION("REGEXEXTRACT(C35, """"""([^""""]+)"""""")"),"Items.Mask_03_basic_01")</f>
        <v>Items.Mask_03_basic_01</v>
      </c>
    </row>
    <row r="36">
      <c r="A36" s="3" t="s">
        <v>5</v>
      </c>
      <c r="B36" s="13" t="s">
        <v>82</v>
      </c>
      <c r="C36" s="5" t="s">
        <v>783</v>
      </c>
      <c r="D36" s="11" t="s">
        <v>784</v>
      </c>
      <c r="E36" s="7" t="str">
        <f>IFERROR(__xludf.DUMMYFUNCTION("REGEXEXTRACT(C36, """"""([^""""]+)"""""")"),"Items.Mask_03_basic_02")</f>
        <v>Items.Mask_03_basic_02</v>
      </c>
    </row>
    <row r="37">
      <c r="A37" s="3" t="s">
        <v>5</v>
      </c>
      <c r="B37" s="13" t="s">
        <v>82</v>
      </c>
      <c r="C37" s="5" t="s">
        <v>785</v>
      </c>
      <c r="D37" s="11" t="s">
        <v>786</v>
      </c>
      <c r="E37" s="7" t="str">
        <f>IFERROR(__xludf.DUMMYFUNCTION("REGEXEXTRACT(C37, """"""([^""""]+)"""""")"),"Items.Mask_03_old_02")</f>
        <v>Items.Mask_03_old_02</v>
      </c>
    </row>
    <row r="38">
      <c r="A38" s="3" t="s">
        <v>5</v>
      </c>
      <c r="B38" s="13" t="s">
        <v>82</v>
      </c>
      <c r="C38" s="5" t="s">
        <v>787</v>
      </c>
      <c r="D38" s="11" t="s">
        <v>788</v>
      </c>
      <c r="E38" s="7" t="str">
        <f>IFERROR(__xludf.DUMMYFUNCTION("REGEXEXTRACT(C38, """"""([^""""]+)"""""")"),"Items.Glasses_03_basic_10")</f>
        <v>Items.Glasses_03_basic_10</v>
      </c>
    </row>
    <row r="39">
      <c r="A39" s="3" t="s">
        <v>5</v>
      </c>
      <c r="B39" s="13" t="s">
        <v>82</v>
      </c>
      <c r="C39" s="5" t="s">
        <v>789</v>
      </c>
      <c r="D39" s="11" t="s">
        <v>790</v>
      </c>
      <c r="E39" s="7" t="str">
        <f>IFERROR(__xludf.DUMMYFUNCTION("REGEXEXTRACT(C39, """"""([^""""]+)"""""")"),"Items.Mask_02_rich_02")</f>
        <v>Items.Mask_02_rich_02</v>
      </c>
    </row>
    <row r="40">
      <c r="A40" s="3" t="s">
        <v>5</v>
      </c>
      <c r="B40" s="13" t="s">
        <v>82</v>
      </c>
      <c r="C40" s="5" t="s">
        <v>791</v>
      </c>
      <c r="D40" s="11" t="s">
        <v>792</v>
      </c>
      <c r="E40" s="7" t="str">
        <f>IFERROR(__xludf.DUMMYFUNCTION("REGEXEXTRACT(C40, """"""([^""""]+)"""""")"),"Items.Tech_01_rich_02")</f>
        <v>Items.Tech_01_rich_02</v>
      </c>
    </row>
    <row r="41">
      <c r="A41" s="3" t="s">
        <v>5</v>
      </c>
      <c r="B41" s="13" t="s">
        <v>82</v>
      </c>
      <c r="C41" s="5" t="s">
        <v>793</v>
      </c>
      <c r="D41" s="11" t="s">
        <v>794</v>
      </c>
      <c r="E41" s="7" t="str">
        <f>IFERROR(__xludf.DUMMYFUNCTION("REGEXEXTRACT(C41, """"""([^""""]+)"""""")"),"Items.Visor_02_old_02")</f>
        <v>Items.Visor_02_old_02</v>
      </c>
    </row>
    <row r="42">
      <c r="A42" s="3" t="s">
        <v>5</v>
      </c>
      <c r="B42" s="13" t="s">
        <v>82</v>
      </c>
      <c r="C42" s="5" t="s">
        <v>795</v>
      </c>
      <c r="D42" s="11" t="s">
        <v>796</v>
      </c>
      <c r="E42" s="7" t="str">
        <f>IFERROR(__xludf.DUMMYFUNCTION("REGEXEXTRACT(C42, """"""([^""""]+)"""""")"),"Items.Tech_01_old_01")</f>
        <v>Items.Tech_01_old_01</v>
      </c>
    </row>
    <row r="43">
      <c r="A43" s="3" t="s">
        <v>5</v>
      </c>
      <c r="B43" s="13" t="s">
        <v>82</v>
      </c>
      <c r="C43" s="5" t="s">
        <v>797</v>
      </c>
      <c r="D43" s="11" t="s">
        <v>798</v>
      </c>
      <c r="E43" s="7" t="str">
        <f>IFERROR(__xludf.DUMMYFUNCTION("REGEXEXTRACT(C43, """"""([^""""]+)"""""")"),"Items.Mask_02_old_01")</f>
        <v>Items.Mask_02_old_01</v>
      </c>
    </row>
    <row r="44">
      <c r="A44" s="3" t="s">
        <v>5</v>
      </c>
      <c r="B44" s="13" t="s">
        <v>82</v>
      </c>
      <c r="C44" s="5" t="s">
        <v>799</v>
      </c>
      <c r="D44" s="11" t="s">
        <v>800</v>
      </c>
      <c r="E44" s="7" t="str">
        <f>IFERROR(__xludf.DUMMYFUNCTION("REGEXEXTRACT(C44, """"""([^""""]+)"""""")"),"Items.Mask_02_old_02")</f>
        <v>Items.Mask_02_old_02</v>
      </c>
    </row>
    <row r="45">
      <c r="A45" s="3" t="s">
        <v>5</v>
      </c>
      <c r="B45" s="13" t="s">
        <v>82</v>
      </c>
      <c r="C45" s="5" t="s">
        <v>801</v>
      </c>
      <c r="D45" s="11" t="s">
        <v>802</v>
      </c>
      <c r="E45" s="7" t="str">
        <f>IFERROR(__xludf.DUMMYFUNCTION("REGEXEXTRACT(C45, """"""([^""""]+)"""""")"),"Items.Glasses_03_basic_05")</f>
        <v>Items.Glasses_03_basic_05</v>
      </c>
    </row>
    <row r="46">
      <c r="A46" s="3" t="s">
        <v>5</v>
      </c>
      <c r="B46" s="13" t="s">
        <v>82</v>
      </c>
      <c r="C46" s="5" t="s">
        <v>803</v>
      </c>
      <c r="D46" s="11" t="s">
        <v>804</v>
      </c>
      <c r="E46" s="7" t="str">
        <f>IFERROR(__xludf.DUMMYFUNCTION("REGEXEXTRACT(C46, """"""([^""""]+)"""""")"),"Items.Glasses_05_basic_02")</f>
        <v>Items.Glasses_05_basic_02</v>
      </c>
    </row>
    <row r="47">
      <c r="A47" s="3" t="s">
        <v>5</v>
      </c>
      <c r="B47" s="13" t="s">
        <v>82</v>
      </c>
      <c r="C47" s="5" t="s">
        <v>805</v>
      </c>
      <c r="D47" s="11" t="s">
        <v>806</v>
      </c>
      <c r="E47" s="7" t="str">
        <f>IFERROR(__xludf.DUMMYFUNCTION("REGEXEXTRACT(C47, """"""([^""""]+)"""""")"),"Items.Glasses_03_basic_04")</f>
        <v>Items.Glasses_03_basic_04</v>
      </c>
    </row>
    <row r="48">
      <c r="A48" s="3" t="s">
        <v>5</v>
      </c>
      <c r="B48" s="13" t="s">
        <v>82</v>
      </c>
      <c r="C48" s="5" t="s">
        <v>807</v>
      </c>
      <c r="D48" s="11" t="s">
        <v>808</v>
      </c>
      <c r="E48" s="7" t="str">
        <f>IFERROR(__xludf.DUMMYFUNCTION("REGEXEXTRACT(C48, """"""([^""""]+)"""""")"),"Items.Visor_02_basic_03")</f>
        <v>Items.Visor_02_basic_03</v>
      </c>
    </row>
    <row r="49">
      <c r="A49" s="3" t="s">
        <v>5</v>
      </c>
      <c r="B49" s="13" t="s">
        <v>82</v>
      </c>
      <c r="C49" s="5" t="s">
        <v>809</v>
      </c>
      <c r="D49" s="11" t="s">
        <v>810</v>
      </c>
      <c r="E49" s="7" t="str">
        <f>IFERROR(__xludf.DUMMYFUNCTION("REGEXEXTRACT(C49, """"""([^""""]+)"""""")"),"Items.Glasses_03_basic_07")</f>
        <v>Items.Glasses_03_basic_07</v>
      </c>
    </row>
    <row r="50">
      <c r="A50" s="3" t="s">
        <v>5</v>
      </c>
      <c r="B50" s="13" t="s">
        <v>82</v>
      </c>
      <c r="C50" s="5" t="s">
        <v>811</v>
      </c>
      <c r="D50" s="11" t="s">
        <v>812</v>
      </c>
      <c r="E50" s="7" t="str">
        <f>IFERROR(__xludf.DUMMYFUNCTION("REGEXEXTRACT(C50, """"""([^""""]+)"""""")"),"Items.Glasses_01_basic_04")</f>
        <v>Items.Glasses_01_basic_04</v>
      </c>
    </row>
    <row r="51">
      <c r="A51" s="3" t="s">
        <v>5</v>
      </c>
      <c r="B51" s="13" t="s">
        <v>82</v>
      </c>
      <c r="C51" s="5" t="s">
        <v>813</v>
      </c>
      <c r="D51" s="11" t="s">
        <v>814</v>
      </c>
      <c r="E51" s="7" t="str">
        <f>IFERROR(__xludf.DUMMYFUNCTION("REGEXEXTRACT(C51, """"""([^""""]+)"""""")"),"Items.Glasses_01_basic_01")</f>
        <v>Items.Glasses_01_basic_01</v>
      </c>
    </row>
    <row r="52">
      <c r="A52" s="3" t="s">
        <v>5</v>
      </c>
      <c r="B52" s="13" t="s">
        <v>82</v>
      </c>
      <c r="C52" s="5" t="s">
        <v>815</v>
      </c>
      <c r="D52" s="11" t="s">
        <v>816</v>
      </c>
      <c r="E52" s="7" t="str">
        <f>IFERROR(__xludf.DUMMYFUNCTION("REGEXEXTRACT(C52, """"""([^""""]+)"""""")"),"Items.Glasses_03_basic_06")</f>
        <v>Items.Glasses_03_basic_06</v>
      </c>
    </row>
    <row r="53">
      <c r="A53" s="3" t="s">
        <v>5</v>
      </c>
      <c r="B53" s="13" t="s">
        <v>82</v>
      </c>
      <c r="C53" s="5" t="s">
        <v>817</v>
      </c>
      <c r="D53" s="11" t="s">
        <v>818</v>
      </c>
      <c r="E53" s="7" t="str">
        <f>IFERROR(__xludf.DUMMYFUNCTION("REGEXEXTRACT(C53, """"""([^""""]+)"""""")"),"Items.Visor_01_basic_05")</f>
        <v>Items.Visor_01_basic_05</v>
      </c>
    </row>
    <row r="54">
      <c r="A54" s="3" t="s">
        <v>5</v>
      </c>
      <c r="B54" s="13" t="s">
        <v>82</v>
      </c>
      <c r="C54" s="5" t="s">
        <v>819</v>
      </c>
      <c r="D54" s="11" t="s">
        <v>820</v>
      </c>
      <c r="E54" s="7" t="str">
        <f>IFERROR(__xludf.DUMMYFUNCTION("REGEXEXTRACT(C54, """"""([^""""]+)"""""")"),"Items.Tech_02_rich_01")</f>
        <v>Items.Tech_02_rich_01</v>
      </c>
    </row>
    <row r="55">
      <c r="A55" s="3" t="s">
        <v>5</v>
      </c>
      <c r="B55" s="13" t="s">
        <v>82</v>
      </c>
      <c r="C55" s="5" t="s">
        <v>821</v>
      </c>
      <c r="D55" s="11" t="s">
        <v>822</v>
      </c>
      <c r="E55" s="7" t="str">
        <f>IFERROR(__xludf.DUMMYFUNCTION("REGEXEXTRACT(C55, """"""([^""""]+)"""""")"),"Items.Glasses_05_basic_01")</f>
        <v>Items.Glasses_05_basic_01</v>
      </c>
    </row>
    <row r="56">
      <c r="A56" s="3" t="s">
        <v>5</v>
      </c>
      <c r="B56" s="13" t="s">
        <v>82</v>
      </c>
      <c r="C56" s="5" t="s">
        <v>823</v>
      </c>
      <c r="D56" s="11" t="s">
        <v>824</v>
      </c>
      <c r="E56" s="7" t="str">
        <f>IFERROR(__xludf.DUMMYFUNCTION("REGEXEXTRACT(C56, """"""([^""""]+)"""""")"),"Items.Glasses_02_basic_03")</f>
        <v>Items.Glasses_02_basic_03</v>
      </c>
    </row>
    <row r="57">
      <c r="A57" s="3" t="s">
        <v>5</v>
      </c>
      <c r="B57" s="13" t="s">
        <v>82</v>
      </c>
      <c r="C57" s="5" t="s">
        <v>825</v>
      </c>
      <c r="D57" s="11" t="s">
        <v>826</v>
      </c>
      <c r="E57" s="7" t="str">
        <f>IFERROR(__xludf.DUMMYFUNCTION("REGEXEXTRACT(C57, """"""([^""""]+)"""""")"),"Items.Visor_01_basic_01")</f>
        <v>Items.Visor_01_basic_01</v>
      </c>
    </row>
    <row r="58">
      <c r="A58" s="3" t="s">
        <v>5</v>
      </c>
      <c r="B58" s="13" t="s">
        <v>82</v>
      </c>
      <c r="C58" s="5" t="s">
        <v>827</v>
      </c>
      <c r="D58" s="11" t="s">
        <v>828</v>
      </c>
      <c r="E58" s="7" t="str">
        <f>IFERROR(__xludf.DUMMYFUNCTION("REGEXEXTRACT(C58, """"""([^""""]+)"""""")"),"Items.Mask_02_basic_01")</f>
        <v>Items.Mask_02_basic_01</v>
      </c>
    </row>
    <row r="59">
      <c r="A59" s="3" t="s">
        <v>5</v>
      </c>
      <c r="B59" s="13" t="s">
        <v>82</v>
      </c>
      <c r="C59" s="5" t="s">
        <v>829</v>
      </c>
      <c r="D59" s="11" t="s">
        <v>830</v>
      </c>
      <c r="E59" s="7" t="str">
        <f>IFERROR(__xludf.DUMMYFUNCTION("REGEXEXTRACT(C59, """"""([^""""]+)"""""")"),"Items.Visor_01_basic_04")</f>
        <v>Items.Visor_01_basic_04</v>
      </c>
    </row>
    <row r="60">
      <c r="A60" s="3" t="s">
        <v>5</v>
      </c>
      <c r="B60" s="13" t="s">
        <v>82</v>
      </c>
      <c r="C60" s="5" t="s">
        <v>831</v>
      </c>
      <c r="D60" s="11" t="s">
        <v>832</v>
      </c>
      <c r="E60" s="7" t="str">
        <f>IFERROR(__xludf.DUMMYFUNCTION("REGEXEXTRACT(C60, """"""([^""""]+)"""""")"),"Items.Glasses_02_basic_01")</f>
        <v>Items.Glasses_02_basic_01</v>
      </c>
    </row>
    <row r="61">
      <c r="A61" s="3" t="s">
        <v>5</v>
      </c>
      <c r="B61" s="13" t="s">
        <v>82</v>
      </c>
      <c r="C61" s="5" t="s">
        <v>833</v>
      </c>
      <c r="D61" s="11" t="s">
        <v>834</v>
      </c>
      <c r="E61" s="7" t="str">
        <f>IFERROR(__xludf.DUMMYFUNCTION("REGEXEXTRACT(C61, """"""([^""""]+)"""""")"),"Items.Tech_01_basic_01")</f>
        <v>Items.Tech_01_basic_01</v>
      </c>
    </row>
    <row r="62">
      <c r="A62" s="3" t="s">
        <v>5</v>
      </c>
      <c r="B62" s="13" t="s">
        <v>82</v>
      </c>
      <c r="C62" s="5" t="s">
        <v>835</v>
      </c>
      <c r="D62" s="11" t="s">
        <v>836</v>
      </c>
      <c r="E62" s="7" t="str">
        <f>IFERROR(__xludf.DUMMYFUNCTION("REGEXEXTRACT(C62, """"""([^""""]+)"""""")"),"Items.Mask_03_old_01")</f>
        <v>Items.Mask_03_old_01</v>
      </c>
    </row>
    <row r="63">
      <c r="A63" s="3" t="s">
        <v>5</v>
      </c>
      <c r="B63" s="13" t="s">
        <v>82</v>
      </c>
      <c r="C63" s="5" t="s">
        <v>837</v>
      </c>
      <c r="D63" s="11" t="s">
        <v>838</v>
      </c>
      <c r="E63" s="7" t="str">
        <f>IFERROR(__xludf.DUMMYFUNCTION("REGEXEXTRACT(C63, """"""([^""""]+)"""""")"),"Items.SQ004_RaffenShiv_Mask")</f>
        <v>Items.SQ004_RaffenShiv_Mask</v>
      </c>
    </row>
    <row r="64">
      <c r="A64" s="3" t="s">
        <v>5</v>
      </c>
      <c r="B64" s="13" t="s">
        <v>82</v>
      </c>
      <c r="C64" s="5" t="s">
        <v>839</v>
      </c>
      <c r="D64" s="10" t="s">
        <v>840</v>
      </c>
      <c r="E64" s="7" t="str">
        <f>IFERROR(__xludf.DUMMYFUNCTION("REGEXEXTRACT(C64, """"""([^""""]+)"""""")"),"Items.Proficiency_Visor_02_rich_01_Crafting")</f>
        <v>Items.Proficiency_Visor_02_rich_01_Crafting</v>
      </c>
    </row>
    <row r="65">
      <c r="A65" s="3" t="s">
        <v>5</v>
      </c>
      <c r="B65" s="3" t="s">
        <v>37</v>
      </c>
      <c r="C65" s="5" t="s">
        <v>841</v>
      </c>
      <c r="D65" s="11" t="s">
        <v>842</v>
      </c>
      <c r="E65" s="7" t="str">
        <f>IFERROR(__xludf.DUMMYFUNCTION("REGEXEXTRACT(C65, """"""([^""""]+)"""""")"),"Items.Tech_03_rich_01")</f>
        <v>Items.Tech_03_rich_01</v>
      </c>
    </row>
    <row r="66">
      <c r="A66" s="3" t="s">
        <v>5</v>
      </c>
      <c r="B66" s="3" t="s">
        <v>37</v>
      </c>
      <c r="C66" s="5" t="s">
        <v>843</v>
      </c>
      <c r="D66" s="11" t="s">
        <v>844</v>
      </c>
      <c r="E66" s="7" t="str">
        <f>IFERROR(__xludf.DUMMYFUNCTION("REGEXEXTRACT(C66, """"""([^""""]+)"""""")"),"Items.Mask_04_basic_02")</f>
        <v>Items.Mask_04_basic_02</v>
      </c>
    </row>
    <row r="67">
      <c r="A67" s="3" t="s">
        <v>5</v>
      </c>
      <c r="B67" s="3" t="s">
        <v>37</v>
      </c>
      <c r="C67" s="5" t="s">
        <v>845</v>
      </c>
      <c r="D67" s="11" t="s">
        <v>846</v>
      </c>
      <c r="E67" s="7" t="str">
        <f>IFERROR(__xludf.DUMMYFUNCTION("REGEXEXTRACT(C67, """"""([^""""]+)"""""")"),"Items.Mask_04_basic_03")</f>
        <v>Items.Mask_04_basic_03</v>
      </c>
    </row>
    <row r="68">
      <c r="A68" s="3" t="s">
        <v>5</v>
      </c>
      <c r="B68" s="3" t="s">
        <v>37</v>
      </c>
      <c r="C68" s="5" t="s">
        <v>847</v>
      </c>
      <c r="D68" s="11" t="s">
        <v>848</v>
      </c>
      <c r="E68" s="7" t="str">
        <f>IFERROR(__xludf.DUMMYFUNCTION("REGEXEXTRACT(C68, """"""([^""""]+)"""""")"),"Items.Mask_04_old_02")</f>
        <v>Items.Mask_04_old_02</v>
      </c>
    </row>
    <row r="69">
      <c r="A69" s="3" t="s">
        <v>5</v>
      </c>
      <c r="B69" s="3" t="s">
        <v>37</v>
      </c>
      <c r="C69" s="5" t="s">
        <v>849</v>
      </c>
      <c r="D69" s="11" t="s">
        <v>850</v>
      </c>
      <c r="E69" s="7" t="str">
        <f>IFERROR(__xludf.DUMMYFUNCTION("REGEXEXTRACT(C69, """"""([^""""]+)"""""")"),"Items.Mask_04_rich_02")</f>
        <v>Items.Mask_04_rich_02</v>
      </c>
    </row>
    <row r="70">
      <c r="A70" s="3" t="s">
        <v>5</v>
      </c>
      <c r="B70" s="3" t="s">
        <v>37</v>
      </c>
      <c r="C70" s="5" t="s">
        <v>851</v>
      </c>
      <c r="D70" s="11" t="s">
        <v>852</v>
      </c>
      <c r="E70" s="7" t="str">
        <f>IFERROR(__xludf.DUMMYFUNCTION("REGEXEXTRACT(C70, """"""([^""""]+)"""""")"),"Items.Mask_04_rich_03")</f>
        <v>Items.Mask_04_rich_03</v>
      </c>
    </row>
    <row r="71">
      <c r="A71" s="3" t="s">
        <v>5</v>
      </c>
      <c r="B71" s="3" t="s">
        <v>37</v>
      </c>
      <c r="C71" s="5" t="s">
        <v>853</v>
      </c>
      <c r="D71" s="11" t="s">
        <v>854</v>
      </c>
      <c r="E71" s="7" t="str">
        <f>IFERROR(__xludf.DUMMYFUNCTION("REGEXEXTRACT(C71, """"""([^""""]+)"""""")"),"Items.Tech_03_basic_03")</f>
        <v>Items.Tech_03_basic_03</v>
      </c>
    </row>
    <row r="72">
      <c r="A72" s="3" t="s">
        <v>5</v>
      </c>
      <c r="B72" s="3" t="s">
        <v>37</v>
      </c>
      <c r="C72" s="5" t="s">
        <v>855</v>
      </c>
      <c r="D72" s="11" t="s">
        <v>856</v>
      </c>
      <c r="E72" s="7" t="str">
        <f>IFERROR(__xludf.DUMMYFUNCTION("REGEXEXTRACT(C72, """"""([^""""]+)"""""")"),"Items.Mask_04_old_06")</f>
        <v>Items.Mask_04_old_06</v>
      </c>
    </row>
    <row r="73">
      <c r="A73" s="3" t="s">
        <v>5</v>
      </c>
      <c r="B73" s="3" t="s">
        <v>37</v>
      </c>
      <c r="C73" s="5" t="s">
        <v>857</v>
      </c>
      <c r="D73" s="11" t="s">
        <v>858</v>
      </c>
      <c r="E73" s="7" t="str">
        <f>IFERROR(__xludf.DUMMYFUNCTION("REGEXEXTRACT(C73, """"""([^""""]+)"""""")"),"Items.Tech_04_rich_02")</f>
        <v>Items.Tech_04_rich_02</v>
      </c>
    </row>
    <row r="74">
      <c r="A74" s="3" t="s">
        <v>5</v>
      </c>
      <c r="B74" s="3" t="s">
        <v>37</v>
      </c>
      <c r="C74" s="5" t="s">
        <v>859</v>
      </c>
      <c r="D74" s="11" t="s">
        <v>860</v>
      </c>
      <c r="E74" s="7" t="str">
        <f>IFERROR(__xludf.DUMMYFUNCTION("REGEXEXTRACT(C74, """"""([^""""]+)"""""")"),"Items.Tech_04_rich_01")</f>
        <v>Items.Tech_04_rich_01</v>
      </c>
    </row>
    <row r="75">
      <c r="A75" s="3" t="s">
        <v>5</v>
      </c>
      <c r="B75" s="3" t="s">
        <v>37</v>
      </c>
      <c r="C75" s="5" t="s">
        <v>861</v>
      </c>
      <c r="D75" s="11" t="s">
        <v>862</v>
      </c>
      <c r="E75" s="7" t="str">
        <f>IFERROR(__xludf.DUMMYFUNCTION("REGEXEXTRACT(C75, """"""([^""""]+)"""""")"),"Items.Mask_04_old_09")</f>
        <v>Items.Mask_04_old_09</v>
      </c>
    </row>
    <row r="76">
      <c r="A76" s="3" t="s">
        <v>5</v>
      </c>
      <c r="B76" s="3" t="s">
        <v>37</v>
      </c>
      <c r="C76" s="5" t="s">
        <v>863</v>
      </c>
      <c r="D76" s="11" t="s">
        <v>864</v>
      </c>
      <c r="E76" s="7" t="str">
        <f>IFERROR(__xludf.DUMMYFUNCTION("REGEXEXTRACT(C76, """"""([^""""]+)"""""")"),"Items.Tech_04_old_04")</f>
        <v>Items.Tech_04_old_04</v>
      </c>
    </row>
    <row r="77">
      <c r="A77" s="3" t="s">
        <v>5</v>
      </c>
      <c r="B77" s="3" t="s">
        <v>37</v>
      </c>
      <c r="C77" s="5" t="s">
        <v>865</v>
      </c>
      <c r="D77" s="11" t="s">
        <v>866</v>
      </c>
      <c r="E77" s="7" t="str">
        <f>IFERROR(__xludf.DUMMYFUNCTION("REGEXEXTRACT(C77, """"""([^""""]+)"""""")"),"Items.Mask_04_old_04")</f>
        <v>Items.Mask_04_old_04</v>
      </c>
    </row>
    <row r="78">
      <c r="A78" s="3" t="s">
        <v>5</v>
      </c>
      <c r="B78" s="3" t="s">
        <v>37</v>
      </c>
      <c r="C78" s="5" t="s">
        <v>867</v>
      </c>
      <c r="D78" s="11" t="s">
        <v>868</v>
      </c>
      <c r="E78" s="7" t="str">
        <f>IFERROR(__xludf.DUMMYFUNCTION("REGEXEXTRACT(C78, """"""([^""""]+)"""""")"),"Items.Mask_04_rich_05")</f>
        <v>Items.Mask_04_rich_05</v>
      </c>
    </row>
    <row r="79">
      <c r="A79" s="3" t="s">
        <v>5</v>
      </c>
      <c r="B79" s="3" t="s">
        <v>37</v>
      </c>
      <c r="C79" s="5" t="s">
        <v>869</v>
      </c>
      <c r="D79" s="11" t="s">
        <v>870</v>
      </c>
      <c r="E79" s="7" t="str">
        <f>IFERROR(__xludf.DUMMYFUNCTION("REGEXEXTRACT(C79, """"""([^""""]+)"""""")"),"Items.Mask_04_rich_04")</f>
        <v>Items.Mask_04_rich_04</v>
      </c>
    </row>
    <row r="80">
      <c r="A80" s="3" t="s">
        <v>5</v>
      </c>
      <c r="B80" s="3" t="s">
        <v>37</v>
      </c>
      <c r="C80" s="5" t="s">
        <v>871</v>
      </c>
      <c r="D80" s="11" t="s">
        <v>872</v>
      </c>
      <c r="E80" s="7" t="str">
        <f>IFERROR(__xludf.DUMMYFUNCTION("REGEXEXTRACT(C80, """"""([^""""]+)"""""")"),"Items.Mask_04_old_03")</f>
        <v>Items.Mask_04_old_03</v>
      </c>
    </row>
    <row r="81">
      <c r="A81" s="3" t="s">
        <v>5</v>
      </c>
      <c r="B81" s="3" t="s">
        <v>37</v>
      </c>
      <c r="C81" s="5" t="s">
        <v>873</v>
      </c>
      <c r="D81" s="11" t="s">
        <v>874</v>
      </c>
      <c r="E81" s="7" t="str">
        <f>IFERROR(__xludf.DUMMYFUNCTION("REGEXEXTRACT(C81, """"""([^""""]+)"""""")"),"Items.Tech_03_old_03")</f>
        <v>Items.Tech_03_old_03</v>
      </c>
    </row>
    <row r="82">
      <c r="A82" s="3" t="s">
        <v>5</v>
      </c>
      <c r="B82" s="3" t="s">
        <v>37</v>
      </c>
      <c r="C82" s="5" t="s">
        <v>875</v>
      </c>
      <c r="D82" s="11" t="s">
        <v>876</v>
      </c>
      <c r="E82" s="7" t="str">
        <f>IFERROR(__xludf.DUMMYFUNCTION("REGEXEXTRACT(C82, """"""([^""""]+)"""""")"),"Items.Tech_04_rich_03")</f>
        <v>Items.Tech_04_rich_03</v>
      </c>
    </row>
    <row r="83">
      <c r="A83" s="3" t="s">
        <v>5</v>
      </c>
      <c r="B83" s="3" t="s">
        <v>37</v>
      </c>
      <c r="C83" s="5" t="s">
        <v>877</v>
      </c>
      <c r="D83" s="11" t="s">
        <v>878</v>
      </c>
      <c r="E83" s="7" t="str">
        <f>IFERROR(__xludf.DUMMYFUNCTION("REGEXEXTRACT(C83, """"""([^""""]+)"""""")"),"Items.Tech_04_old_02")</f>
        <v>Items.Tech_04_old_02</v>
      </c>
    </row>
    <row r="84">
      <c r="A84" s="3" t="s">
        <v>5</v>
      </c>
      <c r="B84" s="3" t="s">
        <v>37</v>
      </c>
      <c r="C84" s="5" t="s">
        <v>879</v>
      </c>
      <c r="D84" s="11" t="s">
        <v>880</v>
      </c>
      <c r="E84" s="7" t="str">
        <f>IFERROR(__xludf.DUMMYFUNCTION("REGEXEXTRACT(C84, """"""([^""""]+)"""""")"),"Items.Tech_03_basic_04")</f>
        <v>Items.Tech_03_basic_04</v>
      </c>
    </row>
    <row r="85">
      <c r="A85" s="3" t="s">
        <v>5</v>
      </c>
      <c r="B85" s="3" t="s">
        <v>37</v>
      </c>
      <c r="C85" s="5" t="s">
        <v>881</v>
      </c>
      <c r="D85" s="11" t="s">
        <v>882</v>
      </c>
      <c r="E85" s="7" t="str">
        <f>IFERROR(__xludf.DUMMYFUNCTION("REGEXEXTRACT(C85, """"""([^""""]+)"""""")"),"Items.Tech_04_basic_04")</f>
        <v>Items.Tech_04_basic_04</v>
      </c>
    </row>
    <row r="86">
      <c r="A86" s="3" t="s">
        <v>5</v>
      </c>
      <c r="B86" s="3" t="s">
        <v>37</v>
      </c>
      <c r="C86" s="5" t="s">
        <v>883</v>
      </c>
      <c r="D86" s="11" t="s">
        <v>884</v>
      </c>
      <c r="E86" s="7" t="str">
        <f>IFERROR(__xludf.DUMMYFUNCTION("REGEXEXTRACT(C86, """"""([^""""]+)"""""")"),"Items.Tech_04_old_01")</f>
        <v>Items.Tech_04_old_01</v>
      </c>
    </row>
    <row r="87">
      <c r="A87" s="3" t="s">
        <v>5</v>
      </c>
      <c r="B87" s="3" t="s">
        <v>37</v>
      </c>
      <c r="C87" s="5" t="s">
        <v>885</v>
      </c>
      <c r="D87" s="11" t="s">
        <v>886</v>
      </c>
      <c r="E87" s="7" t="str">
        <f>IFERROR(__xludf.DUMMYFUNCTION("REGEXEXTRACT(C87, """"""([^""""]+)"""""")"),"Items.Tech_03_old_01")</f>
        <v>Items.Tech_03_old_01</v>
      </c>
    </row>
    <row r="88">
      <c r="A88" s="3" t="s">
        <v>5</v>
      </c>
      <c r="B88" s="3" t="s">
        <v>37</v>
      </c>
      <c r="C88" s="5" t="s">
        <v>887</v>
      </c>
      <c r="D88" s="11" t="s">
        <v>888</v>
      </c>
      <c r="E88" s="7" t="str">
        <f>IFERROR(__xludf.DUMMYFUNCTION("REGEXEXTRACT(C88, """"""([^""""]+)"""""")"),"Items.Mask_04_rich_01")</f>
        <v>Items.Mask_04_rich_01</v>
      </c>
    </row>
    <row r="89">
      <c r="A89" s="3" t="s">
        <v>5</v>
      </c>
      <c r="B89" s="3" t="s">
        <v>37</v>
      </c>
      <c r="C89" s="5" t="s">
        <v>889</v>
      </c>
      <c r="D89" s="11" t="s">
        <v>890</v>
      </c>
      <c r="E89" s="7" t="str">
        <f>IFERROR(__xludf.DUMMYFUNCTION("REGEXEXTRACT(C89, """"""([^""""]+)"""""")"),"Items.Mask_04_old_01")</f>
        <v>Items.Mask_04_old_01</v>
      </c>
    </row>
    <row r="90">
      <c r="A90" s="3" t="s">
        <v>5</v>
      </c>
      <c r="B90" s="3" t="s">
        <v>37</v>
      </c>
      <c r="C90" s="5" t="s">
        <v>891</v>
      </c>
      <c r="D90" s="11" t="s">
        <v>892</v>
      </c>
      <c r="E90" s="7" t="str">
        <f>IFERROR(__xludf.DUMMYFUNCTION("REGEXEXTRACT(C90, """"""([^""""]+)"""""")"),"Items.Mask_04_old_08")</f>
        <v>Items.Mask_04_old_08</v>
      </c>
    </row>
    <row r="91">
      <c r="A91" s="3" t="s">
        <v>5</v>
      </c>
      <c r="B91" s="3" t="s">
        <v>37</v>
      </c>
      <c r="C91" s="5" t="s">
        <v>893</v>
      </c>
      <c r="D91" s="11" t="s">
        <v>894</v>
      </c>
      <c r="E91" s="7" t="str">
        <f>IFERROR(__xludf.DUMMYFUNCTION("REGEXEXTRACT(C91, """"""([^""""]+)"""""")"),"Items.Mask_04_basic_01")</f>
        <v>Items.Mask_04_basic_01</v>
      </c>
    </row>
    <row r="92">
      <c r="A92" s="3" t="s">
        <v>5</v>
      </c>
      <c r="B92" s="3" t="s">
        <v>37</v>
      </c>
      <c r="C92" s="5" t="s">
        <v>895</v>
      </c>
      <c r="D92" s="11" t="s">
        <v>896</v>
      </c>
      <c r="E92" s="7" t="str">
        <f>IFERROR(__xludf.DUMMYFUNCTION("REGEXEXTRACT(C92, """"""([^""""]+)"""""")"),"Items.Mask_04_old_05")</f>
        <v>Items.Mask_04_old_05</v>
      </c>
    </row>
    <row r="93">
      <c r="A93" s="3" t="s">
        <v>5</v>
      </c>
      <c r="B93" s="3" t="s">
        <v>37</v>
      </c>
      <c r="C93" s="5" t="s">
        <v>897</v>
      </c>
      <c r="D93" s="11" t="s">
        <v>898</v>
      </c>
      <c r="E93" s="7" t="str">
        <f>IFERROR(__xludf.DUMMYFUNCTION("REGEXEXTRACT(C93, """"""([^""""]+)"""""")"),"Items.Tech_04_basic_03")</f>
        <v>Items.Tech_04_basic_03</v>
      </c>
    </row>
    <row r="94">
      <c r="A94" s="3" t="s">
        <v>5</v>
      </c>
      <c r="B94" s="3" t="s">
        <v>37</v>
      </c>
      <c r="C94" s="5" t="s">
        <v>899</v>
      </c>
      <c r="D94" s="11" t="s">
        <v>900</v>
      </c>
      <c r="E94" s="7" t="str">
        <f>IFERROR(__xludf.DUMMYFUNCTION("REGEXEXTRACT(C94, """"""([^""""]+)"""""")"),"Items.Tech_04_basic_02")</f>
        <v>Items.Tech_04_basic_02</v>
      </c>
    </row>
    <row r="95">
      <c r="A95" s="3" t="s">
        <v>5</v>
      </c>
      <c r="B95" s="3" t="s">
        <v>37</v>
      </c>
      <c r="C95" s="5" t="s">
        <v>901</v>
      </c>
      <c r="D95" s="11" t="s">
        <v>902</v>
      </c>
      <c r="E95" s="7" t="str">
        <f>IFERROR(__xludf.DUMMYFUNCTION("REGEXEXTRACT(C95, """"""([^""""]+)"""""")"),"Items.Tech_04_basic_01")</f>
        <v>Items.Tech_04_basic_01</v>
      </c>
    </row>
    <row r="96">
      <c r="A96" s="3" t="s">
        <v>5</v>
      </c>
      <c r="B96" s="3" t="s">
        <v>37</v>
      </c>
      <c r="C96" s="5" t="s">
        <v>903</v>
      </c>
      <c r="D96" s="11" t="s">
        <v>904</v>
      </c>
      <c r="E96" s="7" t="str">
        <f>IFERROR(__xludf.DUMMYFUNCTION("REGEXEXTRACT(C96, """"""([^""""]+)"""""")"),"Items.Tech_04_rich_04")</f>
        <v>Items.Tech_04_rich_04</v>
      </c>
    </row>
    <row r="97">
      <c r="A97" s="3" t="s">
        <v>5</v>
      </c>
      <c r="B97" s="3" t="s">
        <v>37</v>
      </c>
      <c r="C97" s="5" t="s">
        <v>905</v>
      </c>
      <c r="D97" s="11" t="s">
        <v>906</v>
      </c>
      <c r="E97" s="7" t="str">
        <f>IFERROR(__xludf.DUMMYFUNCTION("REGEXEXTRACT(C97, """"""([^""""]+)"""""")"),"Items.Tech_04_old_03")</f>
        <v>Items.Tech_04_old_03</v>
      </c>
    </row>
    <row r="98">
      <c r="A98" s="3" t="s">
        <v>5</v>
      </c>
      <c r="B98" s="3" t="s">
        <v>37</v>
      </c>
      <c r="C98" s="5" t="s">
        <v>907</v>
      </c>
      <c r="D98" s="11" t="s">
        <v>908</v>
      </c>
      <c r="E98" s="7" t="str">
        <f>IFERROR(__xludf.DUMMYFUNCTION("REGEXEXTRACT(C98, """"""([^""""]+)"""""")"),"Items.Tech_03_old_02")</f>
        <v>Items.Tech_03_old_02</v>
      </c>
    </row>
    <row r="99">
      <c r="A99" s="3" t="s">
        <v>5</v>
      </c>
      <c r="B99" s="3" t="s">
        <v>37</v>
      </c>
      <c r="C99" s="5" t="s">
        <v>909</v>
      </c>
      <c r="D99" s="11" t="s">
        <v>910</v>
      </c>
      <c r="E99" s="7" t="str">
        <f>IFERROR(__xludf.DUMMYFUNCTION("REGEXEXTRACT(C99, """"""([^""""]+)"""""")"),"Items.Tech_03_basic_02")</f>
        <v>Items.Tech_03_basic_02</v>
      </c>
    </row>
    <row r="100">
      <c r="A100" s="3" t="s">
        <v>5</v>
      </c>
      <c r="B100" s="3" t="s">
        <v>37</v>
      </c>
      <c r="C100" s="5" t="s">
        <v>911</v>
      </c>
      <c r="D100" s="11" t="s">
        <v>912</v>
      </c>
      <c r="E100" s="7" t="str">
        <f>IFERROR(__xludf.DUMMYFUNCTION("REGEXEXTRACT(C100, """"""([^""""]+)"""""")"),"Items.Tech_03_basic_01")</f>
        <v>Items.Tech_03_basic_01</v>
      </c>
    </row>
    <row r="101">
      <c r="A101" s="3" t="s">
        <v>5</v>
      </c>
      <c r="B101" s="3" t="s">
        <v>37</v>
      </c>
      <c r="C101" s="5" t="s">
        <v>913</v>
      </c>
      <c r="D101" s="11" t="s">
        <v>914</v>
      </c>
      <c r="E101" s="7" t="str">
        <f>IFERROR(__xludf.DUMMYFUNCTION("REGEXEXTRACT(C101, """"""([^""""]+)"""""")"),"Items.Tech_03_rich_02")</f>
        <v>Items.Tech_03_rich_02</v>
      </c>
    </row>
    <row r="102">
      <c r="A102" s="3" t="s">
        <v>5</v>
      </c>
      <c r="B102" s="3" t="s">
        <v>37</v>
      </c>
      <c r="C102" s="5" t="s">
        <v>915</v>
      </c>
      <c r="D102" s="11" t="s">
        <v>916</v>
      </c>
      <c r="E102" s="7" t="str">
        <f>IFERROR(__xludf.DUMMYFUNCTION("REGEXEXTRACT(C102, """"""([^""""]+)"""""")"),"Items.Mask_04_old_07")</f>
        <v>Items.Mask_04_old_07</v>
      </c>
    </row>
    <row r="103">
      <c r="A103" s="23"/>
      <c r="B103" s="23"/>
      <c r="C103" s="24"/>
      <c r="D103" s="23"/>
      <c r="E103" s="25" t="str">
        <f>IFERROR(__xludf.DUMMYFUNCTION("REGEXEXTRACT(C103, """"""([^""""]+)"""""")"),"#N/A")</f>
        <v>#N/A</v>
      </c>
    </row>
    <row r="104">
      <c r="A104" s="23"/>
      <c r="B104" s="23"/>
      <c r="C104" s="24"/>
      <c r="D104" s="23"/>
      <c r="E104" s="25" t="str">
        <f>IFERROR(__xludf.DUMMYFUNCTION("REGEXEXTRACT(C104, """"""([^""""]+)"""""")"),"#N/A")</f>
        <v>#N/A</v>
      </c>
    </row>
    <row r="105">
      <c r="A105" s="23"/>
      <c r="B105" s="23"/>
      <c r="C105" s="24"/>
      <c r="D105" s="23"/>
      <c r="E105" s="25" t="str">
        <f>IFERROR(__xludf.DUMMYFUNCTION("REGEXEXTRACT(C105, """"""([^""""]+)"""""")"),"#N/A")</f>
        <v>#N/A</v>
      </c>
    </row>
    <row r="106">
      <c r="A106" s="23"/>
      <c r="B106" s="23"/>
      <c r="C106" s="24"/>
      <c r="D106" s="23"/>
      <c r="E106" s="25" t="str">
        <f>IFERROR(__xludf.DUMMYFUNCTION("REGEXEXTRACT(C106, """"""([^""""]+)"""""")"),"#N/A")</f>
        <v>#N/A</v>
      </c>
    </row>
    <row r="107">
      <c r="A107" s="23"/>
      <c r="B107" s="23"/>
      <c r="C107" s="24"/>
      <c r="D107" s="23"/>
      <c r="E107" s="25" t="str">
        <f>IFERROR(__xludf.DUMMYFUNCTION("REGEXEXTRACT(C107, """"""([^""""]+)"""""")"),"#N/A")</f>
        <v>#N/A</v>
      </c>
    </row>
    <row r="108">
      <c r="A108" s="23"/>
      <c r="B108" s="23"/>
      <c r="C108" s="24"/>
      <c r="D108" s="23"/>
      <c r="E108" s="25" t="str">
        <f>IFERROR(__xludf.DUMMYFUNCTION("REGEXEXTRACT(C108, """"""([^""""]+)"""""")"),"#N/A")</f>
        <v>#N/A</v>
      </c>
    </row>
    <row r="109">
      <c r="A109" s="23"/>
      <c r="B109" s="23"/>
      <c r="C109" s="24"/>
      <c r="D109" s="23"/>
      <c r="E109" s="25" t="str">
        <f>IFERROR(__xludf.DUMMYFUNCTION("REGEXEXTRACT(C109, """"""([^""""]+)"""""")"),"#N/A")</f>
        <v>#N/A</v>
      </c>
    </row>
    <row r="110">
      <c r="A110" s="23"/>
      <c r="B110" s="23"/>
      <c r="C110" s="24"/>
      <c r="D110" s="23"/>
      <c r="E110" s="25" t="str">
        <f>IFERROR(__xludf.DUMMYFUNCTION("REGEXEXTRACT(C110, """"""([^""""]+)"""""")"),"#N/A")</f>
        <v>#N/A</v>
      </c>
    </row>
    <row r="111">
      <c r="A111" s="23"/>
      <c r="B111" s="23"/>
      <c r="C111" s="24"/>
      <c r="D111" s="23"/>
      <c r="E111" s="25" t="str">
        <f>IFERROR(__xludf.DUMMYFUNCTION("REGEXEXTRACT(C111, """"""([^""""]+)"""""")"),"#N/A")</f>
        <v>#N/A</v>
      </c>
    </row>
    <row r="112">
      <c r="A112" s="23"/>
      <c r="B112" s="23"/>
      <c r="C112" s="24"/>
      <c r="D112" s="23"/>
      <c r="E112" s="25" t="str">
        <f>IFERROR(__xludf.DUMMYFUNCTION("REGEXEXTRACT(C112, """"""([^""""]+)"""""")"),"#N/A")</f>
        <v>#N/A</v>
      </c>
    </row>
    <row r="113">
      <c r="A113" s="23"/>
      <c r="B113" s="23"/>
      <c r="C113" s="24"/>
      <c r="D113" s="23"/>
      <c r="E113" s="25" t="str">
        <f>IFERROR(__xludf.DUMMYFUNCTION("REGEXEXTRACT(C113, """"""([^""""]+)"""""")"),"#N/A")</f>
        <v>#N/A</v>
      </c>
    </row>
    <row r="114">
      <c r="A114" s="23"/>
      <c r="B114" s="23"/>
      <c r="C114" s="24"/>
      <c r="D114" s="23"/>
      <c r="E114" s="25" t="str">
        <f>IFERROR(__xludf.DUMMYFUNCTION("REGEXEXTRACT(C114, """"""([^""""]+)"""""")"),"#N/A")</f>
        <v>#N/A</v>
      </c>
    </row>
    <row r="115">
      <c r="A115" s="23"/>
      <c r="B115" s="23"/>
      <c r="C115" s="24"/>
      <c r="D115" s="23"/>
      <c r="E115" s="25" t="str">
        <f>IFERROR(__xludf.DUMMYFUNCTION("REGEXEXTRACT(C115, """"""([^""""]+)"""""")"),"#N/A")</f>
        <v>#N/A</v>
      </c>
    </row>
    <row r="116">
      <c r="A116" s="23"/>
      <c r="B116" s="23"/>
      <c r="C116" s="24"/>
      <c r="D116" s="23"/>
      <c r="E116" s="25" t="str">
        <f>IFERROR(__xludf.DUMMYFUNCTION("REGEXEXTRACT(C116, """"""([^""""]+)"""""")"),"#N/A")</f>
        <v>#N/A</v>
      </c>
    </row>
    <row r="117">
      <c r="A117" s="23"/>
      <c r="B117" s="23"/>
      <c r="C117" s="24"/>
      <c r="D117" s="23"/>
      <c r="E117" s="25" t="str">
        <f>IFERROR(__xludf.DUMMYFUNCTION("REGEXEXTRACT(C117, """"""([^""""]+)"""""")"),"#N/A")</f>
        <v>#N/A</v>
      </c>
    </row>
    <row r="118">
      <c r="A118" s="23"/>
      <c r="B118" s="23"/>
      <c r="C118" s="24"/>
      <c r="D118" s="23"/>
      <c r="E118" s="25" t="str">
        <f>IFERROR(__xludf.DUMMYFUNCTION("REGEXEXTRACT(C118, """"""([^""""]+)"""""")"),"#N/A")</f>
        <v>#N/A</v>
      </c>
    </row>
    <row r="119">
      <c r="A119" s="23"/>
      <c r="B119" s="23"/>
      <c r="C119" s="24"/>
      <c r="D119" s="23"/>
      <c r="E119" s="25" t="str">
        <f>IFERROR(__xludf.DUMMYFUNCTION("REGEXEXTRACT(C119, """"""([^""""]+)"""""")"),"#N/A")</f>
        <v>#N/A</v>
      </c>
    </row>
    <row r="120">
      <c r="A120" s="23"/>
      <c r="B120" s="23"/>
      <c r="C120" s="24"/>
      <c r="D120" s="23"/>
      <c r="E120" s="25" t="str">
        <f>IFERROR(__xludf.DUMMYFUNCTION("REGEXEXTRACT(C120, """"""([^""""]+)"""""")"),"#N/A")</f>
        <v>#N/A</v>
      </c>
    </row>
    <row r="121">
      <c r="A121" s="23"/>
      <c r="B121" s="23"/>
      <c r="C121" s="24"/>
      <c r="D121" s="23"/>
      <c r="E121" s="25" t="str">
        <f>IFERROR(__xludf.DUMMYFUNCTION("REGEXEXTRACT(C121, """"""([^""""]+)"""""")"),"#N/A")</f>
        <v>#N/A</v>
      </c>
    </row>
    <row r="122">
      <c r="A122" s="23"/>
      <c r="B122" s="23"/>
      <c r="C122" s="24"/>
      <c r="D122" s="23"/>
      <c r="E122" s="25" t="str">
        <f>IFERROR(__xludf.DUMMYFUNCTION("REGEXEXTRACT(C122, """"""([^""""]+)"""""")"),"#N/A")</f>
        <v>#N/A</v>
      </c>
    </row>
    <row r="123">
      <c r="A123" s="23"/>
      <c r="B123" s="23"/>
      <c r="C123" s="24"/>
      <c r="D123" s="23"/>
      <c r="E123" s="25" t="str">
        <f>IFERROR(__xludf.DUMMYFUNCTION("REGEXEXTRACT(C123, """"""([^""""]+)"""""")"),"#N/A")</f>
        <v>#N/A</v>
      </c>
    </row>
    <row r="124">
      <c r="A124" s="23"/>
      <c r="B124" s="23"/>
      <c r="C124" s="24"/>
      <c r="D124" s="23"/>
      <c r="E124" s="25" t="str">
        <f>IFERROR(__xludf.DUMMYFUNCTION("REGEXEXTRACT(C124, """"""([^""""]+)"""""")"),"#N/A")</f>
        <v>#N/A</v>
      </c>
    </row>
    <row r="125">
      <c r="A125" s="23"/>
      <c r="B125" s="23"/>
      <c r="C125" s="24"/>
      <c r="D125" s="23"/>
      <c r="E125" s="25" t="str">
        <f>IFERROR(__xludf.DUMMYFUNCTION("REGEXEXTRACT(C125, """"""([^""""]+)"""""")"),"#N/A")</f>
        <v>#N/A</v>
      </c>
    </row>
    <row r="126">
      <c r="A126" s="23"/>
      <c r="B126" s="23"/>
      <c r="C126" s="24"/>
      <c r="D126" s="23"/>
      <c r="E126" s="25" t="str">
        <f>IFERROR(__xludf.DUMMYFUNCTION("REGEXEXTRACT(C126, """"""([^""""]+)"""""")"),"#N/A")</f>
        <v>#N/A</v>
      </c>
    </row>
    <row r="127">
      <c r="A127" s="23"/>
      <c r="B127" s="23"/>
      <c r="C127" s="24"/>
      <c r="D127" s="23"/>
      <c r="E127" s="25" t="str">
        <f>IFERROR(__xludf.DUMMYFUNCTION("REGEXEXTRACT(C127, """"""([^""""]+)"""""")"),"#N/A")</f>
        <v>#N/A</v>
      </c>
    </row>
    <row r="128">
      <c r="A128" s="23"/>
      <c r="B128" s="23"/>
      <c r="C128" s="24"/>
      <c r="D128" s="23"/>
      <c r="E128" s="25" t="str">
        <f>IFERROR(__xludf.DUMMYFUNCTION("REGEXEXTRACT(C128, """"""([^""""]+)"""""")"),"#N/A")</f>
        <v>#N/A</v>
      </c>
    </row>
    <row r="129">
      <c r="A129" s="23"/>
      <c r="B129" s="23"/>
      <c r="C129" s="24"/>
      <c r="D129" s="23"/>
      <c r="E129" s="25" t="str">
        <f>IFERROR(__xludf.DUMMYFUNCTION("REGEXEXTRACT(C129, """"""([^""""]+)"""""")"),"#N/A")</f>
        <v>#N/A</v>
      </c>
    </row>
    <row r="130">
      <c r="A130" s="23"/>
      <c r="B130" s="23"/>
      <c r="C130" s="24"/>
      <c r="D130" s="23"/>
      <c r="E130" s="25" t="str">
        <f>IFERROR(__xludf.DUMMYFUNCTION("REGEXEXTRACT(C130, """"""([^""""]+)"""""")"),"#N/A")</f>
        <v>#N/A</v>
      </c>
    </row>
    <row r="131">
      <c r="A131" s="23"/>
      <c r="B131" s="23"/>
      <c r="C131" s="24"/>
      <c r="D131" s="23"/>
      <c r="E131" s="25" t="str">
        <f>IFERROR(__xludf.DUMMYFUNCTION("REGEXEXTRACT(C131, """"""([^""""]+)"""""")"),"#N/A")</f>
        <v>#N/A</v>
      </c>
    </row>
    <row r="132">
      <c r="A132" s="23"/>
      <c r="B132" s="23"/>
      <c r="C132" s="24"/>
      <c r="D132" s="23"/>
      <c r="E132" s="25" t="str">
        <f>IFERROR(__xludf.DUMMYFUNCTION("REGEXEXTRACT(C132, """"""([^""""]+)"""""")"),"#N/A")</f>
        <v>#N/A</v>
      </c>
    </row>
    <row r="133">
      <c r="A133" s="23"/>
      <c r="B133" s="23"/>
      <c r="C133" s="24"/>
      <c r="D133" s="23"/>
      <c r="E133" s="25" t="str">
        <f>IFERROR(__xludf.DUMMYFUNCTION("REGEXEXTRACT(C133, """"""([^""""]+)"""""")"),"#N/A")</f>
        <v>#N/A</v>
      </c>
    </row>
    <row r="134">
      <c r="A134" s="23"/>
      <c r="B134" s="23"/>
      <c r="C134" s="24"/>
      <c r="D134" s="23"/>
      <c r="E134" s="25" t="str">
        <f>IFERROR(__xludf.DUMMYFUNCTION("REGEXEXTRACT(C134, """"""([^""""]+)"""""")"),"#N/A")</f>
        <v>#N/A</v>
      </c>
    </row>
    <row r="135">
      <c r="A135" s="23"/>
      <c r="B135" s="23"/>
      <c r="C135" s="24"/>
      <c r="D135" s="23"/>
      <c r="E135" s="25" t="str">
        <f>IFERROR(__xludf.DUMMYFUNCTION("REGEXEXTRACT(C135, """"""([^""""]+)"""""")"),"#N/A")</f>
        <v>#N/A</v>
      </c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  <row r="954">
      <c r="A954" s="23"/>
      <c r="B954" s="23"/>
      <c r="C954" s="24"/>
      <c r="D954" s="23"/>
      <c r="E954" s="25" t="str">
        <f>IFERROR(__xludf.DUMMYFUNCTION("REGEXEXTRACT(C954, """"""([^""""]+)"""""")"),"#N/A")</f>
        <v>#N/A</v>
      </c>
    </row>
    <row r="955">
      <c r="A955" s="23"/>
      <c r="B955" s="23"/>
      <c r="C955" s="24"/>
      <c r="D955" s="23"/>
      <c r="E955" s="25" t="str">
        <f>IFERROR(__xludf.DUMMYFUNCTION("REGEXEXTRACT(C955, """"""([^""""]+)"""""")"),"#N/A")</f>
        <v>#N/A</v>
      </c>
    </row>
    <row r="956">
      <c r="A956" s="23"/>
      <c r="B956" s="23"/>
      <c r="C956" s="24"/>
      <c r="D956" s="23"/>
      <c r="E956" s="25" t="str">
        <f>IFERROR(__xludf.DUMMYFUNCTION("REGEXEXTRACT(C956, """"""([^""""]+)"""""")"),"#N/A")</f>
        <v>#N/A</v>
      </c>
    </row>
    <row r="957">
      <c r="A957" s="23"/>
      <c r="B957" s="23"/>
      <c r="C957" s="24"/>
      <c r="D957" s="23"/>
      <c r="E957" s="25" t="str">
        <f>IFERROR(__xludf.DUMMYFUNCTION("REGEXEXTRACT(C957,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70.0"/>
    <col customWidth="1" min="4" max="4" width="61.13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7" t="s">
        <v>178</v>
      </c>
      <c r="B2" s="13" t="s">
        <v>82</v>
      </c>
      <c r="C2" s="27" t="s">
        <v>917</v>
      </c>
      <c r="D2" s="11" t="s">
        <v>918</v>
      </c>
      <c r="E2" s="28" t="str">
        <f>IFERROR(__xludf.DUMMYFUNCTION("REGEXEXTRACT(C2, """"""([^""""]+)"""""")"),"Items.Vest_13_rich_04")</f>
        <v>Items.Vest_13_rich_04</v>
      </c>
    </row>
    <row r="3">
      <c r="A3" s="17" t="s">
        <v>178</v>
      </c>
      <c r="B3" s="13" t="s">
        <v>82</v>
      </c>
      <c r="C3" s="27" t="s">
        <v>919</v>
      </c>
      <c r="D3" s="11" t="s">
        <v>920</v>
      </c>
      <c r="E3" s="28" t="str">
        <f>IFERROR(__xludf.DUMMYFUNCTION("REGEXEXTRACT(C3, """"""([^""""]+)"""""")"),"Items.Jacket_17_old_03")</f>
        <v>Items.Jacket_17_old_03</v>
      </c>
    </row>
    <row r="4">
      <c r="A4" s="17" t="s">
        <v>178</v>
      </c>
      <c r="B4" s="13" t="s">
        <v>82</v>
      </c>
      <c r="C4" s="27" t="s">
        <v>921</v>
      </c>
      <c r="D4" s="11" t="s">
        <v>922</v>
      </c>
      <c r="E4" s="28" t="str">
        <f>IFERROR(__xludf.DUMMYFUNCTION("REGEXEXTRACT(C4, """"""([^""""]+)"""""")"),"Items.Coat_03_old_03")</f>
        <v>Items.Coat_03_old_03</v>
      </c>
    </row>
    <row r="5">
      <c r="A5" s="17" t="s">
        <v>178</v>
      </c>
      <c r="B5" s="13" t="s">
        <v>82</v>
      </c>
      <c r="C5" s="27" t="s">
        <v>923</v>
      </c>
      <c r="D5" s="11" t="s">
        <v>924</v>
      </c>
      <c r="E5" s="28" t="str">
        <f>IFERROR(__xludf.DUMMYFUNCTION("REGEXEXTRACT(C5, """"""([^""""]+)"""""")"),"Items.Vest_03_old_02")</f>
        <v>Items.Vest_03_old_02</v>
      </c>
    </row>
    <row r="6">
      <c r="A6" s="17" t="s">
        <v>178</v>
      </c>
      <c r="B6" s="13" t="s">
        <v>82</v>
      </c>
      <c r="C6" s="27" t="s">
        <v>925</v>
      </c>
      <c r="D6" s="11" t="s">
        <v>926</v>
      </c>
      <c r="E6" s="28" t="str">
        <f>IFERROR(__xludf.DUMMYFUNCTION("REGEXEXTRACT(C6, """"""([^""""]+)"""""")"),"Items.Vest_10_old_02")</f>
        <v>Items.Vest_10_old_02</v>
      </c>
    </row>
    <row r="7">
      <c r="A7" s="17" t="s">
        <v>178</v>
      </c>
      <c r="B7" s="13" t="s">
        <v>82</v>
      </c>
      <c r="C7" s="27" t="s">
        <v>927</v>
      </c>
      <c r="D7" s="11" t="s">
        <v>928</v>
      </c>
      <c r="E7" s="28" t="str">
        <f>IFERROR(__xludf.DUMMYFUNCTION("REGEXEXTRACT(C7, """"""([^""""]+)"""""")"),"Items.Vest_06_old_01")</f>
        <v>Items.Vest_06_old_01</v>
      </c>
    </row>
    <row r="8">
      <c r="A8" s="17" t="s">
        <v>178</v>
      </c>
      <c r="B8" s="13" t="s">
        <v>82</v>
      </c>
      <c r="C8" s="27" t="s">
        <v>929</v>
      </c>
      <c r="D8" s="11" t="s">
        <v>930</v>
      </c>
      <c r="E8" s="28" t="str">
        <f>IFERROR(__xludf.DUMMYFUNCTION("REGEXEXTRACT(C8, """"""([^""""]+)"""""")"),"Items.Jacket_07_basic_02")</f>
        <v>Items.Jacket_07_basic_02</v>
      </c>
    </row>
    <row r="9">
      <c r="A9" s="17" t="s">
        <v>178</v>
      </c>
      <c r="B9" s="13" t="s">
        <v>82</v>
      </c>
      <c r="C9" s="27" t="s">
        <v>931</v>
      </c>
      <c r="D9" s="11" t="s">
        <v>932</v>
      </c>
      <c r="E9" s="28" t="str">
        <f>IFERROR(__xludf.DUMMYFUNCTION("REGEXEXTRACT(C9, """"""([^""""]+)"""""")"),"Items.Vest_18_rich_01")</f>
        <v>Items.Vest_18_rich_01</v>
      </c>
    </row>
    <row r="10">
      <c r="A10" s="17" t="s">
        <v>178</v>
      </c>
      <c r="B10" s="13" t="s">
        <v>82</v>
      </c>
      <c r="C10" s="27" t="s">
        <v>933</v>
      </c>
      <c r="D10" s="11" t="s">
        <v>934</v>
      </c>
      <c r="E10" s="28" t="str">
        <f>IFERROR(__xludf.DUMMYFUNCTION("REGEXEXTRACT(C10, """"""([^""""]+)"""""")"),"Items.Jacket_04_rich_01")</f>
        <v>Items.Jacket_04_rich_01</v>
      </c>
    </row>
    <row r="11">
      <c r="A11" s="17" t="s">
        <v>178</v>
      </c>
      <c r="B11" s="13" t="s">
        <v>82</v>
      </c>
      <c r="C11" s="27" t="s">
        <v>935</v>
      </c>
      <c r="D11" s="11" t="s">
        <v>936</v>
      </c>
      <c r="E11" s="28" t="str">
        <f>IFERROR(__xludf.DUMMYFUNCTION("REGEXEXTRACT(C11, """"""([^""""]+)"""""")"),"Items.Jacket_15_rich_01")</f>
        <v>Items.Jacket_15_rich_01</v>
      </c>
    </row>
    <row r="12">
      <c r="A12" s="17" t="s">
        <v>178</v>
      </c>
      <c r="B12" s="13" t="s">
        <v>82</v>
      </c>
      <c r="C12" s="27" t="s">
        <v>937</v>
      </c>
      <c r="D12" s="11" t="s">
        <v>938</v>
      </c>
      <c r="E12" s="28" t="str">
        <f>IFERROR(__xludf.DUMMYFUNCTION("REGEXEXTRACT(C12, """"""([^""""]+)"""""")"),"Items.Jacket_09_old_01")</f>
        <v>Items.Jacket_09_old_01</v>
      </c>
    </row>
    <row r="13">
      <c r="A13" s="17" t="s">
        <v>178</v>
      </c>
      <c r="B13" s="13" t="s">
        <v>82</v>
      </c>
      <c r="C13" s="27" t="s">
        <v>939</v>
      </c>
      <c r="D13" s="11" t="s">
        <v>940</v>
      </c>
      <c r="E13" s="28" t="str">
        <f>IFERROR(__xludf.DUMMYFUNCTION("REGEXEXTRACT(C13, """"""([^""""]+)"""""")"),"Items.Vest_03_rich_01")</f>
        <v>Items.Vest_03_rich_01</v>
      </c>
    </row>
    <row r="14">
      <c r="A14" s="17" t="s">
        <v>178</v>
      </c>
      <c r="B14" s="13" t="s">
        <v>82</v>
      </c>
      <c r="C14" s="27" t="s">
        <v>941</v>
      </c>
      <c r="D14" s="11" t="s">
        <v>942</v>
      </c>
      <c r="E14" s="28" t="str">
        <f>IFERROR(__xludf.DUMMYFUNCTION("REGEXEXTRACT(C14, """"""([^""""]+)"""""")"),"Items.Jacket_10_basic_01")</f>
        <v>Items.Jacket_10_basic_01</v>
      </c>
    </row>
    <row r="15">
      <c r="A15" s="17" t="s">
        <v>178</v>
      </c>
      <c r="B15" s="13" t="s">
        <v>82</v>
      </c>
      <c r="C15" s="27" t="s">
        <v>943</v>
      </c>
      <c r="D15" s="11" t="s">
        <v>944</v>
      </c>
      <c r="E15" s="28" t="str">
        <f>IFERROR(__xludf.DUMMYFUNCTION("REGEXEXTRACT(C15, """"""([^""""]+)"""""")"),"Items.Vest_18_rich_02")</f>
        <v>Items.Vest_18_rich_02</v>
      </c>
    </row>
    <row r="16">
      <c r="A16" s="17" t="s">
        <v>178</v>
      </c>
      <c r="B16" s="13" t="s">
        <v>82</v>
      </c>
      <c r="C16" s="27" t="s">
        <v>945</v>
      </c>
      <c r="D16" s="11" t="s">
        <v>946</v>
      </c>
      <c r="E16" s="28" t="str">
        <f>IFERROR(__xludf.DUMMYFUNCTION("REGEXEXTRACT(C16, """"""([^""""]+)"""""")"),"Items.Vest_06_rich_01")</f>
        <v>Items.Vest_06_rich_01</v>
      </c>
    </row>
    <row r="17">
      <c r="A17" s="17" t="s">
        <v>178</v>
      </c>
      <c r="B17" s="13" t="s">
        <v>82</v>
      </c>
      <c r="C17" s="27" t="s">
        <v>947</v>
      </c>
      <c r="D17" s="11" t="s">
        <v>948</v>
      </c>
      <c r="E17" s="28" t="str">
        <f>IFERROR(__xludf.DUMMYFUNCTION("REGEXEXTRACT(C17, """"""([^""""]+)"""""")"),"Items.Jumpsuit_01_basic_01")</f>
        <v>Items.Jumpsuit_01_basic_01</v>
      </c>
    </row>
    <row r="18">
      <c r="A18" s="17" t="s">
        <v>178</v>
      </c>
      <c r="B18" s="13" t="s">
        <v>82</v>
      </c>
      <c r="C18" s="27" t="s">
        <v>949</v>
      </c>
      <c r="D18" s="11" t="s">
        <v>950</v>
      </c>
      <c r="E18" s="28" t="str">
        <f>IFERROR(__xludf.DUMMYFUNCTION("REGEXEXTRACT(C18, """"""([^""""]+)"""""")"),"Items.Vest_10_rich_01")</f>
        <v>Items.Vest_10_rich_01</v>
      </c>
    </row>
    <row r="19">
      <c r="A19" s="17" t="s">
        <v>178</v>
      </c>
      <c r="B19" s="13" t="s">
        <v>82</v>
      </c>
      <c r="C19" s="27" t="s">
        <v>951</v>
      </c>
      <c r="D19" s="11" t="s">
        <v>952</v>
      </c>
      <c r="E19" s="28" t="str">
        <f>IFERROR(__xludf.DUMMYFUNCTION("REGEXEXTRACT(C19, """"""([^""""]+)"""""")"),"Items.Jacket_13_old_02")</f>
        <v>Items.Jacket_13_old_02</v>
      </c>
    </row>
    <row r="20">
      <c r="A20" s="17" t="s">
        <v>178</v>
      </c>
      <c r="B20" s="13" t="s">
        <v>82</v>
      </c>
      <c r="C20" s="27" t="s">
        <v>953</v>
      </c>
      <c r="D20" s="11" t="s">
        <v>954</v>
      </c>
      <c r="E20" s="28" t="str">
        <f>IFERROR(__xludf.DUMMYFUNCTION("REGEXEXTRACT(C20, """"""([^""""]+)"""""")"),"Items.LooseShirt_02_rich_01")</f>
        <v>Items.LooseShirt_02_rich_01</v>
      </c>
    </row>
    <row r="21">
      <c r="A21" s="17" t="s">
        <v>178</v>
      </c>
      <c r="B21" s="13" t="s">
        <v>82</v>
      </c>
      <c r="C21" s="27" t="s">
        <v>955</v>
      </c>
      <c r="D21" s="11" t="s">
        <v>956</v>
      </c>
      <c r="E21" s="28" t="str">
        <f>IFERROR(__xludf.DUMMYFUNCTION("REGEXEXTRACT(C21, """"""([^""""]+)"""""")"),"Items.Vest_07_basic_01")</f>
        <v>Items.Vest_07_basic_01</v>
      </c>
    </row>
    <row r="22">
      <c r="A22" s="17" t="s">
        <v>178</v>
      </c>
      <c r="B22" s="13" t="s">
        <v>82</v>
      </c>
      <c r="C22" s="27" t="s">
        <v>957</v>
      </c>
      <c r="D22" s="11" t="s">
        <v>958</v>
      </c>
      <c r="E22" s="28" t="str">
        <f>IFERROR(__xludf.DUMMYFUNCTION("REGEXEXTRACT(C22, """"""([^""""]+)"""""")"),"Items.FormalJacket_01_old_02")</f>
        <v>Items.FormalJacket_01_old_02</v>
      </c>
    </row>
    <row r="23">
      <c r="A23" s="17" t="s">
        <v>178</v>
      </c>
      <c r="B23" s="13" t="s">
        <v>82</v>
      </c>
      <c r="C23" s="27" t="s">
        <v>959</v>
      </c>
      <c r="D23" s="11" t="s">
        <v>960</v>
      </c>
      <c r="E23" s="28" t="str">
        <f>IFERROR(__xludf.DUMMYFUNCTION("REGEXEXTRACT(C23, """"""([^""""]+)"""""")"),"Items.Jumpsuit_01_old_02")</f>
        <v>Items.Jumpsuit_01_old_02</v>
      </c>
    </row>
    <row r="24">
      <c r="A24" s="17" t="s">
        <v>178</v>
      </c>
      <c r="B24" s="13" t="s">
        <v>82</v>
      </c>
      <c r="C24" s="27" t="s">
        <v>961</v>
      </c>
      <c r="D24" s="11" t="s">
        <v>962</v>
      </c>
      <c r="E24" s="28" t="str">
        <f>IFERROR(__xludf.DUMMYFUNCTION("REGEXEXTRACT(C24, """"""([^""""]+)"""""")"),"Items.FormalJacket_05_basic_02")</f>
        <v>Items.FormalJacket_05_basic_02</v>
      </c>
    </row>
    <row r="25">
      <c r="A25" s="17" t="s">
        <v>178</v>
      </c>
      <c r="B25" s="13" t="s">
        <v>82</v>
      </c>
      <c r="C25" s="27" t="s">
        <v>963</v>
      </c>
      <c r="D25" s="11" t="s">
        <v>964</v>
      </c>
      <c r="E25" s="28" t="str">
        <f>IFERROR(__xludf.DUMMYFUNCTION("REGEXEXTRACT(C25, """"""([^""""]+)"""""")"),"Items.Dress_02_basic_02")</f>
        <v>Items.Dress_02_basic_02</v>
      </c>
    </row>
    <row r="26">
      <c r="A26" s="17" t="s">
        <v>178</v>
      </c>
      <c r="B26" s="13" t="s">
        <v>82</v>
      </c>
      <c r="C26" s="27" t="s">
        <v>965</v>
      </c>
      <c r="D26" s="11" t="s">
        <v>966</v>
      </c>
      <c r="E26" s="28" t="str">
        <f>IFERROR(__xludf.DUMMYFUNCTION("REGEXEXTRACT(C26, """"""([^""""]+)"""""")"),"Items.FormalJacket_02_basic_01")</f>
        <v>Items.FormalJacket_02_basic_01</v>
      </c>
    </row>
    <row r="27">
      <c r="A27" s="17" t="s">
        <v>178</v>
      </c>
      <c r="B27" s="13" t="s">
        <v>82</v>
      </c>
      <c r="C27" s="27" t="s">
        <v>967</v>
      </c>
      <c r="D27" s="11" t="s">
        <v>968</v>
      </c>
      <c r="E27" s="28" t="str">
        <f>IFERROR(__xludf.DUMMYFUNCTION("REGEXEXTRACT(C27, """"""([^""""]+)"""""")"),"Items.Vest_01_basic_02")</f>
        <v>Items.Vest_01_basic_02</v>
      </c>
    </row>
    <row r="28">
      <c r="A28" s="17" t="s">
        <v>178</v>
      </c>
      <c r="B28" s="13" t="s">
        <v>82</v>
      </c>
      <c r="C28" s="27" t="s">
        <v>969</v>
      </c>
      <c r="D28" s="11" t="s">
        <v>970</v>
      </c>
      <c r="E28" s="28" t="str">
        <f>IFERROR(__xludf.DUMMYFUNCTION("REGEXEXTRACT(C28, """"""([^""""]+)"""""")"),"Items.Vest_12_basic_01")</f>
        <v>Items.Vest_12_basic_01</v>
      </c>
    </row>
    <row r="29">
      <c r="A29" s="17" t="s">
        <v>178</v>
      </c>
      <c r="B29" s="13" t="s">
        <v>82</v>
      </c>
      <c r="C29" s="27" t="s">
        <v>971</v>
      </c>
      <c r="D29" s="11" t="s">
        <v>972</v>
      </c>
      <c r="E29" s="28" t="str">
        <f>IFERROR(__xludf.DUMMYFUNCTION("REGEXEXTRACT(C29, """"""([^""""]+)"""""")"),"Items.Vest_06_rich_03")</f>
        <v>Items.Vest_06_rich_03</v>
      </c>
    </row>
    <row r="30">
      <c r="A30" s="17" t="s">
        <v>178</v>
      </c>
      <c r="B30" s="13" t="s">
        <v>82</v>
      </c>
      <c r="C30" s="27" t="s">
        <v>973</v>
      </c>
      <c r="D30" s="11" t="s">
        <v>974</v>
      </c>
      <c r="E30" s="28" t="str">
        <f>IFERROR(__xludf.DUMMYFUNCTION("REGEXEXTRACT(C30, """"""([^""""]+)"""""")"),"Items.Jacket_14_rich_02")</f>
        <v>Items.Jacket_14_rich_02</v>
      </c>
    </row>
    <row r="31">
      <c r="A31" s="17" t="s">
        <v>178</v>
      </c>
      <c r="B31" s="13" t="s">
        <v>82</v>
      </c>
      <c r="C31" s="27" t="s">
        <v>975</v>
      </c>
      <c r="D31" s="11" t="s">
        <v>976</v>
      </c>
      <c r="E31" s="28" t="str">
        <f>IFERROR(__xludf.DUMMYFUNCTION("REGEXEXTRACT(C31, """"""([^""""]+)"""""")"),"Items.Jacket_05_basic_01")</f>
        <v>Items.Jacket_05_basic_01</v>
      </c>
    </row>
    <row r="32">
      <c r="A32" s="17" t="s">
        <v>178</v>
      </c>
      <c r="B32" s="13" t="s">
        <v>82</v>
      </c>
      <c r="C32" s="27" t="s">
        <v>977</v>
      </c>
      <c r="D32" s="11" t="s">
        <v>978</v>
      </c>
      <c r="E32" s="28" t="str">
        <f>IFERROR(__xludf.DUMMYFUNCTION("REGEXEXTRACT(C32, """"""([^""""]+)"""""")"),"Items.Coat_02_old_01")</f>
        <v>Items.Coat_02_old_01</v>
      </c>
    </row>
    <row r="33">
      <c r="A33" s="17" t="s">
        <v>178</v>
      </c>
      <c r="B33" s="13" t="s">
        <v>82</v>
      </c>
      <c r="C33" s="27" t="s">
        <v>979</v>
      </c>
      <c r="D33" s="11" t="s">
        <v>980</v>
      </c>
      <c r="E33" s="28" t="str">
        <f>IFERROR(__xludf.DUMMYFUNCTION("REGEXEXTRACT(C33, """"""([^""""]+)"""""")"),"Items.Jacket_02_rich_02")</f>
        <v>Items.Jacket_02_rich_02</v>
      </c>
    </row>
    <row r="34">
      <c r="A34" s="17" t="s">
        <v>178</v>
      </c>
      <c r="B34" s="13" t="s">
        <v>82</v>
      </c>
      <c r="C34" s="27" t="s">
        <v>981</v>
      </c>
      <c r="D34" s="11" t="s">
        <v>982</v>
      </c>
      <c r="E34" s="28" t="str">
        <f>IFERROR(__xludf.DUMMYFUNCTION("REGEXEXTRACT(C34, """"""([^""""]+)"""""")"),"Items.LooseShirt_01_rich_01")</f>
        <v>Items.LooseShirt_01_rich_01</v>
      </c>
    </row>
    <row r="35">
      <c r="A35" s="17" t="s">
        <v>178</v>
      </c>
      <c r="B35" s="13" t="s">
        <v>82</v>
      </c>
      <c r="C35" s="27" t="s">
        <v>983</v>
      </c>
      <c r="D35" s="11" t="s">
        <v>984</v>
      </c>
      <c r="E35" s="28" t="str">
        <f>IFERROR(__xludf.DUMMYFUNCTION("REGEXEXTRACT(C35, """"""([^""""]+)"""""")"),"Items.Vest_13_rich_02")</f>
        <v>Items.Vest_13_rich_02</v>
      </c>
    </row>
    <row r="36">
      <c r="A36" s="17" t="s">
        <v>178</v>
      </c>
      <c r="B36" s="13" t="s">
        <v>82</v>
      </c>
      <c r="C36" s="27" t="s">
        <v>985</v>
      </c>
      <c r="D36" s="11" t="s">
        <v>986</v>
      </c>
      <c r="E36" s="28" t="str">
        <f>IFERROR(__xludf.DUMMYFUNCTION("REGEXEXTRACT(C36, """"""([^""""]+)"""""")"),"Items.Vest_19_basic_01")</f>
        <v>Items.Vest_19_basic_01</v>
      </c>
    </row>
    <row r="37">
      <c r="A37" s="17" t="s">
        <v>178</v>
      </c>
      <c r="B37" s="13" t="s">
        <v>82</v>
      </c>
      <c r="C37" s="27" t="s">
        <v>987</v>
      </c>
      <c r="D37" s="11" t="s">
        <v>988</v>
      </c>
      <c r="E37" s="28" t="str">
        <f>IFERROR(__xludf.DUMMYFUNCTION("REGEXEXTRACT(C37, """"""([^""""]+)"""""")"),"Items.Jacket_03_basic_01")</f>
        <v>Items.Jacket_03_basic_01</v>
      </c>
    </row>
    <row r="38">
      <c r="A38" s="17" t="s">
        <v>178</v>
      </c>
      <c r="B38" s="13" t="s">
        <v>82</v>
      </c>
      <c r="C38" s="27" t="s">
        <v>989</v>
      </c>
      <c r="D38" s="11" t="s">
        <v>990</v>
      </c>
      <c r="E38" s="28" t="str">
        <f>IFERROR(__xludf.DUMMYFUNCTION("REGEXEXTRACT(C38, """"""([^""""]+)"""""")"),"Items.Jacket_10_rich_01")</f>
        <v>Items.Jacket_10_rich_01</v>
      </c>
    </row>
    <row r="39">
      <c r="A39" s="17" t="s">
        <v>178</v>
      </c>
      <c r="B39" s="13" t="s">
        <v>82</v>
      </c>
      <c r="C39" s="27" t="s">
        <v>991</v>
      </c>
      <c r="D39" s="11" t="s">
        <v>992</v>
      </c>
      <c r="E39" s="28" t="str">
        <f>IFERROR(__xludf.DUMMYFUNCTION("REGEXEXTRACT(C39, """"""([^""""]+)"""""")"),"Items.Coat_01_basic_02")</f>
        <v>Items.Coat_01_basic_02</v>
      </c>
    </row>
    <row r="40">
      <c r="A40" s="17" t="s">
        <v>178</v>
      </c>
      <c r="B40" s="13" t="s">
        <v>82</v>
      </c>
      <c r="C40" s="27" t="s">
        <v>993</v>
      </c>
      <c r="D40" s="11" t="s">
        <v>994</v>
      </c>
      <c r="E40" s="28" t="str">
        <f>IFERROR(__xludf.DUMMYFUNCTION("REGEXEXTRACT(C40, """"""([^""""]+)"""""")"),"Items.FormalJacket_05_rich_01")</f>
        <v>Items.FormalJacket_05_rich_01</v>
      </c>
    </row>
    <row r="41">
      <c r="A41" s="17" t="s">
        <v>178</v>
      </c>
      <c r="B41" s="13" t="s">
        <v>82</v>
      </c>
      <c r="C41" s="27" t="s">
        <v>995</v>
      </c>
      <c r="D41" s="11" t="s">
        <v>996</v>
      </c>
      <c r="E41" s="28" t="str">
        <f>IFERROR(__xludf.DUMMYFUNCTION("REGEXEXTRACT(C41, """"""([^""""]+)"""""")"),"Items.Vest_04_basic_01")</f>
        <v>Items.Vest_04_basic_01</v>
      </c>
    </row>
    <row r="42">
      <c r="A42" s="17" t="s">
        <v>178</v>
      </c>
      <c r="B42" s="13" t="s">
        <v>82</v>
      </c>
      <c r="C42" s="27" t="s">
        <v>997</v>
      </c>
      <c r="D42" s="11" t="s">
        <v>998</v>
      </c>
      <c r="E42" s="28" t="str">
        <f>IFERROR(__xludf.DUMMYFUNCTION("REGEXEXTRACT(C42, """"""([^""""]+)"""""")"),"Items.Vest_07_basic_03")</f>
        <v>Items.Vest_07_basic_03</v>
      </c>
    </row>
    <row r="43">
      <c r="A43" s="17" t="s">
        <v>178</v>
      </c>
      <c r="B43" s="13" t="s">
        <v>82</v>
      </c>
      <c r="C43" s="27" t="s">
        <v>999</v>
      </c>
      <c r="D43" s="11" t="s">
        <v>1000</v>
      </c>
      <c r="E43" s="28" t="str">
        <f>IFERROR(__xludf.DUMMYFUNCTION("REGEXEXTRACT(C43, """"""([^""""]+)"""""")"),"Items.Jacket_11_basic_02")</f>
        <v>Items.Jacket_11_basic_02</v>
      </c>
    </row>
    <row r="44">
      <c r="A44" s="17" t="s">
        <v>178</v>
      </c>
      <c r="B44" s="13" t="s">
        <v>82</v>
      </c>
      <c r="C44" s="27" t="s">
        <v>1001</v>
      </c>
      <c r="D44" s="11" t="s">
        <v>1002</v>
      </c>
      <c r="E44" s="28" t="str">
        <f>IFERROR(__xludf.DUMMYFUNCTION("REGEXEXTRACT(C44, """"""([^""""]+)"""""")"),"Items.Jacket_16_rich_01")</f>
        <v>Items.Jacket_16_rich_01</v>
      </c>
    </row>
    <row r="45">
      <c r="A45" s="17" t="s">
        <v>178</v>
      </c>
      <c r="B45" s="13" t="s">
        <v>82</v>
      </c>
      <c r="C45" s="27" t="s">
        <v>1003</v>
      </c>
      <c r="D45" s="11" t="s">
        <v>1004</v>
      </c>
      <c r="E45" s="28" t="str">
        <f>IFERROR(__xludf.DUMMYFUNCTION("REGEXEXTRACT(C45, """"""([^""""]+)"""""")"),"Items.Jacket_01_basic_02")</f>
        <v>Items.Jacket_01_basic_02</v>
      </c>
    </row>
    <row r="46">
      <c r="A46" s="17" t="s">
        <v>178</v>
      </c>
      <c r="B46" s="13" t="s">
        <v>82</v>
      </c>
      <c r="C46" s="27" t="s">
        <v>1005</v>
      </c>
      <c r="D46" s="11" t="s">
        <v>1006</v>
      </c>
      <c r="E46" s="28" t="str">
        <f>IFERROR(__xludf.DUMMYFUNCTION("REGEXEXTRACT(C46, """"""([^""""]+)"""""")"),"Items.Jacket_15_basic_02")</f>
        <v>Items.Jacket_15_basic_02</v>
      </c>
    </row>
    <row r="47">
      <c r="A47" s="17" t="s">
        <v>178</v>
      </c>
      <c r="B47" s="13" t="s">
        <v>82</v>
      </c>
      <c r="C47" s="27" t="s">
        <v>1007</v>
      </c>
      <c r="D47" s="11" t="s">
        <v>1008</v>
      </c>
      <c r="E47" s="28" t="str">
        <f>IFERROR(__xludf.DUMMYFUNCTION("REGEXEXTRACT(C47, """"""([^""""]+)"""""")"),"Items.Vest_14_rich_01")</f>
        <v>Items.Vest_14_rich_01</v>
      </c>
    </row>
    <row r="48">
      <c r="A48" s="17" t="s">
        <v>178</v>
      </c>
      <c r="B48" s="13" t="s">
        <v>82</v>
      </c>
      <c r="C48" s="27" t="s">
        <v>1009</v>
      </c>
      <c r="D48" s="11" t="s">
        <v>1010</v>
      </c>
      <c r="E48" s="28" t="str">
        <f>IFERROR(__xludf.DUMMYFUNCTION("REGEXEXTRACT(C48, """"""([^""""]+)"""""")"),"Items.Vest_08_rich_01")</f>
        <v>Items.Vest_08_rich_01</v>
      </c>
    </row>
    <row r="49">
      <c r="A49" s="17" t="s">
        <v>178</v>
      </c>
      <c r="B49" s="13" t="s">
        <v>82</v>
      </c>
      <c r="C49" s="27" t="s">
        <v>1011</v>
      </c>
      <c r="D49" s="11" t="s">
        <v>1012</v>
      </c>
      <c r="E49" s="28" t="str">
        <f>IFERROR(__xludf.DUMMYFUNCTION("REGEXEXTRACT(C49, """"""([^""""]+)"""""")"),"Items.Jacket_02_rich_01")</f>
        <v>Items.Jacket_02_rich_01</v>
      </c>
    </row>
    <row r="50">
      <c r="A50" s="17" t="s">
        <v>178</v>
      </c>
      <c r="B50" s="13" t="s">
        <v>82</v>
      </c>
      <c r="C50" s="27" t="s">
        <v>1013</v>
      </c>
      <c r="D50" s="11" t="s">
        <v>1014</v>
      </c>
      <c r="E50" s="28" t="str">
        <f>IFERROR(__xludf.DUMMYFUNCTION("REGEXEXTRACT(C50, """"""([^""""]+)"""""")"),"Items.Jacket_11_rich_02")</f>
        <v>Items.Jacket_11_rich_02</v>
      </c>
    </row>
    <row r="51">
      <c r="A51" s="17" t="s">
        <v>178</v>
      </c>
      <c r="B51" s="13" t="s">
        <v>82</v>
      </c>
      <c r="C51" s="27" t="s">
        <v>1015</v>
      </c>
      <c r="D51" s="11" t="s">
        <v>1016</v>
      </c>
      <c r="E51" s="28" t="str">
        <f>IFERROR(__xludf.DUMMYFUNCTION("REGEXEXTRACT(C51, """"""([^""""]+)"""""")"),"Items.Vest_15_old_01")</f>
        <v>Items.Vest_15_old_01</v>
      </c>
    </row>
    <row r="52">
      <c r="A52" s="17" t="s">
        <v>178</v>
      </c>
      <c r="B52" s="13" t="s">
        <v>82</v>
      </c>
      <c r="C52" s="27" t="s">
        <v>1017</v>
      </c>
      <c r="D52" s="11" t="s">
        <v>1018</v>
      </c>
      <c r="E52" s="28" t="str">
        <f>IFERROR(__xludf.DUMMYFUNCTION("REGEXEXTRACT(C52, """"""([^""""]+)"""""")"),"Items.Jacket_06_rich_02")</f>
        <v>Items.Jacket_06_rich_02</v>
      </c>
    </row>
    <row r="53">
      <c r="A53" s="17" t="s">
        <v>178</v>
      </c>
      <c r="B53" s="13" t="s">
        <v>82</v>
      </c>
      <c r="C53" s="27" t="s">
        <v>1019</v>
      </c>
      <c r="D53" s="11" t="s">
        <v>1020</v>
      </c>
      <c r="E53" s="28" t="str">
        <f>IFERROR(__xludf.DUMMYFUNCTION("REGEXEXTRACT(C53, """"""([^""""]+)"""""")"),"Items.Jacket_01_rich_02")</f>
        <v>Items.Jacket_01_rich_02</v>
      </c>
    </row>
    <row r="54">
      <c r="A54" s="17" t="s">
        <v>178</v>
      </c>
      <c r="B54" s="13" t="s">
        <v>82</v>
      </c>
      <c r="C54" s="27" t="s">
        <v>1021</v>
      </c>
      <c r="D54" s="11" t="s">
        <v>1022</v>
      </c>
      <c r="E54" s="28" t="str">
        <f>IFERROR(__xludf.DUMMYFUNCTION("REGEXEXTRACT(C54, """"""([^""""]+)"""""")"),"Items.Jacket_12_basic_02")</f>
        <v>Items.Jacket_12_basic_02</v>
      </c>
    </row>
    <row r="55">
      <c r="A55" s="17" t="s">
        <v>178</v>
      </c>
      <c r="B55" s="13" t="s">
        <v>82</v>
      </c>
      <c r="C55" s="27" t="s">
        <v>1023</v>
      </c>
      <c r="D55" s="11" t="s">
        <v>1024</v>
      </c>
      <c r="E55" s="28" t="str">
        <f>IFERROR(__xludf.DUMMYFUNCTION("REGEXEXTRACT(C55, """"""([^""""]+)"""""")"),"Items.Vest_03_basic_02")</f>
        <v>Items.Vest_03_basic_02</v>
      </c>
    </row>
    <row r="56">
      <c r="A56" s="17" t="s">
        <v>178</v>
      </c>
      <c r="B56" s="13" t="s">
        <v>82</v>
      </c>
      <c r="C56" s="27" t="s">
        <v>1025</v>
      </c>
      <c r="D56" s="11" t="s">
        <v>1026</v>
      </c>
      <c r="E56" s="28" t="str">
        <f>IFERROR(__xludf.DUMMYFUNCTION("REGEXEXTRACT(C56, """"""([^""""]+)"""""")"),"Items.Vest_01_basic_01")</f>
        <v>Items.Vest_01_basic_01</v>
      </c>
    </row>
    <row r="57">
      <c r="A57" s="17" t="s">
        <v>178</v>
      </c>
      <c r="B57" s="13" t="s">
        <v>82</v>
      </c>
      <c r="C57" s="27" t="s">
        <v>1027</v>
      </c>
      <c r="D57" s="11" t="s">
        <v>1028</v>
      </c>
      <c r="E57" s="28" t="str">
        <f>IFERROR(__xludf.DUMMYFUNCTION("REGEXEXTRACT(C57, """"""([^""""]+)"""""")"),"Items.Vest_08_old_01")</f>
        <v>Items.Vest_08_old_01</v>
      </c>
    </row>
    <row r="58">
      <c r="A58" s="17" t="s">
        <v>178</v>
      </c>
      <c r="B58" s="13" t="s">
        <v>82</v>
      </c>
      <c r="C58" s="27" t="s">
        <v>1029</v>
      </c>
      <c r="D58" s="11" t="s">
        <v>1030</v>
      </c>
      <c r="E58" s="28" t="str">
        <f>IFERROR(__xludf.DUMMYFUNCTION("REGEXEXTRACT(C58, """"""([^""""]+)"""""")"),"Items.Jacket_07_old_01")</f>
        <v>Items.Jacket_07_old_01</v>
      </c>
    </row>
    <row r="59">
      <c r="A59" s="17" t="s">
        <v>178</v>
      </c>
      <c r="B59" s="13" t="s">
        <v>82</v>
      </c>
      <c r="C59" s="27" t="s">
        <v>1031</v>
      </c>
      <c r="D59" s="11" t="s">
        <v>1032</v>
      </c>
      <c r="E59" s="28" t="str">
        <f>IFERROR(__xludf.DUMMYFUNCTION("REGEXEXTRACT(C59, """"""([^""""]+)"""""")"),"Items.Dress_02_rich_02")</f>
        <v>Items.Dress_02_rich_02</v>
      </c>
    </row>
    <row r="60">
      <c r="A60" s="17" t="s">
        <v>178</v>
      </c>
      <c r="B60" s="13" t="s">
        <v>82</v>
      </c>
      <c r="C60" s="27" t="s">
        <v>1033</v>
      </c>
      <c r="D60" s="11" t="s">
        <v>1034</v>
      </c>
      <c r="E60" s="28" t="str">
        <f>IFERROR(__xludf.DUMMYFUNCTION("REGEXEXTRACT(C60, """"""([^""""]+)"""""")"),"Items.Coat_01_old_03")</f>
        <v>Items.Coat_01_old_03</v>
      </c>
    </row>
    <row r="61">
      <c r="A61" s="17" t="s">
        <v>178</v>
      </c>
      <c r="B61" s="13" t="s">
        <v>82</v>
      </c>
      <c r="C61" s="27" t="s">
        <v>1035</v>
      </c>
      <c r="D61" s="11" t="s">
        <v>1036</v>
      </c>
      <c r="E61" s="28" t="str">
        <f>IFERROR(__xludf.DUMMYFUNCTION("REGEXEXTRACT(C61, """"""([^""""]+)"""""")"),"Items.Vest_15_basic_02")</f>
        <v>Items.Vest_15_basic_02</v>
      </c>
    </row>
    <row r="62">
      <c r="A62" s="17" t="s">
        <v>178</v>
      </c>
      <c r="B62" s="13" t="s">
        <v>82</v>
      </c>
      <c r="C62" s="27" t="s">
        <v>1037</v>
      </c>
      <c r="D62" s="11" t="s">
        <v>1038</v>
      </c>
      <c r="E62" s="28" t="str">
        <f>IFERROR(__xludf.DUMMYFUNCTION("REGEXEXTRACT(C62, """"""([^""""]+)"""""")"),"Items.Jacket_11_old_01")</f>
        <v>Items.Jacket_11_old_01</v>
      </c>
    </row>
    <row r="63">
      <c r="A63" s="17" t="s">
        <v>178</v>
      </c>
      <c r="B63" s="13" t="s">
        <v>82</v>
      </c>
      <c r="C63" s="27" t="s">
        <v>1039</v>
      </c>
      <c r="D63" s="11" t="s">
        <v>1040</v>
      </c>
      <c r="E63" s="28" t="str">
        <f>IFERROR(__xludf.DUMMYFUNCTION("REGEXEXTRACT(C63, """"""([^""""]+)"""""")"),"Items.Vest_08_old_02")</f>
        <v>Items.Vest_08_old_02</v>
      </c>
    </row>
    <row r="64">
      <c r="A64" s="17" t="s">
        <v>178</v>
      </c>
      <c r="B64" s="13" t="s">
        <v>82</v>
      </c>
      <c r="C64" s="27" t="s">
        <v>1041</v>
      </c>
      <c r="D64" s="11" t="s">
        <v>1042</v>
      </c>
      <c r="E64" s="28" t="str">
        <f>IFERROR(__xludf.DUMMYFUNCTION("REGEXEXTRACT(C64, """"""([^""""]+)"""""")"),"Items.Vest_18_old_01")</f>
        <v>Items.Vest_18_old_01</v>
      </c>
    </row>
    <row r="65">
      <c r="A65" s="17" t="s">
        <v>178</v>
      </c>
      <c r="B65" s="13" t="s">
        <v>82</v>
      </c>
      <c r="C65" s="27" t="s">
        <v>1043</v>
      </c>
      <c r="D65" s="11" t="s">
        <v>1044</v>
      </c>
      <c r="E65" s="28" t="str">
        <f>IFERROR(__xludf.DUMMYFUNCTION("REGEXEXTRACT(C65, """"""([^""""]+)"""""")"),"Items.Vest_15_basic_03")</f>
        <v>Items.Vest_15_basic_03</v>
      </c>
    </row>
    <row r="66">
      <c r="A66" s="17" t="s">
        <v>178</v>
      </c>
      <c r="B66" s="13" t="s">
        <v>82</v>
      </c>
      <c r="C66" s="27" t="s">
        <v>1045</v>
      </c>
      <c r="D66" s="11" t="s">
        <v>1046</v>
      </c>
      <c r="E66" s="28" t="str">
        <f>IFERROR(__xludf.DUMMYFUNCTION("REGEXEXTRACT(C66, """"""([^""""]+)"""""")"),"Items.Jacket_17_basic_01")</f>
        <v>Items.Jacket_17_basic_01</v>
      </c>
    </row>
    <row r="67">
      <c r="A67" s="17" t="s">
        <v>178</v>
      </c>
      <c r="B67" s="13" t="s">
        <v>82</v>
      </c>
      <c r="C67" s="27" t="s">
        <v>1047</v>
      </c>
      <c r="D67" s="11" t="s">
        <v>1048</v>
      </c>
      <c r="E67" s="28" t="str">
        <f>IFERROR(__xludf.DUMMYFUNCTION("REGEXEXTRACT(C67, """"""([^""""]+)"""""")"),"Items.Coat_01_rich_02")</f>
        <v>Items.Coat_01_rich_02</v>
      </c>
    </row>
    <row r="68">
      <c r="A68" s="17" t="s">
        <v>178</v>
      </c>
      <c r="B68" s="13" t="s">
        <v>82</v>
      </c>
      <c r="C68" s="27" t="s">
        <v>1049</v>
      </c>
      <c r="D68" s="11" t="s">
        <v>1050</v>
      </c>
      <c r="E68" s="28" t="str">
        <f>IFERROR(__xludf.DUMMYFUNCTION("REGEXEXTRACT(C68, """"""([^""""]+)"""""")"),"Items.Jacket_17_basic_02")</f>
        <v>Items.Jacket_17_basic_02</v>
      </c>
    </row>
    <row r="69">
      <c r="A69" s="17" t="s">
        <v>178</v>
      </c>
      <c r="B69" s="13" t="s">
        <v>82</v>
      </c>
      <c r="C69" s="27" t="s">
        <v>1051</v>
      </c>
      <c r="D69" s="11" t="s">
        <v>1052</v>
      </c>
      <c r="E69" s="28" t="str">
        <f>IFERROR(__xludf.DUMMYFUNCTION("REGEXEXTRACT(C69, """"""([^""""]+)"""""")"),"Items.Jacket_17_old_01")</f>
        <v>Items.Jacket_17_old_01</v>
      </c>
    </row>
    <row r="70">
      <c r="A70" s="17" t="s">
        <v>178</v>
      </c>
      <c r="B70" s="13" t="s">
        <v>82</v>
      </c>
      <c r="C70" s="27" t="s">
        <v>1053</v>
      </c>
      <c r="D70" s="11" t="s">
        <v>1054</v>
      </c>
      <c r="E70" s="28" t="str">
        <f>IFERROR(__xludf.DUMMYFUNCTION("REGEXEXTRACT(C70, """"""([^""""]+)"""""")"),"Items.Jacket_03_old_02")</f>
        <v>Items.Jacket_03_old_02</v>
      </c>
    </row>
    <row r="71">
      <c r="A71" s="17" t="s">
        <v>178</v>
      </c>
      <c r="B71" s="13" t="s">
        <v>82</v>
      </c>
      <c r="C71" s="27" t="s">
        <v>1055</v>
      </c>
      <c r="D71" s="11" t="s">
        <v>1056</v>
      </c>
      <c r="E71" s="28" t="str">
        <f>IFERROR(__xludf.DUMMYFUNCTION("REGEXEXTRACT(C71, """"""([^""""]+)"""""")"),"Items.LooseShirt_01_old_02")</f>
        <v>Items.LooseShirt_01_old_02</v>
      </c>
    </row>
    <row r="72">
      <c r="A72" s="17" t="s">
        <v>178</v>
      </c>
      <c r="B72" s="13" t="s">
        <v>82</v>
      </c>
      <c r="C72" s="27" t="s">
        <v>1057</v>
      </c>
      <c r="D72" s="11" t="s">
        <v>1058</v>
      </c>
      <c r="E72" s="28" t="str">
        <f>IFERROR(__xludf.DUMMYFUNCTION("REGEXEXTRACT(C72, """"""([^""""]+)"""""")"),"Items.Vest_14_rich_02")</f>
        <v>Items.Vest_14_rich_02</v>
      </c>
    </row>
    <row r="73">
      <c r="A73" s="17" t="s">
        <v>178</v>
      </c>
      <c r="B73" s="13" t="s">
        <v>82</v>
      </c>
      <c r="C73" s="27" t="s">
        <v>1059</v>
      </c>
      <c r="D73" s="11" t="s">
        <v>1060</v>
      </c>
      <c r="E73" s="28" t="str">
        <f>IFERROR(__xludf.DUMMYFUNCTION("REGEXEXTRACT(C73, """"""([^""""]+)"""""")"),"Items.Vest_16_rich_01")</f>
        <v>Items.Vest_16_rich_01</v>
      </c>
    </row>
    <row r="74">
      <c r="A74" s="17" t="s">
        <v>178</v>
      </c>
      <c r="B74" s="13" t="s">
        <v>82</v>
      </c>
      <c r="C74" s="27" t="s">
        <v>1061</v>
      </c>
      <c r="D74" s="11" t="s">
        <v>1062</v>
      </c>
      <c r="E74" s="28" t="str">
        <f>IFERROR(__xludf.DUMMYFUNCTION("REGEXEXTRACT(C74, """"""([^""""]+)"""""")"),"Items.FormalJacket_03_basic_01")</f>
        <v>Items.FormalJacket_03_basic_01</v>
      </c>
    </row>
    <row r="75">
      <c r="A75" s="17" t="s">
        <v>178</v>
      </c>
      <c r="B75" s="13" t="s">
        <v>82</v>
      </c>
      <c r="C75" s="27" t="s">
        <v>1063</v>
      </c>
      <c r="D75" s="11" t="s">
        <v>1064</v>
      </c>
      <c r="E75" s="28" t="str">
        <f>IFERROR(__xludf.DUMMYFUNCTION("REGEXEXTRACT(C75, """"""([^""""]+)"""""")"),"Items.Coat_02_basic_02")</f>
        <v>Items.Coat_02_basic_02</v>
      </c>
    </row>
    <row r="76">
      <c r="A76" s="17" t="s">
        <v>178</v>
      </c>
      <c r="B76" s="13" t="s">
        <v>82</v>
      </c>
      <c r="C76" s="27" t="s">
        <v>1065</v>
      </c>
      <c r="D76" s="11" t="s">
        <v>1066</v>
      </c>
      <c r="E76" s="28" t="str">
        <f>IFERROR(__xludf.DUMMYFUNCTION("REGEXEXTRACT(C76, """"""([^""""]+)"""""")"),"Items.Jacket_10_old_02")</f>
        <v>Items.Jacket_10_old_02</v>
      </c>
    </row>
    <row r="77">
      <c r="A77" s="17" t="s">
        <v>178</v>
      </c>
      <c r="B77" s="13" t="s">
        <v>82</v>
      </c>
      <c r="C77" s="27" t="s">
        <v>1067</v>
      </c>
      <c r="D77" s="11" t="s">
        <v>1068</v>
      </c>
      <c r="E77" s="28" t="str">
        <f>IFERROR(__xludf.DUMMYFUNCTION("REGEXEXTRACT(C77, """"""([^""""]+)"""""")"),"Items.LooseShirt_02_old_01")</f>
        <v>Items.LooseShirt_02_old_01</v>
      </c>
    </row>
    <row r="78">
      <c r="A78" s="17" t="s">
        <v>178</v>
      </c>
      <c r="B78" s="13" t="s">
        <v>82</v>
      </c>
      <c r="C78" s="27" t="s">
        <v>1069</v>
      </c>
      <c r="D78" s="11" t="s">
        <v>1070</v>
      </c>
      <c r="E78" s="28" t="str">
        <f>IFERROR(__xludf.DUMMYFUNCTION("REGEXEXTRACT(C78, """"""([^""""]+)"""""")"),"Items.Jacket_16_basic_01")</f>
        <v>Items.Jacket_16_basic_01</v>
      </c>
    </row>
    <row r="79">
      <c r="A79" s="17" t="s">
        <v>178</v>
      </c>
      <c r="B79" s="13" t="s">
        <v>82</v>
      </c>
      <c r="C79" s="27" t="s">
        <v>1071</v>
      </c>
      <c r="D79" s="11" t="s">
        <v>1072</v>
      </c>
      <c r="E79" s="28" t="str">
        <f>IFERROR(__xludf.DUMMYFUNCTION("REGEXEXTRACT(C79, """"""([^""""]+)"""""")"),"Items.Vest_13_basic_02")</f>
        <v>Items.Vest_13_basic_02</v>
      </c>
    </row>
    <row r="80">
      <c r="A80" s="17" t="s">
        <v>178</v>
      </c>
      <c r="B80" s="13" t="s">
        <v>82</v>
      </c>
      <c r="C80" s="27" t="s">
        <v>1073</v>
      </c>
      <c r="D80" s="11" t="s">
        <v>1074</v>
      </c>
      <c r="E80" s="28" t="str">
        <f>IFERROR(__xludf.DUMMYFUNCTION("REGEXEXTRACT(C80, """"""([^""""]+)"""""")"),"Items.Vest_15_old_03")</f>
        <v>Items.Vest_15_old_03</v>
      </c>
    </row>
    <row r="81">
      <c r="A81" s="17" t="s">
        <v>178</v>
      </c>
      <c r="B81" s="13" t="s">
        <v>82</v>
      </c>
      <c r="C81" s="27" t="s">
        <v>1075</v>
      </c>
      <c r="D81" s="11" t="s">
        <v>1076</v>
      </c>
      <c r="E81" s="28" t="str">
        <f>IFERROR(__xludf.DUMMYFUNCTION("REGEXEXTRACT(C81, """"""([^""""]+)"""""")"),"Items.Vest_01_rich_01")</f>
        <v>Items.Vest_01_rich_01</v>
      </c>
    </row>
    <row r="82">
      <c r="A82" s="17" t="s">
        <v>178</v>
      </c>
      <c r="B82" s="13" t="s">
        <v>82</v>
      </c>
      <c r="C82" s="27" t="s">
        <v>1077</v>
      </c>
      <c r="D82" s="11" t="s">
        <v>1078</v>
      </c>
      <c r="E82" s="28" t="str">
        <f>IFERROR(__xludf.DUMMYFUNCTION("REGEXEXTRACT(C82, """"""([^""""]+)"""""")"),"Items.FormalJacket_04_basic_02")</f>
        <v>Items.FormalJacket_04_basic_02</v>
      </c>
    </row>
    <row r="83">
      <c r="A83" s="17" t="s">
        <v>178</v>
      </c>
      <c r="B83" s="13" t="s">
        <v>82</v>
      </c>
      <c r="C83" s="27" t="s">
        <v>1079</v>
      </c>
      <c r="D83" s="11" t="s">
        <v>1080</v>
      </c>
      <c r="E83" s="28" t="str">
        <f>IFERROR(__xludf.DUMMYFUNCTION("REGEXEXTRACT(C83, """"""([^""""]+)"""""")"),"Items.Vest_11_rich_01")</f>
        <v>Items.Vest_11_rich_01</v>
      </c>
    </row>
    <row r="84">
      <c r="A84" s="17" t="s">
        <v>178</v>
      </c>
      <c r="B84" s="13" t="s">
        <v>82</v>
      </c>
      <c r="C84" s="27" t="s">
        <v>1081</v>
      </c>
      <c r="D84" s="11" t="s">
        <v>1082</v>
      </c>
      <c r="E84" s="28" t="str">
        <f>IFERROR(__xludf.DUMMYFUNCTION("REGEXEXTRACT(C84, """"""([^""""]+)"""""")"),"Items.Vest_04_rich_02")</f>
        <v>Items.Vest_04_rich_02</v>
      </c>
    </row>
    <row r="85">
      <c r="A85" s="17" t="s">
        <v>178</v>
      </c>
      <c r="B85" s="13" t="s">
        <v>82</v>
      </c>
      <c r="C85" s="27" t="s">
        <v>1083</v>
      </c>
      <c r="D85" s="11" t="s">
        <v>1084</v>
      </c>
      <c r="E85" s="28" t="str">
        <f>IFERROR(__xludf.DUMMYFUNCTION("REGEXEXTRACT(C85, """"""([^""""]+)"""""")"),"Items.Jacket_15_old_01")</f>
        <v>Items.Jacket_15_old_01</v>
      </c>
    </row>
    <row r="86">
      <c r="A86" s="17" t="s">
        <v>178</v>
      </c>
      <c r="B86" s="13" t="s">
        <v>82</v>
      </c>
      <c r="C86" s="27" t="s">
        <v>1085</v>
      </c>
      <c r="D86" s="11" t="s">
        <v>1086</v>
      </c>
      <c r="E86" s="28" t="str">
        <f>IFERROR(__xludf.DUMMYFUNCTION("REGEXEXTRACT(C86, """"""([^""""]+)"""""")"),"Items.Coat_02_old_02")</f>
        <v>Items.Coat_02_old_02</v>
      </c>
    </row>
    <row r="87">
      <c r="A87" s="17" t="s">
        <v>178</v>
      </c>
      <c r="B87" s="13" t="s">
        <v>82</v>
      </c>
      <c r="C87" s="27" t="s">
        <v>1087</v>
      </c>
      <c r="D87" s="11" t="s">
        <v>1088</v>
      </c>
      <c r="E87" s="28" t="str">
        <f>IFERROR(__xludf.DUMMYFUNCTION("REGEXEXTRACT(C87, """"""([^""""]+)"""""")"),"Items.Jacket_17_rich_06")</f>
        <v>Items.Jacket_17_rich_06</v>
      </c>
    </row>
    <row r="88">
      <c r="A88" s="17" t="s">
        <v>178</v>
      </c>
      <c r="B88" s="13" t="s">
        <v>82</v>
      </c>
      <c r="C88" s="27" t="s">
        <v>1089</v>
      </c>
      <c r="D88" s="11" t="s">
        <v>1090</v>
      </c>
      <c r="E88" s="28" t="str">
        <f>IFERROR(__xludf.DUMMYFUNCTION("REGEXEXTRACT(C88, """"""([^""""]+)"""""")"),"Items.Vest_06_rich_02")</f>
        <v>Items.Vest_06_rich_02</v>
      </c>
    </row>
    <row r="89">
      <c r="A89" s="17" t="s">
        <v>178</v>
      </c>
      <c r="B89" s="13" t="s">
        <v>82</v>
      </c>
      <c r="C89" s="27" t="s">
        <v>1091</v>
      </c>
      <c r="D89" s="11" t="s">
        <v>1092</v>
      </c>
      <c r="E89" s="28" t="str">
        <f>IFERROR(__xludf.DUMMYFUNCTION("REGEXEXTRACT(C89, """"""([^""""]+)"""""")"),"Items.Dress_01_rich_02")</f>
        <v>Items.Dress_01_rich_02</v>
      </c>
    </row>
    <row r="90">
      <c r="A90" s="17" t="s">
        <v>178</v>
      </c>
      <c r="B90" s="13" t="s">
        <v>82</v>
      </c>
      <c r="C90" s="27" t="s">
        <v>1093</v>
      </c>
      <c r="D90" s="11" t="s">
        <v>1094</v>
      </c>
      <c r="E90" s="28" t="str">
        <f>IFERROR(__xludf.DUMMYFUNCTION("REGEXEXTRACT(C90, """"""([^""""]+)"""""")"),"Items.Jacket_12_basic_01")</f>
        <v>Items.Jacket_12_basic_01</v>
      </c>
    </row>
    <row r="91">
      <c r="A91" s="17" t="s">
        <v>178</v>
      </c>
      <c r="B91" s="13" t="s">
        <v>82</v>
      </c>
      <c r="C91" s="27" t="s">
        <v>1095</v>
      </c>
      <c r="D91" s="11" t="s">
        <v>1096</v>
      </c>
      <c r="E91" s="28" t="str">
        <f>IFERROR(__xludf.DUMMYFUNCTION("REGEXEXTRACT(C91, """"""([^""""]+)"""""")"),"Items.LooseShirt_02_basic_02")</f>
        <v>Items.LooseShirt_02_basic_02</v>
      </c>
    </row>
    <row r="92">
      <c r="A92" s="17" t="s">
        <v>178</v>
      </c>
      <c r="B92" s="13" t="s">
        <v>82</v>
      </c>
      <c r="C92" s="27" t="s">
        <v>1097</v>
      </c>
      <c r="D92" s="11" t="s">
        <v>1098</v>
      </c>
      <c r="E92" s="28" t="str">
        <f>IFERROR(__xludf.DUMMYFUNCTION("REGEXEXTRACT(C92, """"""([^""""]+)"""""")"),"Items.Jacket_01_rich_01")</f>
        <v>Items.Jacket_01_rich_01</v>
      </c>
    </row>
    <row r="93">
      <c r="A93" s="17" t="s">
        <v>178</v>
      </c>
      <c r="B93" s="13" t="s">
        <v>82</v>
      </c>
      <c r="C93" s="27" t="s">
        <v>1099</v>
      </c>
      <c r="D93" s="11" t="s">
        <v>1100</v>
      </c>
      <c r="E93" s="28" t="str">
        <f>IFERROR(__xludf.DUMMYFUNCTION("REGEXEXTRACT(C93, """"""([^""""]+)"""""")"),"Items.FormalJacket_02_rich_02")</f>
        <v>Items.FormalJacket_02_rich_02</v>
      </c>
    </row>
    <row r="94">
      <c r="A94" s="17" t="s">
        <v>178</v>
      </c>
      <c r="B94" s="13" t="s">
        <v>82</v>
      </c>
      <c r="C94" s="27" t="s">
        <v>1101</v>
      </c>
      <c r="D94" s="11" t="s">
        <v>1102</v>
      </c>
      <c r="E94" s="28" t="str">
        <f>IFERROR(__xludf.DUMMYFUNCTION("REGEXEXTRACT(C94, """"""([^""""]+)"""""")"),"Items.Vest_06_old_02")</f>
        <v>Items.Vest_06_old_02</v>
      </c>
    </row>
    <row r="95">
      <c r="A95" s="17" t="s">
        <v>178</v>
      </c>
      <c r="B95" s="13" t="s">
        <v>82</v>
      </c>
      <c r="C95" s="27" t="s">
        <v>1103</v>
      </c>
      <c r="D95" s="11" t="s">
        <v>1104</v>
      </c>
      <c r="E95" s="28" t="str">
        <f>IFERROR(__xludf.DUMMYFUNCTION("REGEXEXTRACT(C95, """"""([^""""]+)"""""")"),"Items.LooseShirt_02_basic_01")</f>
        <v>Items.LooseShirt_02_basic_01</v>
      </c>
    </row>
    <row r="96">
      <c r="A96" s="17" t="s">
        <v>178</v>
      </c>
      <c r="B96" s="13" t="s">
        <v>82</v>
      </c>
      <c r="C96" s="27" t="s">
        <v>1105</v>
      </c>
      <c r="D96" s="11" t="s">
        <v>1106</v>
      </c>
      <c r="E96" s="28" t="str">
        <f>IFERROR(__xludf.DUMMYFUNCTION("REGEXEXTRACT(C96, """"""([^""""]+)"""""")"),"Items.Coat_02_basic_01")</f>
        <v>Items.Coat_02_basic_01</v>
      </c>
    </row>
    <row r="97">
      <c r="A97" s="17" t="s">
        <v>178</v>
      </c>
      <c r="B97" s="13" t="s">
        <v>82</v>
      </c>
      <c r="C97" s="27" t="s">
        <v>1107</v>
      </c>
      <c r="D97" s="11" t="s">
        <v>1108</v>
      </c>
      <c r="E97" s="28" t="str">
        <f>IFERROR(__xludf.DUMMYFUNCTION("REGEXEXTRACT(C97, """"""([^""""]+)"""""")"),"Items.Jacket_16_old_01")</f>
        <v>Items.Jacket_16_old_01</v>
      </c>
    </row>
    <row r="98">
      <c r="A98" s="17" t="s">
        <v>178</v>
      </c>
      <c r="B98" s="13" t="s">
        <v>82</v>
      </c>
      <c r="C98" s="27" t="s">
        <v>1109</v>
      </c>
      <c r="D98" s="11" t="s">
        <v>1110</v>
      </c>
      <c r="E98" s="28" t="str">
        <f>IFERROR(__xludf.DUMMYFUNCTION("REGEXEXTRACT(C98, """"""([^""""]+)"""""")"),"Items.Vest_07_old_02")</f>
        <v>Items.Vest_07_old_02</v>
      </c>
    </row>
    <row r="99">
      <c r="A99" s="17" t="s">
        <v>178</v>
      </c>
      <c r="B99" s="13" t="s">
        <v>82</v>
      </c>
      <c r="C99" s="27" t="s">
        <v>1111</v>
      </c>
      <c r="D99" s="11" t="s">
        <v>1112</v>
      </c>
      <c r="E99" s="28" t="str">
        <f>IFERROR(__xludf.DUMMYFUNCTION("REGEXEXTRACT(C99, """"""([^""""]+)"""""")"),"Items.Jumpsuit_01_old_01")</f>
        <v>Items.Jumpsuit_01_old_01</v>
      </c>
    </row>
    <row r="100">
      <c r="A100" s="17" t="s">
        <v>178</v>
      </c>
      <c r="B100" s="13" t="s">
        <v>82</v>
      </c>
      <c r="C100" s="27" t="s">
        <v>1113</v>
      </c>
      <c r="D100" s="11" t="s">
        <v>1114</v>
      </c>
      <c r="E100" s="28" t="str">
        <f>IFERROR(__xludf.DUMMYFUNCTION("REGEXEXTRACT(C100, """"""([^""""]+)"""""")"),"Items.Coat_02_old_04")</f>
        <v>Items.Coat_02_old_04</v>
      </c>
    </row>
    <row r="101">
      <c r="A101" s="17" t="s">
        <v>178</v>
      </c>
      <c r="B101" s="13" t="s">
        <v>82</v>
      </c>
      <c r="C101" s="27" t="s">
        <v>1115</v>
      </c>
      <c r="D101" s="11" t="s">
        <v>1116</v>
      </c>
      <c r="E101" s="28" t="str">
        <f>IFERROR(__xludf.DUMMYFUNCTION("REGEXEXTRACT(C101, """"""([^""""]+)"""""")"),"Items.FormalJacket_02_basic_02")</f>
        <v>Items.FormalJacket_02_basic_02</v>
      </c>
    </row>
    <row r="102">
      <c r="A102" s="17" t="s">
        <v>178</v>
      </c>
      <c r="B102" s="13" t="s">
        <v>82</v>
      </c>
      <c r="C102" s="27" t="s">
        <v>1117</v>
      </c>
      <c r="D102" s="11" t="s">
        <v>1118</v>
      </c>
      <c r="E102" s="28" t="str">
        <f>IFERROR(__xludf.DUMMYFUNCTION("REGEXEXTRACT(C102, """"""([^""""]+)"""""")"),"Items.Coat_03_basic_01")</f>
        <v>Items.Coat_03_basic_01</v>
      </c>
    </row>
    <row r="103">
      <c r="A103" s="17" t="s">
        <v>178</v>
      </c>
      <c r="B103" s="13" t="s">
        <v>82</v>
      </c>
      <c r="C103" s="27" t="s">
        <v>1119</v>
      </c>
      <c r="D103" s="11" t="s">
        <v>1120</v>
      </c>
      <c r="E103" s="28" t="str">
        <f>IFERROR(__xludf.DUMMYFUNCTION("REGEXEXTRACT(C103, """"""([^""""]+)"""""")"),"Items.Dress_02_basic_01")</f>
        <v>Items.Dress_02_basic_01</v>
      </c>
    </row>
    <row r="104">
      <c r="A104" s="17" t="s">
        <v>178</v>
      </c>
      <c r="B104" s="13" t="s">
        <v>82</v>
      </c>
      <c r="C104" s="27" t="s">
        <v>1121</v>
      </c>
      <c r="D104" s="11" t="s">
        <v>1122</v>
      </c>
      <c r="E104" s="28" t="str">
        <f>IFERROR(__xludf.DUMMYFUNCTION("REGEXEXTRACT(C104, """"""([^""""]+)"""""")"),"Items.Jacket_01_old_02")</f>
        <v>Items.Jacket_01_old_02</v>
      </c>
    </row>
    <row r="105">
      <c r="A105" s="17" t="s">
        <v>178</v>
      </c>
      <c r="B105" s="13" t="s">
        <v>82</v>
      </c>
      <c r="C105" s="27" t="s">
        <v>1123</v>
      </c>
      <c r="D105" s="11" t="s">
        <v>1124</v>
      </c>
      <c r="E105" s="28" t="str">
        <f>IFERROR(__xludf.DUMMYFUNCTION("REGEXEXTRACT(C105, """"""([^""""]+)"""""")"),"Items.FormalJacket_02_rich_03")</f>
        <v>Items.FormalJacket_02_rich_03</v>
      </c>
    </row>
    <row r="106">
      <c r="A106" s="17" t="s">
        <v>178</v>
      </c>
      <c r="B106" s="13" t="s">
        <v>82</v>
      </c>
      <c r="C106" s="27" t="s">
        <v>1125</v>
      </c>
      <c r="D106" s="11" t="s">
        <v>1126</v>
      </c>
      <c r="E106" s="28" t="str">
        <f>IFERROR(__xludf.DUMMYFUNCTION("REGEXEXTRACT(C106, """"""([^""""]+)"""""")"),"Items.Dress_01_basic_03")</f>
        <v>Items.Dress_01_basic_03</v>
      </c>
    </row>
    <row r="107">
      <c r="A107" s="17" t="s">
        <v>178</v>
      </c>
      <c r="B107" s="13" t="s">
        <v>82</v>
      </c>
      <c r="C107" s="27" t="s">
        <v>1127</v>
      </c>
      <c r="D107" s="11" t="s">
        <v>1128</v>
      </c>
      <c r="E107" s="28" t="str">
        <f>IFERROR(__xludf.DUMMYFUNCTION("REGEXEXTRACT(C107, """"""([^""""]+)"""""")"),"Items.Vest_19_basic_02")</f>
        <v>Items.Vest_19_basic_02</v>
      </c>
    </row>
    <row r="108">
      <c r="A108" s="17" t="s">
        <v>178</v>
      </c>
      <c r="B108" s="13" t="s">
        <v>82</v>
      </c>
      <c r="C108" s="27" t="s">
        <v>1129</v>
      </c>
      <c r="D108" s="11" t="s">
        <v>1130</v>
      </c>
      <c r="E108" s="28" t="str">
        <f>IFERROR(__xludf.DUMMYFUNCTION("REGEXEXTRACT(C108, """"""([^""""]+)"""""")"),"Items.Jumpsuit_01_rich_02")</f>
        <v>Items.Jumpsuit_01_rich_02</v>
      </c>
    </row>
    <row r="109">
      <c r="A109" s="17" t="s">
        <v>178</v>
      </c>
      <c r="B109" s="13" t="s">
        <v>82</v>
      </c>
      <c r="C109" s="27" t="s">
        <v>1131</v>
      </c>
      <c r="D109" s="11" t="s">
        <v>1132</v>
      </c>
      <c r="E109" s="28" t="str">
        <f>IFERROR(__xludf.DUMMYFUNCTION("REGEXEXTRACT(C109, """"""([^""""]+)"""""")"),"Items.Vest_02_basic_01")</f>
        <v>Items.Vest_02_basic_01</v>
      </c>
    </row>
    <row r="110">
      <c r="A110" s="17" t="s">
        <v>178</v>
      </c>
      <c r="B110" s="13" t="s">
        <v>82</v>
      </c>
      <c r="C110" s="27" t="s">
        <v>1133</v>
      </c>
      <c r="D110" s="11" t="s">
        <v>1134</v>
      </c>
      <c r="E110" s="28" t="str">
        <f>IFERROR(__xludf.DUMMYFUNCTION("REGEXEXTRACT(C110, """"""([^""""]+)"""""")"),"Items.Vest_07_basic_02")</f>
        <v>Items.Vest_07_basic_02</v>
      </c>
    </row>
    <row r="111">
      <c r="A111" s="17" t="s">
        <v>178</v>
      </c>
      <c r="B111" s="13" t="s">
        <v>82</v>
      </c>
      <c r="C111" s="27" t="s">
        <v>1135</v>
      </c>
      <c r="D111" s="11" t="s">
        <v>1136</v>
      </c>
      <c r="E111" s="28" t="str">
        <f>IFERROR(__xludf.DUMMYFUNCTION("REGEXEXTRACT(C111, """"""([^""""]+)"""""")"),"Items.Coat_04_rich_01")</f>
        <v>Items.Coat_04_rich_01</v>
      </c>
    </row>
    <row r="112">
      <c r="A112" s="17" t="s">
        <v>178</v>
      </c>
      <c r="B112" s="13" t="s">
        <v>82</v>
      </c>
      <c r="C112" s="27" t="s">
        <v>1137</v>
      </c>
      <c r="D112" s="11" t="s">
        <v>1138</v>
      </c>
      <c r="E112" s="28" t="str">
        <f>IFERROR(__xludf.DUMMYFUNCTION("REGEXEXTRACT(C112, """"""([^""""]+)"""""")"),"Items.Vest_16_rich_02")</f>
        <v>Items.Vest_16_rich_02</v>
      </c>
    </row>
    <row r="113">
      <c r="A113" s="17" t="s">
        <v>178</v>
      </c>
      <c r="B113" s="13" t="s">
        <v>82</v>
      </c>
      <c r="C113" s="27" t="s">
        <v>1139</v>
      </c>
      <c r="D113" s="11" t="s">
        <v>1140</v>
      </c>
      <c r="E113" s="28" t="str">
        <f>IFERROR(__xludf.DUMMYFUNCTION("REGEXEXTRACT(C113, """"""([^""""]+)"""""")"),"Items.FormalJacket_03_rich_01")</f>
        <v>Items.FormalJacket_03_rich_01</v>
      </c>
    </row>
    <row r="114">
      <c r="A114" s="17" t="s">
        <v>178</v>
      </c>
      <c r="B114" s="13" t="s">
        <v>82</v>
      </c>
      <c r="C114" s="27" t="s">
        <v>1141</v>
      </c>
      <c r="D114" s="11" t="s">
        <v>1142</v>
      </c>
      <c r="E114" s="28" t="str">
        <f>IFERROR(__xludf.DUMMYFUNCTION("REGEXEXTRACT(C114, """"""([^""""]+)"""""")"),"Items.Vest_17_basic_02")</f>
        <v>Items.Vest_17_basic_02</v>
      </c>
    </row>
    <row r="115">
      <c r="A115" s="17" t="s">
        <v>178</v>
      </c>
      <c r="B115" s="13" t="s">
        <v>82</v>
      </c>
      <c r="C115" s="27" t="s">
        <v>1143</v>
      </c>
      <c r="D115" s="11" t="s">
        <v>1144</v>
      </c>
      <c r="E115" s="28" t="str">
        <f>IFERROR(__xludf.DUMMYFUNCTION("REGEXEXTRACT(C115, """"""([^""""]+)"""""")"),"Items.Vest_06_rich_04")</f>
        <v>Items.Vest_06_rich_04</v>
      </c>
    </row>
    <row r="116">
      <c r="A116" s="17" t="s">
        <v>178</v>
      </c>
      <c r="B116" s="13" t="s">
        <v>82</v>
      </c>
      <c r="C116" s="27" t="s">
        <v>1145</v>
      </c>
      <c r="D116" s="11" t="s">
        <v>1146</v>
      </c>
      <c r="E116" s="28" t="str">
        <f>IFERROR(__xludf.DUMMYFUNCTION("REGEXEXTRACT(C116, """"""([^""""]+)"""""")"),"Items.Jacket_02_old_01")</f>
        <v>Items.Jacket_02_old_01</v>
      </c>
    </row>
    <row r="117">
      <c r="A117" s="17" t="s">
        <v>178</v>
      </c>
      <c r="B117" s="13" t="s">
        <v>82</v>
      </c>
      <c r="C117" s="27" t="s">
        <v>1147</v>
      </c>
      <c r="D117" s="11" t="s">
        <v>1148</v>
      </c>
      <c r="E117" s="28" t="str">
        <f>IFERROR(__xludf.DUMMYFUNCTION("REGEXEXTRACT(C117, """"""([^""""]+)"""""")"),"Items.FormalJacket_05_basic_03")</f>
        <v>Items.FormalJacket_05_basic_03</v>
      </c>
    </row>
    <row r="118">
      <c r="A118" s="17" t="s">
        <v>178</v>
      </c>
      <c r="B118" s="13" t="s">
        <v>82</v>
      </c>
      <c r="C118" s="27" t="s">
        <v>1149</v>
      </c>
      <c r="D118" s="11" t="s">
        <v>1150</v>
      </c>
      <c r="E118" s="28" t="str">
        <f>IFERROR(__xludf.DUMMYFUNCTION("REGEXEXTRACT(C118, """"""([^""""]+)"""""")"),"Items.FormalJacket_04_rich_01")</f>
        <v>Items.FormalJacket_04_rich_01</v>
      </c>
    </row>
    <row r="119">
      <c r="A119" s="17" t="s">
        <v>178</v>
      </c>
      <c r="B119" s="13" t="s">
        <v>82</v>
      </c>
      <c r="C119" s="27" t="s">
        <v>1151</v>
      </c>
      <c r="D119" s="11" t="s">
        <v>1152</v>
      </c>
      <c r="E119" s="28" t="str">
        <f>IFERROR(__xludf.DUMMYFUNCTION("REGEXEXTRACT(C119, """"""([^""""]+)"""""")"),"Items.Jacket_09_rich_01")</f>
        <v>Items.Jacket_09_rich_01</v>
      </c>
    </row>
    <row r="120">
      <c r="A120" s="17" t="s">
        <v>178</v>
      </c>
      <c r="B120" s="13" t="s">
        <v>82</v>
      </c>
      <c r="C120" s="27" t="s">
        <v>1153</v>
      </c>
      <c r="D120" s="11" t="s">
        <v>1154</v>
      </c>
      <c r="E120" s="28" t="str">
        <f>IFERROR(__xludf.DUMMYFUNCTION("REGEXEXTRACT(C120, """"""([^""""]+)"""""")"),"Items.FormalJacket_05_rich_03")</f>
        <v>Items.FormalJacket_05_rich_03</v>
      </c>
    </row>
    <row r="121">
      <c r="A121" s="17" t="s">
        <v>178</v>
      </c>
      <c r="B121" s="13" t="s">
        <v>82</v>
      </c>
      <c r="C121" s="27" t="s">
        <v>1155</v>
      </c>
      <c r="D121" s="11" t="s">
        <v>1156</v>
      </c>
      <c r="E121" s="28" t="str">
        <f>IFERROR(__xludf.DUMMYFUNCTION("REGEXEXTRACT(C121, """"""([^""""]+)"""""")"),"Items.Jacket_05_rich_02")</f>
        <v>Items.Jacket_05_rich_02</v>
      </c>
    </row>
    <row r="122">
      <c r="A122" s="17" t="s">
        <v>178</v>
      </c>
      <c r="B122" s="13" t="s">
        <v>82</v>
      </c>
      <c r="C122" s="27" t="s">
        <v>1157</v>
      </c>
      <c r="D122" s="11" t="s">
        <v>1158</v>
      </c>
      <c r="E122" s="28" t="str">
        <f>IFERROR(__xludf.DUMMYFUNCTION("REGEXEXTRACT(C122, """"""([^""""]+)"""""")"),"Items.Coat_01_rich_01")</f>
        <v>Items.Coat_01_rich_01</v>
      </c>
    </row>
    <row r="123">
      <c r="A123" s="17" t="s">
        <v>178</v>
      </c>
      <c r="B123" s="13" t="s">
        <v>82</v>
      </c>
      <c r="C123" s="27" t="s">
        <v>1159</v>
      </c>
      <c r="D123" s="11" t="s">
        <v>1160</v>
      </c>
      <c r="E123" s="28" t="str">
        <f>IFERROR(__xludf.DUMMYFUNCTION("REGEXEXTRACT(C123, """"""([^""""]+)"""""")"),"Items.Jacket_03_basic_02")</f>
        <v>Items.Jacket_03_basic_02</v>
      </c>
    </row>
    <row r="124">
      <c r="A124" s="17" t="s">
        <v>178</v>
      </c>
      <c r="B124" s="13" t="s">
        <v>82</v>
      </c>
      <c r="C124" s="27" t="s">
        <v>1161</v>
      </c>
      <c r="D124" s="11" t="s">
        <v>1162</v>
      </c>
      <c r="E124" s="28" t="str">
        <f>IFERROR(__xludf.DUMMYFUNCTION("REGEXEXTRACT(C124, """"""([^""""]+)"""""")"),"Items.Vest_07_old_03")</f>
        <v>Items.Vest_07_old_03</v>
      </c>
    </row>
    <row r="125">
      <c r="A125" s="17" t="s">
        <v>178</v>
      </c>
      <c r="B125" s="13" t="s">
        <v>82</v>
      </c>
      <c r="C125" s="27" t="s">
        <v>1163</v>
      </c>
      <c r="D125" s="11" t="s">
        <v>1164</v>
      </c>
      <c r="E125" s="28" t="str">
        <f>IFERROR(__xludf.DUMMYFUNCTION("REGEXEXTRACT(C125, """"""([^""""]+)"""""")"),"Items.Vest_11_rich_02")</f>
        <v>Items.Vest_11_rich_02</v>
      </c>
    </row>
    <row r="126">
      <c r="A126" s="17" t="s">
        <v>178</v>
      </c>
      <c r="B126" s="13" t="s">
        <v>82</v>
      </c>
      <c r="C126" s="27" t="s">
        <v>1165</v>
      </c>
      <c r="D126" s="11" t="s">
        <v>1166</v>
      </c>
      <c r="E126" s="28" t="str">
        <f>IFERROR(__xludf.DUMMYFUNCTION("REGEXEXTRACT(C126, """"""([^""""]+)"""""")"),"Items.LooseShirt_02_old_02")</f>
        <v>Items.LooseShirt_02_old_02</v>
      </c>
    </row>
    <row r="127">
      <c r="A127" s="17" t="s">
        <v>178</v>
      </c>
      <c r="B127" s="13" t="s">
        <v>82</v>
      </c>
      <c r="C127" s="27" t="s">
        <v>1167</v>
      </c>
      <c r="D127" s="11" t="s">
        <v>1168</v>
      </c>
      <c r="E127" s="28" t="str">
        <f>IFERROR(__xludf.DUMMYFUNCTION("REGEXEXTRACT(C127, """"""([^""""]+)"""""")"),"Items.Dress_01_rich_03")</f>
        <v>Items.Dress_01_rich_03</v>
      </c>
    </row>
    <row r="128">
      <c r="A128" s="17" t="s">
        <v>178</v>
      </c>
      <c r="B128" s="13" t="s">
        <v>82</v>
      </c>
      <c r="C128" s="27" t="s">
        <v>1169</v>
      </c>
      <c r="D128" s="11" t="s">
        <v>1170</v>
      </c>
      <c r="E128" s="28" t="str">
        <f>IFERROR(__xludf.DUMMYFUNCTION("REGEXEXTRACT(C128, """"""([^""""]+)"""""")"),"Items.Vest_15_basic_01")</f>
        <v>Items.Vest_15_basic_01</v>
      </c>
    </row>
    <row r="129">
      <c r="A129" s="17" t="s">
        <v>178</v>
      </c>
      <c r="B129" s="13" t="s">
        <v>82</v>
      </c>
      <c r="C129" s="27" t="s">
        <v>1171</v>
      </c>
      <c r="D129" s="11" t="s">
        <v>1172</v>
      </c>
      <c r="E129" s="28" t="str">
        <f>IFERROR(__xludf.DUMMYFUNCTION("REGEXEXTRACT(C129, """"""([^""""]+)"""""")"),"Items.Jacket_11_old_02")</f>
        <v>Items.Jacket_11_old_02</v>
      </c>
    </row>
    <row r="130">
      <c r="A130" s="17" t="s">
        <v>178</v>
      </c>
      <c r="B130" s="13" t="s">
        <v>82</v>
      </c>
      <c r="C130" s="27" t="s">
        <v>1173</v>
      </c>
      <c r="D130" s="11" t="s">
        <v>1174</v>
      </c>
      <c r="E130" s="28" t="str">
        <f>IFERROR(__xludf.DUMMYFUNCTION("REGEXEXTRACT(C130, """"""([^""""]+)"""""")"),"Items.Jacket_06_old_01")</f>
        <v>Items.Jacket_06_old_01</v>
      </c>
    </row>
    <row r="131">
      <c r="A131" s="17" t="s">
        <v>178</v>
      </c>
      <c r="B131" s="13" t="s">
        <v>82</v>
      </c>
      <c r="C131" s="27" t="s">
        <v>1175</v>
      </c>
      <c r="D131" s="11" t="s">
        <v>1176</v>
      </c>
      <c r="E131" s="28" t="str">
        <f>IFERROR(__xludf.DUMMYFUNCTION("REGEXEXTRACT(C131, """"""([^""""]+)"""""")"),"Items.Jacket_05_old_02")</f>
        <v>Items.Jacket_05_old_02</v>
      </c>
    </row>
    <row r="132">
      <c r="A132" s="17" t="s">
        <v>178</v>
      </c>
      <c r="B132" s="13" t="s">
        <v>82</v>
      </c>
      <c r="C132" s="27" t="s">
        <v>1177</v>
      </c>
      <c r="D132" s="11" t="s">
        <v>1178</v>
      </c>
      <c r="E132" s="28" t="str">
        <f>IFERROR(__xludf.DUMMYFUNCTION("REGEXEXTRACT(C132, """"""([^""""]+)"""""")"),"Items.FormalJacket_03_basic_03")</f>
        <v>Items.FormalJacket_03_basic_03</v>
      </c>
    </row>
    <row r="133">
      <c r="A133" s="17" t="s">
        <v>178</v>
      </c>
      <c r="B133" s="13" t="s">
        <v>82</v>
      </c>
      <c r="C133" s="27" t="s">
        <v>1179</v>
      </c>
      <c r="D133" s="11" t="s">
        <v>1180</v>
      </c>
      <c r="E133" s="28" t="str">
        <f>IFERROR(__xludf.DUMMYFUNCTION("REGEXEXTRACT(C133, """"""([^""""]+)"""""")"),"Items.Coat_02_old_03")</f>
        <v>Items.Coat_02_old_03</v>
      </c>
    </row>
    <row r="134">
      <c r="A134" s="17" t="s">
        <v>178</v>
      </c>
      <c r="B134" s="13" t="s">
        <v>82</v>
      </c>
      <c r="C134" s="27" t="s">
        <v>1181</v>
      </c>
      <c r="D134" s="11" t="s">
        <v>1182</v>
      </c>
      <c r="E134" s="28" t="str">
        <f>IFERROR(__xludf.DUMMYFUNCTION("REGEXEXTRACT(C134, """"""([^""""]+)"""""")"),"Items.Coat_03_rich_02")</f>
        <v>Items.Coat_03_rich_02</v>
      </c>
    </row>
    <row r="135">
      <c r="A135" s="17" t="s">
        <v>178</v>
      </c>
      <c r="B135" s="13" t="s">
        <v>82</v>
      </c>
      <c r="C135" s="27" t="s">
        <v>1183</v>
      </c>
      <c r="D135" s="11" t="s">
        <v>1184</v>
      </c>
      <c r="E135" s="28" t="str">
        <f>IFERROR(__xludf.DUMMYFUNCTION("REGEXEXTRACT(C135, """"""([^""""]+)"""""")"),"Items.LooseShirt_01_rich_02")</f>
        <v>Items.LooseShirt_01_rich_02</v>
      </c>
    </row>
    <row r="136">
      <c r="A136" s="17" t="s">
        <v>178</v>
      </c>
      <c r="B136" s="13" t="s">
        <v>82</v>
      </c>
      <c r="C136" s="27" t="s">
        <v>1185</v>
      </c>
      <c r="D136" s="11" t="s">
        <v>1186</v>
      </c>
      <c r="E136" s="28" t="str">
        <f>IFERROR(__xludf.DUMMYFUNCTION("REGEXEXTRACT(C136, """"""([^""""]+)"""""")"),"Items.Vest_20_basic_02")</f>
        <v>Items.Vest_20_basic_02</v>
      </c>
    </row>
    <row r="137">
      <c r="A137" s="17" t="s">
        <v>178</v>
      </c>
      <c r="B137" s="13" t="s">
        <v>82</v>
      </c>
      <c r="C137" s="27" t="s">
        <v>1187</v>
      </c>
      <c r="D137" s="11" t="s">
        <v>1188</v>
      </c>
      <c r="E137" s="28" t="str">
        <f>IFERROR(__xludf.DUMMYFUNCTION("REGEXEXTRACT(C137, """"""([^""""]+)"""""")"),"Items.Jacket_03_rich_02")</f>
        <v>Items.Jacket_03_rich_02</v>
      </c>
    </row>
    <row r="138">
      <c r="A138" s="17" t="s">
        <v>178</v>
      </c>
      <c r="B138" s="13" t="s">
        <v>82</v>
      </c>
      <c r="C138" s="27" t="s">
        <v>1189</v>
      </c>
      <c r="D138" s="11" t="s">
        <v>1190</v>
      </c>
      <c r="E138" s="28" t="str">
        <f>IFERROR(__xludf.DUMMYFUNCTION("REGEXEXTRACT(C138, """"""([^""""]+)"""""")"),"Items.Vest_18_basic_02")</f>
        <v>Items.Vest_18_basic_02</v>
      </c>
    </row>
    <row r="139">
      <c r="A139" s="17" t="s">
        <v>178</v>
      </c>
      <c r="B139" s="13" t="s">
        <v>82</v>
      </c>
      <c r="C139" s="27" t="s">
        <v>1191</v>
      </c>
      <c r="D139" s="11" t="s">
        <v>1192</v>
      </c>
      <c r="E139" s="28" t="str">
        <f>IFERROR(__xludf.DUMMYFUNCTION("REGEXEXTRACT(C139, """"""([^""""]+)"""""")"),"Items.Vest_20_basic_01")</f>
        <v>Items.Vest_20_basic_01</v>
      </c>
    </row>
    <row r="140">
      <c r="A140" s="17" t="s">
        <v>178</v>
      </c>
      <c r="B140" s="13" t="s">
        <v>82</v>
      </c>
      <c r="C140" s="27" t="s">
        <v>1193</v>
      </c>
      <c r="D140" s="11" t="s">
        <v>1194</v>
      </c>
      <c r="E140" s="28" t="str">
        <f>IFERROR(__xludf.DUMMYFUNCTION("REGEXEXTRACT(C140, """"""([^""""]+)"""""")"),"Items.Jacket_06_basic_01")</f>
        <v>Items.Jacket_06_basic_01</v>
      </c>
    </row>
    <row r="141">
      <c r="A141" s="17" t="s">
        <v>178</v>
      </c>
      <c r="B141" s="13" t="s">
        <v>82</v>
      </c>
      <c r="C141" s="27" t="s">
        <v>1195</v>
      </c>
      <c r="D141" s="11" t="s">
        <v>1196</v>
      </c>
      <c r="E141" s="28" t="str">
        <f>IFERROR(__xludf.DUMMYFUNCTION("REGEXEXTRACT(C141, """"""([^""""]+)"""""")"),"Items.Vest_17_basic_01")</f>
        <v>Items.Vest_17_basic_01</v>
      </c>
    </row>
    <row r="142">
      <c r="A142" s="17" t="s">
        <v>178</v>
      </c>
      <c r="B142" s="13" t="s">
        <v>82</v>
      </c>
      <c r="C142" s="27" t="s">
        <v>1197</v>
      </c>
      <c r="D142" s="11" t="s">
        <v>1198</v>
      </c>
      <c r="E142" s="28" t="str">
        <f>IFERROR(__xludf.DUMMYFUNCTION("REGEXEXTRACT(C142, """"""([^""""]+)"""""")"),"Items.Vest_02_rich_01")</f>
        <v>Items.Vest_02_rich_01</v>
      </c>
    </row>
    <row r="143">
      <c r="A143" s="17" t="s">
        <v>178</v>
      </c>
      <c r="B143" s="13" t="s">
        <v>82</v>
      </c>
      <c r="C143" s="27" t="s">
        <v>1199</v>
      </c>
      <c r="D143" s="11" t="s">
        <v>1200</v>
      </c>
      <c r="E143" s="28" t="str">
        <f>IFERROR(__xludf.DUMMYFUNCTION("REGEXEXTRACT(C143, """"""([^""""]+)"""""")"),"Items.Vest_11_basic_02")</f>
        <v>Items.Vest_11_basic_02</v>
      </c>
    </row>
    <row r="144">
      <c r="A144" s="17" t="s">
        <v>178</v>
      </c>
      <c r="B144" s="13" t="s">
        <v>82</v>
      </c>
      <c r="C144" s="27" t="s">
        <v>1201</v>
      </c>
      <c r="D144" s="11" t="s">
        <v>1202</v>
      </c>
      <c r="E144" s="28" t="str">
        <f>IFERROR(__xludf.DUMMYFUNCTION("REGEXEXTRACT(C144, """"""([^""""]+)"""""")"),"Items.Vest_08_basic_02")</f>
        <v>Items.Vest_08_basic_02</v>
      </c>
    </row>
    <row r="145">
      <c r="A145" s="17" t="s">
        <v>178</v>
      </c>
      <c r="B145" s="13" t="s">
        <v>82</v>
      </c>
      <c r="C145" s="27" t="s">
        <v>1203</v>
      </c>
      <c r="D145" s="11" t="s">
        <v>1204</v>
      </c>
      <c r="E145" s="28" t="str">
        <f>IFERROR(__xludf.DUMMYFUNCTION("REGEXEXTRACT(C145, """"""([^""""]+)"""""")"),"Items.Jacket_09_basic_02")</f>
        <v>Items.Jacket_09_basic_02</v>
      </c>
    </row>
    <row r="146">
      <c r="A146" s="17" t="s">
        <v>178</v>
      </c>
      <c r="B146" s="13" t="s">
        <v>82</v>
      </c>
      <c r="C146" s="27" t="s">
        <v>1205</v>
      </c>
      <c r="D146" s="11" t="s">
        <v>1206</v>
      </c>
      <c r="E146" s="28" t="str">
        <f>IFERROR(__xludf.DUMMYFUNCTION("REGEXEXTRACT(C146, """"""([^""""]+)"""""")"),"Items.Vest_13_rich_03")</f>
        <v>Items.Vest_13_rich_03</v>
      </c>
    </row>
    <row r="147">
      <c r="A147" s="17" t="s">
        <v>178</v>
      </c>
      <c r="B147" s="13" t="s">
        <v>82</v>
      </c>
      <c r="C147" s="27" t="s">
        <v>1207</v>
      </c>
      <c r="D147" s="11" t="s">
        <v>1208</v>
      </c>
      <c r="E147" s="28" t="str">
        <f>IFERROR(__xludf.DUMMYFUNCTION("REGEXEXTRACT(C147, """"""([^""""]+)"""""")"),"Items.Q005_Steel_Dragons_Coat")</f>
        <v>Items.Q005_Steel_Dragons_Coat</v>
      </c>
    </row>
    <row r="148">
      <c r="A148" s="17" t="s">
        <v>178</v>
      </c>
      <c r="B148" s="13" t="s">
        <v>82</v>
      </c>
      <c r="C148" s="27" t="s">
        <v>1209</v>
      </c>
      <c r="D148" s="11" t="s">
        <v>1210</v>
      </c>
      <c r="E148" s="28" t="str">
        <f>IFERROR(__xludf.DUMMYFUNCTION("REGEXEXTRACT(C148, """"""([^""""]+)"""""")"),"Items.Coat_04_basic_03")</f>
        <v>Items.Coat_04_basic_03</v>
      </c>
    </row>
    <row r="149">
      <c r="A149" s="17" t="s">
        <v>178</v>
      </c>
      <c r="B149" s="13" t="s">
        <v>82</v>
      </c>
      <c r="C149" s="27" t="s">
        <v>1211</v>
      </c>
      <c r="D149" s="11" t="s">
        <v>1212</v>
      </c>
      <c r="E149" s="28" t="str">
        <f>IFERROR(__xludf.DUMMYFUNCTION("REGEXEXTRACT(C149, """"""([^""""]+)"""""")"),"Items.Coat_03_basic_02")</f>
        <v>Items.Coat_03_basic_02</v>
      </c>
    </row>
    <row r="150">
      <c r="A150" s="17" t="s">
        <v>178</v>
      </c>
      <c r="B150" s="13" t="s">
        <v>82</v>
      </c>
      <c r="C150" s="27" t="s">
        <v>1213</v>
      </c>
      <c r="D150" s="11" t="s">
        <v>1214</v>
      </c>
      <c r="E150" s="28" t="str">
        <f>IFERROR(__xludf.DUMMYFUNCTION("REGEXEXTRACT(C150, """"""([^""""]+)"""""")"),"Items.Vest_14_basic_02")</f>
        <v>Items.Vest_14_basic_02</v>
      </c>
    </row>
    <row r="151">
      <c r="A151" s="17" t="s">
        <v>178</v>
      </c>
      <c r="B151" s="13" t="s">
        <v>82</v>
      </c>
      <c r="C151" s="27" t="s">
        <v>1215</v>
      </c>
      <c r="D151" s="11" t="s">
        <v>1216</v>
      </c>
      <c r="E151" s="28" t="str">
        <f>IFERROR(__xludf.DUMMYFUNCTION("REGEXEXTRACT(C151, """"""([^""""]+)"""""")"),"Items.Dress_01_rich_01")</f>
        <v>Items.Dress_01_rich_01</v>
      </c>
    </row>
    <row r="152">
      <c r="A152" s="17" t="s">
        <v>178</v>
      </c>
      <c r="B152" s="13" t="s">
        <v>82</v>
      </c>
      <c r="C152" s="27" t="s">
        <v>1217</v>
      </c>
      <c r="D152" s="11" t="s">
        <v>1218</v>
      </c>
      <c r="E152" s="28" t="str">
        <f>IFERROR(__xludf.DUMMYFUNCTION("REGEXEXTRACT(C152, """"""([^""""]+)"""""")"),"Items.Jacket_14_rich_01")</f>
        <v>Items.Jacket_14_rich_01</v>
      </c>
    </row>
    <row r="153">
      <c r="A153" s="17" t="s">
        <v>178</v>
      </c>
      <c r="B153" s="13" t="s">
        <v>82</v>
      </c>
      <c r="C153" s="27" t="s">
        <v>1219</v>
      </c>
      <c r="D153" s="11" t="s">
        <v>1220</v>
      </c>
      <c r="E153" s="28" t="str">
        <f>IFERROR(__xludf.DUMMYFUNCTION("REGEXEXTRACT(C153, """"""([^""""]+)"""""")"),"Items.Jacket_06_basic_02")</f>
        <v>Items.Jacket_06_basic_02</v>
      </c>
    </row>
    <row r="154">
      <c r="A154" s="17" t="s">
        <v>178</v>
      </c>
      <c r="B154" s="13" t="s">
        <v>82</v>
      </c>
      <c r="C154" s="27" t="s">
        <v>1221</v>
      </c>
      <c r="D154" s="11" t="s">
        <v>1222</v>
      </c>
      <c r="E154" s="28" t="str">
        <f>IFERROR(__xludf.DUMMYFUNCTION("REGEXEXTRACT(C154, """"""([^""""]+)"""""")"),"Items.Jacket_17_rich_03")</f>
        <v>Items.Jacket_17_rich_03</v>
      </c>
    </row>
    <row r="155">
      <c r="A155" s="17" t="s">
        <v>178</v>
      </c>
      <c r="B155" s="13" t="s">
        <v>82</v>
      </c>
      <c r="C155" s="27" t="s">
        <v>1223</v>
      </c>
      <c r="D155" s="11" t="s">
        <v>1224</v>
      </c>
      <c r="E155" s="28" t="str">
        <f>IFERROR(__xludf.DUMMYFUNCTION("REGEXEXTRACT(C155, """"""([^""""]+)"""""")"),"Items.Vest_20_old_02")</f>
        <v>Items.Vest_20_old_02</v>
      </c>
    </row>
    <row r="156">
      <c r="A156" s="17" t="s">
        <v>178</v>
      </c>
      <c r="B156" s="13" t="s">
        <v>82</v>
      </c>
      <c r="C156" s="27" t="s">
        <v>1225</v>
      </c>
      <c r="D156" s="11" t="s">
        <v>1226</v>
      </c>
      <c r="E156" s="28" t="str">
        <f>IFERROR(__xludf.DUMMYFUNCTION("REGEXEXTRACT(C156, """"""([^""""]+)"""""")"),"Items.Jacket_12_rich_02")</f>
        <v>Items.Jacket_12_rich_02</v>
      </c>
    </row>
    <row r="157">
      <c r="A157" s="17" t="s">
        <v>178</v>
      </c>
      <c r="B157" s="13" t="s">
        <v>82</v>
      </c>
      <c r="C157" s="27" t="s">
        <v>1227</v>
      </c>
      <c r="D157" s="11" t="s">
        <v>1228</v>
      </c>
      <c r="E157" s="28" t="str">
        <f>IFERROR(__xludf.DUMMYFUNCTION("REGEXEXTRACT(C157, """"""([^""""]+)"""""")"),"Items.Jacket_13_basic_03")</f>
        <v>Items.Jacket_13_basic_03</v>
      </c>
    </row>
    <row r="158">
      <c r="A158" s="17" t="s">
        <v>178</v>
      </c>
      <c r="B158" s="13" t="s">
        <v>82</v>
      </c>
      <c r="C158" s="27" t="s">
        <v>1229</v>
      </c>
      <c r="D158" s="11" t="s">
        <v>1230</v>
      </c>
      <c r="E158" s="28" t="str">
        <f>IFERROR(__xludf.DUMMYFUNCTION("REGEXEXTRACT(C158, """"""([^""""]+)"""""")"),"Items.FormalJacket_04_basic_01")</f>
        <v>Items.FormalJacket_04_basic_01</v>
      </c>
    </row>
    <row r="159">
      <c r="A159" s="17" t="s">
        <v>178</v>
      </c>
      <c r="B159" s="13" t="s">
        <v>82</v>
      </c>
      <c r="C159" s="27" t="s">
        <v>1231</v>
      </c>
      <c r="D159" s="11" t="s">
        <v>1232</v>
      </c>
      <c r="E159" s="28" t="str">
        <f>IFERROR(__xludf.DUMMYFUNCTION("REGEXEXTRACT(C159, """"""([^""""]+)"""""")"),"Items.Jumpsuit_02_rich_03")</f>
        <v>Items.Jumpsuit_02_rich_03</v>
      </c>
    </row>
    <row r="160">
      <c r="A160" s="17" t="s">
        <v>178</v>
      </c>
      <c r="B160" s="13" t="s">
        <v>82</v>
      </c>
      <c r="C160" s="27" t="s">
        <v>1233</v>
      </c>
      <c r="D160" s="11" t="s">
        <v>1234</v>
      </c>
      <c r="E160" s="28" t="str">
        <f>IFERROR(__xludf.DUMMYFUNCTION("REGEXEXTRACT(C160, """"""([^""""]+)"""""")"),"Items.FormalJacket_02_rich_01")</f>
        <v>Items.FormalJacket_02_rich_01</v>
      </c>
    </row>
    <row r="161">
      <c r="A161" s="17" t="s">
        <v>178</v>
      </c>
      <c r="B161" s="13" t="s">
        <v>82</v>
      </c>
      <c r="C161" s="27" t="s">
        <v>1235</v>
      </c>
      <c r="D161" s="11" t="s">
        <v>1236</v>
      </c>
      <c r="E161" s="28" t="str">
        <f>IFERROR(__xludf.DUMMYFUNCTION("REGEXEXTRACT(C161, """"""([^""""]+)"""""")"),"Items.LooseShirt_01_basic_01")</f>
        <v>Items.LooseShirt_01_basic_01</v>
      </c>
    </row>
    <row r="162">
      <c r="A162" s="17" t="s">
        <v>178</v>
      </c>
      <c r="B162" s="13" t="s">
        <v>82</v>
      </c>
      <c r="C162" s="27" t="s">
        <v>1237</v>
      </c>
      <c r="D162" s="11" t="s">
        <v>1238</v>
      </c>
      <c r="E162" s="28" t="str">
        <f>IFERROR(__xludf.DUMMYFUNCTION("REGEXEXTRACT(C162, """"""([^""""]+)"""""")"),"Items.Vest_01_rich_02")</f>
        <v>Items.Vest_01_rich_02</v>
      </c>
    </row>
    <row r="163">
      <c r="A163" s="17" t="s">
        <v>178</v>
      </c>
      <c r="B163" s="13" t="s">
        <v>82</v>
      </c>
      <c r="C163" s="27" t="s">
        <v>1239</v>
      </c>
      <c r="D163" s="11" t="s">
        <v>1240</v>
      </c>
      <c r="E163" s="28" t="str">
        <f>IFERROR(__xludf.DUMMYFUNCTION("REGEXEXTRACT(C163, """"""([^""""]+)"""""")"),"Items.Vest_17_rich_02")</f>
        <v>Items.Vest_17_rich_02</v>
      </c>
    </row>
    <row r="164">
      <c r="A164" s="17" t="s">
        <v>178</v>
      </c>
      <c r="B164" s="13" t="s">
        <v>82</v>
      </c>
      <c r="C164" s="27" t="s">
        <v>1241</v>
      </c>
      <c r="D164" s="11" t="s">
        <v>1242</v>
      </c>
      <c r="E164" s="28" t="str">
        <f>IFERROR(__xludf.DUMMYFUNCTION("REGEXEXTRACT(C164, """"""([^""""]+)"""""")"),"Items.Vest_07_rich_03")</f>
        <v>Items.Vest_07_rich_03</v>
      </c>
    </row>
    <row r="165">
      <c r="A165" s="17" t="s">
        <v>178</v>
      </c>
      <c r="B165" s="13" t="s">
        <v>82</v>
      </c>
      <c r="C165" s="27" t="s">
        <v>1243</v>
      </c>
      <c r="D165" s="11" t="s">
        <v>1244</v>
      </c>
      <c r="E165" s="28" t="str">
        <f>IFERROR(__xludf.DUMMYFUNCTION("REGEXEXTRACT(C165, """"""([^""""]+)"""""")"),"Items.FormalJacket_01_rich_01")</f>
        <v>Items.FormalJacket_01_rich_01</v>
      </c>
    </row>
    <row r="166">
      <c r="A166" s="17" t="s">
        <v>178</v>
      </c>
      <c r="B166" s="13" t="s">
        <v>82</v>
      </c>
      <c r="C166" s="27" t="s">
        <v>1245</v>
      </c>
      <c r="D166" s="11" t="s">
        <v>1246</v>
      </c>
      <c r="E166" s="28" t="str">
        <f>IFERROR(__xludf.DUMMYFUNCTION("REGEXEXTRACT(C166, """"""([^""""]+)"""""")"),"Items.Jumpsuit_02_old_02")</f>
        <v>Items.Jumpsuit_02_old_02</v>
      </c>
    </row>
    <row r="167">
      <c r="A167" s="17" t="s">
        <v>178</v>
      </c>
      <c r="B167" s="13" t="s">
        <v>82</v>
      </c>
      <c r="C167" s="27" t="s">
        <v>1247</v>
      </c>
      <c r="D167" s="11" t="s">
        <v>1248</v>
      </c>
      <c r="E167" s="28" t="str">
        <f>IFERROR(__xludf.DUMMYFUNCTION("REGEXEXTRACT(C167, """"""([^""""]+)"""""")"),"Items.Jacket_17_basic_04")</f>
        <v>Items.Jacket_17_basic_04</v>
      </c>
    </row>
    <row r="168">
      <c r="A168" s="17" t="s">
        <v>178</v>
      </c>
      <c r="B168" s="13" t="s">
        <v>82</v>
      </c>
      <c r="C168" s="27" t="s">
        <v>1249</v>
      </c>
      <c r="D168" s="11" t="s">
        <v>1250</v>
      </c>
      <c r="E168" s="28" t="str">
        <f>IFERROR(__xludf.DUMMYFUNCTION("REGEXEXTRACT(C168, """"""([^""""]+)"""""")"),"Items.Vest_14_basic_01")</f>
        <v>Items.Vest_14_basic_01</v>
      </c>
    </row>
    <row r="169">
      <c r="A169" s="17" t="s">
        <v>178</v>
      </c>
      <c r="B169" s="13" t="s">
        <v>82</v>
      </c>
      <c r="C169" s="27" t="s">
        <v>1251</v>
      </c>
      <c r="D169" s="11" t="s">
        <v>1252</v>
      </c>
      <c r="E169" s="28" t="str">
        <f>IFERROR(__xludf.DUMMYFUNCTION("REGEXEXTRACT(C169, """"""([^""""]+)"""""")"),"Items.Jacket_08_old_02")</f>
        <v>Items.Jacket_08_old_02</v>
      </c>
    </row>
    <row r="170">
      <c r="A170" s="17" t="s">
        <v>178</v>
      </c>
      <c r="B170" s="13" t="s">
        <v>82</v>
      </c>
      <c r="C170" s="27" t="s">
        <v>1253</v>
      </c>
      <c r="D170" s="11" t="s">
        <v>1254</v>
      </c>
      <c r="E170" s="28" t="str">
        <f>IFERROR(__xludf.DUMMYFUNCTION("REGEXEXTRACT(C170, """"""([^""""]+)"""""")"),"Items.Jacket_10_basic_02")</f>
        <v>Items.Jacket_10_basic_02</v>
      </c>
    </row>
    <row r="171">
      <c r="A171" s="17" t="s">
        <v>178</v>
      </c>
      <c r="B171" s="13" t="s">
        <v>82</v>
      </c>
      <c r="C171" s="27" t="s">
        <v>1255</v>
      </c>
      <c r="D171" s="11" t="s">
        <v>1256</v>
      </c>
      <c r="E171" s="28" t="str">
        <f>IFERROR(__xludf.DUMMYFUNCTION("REGEXEXTRACT(C171, """"""([^""""]+)"""""")"),"Items.Vest_12_old_01")</f>
        <v>Items.Vest_12_old_01</v>
      </c>
    </row>
    <row r="172">
      <c r="A172" s="17" t="s">
        <v>178</v>
      </c>
      <c r="B172" s="13" t="s">
        <v>82</v>
      </c>
      <c r="C172" s="27" t="s">
        <v>1257</v>
      </c>
      <c r="D172" s="11" t="s">
        <v>1258</v>
      </c>
      <c r="E172" s="28" t="str">
        <f>IFERROR(__xludf.DUMMYFUNCTION("REGEXEXTRACT(C172, """"""([^""""]+)"""""")"),"Items.Vest_02_old_02")</f>
        <v>Items.Vest_02_old_02</v>
      </c>
    </row>
    <row r="173">
      <c r="A173" s="17" t="s">
        <v>178</v>
      </c>
      <c r="B173" s="13" t="s">
        <v>82</v>
      </c>
      <c r="C173" s="27" t="s">
        <v>1259</v>
      </c>
      <c r="D173" s="11" t="s">
        <v>1260</v>
      </c>
      <c r="E173" s="28" t="str">
        <f>IFERROR(__xludf.DUMMYFUNCTION("REGEXEXTRACT(C173, """"""([^""""]+)"""""")"),"Items.Vest_02_rich_02")</f>
        <v>Items.Vest_02_rich_02</v>
      </c>
    </row>
    <row r="174">
      <c r="A174" s="17" t="s">
        <v>178</v>
      </c>
      <c r="B174" s="13" t="s">
        <v>82</v>
      </c>
      <c r="C174" s="27" t="s">
        <v>1261</v>
      </c>
      <c r="D174" s="11" t="s">
        <v>1262</v>
      </c>
      <c r="E174" s="28" t="str">
        <f>IFERROR(__xludf.DUMMYFUNCTION("REGEXEXTRACT(C174, """"""([^""""]+)"""""")"),"Items.Vest_06_basic_01")</f>
        <v>Items.Vest_06_basic_01</v>
      </c>
    </row>
    <row r="175">
      <c r="A175" s="17" t="s">
        <v>178</v>
      </c>
      <c r="B175" s="13" t="s">
        <v>82</v>
      </c>
      <c r="C175" s="27" t="s">
        <v>1263</v>
      </c>
      <c r="D175" s="11" t="s">
        <v>1264</v>
      </c>
      <c r="E175" s="28" t="str">
        <f>IFERROR(__xludf.DUMMYFUNCTION("REGEXEXTRACT(C175, """"""([^""""]+)"""""")"),"Items.Vest_08_basic_01")</f>
        <v>Items.Vest_08_basic_01</v>
      </c>
    </row>
    <row r="176">
      <c r="A176" s="17" t="s">
        <v>178</v>
      </c>
      <c r="B176" s="13" t="s">
        <v>82</v>
      </c>
      <c r="C176" s="27" t="s">
        <v>1265</v>
      </c>
      <c r="D176" s="11" t="s">
        <v>1266</v>
      </c>
      <c r="E176" s="28" t="str">
        <f>IFERROR(__xludf.DUMMYFUNCTION("REGEXEXTRACT(C176, """"""([^""""]+)"""""")"),"Items.Jacket_04_basic_02")</f>
        <v>Items.Jacket_04_basic_02</v>
      </c>
    </row>
    <row r="177">
      <c r="A177" s="17" t="s">
        <v>178</v>
      </c>
      <c r="B177" s="13" t="s">
        <v>82</v>
      </c>
      <c r="C177" s="27" t="s">
        <v>1267</v>
      </c>
      <c r="D177" s="11" t="s">
        <v>1268</v>
      </c>
      <c r="E177" s="28" t="str">
        <f>IFERROR(__xludf.DUMMYFUNCTION("REGEXEXTRACT(C177, """"""([^""""]+)"""""")"),"Items.Vest_13_basic_01")</f>
        <v>Items.Vest_13_basic_01</v>
      </c>
    </row>
    <row r="178">
      <c r="A178" s="17" t="s">
        <v>178</v>
      </c>
      <c r="B178" s="13" t="s">
        <v>82</v>
      </c>
      <c r="C178" s="27" t="s">
        <v>1269</v>
      </c>
      <c r="D178" s="11" t="s">
        <v>1270</v>
      </c>
      <c r="E178" s="28" t="str">
        <f>IFERROR(__xludf.DUMMYFUNCTION("REGEXEXTRACT(C178, """"""([^""""]+)"""""")"),"Items.Coat_04_rich_02")</f>
        <v>Items.Coat_04_rich_02</v>
      </c>
    </row>
    <row r="179">
      <c r="A179" s="17" t="s">
        <v>178</v>
      </c>
      <c r="B179" s="13" t="s">
        <v>82</v>
      </c>
      <c r="C179" s="27" t="s">
        <v>1271</v>
      </c>
      <c r="D179" s="11" t="s">
        <v>1272</v>
      </c>
      <c r="E179" s="28" t="str">
        <f>IFERROR(__xludf.DUMMYFUNCTION("REGEXEXTRACT(C179, """"""([^""""]+)"""""")"),"Items.Jacket_11_basic_01")</f>
        <v>Items.Jacket_11_basic_01</v>
      </c>
    </row>
    <row r="180">
      <c r="A180" s="17" t="s">
        <v>178</v>
      </c>
      <c r="B180" s="13" t="s">
        <v>82</v>
      </c>
      <c r="C180" s="27" t="s">
        <v>1273</v>
      </c>
      <c r="D180" s="11" t="s">
        <v>1274</v>
      </c>
      <c r="E180" s="28" t="str">
        <f>IFERROR(__xludf.DUMMYFUNCTION("REGEXEXTRACT(C180, """"""([^""""]+)"""""")"),"Items.Coat_03_rich_01")</f>
        <v>Items.Coat_03_rich_01</v>
      </c>
    </row>
    <row r="181">
      <c r="A181" s="17" t="s">
        <v>178</v>
      </c>
      <c r="B181" s="13" t="s">
        <v>82</v>
      </c>
      <c r="C181" s="27" t="s">
        <v>1275</v>
      </c>
      <c r="D181" s="11" t="s">
        <v>1276</v>
      </c>
      <c r="E181" s="28" t="str">
        <f>IFERROR(__xludf.DUMMYFUNCTION("REGEXEXTRACT(C181, """"""([^""""]+)"""""")"),"Items.FormalJacket_01_rich_02")</f>
        <v>Items.FormalJacket_01_rich_02</v>
      </c>
    </row>
    <row r="182">
      <c r="A182" s="17" t="s">
        <v>178</v>
      </c>
      <c r="B182" s="13" t="s">
        <v>82</v>
      </c>
      <c r="C182" s="27" t="s">
        <v>1277</v>
      </c>
      <c r="D182" s="11" t="s">
        <v>1278</v>
      </c>
      <c r="E182" s="28" t="str">
        <f>IFERROR(__xludf.DUMMYFUNCTION("REGEXEXTRACT(C182, """"""([^""""]+)"""""")"),"Items.Vest_12_basic_02")</f>
        <v>Items.Vest_12_basic_02</v>
      </c>
    </row>
    <row r="183">
      <c r="A183" s="17" t="s">
        <v>178</v>
      </c>
      <c r="B183" s="13" t="s">
        <v>82</v>
      </c>
      <c r="C183" s="27" t="s">
        <v>1279</v>
      </c>
      <c r="D183" s="11" t="s">
        <v>1280</v>
      </c>
      <c r="E183" s="28" t="str">
        <f>IFERROR(__xludf.DUMMYFUNCTION("REGEXEXTRACT(C183, """"""([^""""]+)"""""")"),"Items.Vest_11_old_01")</f>
        <v>Items.Vest_11_old_01</v>
      </c>
    </row>
    <row r="184">
      <c r="A184" s="17" t="s">
        <v>178</v>
      </c>
      <c r="B184" s="13" t="s">
        <v>82</v>
      </c>
      <c r="C184" s="27" t="s">
        <v>1281</v>
      </c>
      <c r="D184" s="11" t="s">
        <v>1282</v>
      </c>
      <c r="E184" s="28" t="str">
        <f>IFERROR(__xludf.DUMMYFUNCTION("REGEXEXTRACT(C184, """"""([^""""]+)"""""")"),"Items.Jacket_13_rich_03")</f>
        <v>Items.Jacket_13_rich_03</v>
      </c>
    </row>
    <row r="185">
      <c r="A185" s="17" t="s">
        <v>178</v>
      </c>
      <c r="B185" s="13" t="s">
        <v>82</v>
      </c>
      <c r="C185" s="27" t="s">
        <v>1283</v>
      </c>
      <c r="D185" s="11" t="s">
        <v>1284</v>
      </c>
      <c r="E185" s="28" t="str">
        <f>IFERROR(__xludf.DUMMYFUNCTION("REGEXEXTRACT(C185, """"""([^""""]+)"""""")"),"Items.Vest_19_rich_02")</f>
        <v>Items.Vest_19_rich_02</v>
      </c>
    </row>
    <row r="186">
      <c r="A186" s="17" t="s">
        <v>178</v>
      </c>
      <c r="B186" s="13" t="s">
        <v>82</v>
      </c>
      <c r="C186" s="27" t="s">
        <v>1285</v>
      </c>
      <c r="D186" s="11" t="s">
        <v>1286</v>
      </c>
      <c r="E186" s="28" t="str">
        <f>IFERROR(__xludf.DUMMYFUNCTION("REGEXEXTRACT(C186, """"""([^""""]+)"""""")"),"Items.Vest_16_basic_02")</f>
        <v>Items.Vest_16_basic_02</v>
      </c>
    </row>
    <row r="187">
      <c r="A187" s="17" t="s">
        <v>178</v>
      </c>
      <c r="B187" s="13" t="s">
        <v>82</v>
      </c>
      <c r="C187" s="27" t="s">
        <v>1287</v>
      </c>
      <c r="D187" s="11" t="s">
        <v>1288</v>
      </c>
      <c r="E187" s="28" t="str">
        <f>IFERROR(__xludf.DUMMYFUNCTION("REGEXEXTRACT(C187, """"""([^""""]+)"""""")"),"Items.Jumpsuit_02_rich_02")</f>
        <v>Items.Jumpsuit_02_rich_02</v>
      </c>
    </row>
    <row r="188">
      <c r="A188" s="17" t="s">
        <v>178</v>
      </c>
      <c r="B188" s="13" t="s">
        <v>82</v>
      </c>
      <c r="C188" s="27" t="s">
        <v>1289</v>
      </c>
      <c r="D188" s="11" t="s">
        <v>1290</v>
      </c>
      <c r="E188" s="28" t="str">
        <f>IFERROR(__xludf.DUMMYFUNCTION("REGEXEXTRACT(C188, """"""([^""""]+)"""""")"),"Items.Jumpsuit_02_rich_01")</f>
        <v>Items.Jumpsuit_02_rich_01</v>
      </c>
    </row>
    <row r="189">
      <c r="A189" s="17" t="s">
        <v>178</v>
      </c>
      <c r="B189" s="13" t="s">
        <v>82</v>
      </c>
      <c r="C189" s="27" t="s">
        <v>1291</v>
      </c>
      <c r="D189" s="11" t="s">
        <v>1292</v>
      </c>
      <c r="E189" s="28" t="str">
        <f>IFERROR(__xludf.DUMMYFUNCTION("REGEXEXTRACT(C189, """"""([^""""]+)"""""")"),"Items.Vest_12_old_02")</f>
        <v>Items.Vest_12_old_02</v>
      </c>
    </row>
    <row r="190">
      <c r="A190" s="17" t="s">
        <v>178</v>
      </c>
      <c r="B190" s="13" t="s">
        <v>82</v>
      </c>
      <c r="C190" s="27" t="s">
        <v>1293</v>
      </c>
      <c r="D190" s="11" t="s">
        <v>1294</v>
      </c>
      <c r="E190" s="28" t="str">
        <f>IFERROR(__xludf.DUMMYFUNCTION("REGEXEXTRACT(C190, """"""([^""""]+)"""""")"),"Items.Vest_03_basic_01")</f>
        <v>Items.Vest_03_basic_01</v>
      </c>
    </row>
    <row r="191">
      <c r="A191" s="17" t="s">
        <v>178</v>
      </c>
      <c r="B191" s="13" t="s">
        <v>82</v>
      </c>
      <c r="C191" s="27" t="s">
        <v>1295</v>
      </c>
      <c r="D191" s="11" t="s">
        <v>1296</v>
      </c>
      <c r="E191" s="28" t="str">
        <f>IFERROR(__xludf.DUMMYFUNCTION("REGEXEXTRACT(C191, """"""([^""""]+)"""""")"),"Items.Jacket_11_rich_01")</f>
        <v>Items.Jacket_11_rich_01</v>
      </c>
    </row>
    <row r="192">
      <c r="A192" s="17" t="s">
        <v>178</v>
      </c>
      <c r="B192" s="13" t="s">
        <v>82</v>
      </c>
      <c r="C192" s="27" t="s">
        <v>1297</v>
      </c>
      <c r="D192" s="11" t="s">
        <v>1298</v>
      </c>
      <c r="E192" s="28" t="str">
        <f>IFERROR(__xludf.DUMMYFUNCTION("REGEXEXTRACT(C192, """"""([^""""]+)"""""")"),"Items.Jacket_05_rich_01")</f>
        <v>Items.Jacket_05_rich_01</v>
      </c>
    </row>
    <row r="193">
      <c r="A193" s="17" t="s">
        <v>178</v>
      </c>
      <c r="B193" s="13" t="s">
        <v>82</v>
      </c>
      <c r="C193" s="27" t="s">
        <v>1299</v>
      </c>
      <c r="D193" s="11" t="s">
        <v>1300</v>
      </c>
      <c r="E193" s="28" t="str">
        <f>IFERROR(__xludf.DUMMYFUNCTION("REGEXEXTRACT(C193, """"""([^""""]+)"""""")"),"Items.Jacket_04_rich_03")</f>
        <v>Items.Jacket_04_rich_03</v>
      </c>
    </row>
    <row r="194">
      <c r="A194" s="17" t="s">
        <v>178</v>
      </c>
      <c r="B194" s="13" t="s">
        <v>82</v>
      </c>
      <c r="C194" s="27" t="s">
        <v>1301</v>
      </c>
      <c r="D194" s="11" t="s">
        <v>1302</v>
      </c>
      <c r="E194" s="28" t="str">
        <f>IFERROR(__xludf.DUMMYFUNCTION("REGEXEXTRACT(C194, """"""([^""""]+)"""""")"),"Items.FormalJacket_04_rich_03")</f>
        <v>Items.FormalJacket_04_rich_03</v>
      </c>
    </row>
    <row r="195">
      <c r="A195" s="17" t="s">
        <v>178</v>
      </c>
      <c r="B195" s="13" t="s">
        <v>82</v>
      </c>
      <c r="C195" s="27" t="s">
        <v>1303</v>
      </c>
      <c r="D195" s="11" t="s">
        <v>1304</v>
      </c>
      <c r="E195" s="28" t="str">
        <f>IFERROR(__xludf.DUMMYFUNCTION("REGEXEXTRACT(C195, """"""([^""""]+)"""""")"),"Items.Jacket_04_rich_02")</f>
        <v>Items.Jacket_04_rich_02</v>
      </c>
    </row>
    <row r="196">
      <c r="A196" s="17" t="s">
        <v>178</v>
      </c>
      <c r="B196" s="13" t="s">
        <v>82</v>
      </c>
      <c r="C196" s="27" t="s">
        <v>1305</v>
      </c>
      <c r="D196" s="11" t="s">
        <v>1306</v>
      </c>
      <c r="E196" s="28" t="str">
        <f>IFERROR(__xludf.DUMMYFUNCTION("REGEXEXTRACT(C196, """"""([^""""]+)"""""")"),"Items.Vest_14_old_01")</f>
        <v>Items.Vest_14_old_01</v>
      </c>
    </row>
    <row r="197">
      <c r="A197" s="17" t="s">
        <v>178</v>
      </c>
      <c r="B197" s="13" t="s">
        <v>82</v>
      </c>
      <c r="C197" s="27" t="s">
        <v>1307</v>
      </c>
      <c r="D197" s="11" t="s">
        <v>1308</v>
      </c>
      <c r="E197" s="28" t="str">
        <f>IFERROR(__xludf.DUMMYFUNCTION("REGEXEXTRACT(C197, """"""([^""""]+)"""""")"),"Items.Jacket_03_rich_03")</f>
        <v>Items.Jacket_03_rich_03</v>
      </c>
    </row>
    <row r="198">
      <c r="A198" s="17" t="s">
        <v>178</v>
      </c>
      <c r="B198" s="13" t="s">
        <v>82</v>
      </c>
      <c r="C198" s="27" t="s">
        <v>1309</v>
      </c>
      <c r="D198" s="11" t="s">
        <v>1310</v>
      </c>
      <c r="E198" s="28" t="str">
        <f>IFERROR(__xludf.DUMMYFUNCTION("REGEXEXTRACT(C198, """"""([^""""]+)"""""")"),"Items.Vest_11_old_02")</f>
        <v>Items.Vest_11_old_02</v>
      </c>
    </row>
    <row r="199">
      <c r="A199" s="17" t="s">
        <v>178</v>
      </c>
      <c r="B199" s="13" t="s">
        <v>82</v>
      </c>
      <c r="C199" s="27" t="s">
        <v>1311</v>
      </c>
      <c r="D199" s="11" t="s">
        <v>1312</v>
      </c>
      <c r="E199" s="28" t="str">
        <f>IFERROR(__xludf.DUMMYFUNCTION("REGEXEXTRACT(C199, """"""([^""""]+)"""""")"),"Items.Vest_10_old_01")</f>
        <v>Items.Vest_10_old_01</v>
      </c>
    </row>
    <row r="200">
      <c r="A200" s="17" t="s">
        <v>178</v>
      </c>
      <c r="B200" s="13" t="s">
        <v>82</v>
      </c>
      <c r="C200" s="27" t="s">
        <v>1313</v>
      </c>
      <c r="D200" s="11" t="s">
        <v>1314</v>
      </c>
      <c r="E200" s="28" t="str">
        <f>IFERROR(__xludf.DUMMYFUNCTION("REGEXEXTRACT(C200, """"""([^""""]+)"""""")"),"Items.Vest_04_old_01")</f>
        <v>Items.Vest_04_old_01</v>
      </c>
    </row>
    <row r="201">
      <c r="A201" s="17" t="s">
        <v>178</v>
      </c>
      <c r="B201" s="13" t="s">
        <v>82</v>
      </c>
      <c r="C201" s="27" t="s">
        <v>1315</v>
      </c>
      <c r="D201" s="11" t="s">
        <v>1316</v>
      </c>
      <c r="E201" s="28" t="str">
        <f>IFERROR(__xludf.DUMMYFUNCTION("REGEXEXTRACT(C201, """"""([^""""]+)"""""")"),"Items.Jacket_03_old_01")</f>
        <v>Items.Jacket_03_old_01</v>
      </c>
    </row>
    <row r="202">
      <c r="A202" s="17" t="s">
        <v>178</v>
      </c>
      <c r="B202" s="13" t="s">
        <v>82</v>
      </c>
      <c r="C202" s="27" t="s">
        <v>1317</v>
      </c>
      <c r="D202" s="11" t="s">
        <v>1318</v>
      </c>
      <c r="E202" s="28" t="str">
        <f>IFERROR(__xludf.DUMMYFUNCTION("REGEXEXTRACT(C202, """"""([^""""]+)"""""")"),"Items.Jacket_04_old_01")</f>
        <v>Items.Jacket_04_old_01</v>
      </c>
    </row>
    <row r="203">
      <c r="A203" s="17" t="s">
        <v>178</v>
      </c>
      <c r="B203" s="13" t="s">
        <v>82</v>
      </c>
      <c r="C203" s="27" t="s">
        <v>1319</v>
      </c>
      <c r="D203" s="11" t="s">
        <v>1320</v>
      </c>
      <c r="E203" s="28" t="str">
        <f>IFERROR(__xludf.DUMMYFUNCTION("REGEXEXTRACT(C203, """"""([^""""]+)"""""")"),"Items.Vest_01_old_02")</f>
        <v>Items.Vest_01_old_02</v>
      </c>
    </row>
    <row r="204">
      <c r="A204" s="17" t="s">
        <v>178</v>
      </c>
      <c r="B204" s="13" t="s">
        <v>82</v>
      </c>
      <c r="C204" s="27" t="s">
        <v>1321</v>
      </c>
      <c r="D204" s="11" t="s">
        <v>1322</v>
      </c>
      <c r="E204" s="28" t="str">
        <f>IFERROR(__xludf.DUMMYFUNCTION("REGEXEXTRACT(C204, """"""([^""""]+)"""""")"),"Items.Coat_04_old_01")</f>
        <v>Items.Coat_04_old_01</v>
      </c>
    </row>
    <row r="205">
      <c r="A205" s="17" t="s">
        <v>178</v>
      </c>
      <c r="B205" s="13" t="s">
        <v>82</v>
      </c>
      <c r="C205" s="27" t="s">
        <v>1323</v>
      </c>
      <c r="D205" s="11" t="s">
        <v>1324</v>
      </c>
      <c r="E205" s="28" t="str">
        <f>IFERROR(__xludf.DUMMYFUNCTION("REGEXEXTRACT(C205, """"""([^""""]+)"""""")"),"Items.Jacket_09_old_02")</f>
        <v>Items.Jacket_09_old_02</v>
      </c>
    </row>
    <row r="206">
      <c r="A206" s="17" t="s">
        <v>178</v>
      </c>
      <c r="B206" s="13" t="s">
        <v>82</v>
      </c>
      <c r="C206" s="27" t="s">
        <v>1325</v>
      </c>
      <c r="D206" s="11" t="s">
        <v>1326</v>
      </c>
      <c r="E206" s="28" t="str">
        <f>IFERROR(__xludf.DUMMYFUNCTION("REGEXEXTRACT(C206, """"""([^""""]+)"""""")"),"Items.Jacket_07_old_02")</f>
        <v>Items.Jacket_07_old_02</v>
      </c>
    </row>
    <row r="207">
      <c r="A207" s="17" t="s">
        <v>178</v>
      </c>
      <c r="B207" s="13" t="s">
        <v>82</v>
      </c>
      <c r="C207" s="27" t="s">
        <v>1327</v>
      </c>
      <c r="D207" s="11" t="s">
        <v>1328</v>
      </c>
      <c r="E207" s="28" t="str">
        <f>IFERROR(__xludf.DUMMYFUNCTION("REGEXEXTRACT(C207, """"""([^""""]+)"""""")"),"Items.Jacket_02_old_02")</f>
        <v>Items.Jacket_02_old_02</v>
      </c>
    </row>
    <row r="208">
      <c r="A208" s="17" t="s">
        <v>178</v>
      </c>
      <c r="B208" s="13" t="s">
        <v>82</v>
      </c>
      <c r="C208" s="27" t="s">
        <v>1329</v>
      </c>
      <c r="D208" s="11" t="s">
        <v>1330</v>
      </c>
      <c r="E208" s="28" t="str">
        <f>IFERROR(__xludf.DUMMYFUNCTION("REGEXEXTRACT(C208, """"""([^""""]+)"""""")"),"Items.FormalJacket_03_rich_03")</f>
        <v>Items.FormalJacket_03_rich_03</v>
      </c>
    </row>
    <row r="209">
      <c r="A209" s="17" t="s">
        <v>178</v>
      </c>
      <c r="B209" s="13" t="s">
        <v>82</v>
      </c>
      <c r="C209" s="27" t="s">
        <v>1331</v>
      </c>
      <c r="D209" s="11" t="s">
        <v>1332</v>
      </c>
      <c r="E209" s="28" t="str">
        <f>IFERROR(__xludf.DUMMYFUNCTION("REGEXEXTRACT(C209, """"""([^""""]+)"""""")"),"Items.Jacket_15_basic_01")</f>
        <v>Items.Jacket_15_basic_01</v>
      </c>
    </row>
    <row r="210">
      <c r="A210" s="17" t="s">
        <v>178</v>
      </c>
      <c r="B210" s="13" t="s">
        <v>82</v>
      </c>
      <c r="C210" s="27" t="s">
        <v>1333</v>
      </c>
      <c r="D210" s="11" t="s">
        <v>1334</v>
      </c>
      <c r="E210" s="28" t="str">
        <f>IFERROR(__xludf.DUMMYFUNCTION("REGEXEXTRACT(C210, """"""([^""""]+)"""""")"),"Items.Dress_02_rich_01")</f>
        <v>Items.Dress_02_rich_01</v>
      </c>
    </row>
    <row r="211">
      <c r="A211" s="17" t="s">
        <v>178</v>
      </c>
      <c r="B211" s="13" t="s">
        <v>82</v>
      </c>
      <c r="C211" s="27" t="s">
        <v>1335</v>
      </c>
      <c r="D211" s="11" t="s">
        <v>1336</v>
      </c>
      <c r="E211" s="28" t="str">
        <f>IFERROR(__xludf.DUMMYFUNCTION("REGEXEXTRACT(C211, """"""([^""""]+)"""""")"),"Items.Vest_04_basic_02")</f>
        <v>Items.Vest_04_basic_02</v>
      </c>
    </row>
    <row r="212">
      <c r="A212" s="17" t="s">
        <v>178</v>
      </c>
      <c r="B212" s="13" t="s">
        <v>82</v>
      </c>
      <c r="C212" s="27" t="s">
        <v>1337</v>
      </c>
      <c r="D212" s="11" t="s">
        <v>1338</v>
      </c>
      <c r="E212" s="28" t="str">
        <f>IFERROR(__xludf.DUMMYFUNCTION("REGEXEXTRACT(C212, """"""([^""""]+)"""""")"),"Items.Coat_04_basic_02")</f>
        <v>Items.Coat_04_basic_02</v>
      </c>
    </row>
    <row r="213">
      <c r="A213" s="17" t="s">
        <v>178</v>
      </c>
      <c r="B213" s="13" t="s">
        <v>82</v>
      </c>
      <c r="C213" s="27" t="s">
        <v>1339</v>
      </c>
      <c r="D213" s="11" t="s">
        <v>1340</v>
      </c>
      <c r="E213" s="28" t="str">
        <f>IFERROR(__xludf.DUMMYFUNCTION("REGEXEXTRACT(C213, """"""([^""""]+)"""""")"),"Items.Jumpsuit_01_basic_02")</f>
        <v>Items.Jumpsuit_01_basic_02</v>
      </c>
    </row>
    <row r="214">
      <c r="A214" s="17" t="s">
        <v>178</v>
      </c>
      <c r="B214" s="13" t="s">
        <v>82</v>
      </c>
      <c r="C214" s="27" t="s">
        <v>1341</v>
      </c>
      <c r="D214" s="11" t="s">
        <v>1342</v>
      </c>
      <c r="E214" s="28" t="str">
        <f>IFERROR(__xludf.DUMMYFUNCTION("REGEXEXTRACT(C214, """"""([^""""]+)"""""")"),"Items.Jumpsuit_01_old_03")</f>
        <v>Items.Jumpsuit_01_old_03</v>
      </c>
    </row>
    <row r="215">
      <c r="A215" s="17" t="s">
        <v>178</v>
      </c>
      <c r="B215" s="13" t="s">
        <v>82</v>
      </c>
      <c r="C215" s="27" t="s">
        <v>1343</v>
      </c>
      <c r="D215" s="11" t="s">
        <v>1344</v>
      </c>
      <c r="E215" s="28" t="str">
        <f>IFERROR(__xludf.DUMMYFUNCTION("REGEXEXTRACT(C215, """"""([^""""]+)"""""")"),"Items.FormalJacket_01_basic_01")</f>
        <v>Items.FormalJacket_01_basic_01</v>
      </c>
    </row>
    <row r="216">
      <c r="A216" s="17" t="s">
        <v>178</v>
      </c>
      <c r="B216" s="13" t="s">
        <v>82</v>
      </c>
      <c r="C216" s="27" t="s">
        <v>1345</v>
      </c>
      <c r="D216" s="11" t="s">
        <v>1346</v>
      </c>
      <c r="E216" s="28" t="str">
        <f>IFERROR(__xludf.DUMMYFUNCTION("REGEXEXTRACT(C216, """"""([^""""]+)"""""")"),"Items.Jacket_13_basic_01")</f>
        <v>Items.Jacket_13_basic_01</v>
      </c>
    </row>
    <row r="217">
      <c r="A217" s="17" t="s">
        <v>178</v>
      </c>
      <c r="B217" s="13" t="s">
        <v>82</v>
      </c>
      <c r="C217" s="27" t="s">
        <v>1347</v>
      </c>
      <c r="D217" s="11" t="s">
        <v>1348</v>
      </c>
      <c r="E217" s="28" t="str">
        <f>IFERROR(__xludf.DUMMYFUNCTION("REGEXEXTRACT(C217, """"""([^""""]+)"""""")"),"Items.Jumpsuit_02_basic_02")</f>
        <v>Items.Jumpsuit_02_basic_02</v>
      </c>
    </row>
    <row r="218">
      <c r="A218" s="17" t="s">
        <v>178</v>
      </c>
      <c r="B218" s="13" t="s">
        <v>82</v>
      </c>
      <c r="C218" s="27" t="s">
        <v>1349</v>
      </c>
      <c r="D218" s="15" t="s">
        <v>1350</v>
      </c>
      <c r="E218" s="28" t="str">
        <f>IFERROR(__xludf.DUMMYFUNCTION("REGEXEXTRACT(C218, """"""([^""""]+)"""""")"),"Items.Proficiency_Vest_18_basic_01_Crafting")</f>
        <v>Items.Proficiency_Vest_18_basic_01_Crafting</v>
      </c>
    </row>
    <row r="219">
      <c r="A219" s="17" t="s">
        <v>178</v>
      </c>
      <c r="B219" s="13" t="s">
        <v>82</v>
      </c>
      <c r="C219" s="27" t="s">
        <v>1351</v>
      </c>
      <c r="D219" s="11" t="s">
        <v>1352</v>
      </c>
      <c r="E219" s="28" t="str">
        <f>IFERROR(__xludf.DUMMYFUNCTION("REGEXEXTRACT(C219, """"""([^""""]+)"""""")"),"Items.FormalJacket_02_basic_03")</f>
        <v>Items.FormalJacket_02_basic_03</v>
      </c>
    </row>
    <row r="220">
      <c r="A220" s="17" t="s">
        <v>178</v>
      </c>
      <c r="B220" s="13" t="s">
        <v>82</v>
      </c>
      <c r="C220" s="27" t="s">
        <v>1353</v>
      </c>
      <c r="D220" s="11" t="s">
        <v>1354</v>
      </c>
      <c r="E220" s="28" t="str">
        <f>IFERROR(__xludf.DUMMYFUNCTION("REGEXEXTRACT(C220, """"""([^""""]+)"""""")"),"Items.Vest_03_rich_02")</f>
        <v>Items.Vest_03_rich_02</v>
      </c>
    </row>
    <row r="221">
      <c r="A221" s="17" t="s">
        <v>178</v>
      </c>
      <c r="B221" s="13" t="s">
        <v>82</v>
      </c>
      <c r="C221" s="27" t="s">
        <v>1355</v>
      </c>
      <c r="D221" s="11" t="s">
        <v>1356</v>
      </c>
      <c r="E221" s="28" t="str">
        <f>IFERROR(__xludf.DUMMYFUNCTION("REGEXEXTRACT(C221, """"""([^""""]+)"""""")"),"Items.LooseShirt_01_old_01")</f>
        <v>Items.LooseShirt_01_old_01</v>
      </c>
    </row>
    <row r="222">
      <c r="A222" s="17" t="s">
        <v>178</v>
      </c>
      <c r="B222" s="13" t="s">
        <v>82</v>
      </c>
      <c r="C222" s="27" t="s">
        <v>1357</v>
      </c>
      <c r="D222" s="11" t="s">
        <v>1358</v>
      </c>
      <c r="E222" s="28" t="str">
        <f>IFERROR(__xludf.DUMMYFUNCTION("REGEXEXTRACT(C222, """"""([^""""]+)"""""")"),"Items.Jacket_12_old_02")</f>
        <v>Items.Jacket_12_old_02</v>
      </c>
    </row>
    <row r="223">
      <c r="A223" s="17" t="s">
        <v>178</v>
      </c>
      <c r="B223" s="13" t="s">
        <v>82</v>
      </c>
      <c r="C223" s="27" t="s">
        <v>1359</v>
      </c>
      <c r="D223" s="11" t="s">
        <v>1360</v>
      </c>
      <c r="E223" s="28" t="str">
        <f>IFERROR(__xludf.DUMMYFUNCTION("REGEXEXTRACT(C223, """"""([^""""]+)"""""")"),"Items.Coat_01_old_02")</f>
        <v>Items.Coat_01_old_02</v>
      </c>
    </row>
    <row r="224">
      <c r="A224" s="17" t="s">
        <v>178</v>
      </c>
      <c r="B224" s="13" t="s">
        <v>82</v>
      </c>
      <c r="C224" s="27" t="s">
        <v>1361</v>
      </c>
      <c r="D224" s="11" t="s">
        <v>1362</v>
      </c>
      <c r="E224" s="28" t="str">
        <f>IFERROR(__xludf.DUMMYFUNCTION("REGEXEXTRACT(C224, """"""([^""""]+)"""""")"),"Items.Vest_02_old_01")</f>
        <v>Items.Vest_02_old_01</v>
      </c>
    </row>
    <row r="225">
      <c r="A225" s="17" t="s">
        <v>178</v>
      </c>
      <c r="B225" s="13" t="s">
        <v>82</v>
      </c>
      <c r="C225" s="27" t="s">
        <v>1363</v>
      </c>
      <c r="D225" s="11" t="s">
        <v>1364</v>
      </c>
      <c r="E225" s="28" t="str">
        <f>IFERROR(__xludf.DUMMYFUNCTION("REGEXEXTRACT(C225, """"""([^""""]+)"""""")"),"Items.Jacket_05_basic_02")</f>
        <v>Items.Jacket_05_basic_02</v>
      </c>
    </row>
    <row r="226">
      <c r="A226" s="17" t="s">
        <v>178</v>
      </c>
      <c r="B226" s="13" t="s">
        <v>82</v>
      </c>
      <c r="C226" s="27" t="s">
        <v>1365</v>
      </c>
      <c r="D226" s="11" t="s">
        <v>1366</v>
      </c>
      <c r="E226" s="28" t="str">
        <f>IFERROR(__xludf.DUMMYFUNCTION("REGEXEXTRACT(C226, """"""([^""""]+)"""""")"),"Items.Vest_07_old_01")</f>
        <v>Items.Vest_07_old_01</v>
      </c>
    </row>
    <row r="227">
      <c r="A227" s="17" t="s">
        <v>178</v>
      </c>
      <c r="B227" s="13" t="s">
        <v>82</v>
      </c>
      <c r="C227" s="27" t="s">
        <v>1367</v>
      </c>
      <c r="D227" s="11" t="s">
        <v>1368</v>
      </c>
      <c r="E227" s="28" t="str">
        <f>IFERROR(__xludf.DUMMYFUNCTION("REGEXEXTRACT(C227, """"""([^""""]+)"""""")"),"Items.Jacket_08_basic_02")</f>
        <v>Items.Jacket_08_basic_02</v>
      </c>
    </row>
    <row r="228">
      <c r="A228" s="17" t="s">
        <v>178</v>
      </c>
      <c r="B228" s="13" t="s">
        <v>82</v>
      </c>
      <c r="C228" s="27" t="s">
        <v>1369</v>
      </c>
      <c r="D228" s="11" t="s">
        <v>1370</v>
      </c>
      <c r="E228" s="28" t="str">
        <f>IFERROR(__xludf.DUMMYFUNCTION("REGEXEXTRACT(C228, """"""([^""""]+)"""""")"),"Items.Jacket_08_basic_01")</f>
        <v>Items.Jacket_08_basic_01</v>
      </c>
    </row>
    <row r="229">
      <c r="A229" s="17" t="s">
        <v>178</v>
      </c>
      <c r="B229" s="13" t="s">
        <v>82</v>
      </c>
      <c r="C229" s="27" t="s">
        <v>1371</v>
      </c>
      <c r="D229" s="11" t="s">
        <v>1372</v>
      </c>
      <c r="E229" s="28" t="str">
        <f>IFERROR(__xludf.DUMMYFUNCTION("REGEXEXTRACT(C229, """"""([^""""]+)"""""")"),"Items.Jacket_02_basic_02")</f>
        <v>Items.Jacket_02_basic_02</v>
      </c>
    </row>
    <row r="230">
      <c r="A230" s="17" t="s">
        <v>178</v>
      </c>
      <c r="B230" s="13" t="s">
        <v>82</v>
      </c>
      <c r="C230" s="27" t="s">
        <v>1373</v>
      </c>
      <c r="D230" s="11" t="s">
        <v>1374</v>
      </c>
      <c r="E230" s="28" t="str">
        <f>IFERROR(__xludf.DUMMYFUNCTION("REGEXEXTRACT(C230, """"""([^""""]+)"""""")"),"Items.Jumpsuit_01_basic_03")</f>
        <v>Items.Jumpsuit_01_basic_03</v>
      </c>
    </row>
    <row r="231">
      <c r="A231" s="17" t="s">
        <v>178</v>
      </c>
      <c r="B231" s="13" t="s">
        <v>82</v>
      </c>
      <c r="C231" s="27" t="s">
        <v>1375</v>
      </c>
      <c r="D231" s="11" t="s">
        <v>1376</v>
      </c>
      <c r="E231" s="28" t="str">
        <f>IFERROR(__xludf.DUMMYFUNCTION("REGEXEXTRACT(C231, """"""([^""""]+)"""""")"),"Items.Jacket_03_rich_01")</f>
        <v>Items.Jacket_03_rich_01</v>
      </c>
    </row>
    <row r="232">
      <c r="A232" s="17" t="s">
        <v>178</v>
      </c>
      <c r="B232" s="13" t="s">
        <v>82</v>
      </c>
      <c r="C232" s="27" t="s">
        <v>1377</v>
      </c>
      <c r="D232" s="11" t="s">
        <v>1378</v>
      </c>
      <c r="E232" s="28" t="str">
        <f>IFERROR(__xludf.DUMMYFUNCTION("REGEXEXTRACT(C232, """"""([^""""]+)"""""")"),"Items.FormalJacket_03_rich_02")</f>
        <v>Items.FormalJacket_03_rich_02</v>
      </c>
    </row>
    <row r="233">
      <c r="A233" s="17" t="s">
        <v>178</v>
      </c>
      <c r="B233" s="13" t="s">
        <v>82</v>
      </c>
      <c r="C233" s="27" t="s">
        <v>1379</v>
      </c>
      <c r="D233" s="11" t="s">
        <v>1380</v>
      </c>
      <c r="E233" s="28" t="str">
        <f>IFERROR(__xludf.DUMMYFUNCTION("REGEXEXTRACT(C233, """"""([^""""]+)"""""")"),"Items.Vest_11_basic_01")</f>
        <v>Items.Vest_11_basic_01</v>
      </c>
    </row>
    <row r="234">
      <c r="A234" s="17" t="s">
        <v>178</v>
      </c>
      <c r="B234" s="13" t="s">
        <v>82</v>
      </c>
      <c r="C234" s="27" t="s">
        <v>1381</v>
      </c>
      <c r="D234" s="11" t="s">
        <v>1382</v>
      </c>
      <c r="E234" s="28" t="str">
        <f>IFERROR(__xludf.DUMMYFUNCTION("REGEXEXTRACT(C234, """"""([^""""]+)"""""")"),"Items.Vest_16_old_02")</f>
        <v>Items.Vest_16_old_02</v>
      </c>
    </row>
    <row r="235">
      <c r="A235" s="17" t="s">
        <v>178</v>
      </c>
      <c r="B235" s="13" t="s">
        <v>82</v>
      </c>
      <c r="C235" s="27" t="s">
        <v>1383</v>
      </c>
      <c r="D235" s="11" t="s">
        <v>1384</v>
      </c>
      <c r="E235" s="28" t="str">
        <f>IFERROR(__xludf.DUMMYFUNCTION("REGEXEXTRACT(C235, """"""([^""""]+)"""""")"),"Items.Jacket_12_old_01")</f>
        <v>Items.Jacket_12_old_01</v>
      </c>
    </row>
    <row r="236">
      <c r="A236" s="17" t="s">
        <v>178</v>
      </c>
      <c r="B236" s="13" t="s">
        <v>82</v>
      </c>
      <c r="C236" s="27" t="s">
        <v>1385</v>
      </c>
      <c r="D236" s="11" t="s">
        <v>1386</v>
      </c>
      <c r="E236" s="28" t="str">
        <f>IFERROR(__xludf.DUMMYFUNCTION("REGEXEXTRACT(C236, """"""([^""""]+)"""""")"),"Items.Jacket_02_basic_01")</f>
        <v>Items.Jacket_02_basic_01</v>
      </c>
    </row>
    <row r="237">
      <c r="A237" s="17" t="s">
        <v>178</v>
      </c>
      <c r="B237" s="13" t="s">
        <v>82</v>
      </c>
      <c r="C237" s="27" t="s">
        <v>1387</v>
      </c>
      <c r="D237" s="11" t="s">
        <v>1388</v>
      </c>
      <c r="E237" s="28" t="str">
        <f>IFERROR(__xludf.DUMMYFUNCTION("REGEXEXTRACT(C237, """"""([^""""]+)"""""")"),"Items.Jacket_01_old_01")</f>
        <v>Items.Jacket_01_old_01</v>
      </c>
    </row>
    <row r="238">
      <c r="A238" s="17" t="s">
        <v>178</v>
      </c>
      <c r="B238" s="13" t="s">
        <v>82</v>
      </c>
      <c r="C238" s="27" t="s">
        <v>1389</v>
      </c>
      <c r="D238" s="11" t="s">
        <v>1390</v>
      </c>
      <c r="E238" s="28" t="str">
        <f>IFERROR(__xludf.DUMMYFUNCTION("REGEXEXTRACT(C238, """"""([^""""]+)"""""")"),"Items.Jacket_06_old_02")</f>
        <v>Items.Jacket_06_old_02</v>
      </c>
    </row>
    <row r="239">
      <c r="A239" s="17" t="s">
        <v>178</v>
      </c>
      <c r="B239" s="13" t="s">
        <v>82</v>
      </c>
      <c r="C239" s="27" t="s">
        <v>1391</v>
      </c>
      <c r="D239" s="11" t="s">
        <v>1392</v>
      </c>
      <c r="E239" s="28" t="str">
        <f>IFERROR(__xludf.DUMMYFUNCTION("REGEXEXTRACT(C239, """"""([^""""]+)"""""")"),"Items.Vest_20_rich_02")</f>
        <v>Items.Vest_20_rich_02</v>
      </c>
    </row>
    <row r="240">
      <c r="A240" s="17" t="s">
        <v>178</v>
      </c>
      <c r="B240" s="13" t="s">
        <v>82</v>
      </c>
      <c r="C240" s="27" t="s">
        <v>1393</v>
      </c>
      <c r="D240" s="11" t="s">
        <v>1394</v>
      </c>
      <c r="E240" s="28" t="str">
        <f>IFERROR(__xludf.DUMMYFUNCTION("REGEXEXTRACT(C240, """"""([^""""]+)"""""")"),"Items.Jacket_06_rich_01")</f>
        <v>Items.Jacket_06_rich_01</v>
      </c>
    </row>
    <row r="241">
      <c r="A241" s="17" t="s">
        <v>178</v>
      </c>
      <c r="B241" s="13" t="s">
        <v>82</v>
      </c>
      <c r="C241" s="27" t="s">
        <v>1395</v>
      </c>
      <c r="D241" s="11" t="s">
        <v>1396</v>
      </c>
      <c r="E241" s="28" t="str">
        <f>IFERROR(__xludf.DUMMYFUNCTION("REGEXEXTRACT(C241, """"""([^""""]+)"""""")"),"Items.Dress_01_basic_02")</f>
        <v>Items.Dress_01_basic_02</v>
      </c>
    </row>
    <row r="242">
      <c r="A242" s="17" t="s">
        <v>178</v>
      </c>
      <c r="B242" s="13" t="s">
        <v>82</v>
      </c>
      <c r="C242" s="27" t="s">
        <v>1397</v>
      </c>
      <c r="D242" s="11" t="s">
        <v>1398</v>
      </c>
      <c r="E242" s="28" t="str">
        <f>IFERROR(__xludf.DUMMYFUNCTION("REGEXEXTRACT(C242, """"""([^""""]+)"""""")"),"Items.Vest_13_rich_01")</f>
        <v>Items.Vest_13_rich_01</v>
      </c>
    </row>
    <row r="243">
      <c r="A243" s="17" t="s">
        <v>178</v>
      </c>
      <c r="B243" s="13" t="s">
        <v>82</v>
      </c>
      <c r="C243" s="27" t="s">
        <v>1399</v>
      </c>
      <c r="D243" s="11" t="s">
        <v>1400</v>
      </c>
      <c r="E243" s="28" t="str">
        <f>IFERROR(__xludf.DUMMYFUNCTION("REGEXEXTRACT(C243, """"""([^""""]+)"""""")"),"Items.Jacket_12_rich_01")</f>
        <v>Items.Jacket_12_rich_01</v>
      </c>
    </row>
    <row r="244">
      <c r="A244" s="17" t="s">
        <v>178</v>
      </c>
      <c r="B244" s="13" t="s">
        <v>82</v>
      </c>
      <c r="C244" s="27" t="s">
        <v>1401</v>
      </c>
      <c r="D244" s="11" t="s">
        <v>1402</v>
      </c>
      <c r="E244" s="28" t="str">
        <f>IFERROR(__xludf.DUMMYFUNCTION("REGEXEXTRACT(C244, """"""([^""""]+)"""""")"),"Items.LooseShirt_02_rich_02")</f>
        <v>Items.LooseShirt_02_rich_02</v>
      </c>
    </row>
    <row r="245">
      <c r="A245" s="17" t="s">
        <v>178</v>
      </c>
      <c r="B245" s="13" t="s">
        <v>82</v>
      </c>
      <c r="C245" s="27" t="s">
        <v>1403</v>
      </c>
      <c r="D245" s="11" t="s">
        <v>1404</v>
      </c>
      <c r="E245" s="28" t="str">
        <f>IFERROR(__xludf.DUMMYFUNCTION("REGEXEXTRACT(C245, """"""([^""""]+)"""""")"),"Items.Jacket_17_rich_01")</f>
        <v>Items.Jacket_17_rich_01</v>
      </c>
    </row>
    <row r="246">
      <c r="A246" s="17" t="s">
        <v>178</v>
      </c>
      <c r="B246" s="13" t="s">
        <v>82</v>
      </c>
      <c r="C246" s="27" t="s">
        <v>1405</v>
      </c>
      <c r="D246" s="11" t="s">
        <v>1406</v>
      </c>
      <c r="E246" s="28" t="str">
        <f>IFERROR(__xludf.DUMMYFUNCTION("REGEXEXTRACT(C246, """"""([^""""]+)"""""")"),"Items.FormalJacket_04_rich_02")</f>
        <v>Items.FormalJacket_04_rich_02</v>
      </c>
    </row>
    <row r="247">
      <c r="A247" s="17" t="s">
        <v>178</v>
      </c>
      <c r="B247" s="13" t="s">
        <v>82</v>
      </c>
      <c r="C247" s="27" t="s">
        <v>1407</v>
      </c>
      <c r="D247" s="11" t="s">
        <v>1408</v>
      </c>
      <c r="E247" s="28" t="str">
        <f>IFERROR(__xludf.DUMMYFUNCTION("REGEXEXTRACT(C247, """"""([^""""]+)"""""")"),"Items.Vest_03_old_01")</f>
        <v>Items.Vest_03_old_01</v>
      </c>
    </row>
    <row r="248">
      <c r="A248" s="17" t="s">
        <v>178</v>
      </c>
      <c r="B248" s="13" t="s">
        <v>82</v>
      </c>
      <c r="C248" s="27" t="s">
        <v>1409</v>
      </c>
      <c r="D248" s="11" t="s">
        <v>1410</v>
      </c>
      <c r="E248" s="28" t="str">
        <f>IFERROR(__xludf.DUMMYFUNCTION("REGEXEXTRACT(C248, """"""([^""""]+)"""""")"),"Items.Jacket_07_basic_01")</f>
        <v>Items.Jacket_07_basic_01</v>
      </c>
    </row>
    <row r="249">
      <c r="A249" s="17" t="s">
        <v>178</v>
      </c>
      <c r="B249" s="13" t="s">
        <v>82</v>
      </c>
      <c r="C249" s="27" t="s">
        <v>1411</v>
      </c>
      <c r="D249" s="11" t="s">
        <v>1412</v>
      </c>
      <c r="E249" s="28" t="str">
        <f>IFERROR(__xludf.DUMMYFUNCTION("REGEXEXTRACT(C249, """"""([^""""]+)"""""")"),"Items.Dress_02_rich_03")</f>
        <v>Items.Dress_02_rich_03</v>
      </c>
    </row>
    <row r="250">
      <c r="A250" s="17" t="s">
        <v>178</v>
      </c>
      <c r="B250" s="13" t="s">
        <v>82</v>
      </c>
      <c r="C250" s="27" t="s">
        <v>1413</v>
      </c>
      <c r="D250" s="11" t="s">
        <v>1414</v>
      </c>
      <c r="E250" s="28" t="str">
        <f>IFERROR(__xludf.DUMMYFUNCTION("REGEXEXTRACT(C250, """"""([^""""]+)"""""")"),"Items.Jacket_05_old_01")</f>
        <v>Items.Jacket_05_old_01</v>
      </c>
    </row>
    <row r="251">
      <c r="A251" s="17" t="s">
        <v>178</v>
      </c>
      <c r="B251" s="13" t="s">
        <v>82</v>
      </c>
      <c r="C251" s="27" t="s">
        <v>1415</v>
      </c>
      <c r="D251" s="11" t="s">
        <v>1416</v>
      </c>
      <c r="E251" s="28" t="str">
        <f>IFERROR(__xludf.DUMMYFUNCTION("REGEXEXTRACT(C251, """"""([^""""]+)"""""")"),"Items.Jacket_16_basic_02")</f>
        <v>Items.Jacket_16_basic_02</v>
      </c>
    </row>
    <row r="252">
      <c r="A252" s="17" t="s">
        <v>178</v>
      </c>
      <c r="B252" s="13" t="s">
        <v>82</v>
      </c>
      <c r="C252" s="27" t="s">
        <v>1417</v>
      </c>
      <c r="D252" s="11" t="s">
        <v>1418</v>
      </c>
      <c r="E252" s="28" t="str">
        <f>IFERROR(__xludf.DUMMYFUNCTION("REGEXEXTRACT(C252, """"""([^""""]+)"""""")"),"Items.Jacket_02_old_03")</f>
        <v>Items.Jacket_02_old_03</v>
      </c>
    </row>
    <row r="253">
      <c r="A253" s="17" t="s">
        <v>178</v>
      </c>
      <c r="B253" s="13" t="s">
        <v>82</v>
      </c>
      <c r="C253" s="27" t="s">
        <v>1419</v>
      </c>
      <c r="D253" s="11" t="s">
        <v>1420</v>
      </c>
      <c r="E253" s="28" t="str">
        <f>IFERROR(__xludf.DUMMYFUNCTION("REGEXEXTRACT(C253, """"""([^""""]+)"""""")"),"Items.Vest_14_old_02")</f>
        <v>Items.Vest_14_old_02</v>
      </c>
    </row>
    <row r="254">
      <c r="A254" s="17" t="s">
        <v>178</v>
      </c>
      <c r="B254" s="13" t="s">
        <v>82</v>
      </c>
      <c r="C254" s="27" t="s">
        <v>1421</v>
      </c>
      <c r="D254" s="11" t="s">
        <v>1422</v>
      </c>
      <c r="E254" s="28" t="str">
        <f>IFERROR(__xludf.DUMMYFUNCTION("REGEXEXTRACT(C254, """"""([^""""]+)"""""")"),"Items.MQ017_Samerai_Jacket")</f>
        <v>Items.MQ017_Samerai_Jacket</v>
      </c>
    </row>
    <row r="255">
      <c r="A255" s="17" t="s">
        <v>178</v>
      </c>
      <c r="B255" s="13" t="s">
        <v>82</v>
      </c>
      <c r="C255" s="27" t="s">
        <v>1423</v>
      </c>
      <c r="D255" s="11" t="s">
        <v>1424</v>
      </c>
      <c r="E255" s="28" t="str">
        <f>IFERROR(__xludf.DUMMYFUNCTION("REGEXEXTRACT(C255, """"""([^""""]+)"""""")"),"Items.Vest_01_old_01")</f>
        <v>Items.Vest_01_old_01</v>
      </c>
    </row>
    <row r="256">
      <c r="A256" s="17" t="s">
        <v>178</v>
      </c>
      <c r="B256" s="13" t="s">
        <v>82</v>
      </c>
      <c r="C256" s="27" t="s">
        <v>1425</v>
      </c>
      <c r="D256" s="11" t="s">
        <v>1426</v>
      </c>
      <c r="E256" s="28" t="str">
        <f>IFERROR(__xludf.DUMMYFUNCTION("REGEXEXTRACT(C256, """"""([^""""]+)"""""")"),"Items.Vest_15_old_02")</f>
        <v>Items.Vest_15_old_02</v>
      </c>
    </row>
    <row r="257">
      <c r="A257" s="17" t="s">
        <v>178</v>
      </c>
      <c r="B257" s="13" t="s">
        <v>82</v>
      </c>
      <c r="C257" s="27" t="s">
        <v>1427</v>
      </c>
      <c r="D257" s="11" t="s">
        <v>1428</v>
      </c>
      <c r="E257" s="28" t="str">
        <f>IFERROR(__xludf.DUMMYFUNCTION("REGEXEXTRACT(C257, """"""([^""""]+)"""""")"),"Items.Vest_07_rich_01")</f>
        <v>Items.Vest_07_rich_01</v>
      </c>
    </row>
    <row r="258">
      <c r="A258" s="17" t="s">
        <v>178</v>
      </c>
      <c r="B258" s="13" t="s">
        <v>82</v>
      </c>
      <c r="C258" s="27" t="s">
        <v>1429</v>
      </c>
      <c r="D258" s="11" t="s">
        <v>1430</v>
      </c>
      <c r="E258" s="28" t="str">
        <f>IFERROR(__xludf.DUMMYFUNCTION("REGEXEXTRACT(C258, """"""([^""""]+)"""""")"),"Items.Vest_16_old_01")</f>
        <v>Items.Vest_16_old_01</v>
      </c>
    </row>
    <row r="259">
      <c r="A259" s="17" t="s">
        <v>178</v>
      </c>
      <c r="B259" s="13" t="s">
        <v>82</v>
      </c>
      <c r="C259" s="27" t="s">
        <v>1431</v>
      </c>
      <c r="D259" s="11" t="s">
        <v>1432</v>
      </c>
      <c r="E259" s="28" t="str">
        <f>IFERROR(__xludf.DUMMYFUNCTION("REGEXEXTRACT(C259, """"""([^""""]+)"""""")"),"Items.Jacket_14_basic_02")</f>
        <v>Items.Jacket_14_basic_02</v>
      </c>
    </row>
    <row r="260">
      <c r="A260" s="17" t="s">
        <v>178</v>
      </c>
      <c r="B260" s="13" t="s">
        <v>82</v>
      </c>
      <c r="C260" s="27" t="s">
        <v>1433</v>
      </c>
      <c r="D260" s="11" t="s">
        <v>1434</v>
      </c>
      <c r="E260" s="28" t="str">
        <f>IFERROR(__xludf.DUMMYFUNCTION("REGEXEXTRACT(C260, """"""([^""""]+)"""""")"),"Items.Vest_20_rich_01")</f>
        <v>Items.Vest_20_rich_01</v>
      </c>
    </row>
    <row r="261">
      <c r="A261" s="17" t="s">
        <v>178</v>
      </c>
      <c r="B261" s="13" t="s">
        <v>82</v>
      </c>
      <c r="C261" s="27" t="s">
        <v>1435</v>
      </c>
      <c r="D261" s="11" t="s">
        <v>1436</v>
      </c>
      <c r="E261" s="28" t="str">
        <f>IFERROR(__xludf.DUMMYFUNCTION("REGEXEXTRACT(C261, """"""([^""""]+)"""""")"),"Items.Jacket_14_basic_01")</f>
        <v>Items.Jacket_14_basic_01</v>
      </c>
    </row>
    <row r="262">
      <c r="A262" s="17" t="s">
        <v>178</v>
      </c>
      <c r="B262" s="13" t="s">
        <v>82</v>
      </c>
      <c r="C262" s="27" t="s">
        <v>1437</v>
      </c>
      <c r="D262" s="11" t="s">
        <v>1438</v>
      </c>
      <c r="E262" s="28" t="str">
        <f>IFERROR(__xludf.DUMMYFUNCTION("REGEXEXTRACT(C262, """"""([^""""]+)"""""")"),"Items.Jacket_04_basic_03")</f>
        <v>Items.Jacket_04_basic_03</v>
      </c>
    </row>
    <row r="263">
      <c r="A263" s="17" t="s">
        <v>178</v>
      </c>
      <c r="B263" s="13" t="s">
        <v>82</v>
      </c>
      <c r="C263" s="27" t="s">
        <v>1439</v>
      </c>
      <c r="D263" s="11" t="s">
        <v>1440</v>
      </c>
      <c r="E263" s="28" t="str">
        <f>IFERROR(__xludf.DUMMYFUNCTION("REGEXEXTRACT(C263, """"""([^""""]+)"""""")"),"Items.Jacket_07_rich_02")</f>
        <v>Items.Jacket_07_rich_02</v>
      </c>
    </row>
    <row r="264">
      <c r="A264" s="17" t="s">
        <v>178</v>
      </c>
      <c r="B264" s="13" t="s">
        <v>82</v>
      </c>
      <c r="C264" s="27" t="s">
        <v>1441</v>
      </c>
      <c r="D264" s="11" t="s">
        <v>1442</v>
      </c>
      <c r="E264" s="28" t="str">
        <f>IFERROR(__xludf.DUMMYFUNCTION("REGEXEXTRACT(C264, """"""([^""""]+)"""""")"),"Items.Jacket_13_basic_02")</f>
        <v>Items.Jacket_13_basic_02</v>
      </c>
    </row>
    <row r="265">
      <c r="A265" s="17" t="s">
        <v>178</v>
      </c>
      <c r="B265" s="13" t="s">
        <v>82</v>
      </c>
      <c r="C265" s="27" t="s">
        <v>1443</v>
      </c>
      <c r="D265" s="11" t="s">
        <v>1444</v>
      </c>
      <c r="E265" s="28" t="str">
        <f>IFERROR(__xludf.DUMMYFUNCTION("REGEXEXTRACT(C265, """"""([^""""]+)"""""")"),"Items.Jacket_13_rich_01")</f>
        <v>Items.Jacket_13_rich_01</v>
      </c>
    </row>
    <row r="266">
      <c r="A266" s="17" t="s">
        <v>178</v>
      </c>
      <c r="B266" s="13" t="s">
        <v>82</v>
      </c>
      <c r="C266" s="27" t="s">
        <v>1445</v>
      </c>
      <c r="D266" s="11" t="s">
        <v>1446</v>
      </c>
      <c r="E266" s="28" t="str">
        <f>IFERROR(__xludf.DUMMYFUNCTION("REGEXEXTRACT(C266, """"""([^""""]+)"""""")"),"Items.Jacket_08_old_01")</f>
        <v>Items.Jacket_08_old_01</v>
      </c>
    </row>
    <row r="267">
      <c r="A267" s="17" t="s">
        <v>178</v>
      </c>
      <c r="B267" s="13" t="s">
        <v>82</v>
      </c>
      <c r="C267" s="27" t="s">
        <v>1447</v>
      </c>
      <c r="D267" s="11" t="s">
        <v>1448</v>
      </c>
      <c r="E267" s="28" t="str">
        <f>IFERROR(__xludf.DUMMYFUNCTION("REGEXEXTRACT(C267, """"""([^""""]+)"""""")"),"Items.Dress_02_basic_03")</f>
        <v>Items.Dress_02_basic_03</v>
      </c>
    </row>
    <row r="268">
      <c r="A268" s="17" t="s">
        <v>178</v>
      </c>
      <c r="B268" s="13" t="s">
        <v>82</v>
      </c>
      <c r="C268" s="27" t="s">
        <v>1449</v>
      </c>
      <c r="D268" s="11" t="s">
        <v>1450</v>
      </c>
      <c r="E268" s="28" t="str">
        <f>IFERROR(__xludf.DUMMYFUNCTION("REGEXEXTRACT(C268, """"""([^""""]+)"""""")"),"Items.Coat_01_basic_01")</f>
        <v>Items.Coat_01_basic_01</v>
      </c>
    </row>
    <row r="269">
      <c r="A269" s="17" t="s">
        <v>178</v>
      </c>
      <c r="B269" s="13" t="s">
        <v>82</v>
      </c>
      <c r="C269" s="27" t="s">
        <v>1451</v>
      </c>
      <c r="D269" s="11" t="s">
        <v>1452</v>
      </c>
      <c r="E269" s="28" t="str">
        <f>IFERROR(__xludf.DUMMYFUNCTION("REGEXEXTRACT(C269, """"""([^""""]+)"""""")"),"Items.Coat_03_old_01")</f>
        <v>Items.Coat_03_old_01</v>
      </c>
    </row>
    <row r="270">
      <c r="A270" s="17" t="s">
        <v>178</v>
      </c>
      <c r="B270" s="13" t="s">
        <v>82</v>
      </c>
      <c r="C270" s="27" t="s">
        <v>1453</v>
      </c>
      <c r="D270" s="11" t="s">
        <v>1454</v>
      </c>
      <c r="E270" s="28" t="str">
        <f>IFERROR(__xludf.DUMMYFUNCTION("REGEXEXTRACT(C270, """"""([^""""]+)"""""")"),"Items.Jumpsuit_01_rich_01")</f>
        <v>Items.Jumpsuit_01_rich_01</v>
      </c>
    </row>
    <row r="271">
      <c r="A271" s="17" t="s">
        <v>178</v>
      </c>
      <c r="B271" s="13" t="s">
        <v>82</v>
      </c>
      <c r="C271" s="27" t="s">
        <v>1455</v>
      </c>
      <c r="D271" s="11" t="s">
        <v>1456</v>
      </c>
      <c r="E271" s="28" t="str">
        <f>IFERROR(__xludf.DUMMYFUNCTION("REGEXEXTRACT(C271, """"""([^""""]+)"""""")"),"Items.Jacket_13_old_03")</f>
        <v>Items.Jacket_13_old_03</v>
      </c>
    </row>
    <row r="272">
      <c r="A272" s="17" t="s">
        <v>178</v>
      </c>
      <c r="B272" s="13" t="s">
        <v>82</v>
      </c>
      <c r="C272" s="27" t="s">
        <v>1457</v>
      </c>
      <c r="D272" s="11" t="s">
        <v>1458</v>
      </c>
      <c r="E272" s="28" t="str">
        <f>IFERROR(__xludf.DUMMYFUNCTION("REGEXEXTRACT(C272, """"""([^""""]+)"""""")"),"Items.Vest_20_old_01")</f>
        <v>Items.Vest_20_old_01</v>
      </c>
    </row>
    <row r="273">
      <c r="A273" s="17" t="s">
        <v>178</v>
      </c>
      <c r="B273" s="13" t="s">
        <v>82</v>
      </c>
      <c r="C273" s="27" t="s">
        <v>1459</v>
      </c>
      <c r="D273" s="11" t="s">
        <v>1460</v>
      </c>
      <c r="E273" s="28" t="str">
        <f>IFERROR(__xludf.DUMMYFUNCTION("REGEXEXTRACT(C273, """"""([^""""]+)"""""")"),"Items.Vest_10_basic_01")</f>
        <v>Items.Vest_10_basic_01</v>
      </c>
    </row>
    <row r="274">
      <c r="A274" s="17" t="s">
        <v>178</v>
      </c>
      <c r="B274" s="13" t="s">
        <v>82</v>
      </c>
      <c r="C274" s="27" t="s">
        <v>1461</v>
      </c>
      <c r="D274" s="11" t="s">
        <v>1462</v>
      </c>
      <c r="E274" s="28" t="str">
        <f>IFERROR(__xludf.DUMMYFUNCTION("REGEXEXTRACT(C274, """"""([^""""]+)"""""")"),"Items.Jacket_14_old_01")</f>
        <v>Items.Jacket_14_old_01</v>
      </c>
    </row>
    <row r="275">
      <c r="A275" s="17" t="s">
        <v>178</v>
      </c>
      <c r="B275" s="13" t="s">
        <v>82</v>
      </c>
      <c r="C275" s="27" t="s">
        <v>1463</v>
      </c>
      <c r="D275" s="11" t="s">
        <v>1464</v>
      </c>
      <c r="E275" s="28" t="str">
        <f>IFERROR(__xludf.DUMMYFUNCTION("REGEXEXTRACT(C275, """"""([^""""]+)"""""")"),"Items.FormalJacket_01_old_01")</f>
        <v>Items.FormalJacket_01_old_01</v>
      </c>
    </row>
    <row r="276">
      <c r="A276" s="17" t="s">
        <v>178</v>
      </c>
      <c r="B276" s="13" t="s">
        <v>82</v>
      </c>
      <c r="C276" s="27" t="s">
        <v>1465</v>
      </c>
      <c r="D276" s="11" t="s">
        <v>1466</v>
      </c>
      <c r="E276" s="28" t="str">
        <f>IFERROR(__xludf.DUMMYFUNCTION("REGEXEXTRACT(C276, """"""([^""""]+)"""""")"),"Items.Coat_01_basic_03")</f>
        <v>Items.Coat_01_basic_03</v>
      </c>
    </row>
    <row r="277">
      <c r="A277" s="17" t="s">
        <v>178</v>
      </c>
      <c r="B277" s="13" t="s">
        <v>82</v>
      </c>
      <c r="C277" s="27" t="s">
        <v>1467</v>
      </c>
      <c r="D277" s="11" t="s">
        <v>1468</v>
      </c>
      <c r="E277" s="28" t="str">
        <f>IFERROR(__xludf.DUMMYFUNCTION("REGEXEXTRACT(C277, """"""([^""""]+)"""""")"),"Items.Coat_01_rich_03")</f>
        <v>Items.Coat_01_rich_03</v>
      </c>
    </row>
    <row r="278">
      <c r="A278" s="17" t="s">
        <v>178</v>
      </c>
      <c r="B278" s="13" t="s">
        <v>82</v>
      </c>
      <c r="C278" s="27" t="s">
        <v>1469</v>
      </c>
      <c r="D278" s="11" t="s">
        <v>1470</v>
      </c>
      <c r="E278" s="28" t="str">
        <f>IFERROR(__xludf.DUMMYFUNCTION("REGEXEXTRACT(C278, """"""([^""""]+)"""""")"),"Items.Jacket_17_old_02")</f>
        <v>Items.Jacket_17_old_02</v>
      </c>
    </row>
    <row r="279">
      <c r="A279" s="17" t="s">
        <v>178</v>
      </c>
      <c r="B279" s="13" t="s">
        <v>82</v>
      </c>
      <c r="C279" s="27" t="s">
        <v>1471</v>
      </c>
      <c r="D279" s="11" t="s">
        <v>1472</v>
      </c>
      <c r="E279" s="28" t="str">
        <f>IFERROR(__xludf.DUMMYFUNCTION("REGEXEXTRACT(C279, """"""([^""""]+)"""""")"),"Items.FormalJacket_03_basic_02")</f>
        <v>Items.FormalJacket_03_basic_02</v>
      </c>
    </row>
    <row r="280">
      <c r="A280" s="17" t="s">
        <v>178</v>
      </c>
      <c r="B280" s="13" t="s">
        <v>82</v>
      </c>
      <c r="C280" s="27" t="s">
        <v>1473</v>
      </c>
      <c r="D280" s="11" t="s">
        <v>1474</v>
      </c>
      <c r="E280" s="28" t="str">
        <f>IFERROR(__xludf.DUMMYFUNCTION("REGEXEXTRACT(C280, """"""([^""""]+)"""""")"),"Items.FormalJacket_05_basic_01")</f>
        <v>Items.FormalJacket_05_basic_01</v>
      </c>
    </row>
    <row r="281">
      <c r="A281" s="17" t="s">
        <v>178</v>
      </c>
      <c r="B281" s="13" t="s">
        <v>82</v>
      </c>
      <c r="C281" s="27" t="s">
        <v>1475</v>
      </c>
      <c r="D281" s="11" t="s">
        <v>1476</v>
      </c>
      <c r="E281" s="28" t="str">
        <f>IFERROR(__xludf.DUMMYFUNCTION("REGEXEXTRACT(C281, """"""([^""""]+)"""""")"),"Items.Vest_19_old_01")</f>
        <v>Items.Vest_19_old_01</v>
      </c>
    </row>
    <row r="282">
      <c r="A282" s="17" t="s">
        <v>178</v>
      </c>
      <c r="B282" s="13" t="s">
        <v>82</v>
      </c>
      <c r="C282" s="27" t="s">
        <v>1477</v>
      </c>
      <c r="D282" s="11" t="s">
        <v>1478</v>
      </c>
      <c r="E282" s="28" t="str">
        <f>IFERROR(__xludf.DUMMYFUNCTION("REGEXEXTRACT(C282, """"""([^""""]+)"""""")"),"Items.Jacket_13_old_01")</f>
        <v>Items.Jacket_13_old_01</v>
      </c>
    </row>
    <row r="283">
      <c r="A283" s="17" t="s">
        <v>178</v>
      </c>
      <c r="B283" s="13" t="s">
        <v>82</v>
      </c>
      <c r="C283" s="27" t="s">
        <v>1479</v>
      </c>
      <c r="D283" s="11" t="s">
        <v>1480</v>
      </c>
      <c r="E283" s="28" t="str">
        <f>IFERROR(__xludf.DUMMYFUNCTION("REGEXEXTRACT(C283, """"""([^""""]+)"""""")"),"Items.Vest_16_basic_01")</f>
        <v>Items.Vest_16_basic_01</v>
      </c>
    </row>
    <row r="284">
      <c r="A284" s="17" t="s">
        <v>178</v>
      </c>
      <c r="B284" s="13" t="s">
        <v>82</v>
      </c>
      <c r="C284" s="27" t="s">
        <v>1481</v>
      </c>
      <c r="D284" s="11" t="s">
        <v>1482</v>
      </c>
      <c r="E284" s="28" t="str">
        <f>IFERROR(__xludf.DUMMYFUNCTION("REGEXEXTRACT(C284, """"""([^""""]+)"""""")"),"Items.Jacket_10_rich_02")</f>
        <v>Items.Jacket_10_rich_02</v>
      </c>
    </row>
    <row r="285">
      <c r="A285" s="17" t="s">
        <v>178</v>
      </c>
      <c r="B285" s="13" t="s">
        <v>82</v>
      </c>
      <c r="C285" s="27" t="s">
        <v>1483</v>
      </c>
      <c r="D285" s="11" t="s">
        <v>1484</v>
      </c>
      <c r="E285" s="28" t="str">
        <f>IFERROR(__xludf.DUMMYFUNCTION("REGEXEXTRACT(C285, """"""([^""""]+)"""""")"),"Items.Jumpsuit_02_old_01")</f>
        <v>Items.Jumpsuit_02_old_01</v>
      </c>
    </row>
    <row r="286">
      <c r="A286" s="17" t="s">
        <v>178</v>
      </c>
      <c r="B286" s="13" t="s">
        <v>82</v>
      </c>
      <c r="C286" s="27" t="s">
        <v>1485</v>
      </c>
      <c r="D286" s="11" t="s">
        <v>1486</v>
      </c>
      <c r="E286" s="28" t="str">
        <f>IFERROR(__xludf.DUMMYFUNCTION("REGEXEXTRACT(C286, """"""([^""""]+)"""""")"),"Items.Jacket_04_old_03")</f>
        <v>Items.Jacket_04_old_03</v>
      </c>
    </row>
    <row r="287">
      <c r="A287" s="17" t="s">
        <v>178</v>
      </c>
      <c r="B287" s="13" t="s">
        <v>82</v>
      </c>
      <c r="C287" s="27" t="s">
        <v>1487</v>
      </c>
      <c r="D287" s="11" t="s">
        <v>1488</v>
      </c>
      <c r="E287" s="28" t="str">
        <f>IFERROR(__xludf.DUMMYFUNCTION("REGEXEXTRACT(C287, """"""([^""""]+)"""""")"),"Items.Jacket_09_basic_01")</f>
        <v>Items.Jacket_09_basic_01</v>
      </c>
    </row>
    <row r="288">
      <c r="A288" s="17" t="s">
        <v>178</v>
      </c>
      <c r="B288" s="13" t="s">
        <v>82</v>
      </c>
      <c r="C288" s="27" t="s">
        <v>1489</v>
      </c>
      <c r="D288" s="11" t="s">
        <v>1490</v>
      </c>
      <c r="E288" s="28" t="str">
        <f>IFERROR(__xludf.DUMMYFUNCTION("REGEXEXTRACT(C288, """"""([^""""]+)"""""")"),"Items.Jacket_16_old_02")</f>
        <v>Items.Jacket_16_old_02</v>
      </c>
    </row>
    <row r="289">
      <c r="A289" s="17" t="s">
        <v>178</v>
      </c>
      <c r="B289" s="13" t="s">
        <v>82</v>
      </c>
      <c r="C289" s="27" t="s">
        <v>1491</v>
      </c>
      <c r="D289" s="11" t="s">
        <v>1492</v>
      </c>
      <c r="E289" s="28" t="str">
        <f>IFERROR(__xludf.DUMMYFUNCTION("REGEXEXTRACT(C289, """"""([^""""]+)"""""")"),"Items.Jacket_04_basic_01")</f>
        <v>Items.Jacket_04_basic_01</v>
      </c>
    </row>
    <row r="290">
      <c r="A290" s="17" t="s">
        <v>178</v>
      </c>
      <c r="B290" s="13" t="s">
        <v>82</v>
      </c>
      <c r="C290" s="27" t="s">
        <v>1493</v>
      </c>
      <c r="D290" s="11" t="s">
        <v>1494</v>
      </c>
      <c r="E290" s="28" t="str">
        <f>IFERROR(__xludf.DUMMYFUNCTION("REGEXEXTRACT(C290, """"""([^""""]+)"""""")"),"Items.FormalJacket_04_basic_03")</f>
        <v>Items.FormalJacket_04_basic_03</v>
      </c>
    </row>
    <row r="291">
      <c r="A291" s="17" t="s">
        <v>178</v>
      </c>
      <c r="B291" s="13" t="s">
        <v>82</v>
      </c>
      <c r="C291" s="27" t="s">
        <v>1495</v>
      </c>
      <c r="D291" s="11" t="s">
        <v>1496</v>
      </c>
      <c r="E291" s="28" t="str">
        <f>IFERROR(__xludf.DUMMYFUNCTION("REGEXEXTRACT(C291, """"""([^""""]+)"""""")"),"Items.Coat_04_old_02")</f>
        <v>Items.Coat_04_old_02</v>
      </c>
    </row>
    <row r="292">
      <c r="A292" s="17" t="s">
        <v>178</v>
      </c>
      <c r="B292" s="13" t="s">
        <v>82</v>
      </c>
      <c r="C292" s="27" t="s">
        <v>1497</v>
      </c>
      <c r="D292" s="11" t="s">
        <v>1498</v>
      </c>
      <c r="E292" s="28" t="str">
        <f>IFERROR(__xludf.DUMMYFUNCTION("REGEXEXTRACT(C292, """"""([^""""]+)"""""")"),"Items.Jacket_17_rich_02")</f>
        <v>Items.Jacket_17_rich_02</v>
      </c>
    </row>
    <row r="293">
      <c r="A293" s="17" t="s">
        <v>178</v>
      </c>
      <c r="B293" s="13" t="s">
        <v>82</v>
      </c>
      <c r="C293" s="27" t="s">
        <v>1499</v>
      </c>
      <c r="D293" s="11" t="s">
        <v>1500</v>
      </c>
      <c r="E293" s="28" t="str">
        <f>IFERROR(__xludf.DUMMYFUNCTION("REGEXEXTRACT(C293, """"""([^""""]+)"""""")"),"Items.Jacket_01_basic_01")</f>
        <v>Items.Jacket_01_basic_01</v>
      </c>
    </row>
    <row r="294">
      <c r="A294" s="17" t="s">
        <v>178</v>
      </c>
      <c r="B294" s="13" t="s">
        <v>82</v>
      </c>
      <c r="C294" s="27" t="s">
        <v>1501</v>
      </c>
      <c r="D294" s="11" t="s">
        <v>1502</v>
      </c>
      <c r="E294" s="28" t="str">
        <f>IFERROR(__xludf.DUMMYFUNCTION("REGEXEXTRACT(C294, """"""([^""""]+)"""""")"),"Items.Vest_08_rich_02")</f>
        <v>Items.Vest_08_rich_02</v>
      </c>
    </row>
    <row r="295">
      <c r="A295" s="17" t="s">
        <v>178</v>
      </c>
      <c r="B295" s="13" t="s">
        <v>82</v>
      </c>
      <c r="C295" s="27" t="s">
        <v>1503</v>
      </c>
      <c r="D295" s="11" t="s">
        <v>1504</v>
      </c>
      <c r="E295" s="28" t="str">
        <f>IFERROR(__xludf.DUMMYFUNCTION("REGEXEXTRACT(C295, """"""([^""""]+)"""""")"),"Items.Vest_12_rich_01")</f>
        <v>Items.Vest_12_rich_01</v>
      </c>
    </row>
    <row r="296">
      <c r="A296" s="17" t="s">
        <v>178</v>
      </c>
      <c r="B296" s="13" t="s">
        <v>82</v>
      </c>
      <c r="C296" s="27" t="s">
        <v>1505</v>
      </c>
      <c r="D296" s="11" t="s">
        <v>1506</v>
      </c>
      <c r="E296" s="28" t="str">
        <f>IFERROR(__xludf.DUMMYFUNCTION("REGEXEXTRACT(C296, """"""([^""""]+)"""""")"),"Items.Jacket_03_basic_03")</f>
        <v>Items.Jacket_03_basic_03</v>
      </c>
    </row>
    <row r="297">
      <c r="A297" s="17" t="s">
        <v>178</v>
      </c>
      <c r="B297" s="13" t="s">
        <v>82</v>
      </c>
      <c r="C297" s="27" t="s">
        <v>1507</v>
      </c>
      <c r="D297" s="11" t="s">
        <v>1508</v>
      </c>
      <c r="E297" s="28" t="str">
        <f>IFERROR(__xludf.DUMMYFUNCTION("REGEXEXTRACT(C297, """"""([^""""]+)"""""")"),"Items.Vest_06_basic_02")</f>
        <v>Items.Vest_06_basic_02</v>
      </c>
    </row>
    <row r="298">
      <c r="A298" s="17" t="s">
        <v>178</v>
      </c>
      <c r="B298" s="13" t="s">
        <v>82</v>
      </c>
      <c r="C298" s="27" t="s">
        <v>1509</v>
      </c>
      <c r="D298" s="11" t="s">
        <v>1510</v>
      </c>
      <c r="E298" s="28" t="str">
        <f>IFERROR(__xludf.DUMMYFUNCTION("REGEXEXTRACT(C298, """"""([^""""]+)"""""")"),"Items.Jacket_17_rich_04")</f>
        <v>Items.Jacket_17_rich_04</v>
      </c>
    </row>
    <row r="299">
      <c r="A299" s="17" t="s">
        <v>178</v>
      </c>
      <c r="B299" s="13" t="s">
        <v>82</v>
      </c>
      <c r="C299" s="27" t="s">
        <v>1511</v>
      </c>
      <c r="D299" s="11" t="s">
        <v>1512</v>
      </c>
      <c r="E299" s="28" t="str">
        <f>IFERROR(__xludf.DUMMYFUNCTION("REGEXEXTRACT(C299, """"""([^""""]+)"""""")"),"Items.Vest_02_basic_02")</f>
        <v>Items.Vest_02_basic_02</v>
      </c>
    </row>
    <row r="300">
      <c r="A300" s="17" t="s">
        <v>178</v>
      </c>
      <c r="B300" s="13" t="s">
        <v>82</v>
      </c>
      <c r="C300" s="27" t="s">
        <v>1513</v>
      </c>
      <c r="D300" s="11" t="s">
        <v>1514</v>
      </c>
      <c r="E300" s="28" t="str">
        <f>IFERROR(__xludf.DUMMYFUNCTION("REGEXEXTRACT(C300, """"""([^""""]+)"""""")"),"Items.Coat_04_basic_01")</f>
        <v>Items.Coat_04_basic_01</v>
      </c>
    </row>
    <row r="301">
      <c r="A301" s="17" t="s">
        <v>178</v>
      </c>
      <c r="B301" s="13" t="s">
        <v>82</v>
      </c>
      <c r="C301" s="27" t="s">
        <v>1515</v>
      </c>
      <c r="D301" s="11" t="s">
        <v>1516</v>
      </c>
      <c r="E301" s="28" t="str">
        <f>IFERROR(__xludf.DUMMYFUNCTION("REGEXEXTRACT(C301, """"""([^""""]+)"""""")"),"Items.Vest_07_rich_02")</f>
        <v>Items.Vest_07_rich_02</v>
      </c>
    </row>
    <row r="302">
      <c r="A302" s="17" t="s">
        <v>178</v>
      </c>
      <c r="B302" s="13" t="s">
        <v>82</v>
      </c>
      <c r="C302" s="27" t="s">
        <v>1517</v>
      </c>
      <c r="D302" s="11" t="s">
        <v>1518</v>
      </c>
      <c r="E302" s="28" t="str">
        <f>IFERROR(__xludf.DUMMYFUNCTION("REGEXEXTRACT(C302, """"""([^""""]+)"""""")"),"Items.Jacket_03_basic_04")</f>
        <v>Items.Jacket_03_basic_04</v>
      </c>
    </row>
    <row r="303">
      <c r="A303" s="17" t="s">
        <v>178</v>
      </c>
      <c r="B303" s="13" t="s">
        <v>82</v>
      </c>
      <c r="C303" s="27" t="s">
        <v>1519</v>
      </c>
      <c r="D303" s="11" t="s">
        <v>1520</v>
      </c>
      <c r="E303" s="28" t="str">
        <f>IFERROR(__xludf.DUMMYFUNCTION("REGEXEXTRACT(C303, """"""([^""""]+)"""""")"),"Items.Vest_12_rich_02")</f>
        <v>Items.Vest_12_rich_02</v>
      </c>
    </row>
    <row r="304">
      <c r="A304" s="17" t="s">
        <v>178</v>
      </c>
      <c r="B304" s="13" t="s">
        <v>82</v>
      </c>
      <c r="C304" s="27" t="s">
        <v>1521</v>
      </c>
      <c r="D304" s="11" t="s">
        <v>1522</v>
      </c>
      <c r="E304" s="28" t="str">
        <f>IFERROR(__xludf.DUMMYFUNCTION("REGEXEXTRACT(C304, """"""([^""""]+)"""""")"),"Items.Jacket_17_rich_05")</f>
        <v>Items.Jacket_17_rich_05</v>
      </c>
    </row>
    <row r="305">
      <c r="A305" s="17" t="s">
        <v>178</v>
      </c>
      <c r="B305" s="13" t="s">
        <v>82</v>
      </c>
      <c r="C305" s="27" t="s">
        <v>1523</v>
      </c>
      <c r="D305" s="11" t="s">
        <v>1524</v>
      </c>
      <c r="E305" s="28" t="str">
        <f>IFERROR(__xludf.DUMMYFUNCTION("REGEXEXTRACT(C305, """"""([^""""]+)"""""")"),"Items.Vest_10_basic_02")</f>
        <v>Items.Vest_10_basic_02</v>
      </c>
    </row>
    <row r="306">
      <c r="A306" s="17" t="s">
        <v>178</v>
      </c>
      <c r="B306" s="13" t="s">
        <v>82</v>
      </c>
      <c r="C306" s="27" t="s">
        <v>1525</v>
      </c>
      <c r="D306" s="11" t="s">
        <v>1526</v>
      </c>
      <c r="E306" s="28" t="str">
        <f>IFERROR(__xludf.DUMMYFUNCTION("REGEXEXTRACT(C306, """"""([^""""]+)"""""")"),"Items.Dress_01_basic_01")</f>
        <v>Items.Dress_01_basic_01</v>
      </c>
    </row>
    <row r="307">
      <c r="A307" s="17" t="s">
        <v>178</v>
      </c>
      <c r="B307" s="13" t="s">
        <v>82</v>
      </c>
      <c r="C307" s="27" t="s">
        <v>1527</v>
      </c>
      <c r="D307" s="11" t="s">
        <v>1528</v>
      </c>
      <c r="E307" s="28" t="str">
        <f>IFERROR(__xludf.DUMMYFUNCTION("REGEXEXTRACT(C307, """"""([^""""]+)"""""")"),"Items.Vest_04_rich_01")</f>
        <v>Items.Vest_04_rich_01</v>
      </c>
    </row>
    <row r="308">
      <c r="A308" s="17" t="s">
        <v>178</v>
      </c>
      <c r="B308" s="13" t="s">
        <v>82</v>
      </c>
      <c r="C308" s="27" t="s">
        <v>1529</v>
      </c>
      <c r="D308" s="11" t="s">
        <v>1530</v>
      </c>
      <c r="E308" s="28" t="str">
        <f>IFERROR(__xludf.DUMMYFUNCTION("REGEXEXTRACT(C308, """"""([^""""]+)"""""")"),"Items.Jacket_17_basic_03")</f>
        <v>Items.Jacket_17_basic_03</v>
      </c>
    </row>
    <row r="309">
      <c r="A309" s="17" t="s">
        <v>178</v>
      </c>
      <c r="B309" s="13" t="s">
        <v>82</v>
      </c>
      <c r="C309" s="27" t="s">
        <v>1531</v>
      </c>
      <c r="D309" s="11" t="s">
        <v>1532</v>
      </c>
      <c r="E309" s="28" t="str">
        <f>IFERROR(__xludf.DUMMYFUNCTION("REGEXEXTRACT(C309, """"""([^""""]+)"""""")"),"Items.Vest_19_rich_01")</f>
        <v>Items.Vest_19_rich_01</v>
      </c>
    </row>
    <row r="310">
      <c r="A310" s="17" t="s">
        <v>178</v>
      </c>
      <c r="B310" s="13" t="s">
        <v>82</v>
      </c>
      <c r="C310" s="27" t="s">
        <v>1533</v>
      </c>
      <c r="D310" s="11" t="s">
        <v>1534</v>
      </c>
      <c r="E310" s="28" t="str">
        <f>IFERROR(__xludf.DUMMYFUNCTION("REGEXEXTRACT(C310, """"""([^""""]+)"""""")"),"Items.LooseShirt_01_basic_02")</f>
        <v>Items.LooseShirt_01_basic_02</v>
      </c>
    </row>
    <row r="311">
      <c r="A311" s="17" t="s">
        <v>178</v>
      </c>
      <c r="B311" s="13" t="s">
        <v>82</v>
      </c>
      <c r="C311" s="27" t="s">
        <v>1535</v>
      </c>
      <c r="D311" s="11" t="s">
        <v>1536</v>
      </c>
      <c r="E311" s="28" t="str">
        <f>IFERROR(__xludf.DUMMYFUNCTION("REGEXEXTRACT(C311, """"""([^""""]+)"""""")"),"Items.Vest_17_rich_01")</f>
        <v>Items.Vest_17_rich_01</v>
      </c>
    </row>
    <row r="312">
      <c r="A312" s="17" t="s">
        <v>178</v>
      </c>
      <c r="B312" s="13" t="s">
        <v>82</v>
      </c>
      <c r="C312" s="27" t="s">
        <v>1537</v>
      </c>
      <c r="D312" s="11" t="s">
        <v>1538</v>
      </c>
      <c r="E312" s="28" t="str">
        <f>IFERROR(__xludf.DUMMYFUNCTION("REGEXEXTRACT(C312, """"""([^""""]+)"""""")"),"Items.Jacket_03_old_04")</f>
        <v>Items.Jacket_03_old_04</v>
      </c>
    </row>
    <row r="313">
      <c r="A313" s="17" t="s">
        <v>178</v>
      </c>
      <c r="B313" s="13" t="s">
        <v>82</v>
      </c>
      <c r="C313" s="27" t="s">
        <v>1539</v>
      </c>
      <c r="D313" s="11" t="s">
        <v>1540</v>
      </c>
      <c r="E313" s="28" t="str">
        <f>IFERROR(__xludf.DUMMYFUNCTION("REGEXEXTRACT(C313, """"""([^""""]+)"""""")"),"Items.FormalJacket_01_basic_02")</f>
        <v>Items.FormalJacket_01_basic_02</v>
      </c>
    </row>
    <row r="314">
      <c r="A314" s="17" t="s">
        <v>178</v>
      </c>
      <c r="B314" s="13" t="s">
        <v>82</v>
      </c>
      <c r="C314" s="27" t="s">
        <v>1541</v>
      </c>
      <c r="D314" s="11" t="s">
        <v>1542</v>
      </c>
      <c r="E314" s="28" t="str">
        <f>IFERROR(__xludf.DUMMYFUNCTION("REGEXEXTRACT(C314, """"""([^""""]+)"""""")"),"Items.Coat_01_old_01")</f>
        <v>Items.Coat_01_old_01</v>
      </c>
    </row>
    <row r="315">
      <c r="A315" s="17" t="s">
        <v>178</v>
      </c>
      <c r="B315" s="13" t="s">
        <v>82</v>
      </c>
      <c r="C315" s="27" t="s">
        <v>1543</v>
      </c>
      <c r="D315" s="11" t="s">
        <v>1544</v>
      </c>
      <c r="E315" s="28" t="str">
        <f>IFERROR(__xludf.DUMMYFUNCTION("REGEXEXTRACT(C315, """"""([^""""]+)"""""")"),"Items.Jacket_04_old_02")</f>
        <v>Items.Jacket_04_old_02</v>
      </c>
    </row>
    <row r="316">
      <c r="A316" s="17" t="s">
        <v>178</v>
      </c>
      <c r="B316" s="13" t="s">
        <v>82</v>
      </c>
      <c r="C316" s="27" t="s">
        <v>1545</v>
      </c>
      <c r="D316" s="11" t="s">
        <v>1546</v>
      </c>
      <c r="E316" s="28" t="str">
        <f>IFERROR(__xludf.DUMMYFUNCTION("REGEXEXTRACT(C316, """"""([^""""]+)"""""")"),"Items.Vest_04_old_02")</f>
        <v>Items.Vest_04_old_02</v>
      </c>
    </row>
    <row r="317">
      <c r="A317" s="17" t="s">
        <v>178</v>
      </c>
      <c r="B317" s="13" t="s">
        <v>82</v>
      </c>
      <c r="C317" s="27" t="s">
        <v>1547</v>
      </c>
      <c r="D317" s="11" t="s">
        <v>1548</v>
      </c>
      <c r="E317" s="28" t="str">
        <f>IFERROR(__xludf.DUMMYFUNCTION("REGEXEXTRACT(C317, """"""([^""""]+)"""""")"),"Items.Jacket_02_rich_03")</f>
        <v>Items.Jacket_02_rich_03</v>
      </c>
    </row>
    <row r="318">
      <c r="A318" s="17" t="s">
        <v>178</v>
      </c>
      <c r="B318" s="13" t="s">
        <v>82</v>
      </c>
      <c r="C318" s="27" t="s">
        <v>1549</v>
      </c>
      <c r="D318" s="11" t="s">
        <v>1550</v>
      </c>
      <c r="E318" s="28" t="str">
        <f>IFERROR(__xludf.DUMMYFUNCTION("REGEXEXTRACT(C318, """"""([^""""]+)"""""")"),"Items.Coat_03_old_02")</f>
        <v>Items.Coat_03_old_02</v>
      </c>
    </row>
    <row r="319">
      <c r="A319" s="17" t="s">
        <v>178</v>
      </c>
      <c r="B319" s="13" t="s">
        <v>82</v>
      </c>
      <c r="C319" s="27" t="s">
        <v>1551</v>
      </c>
      <c r="D319" s="11" t="s">
        <v>1552</v>
      </c>
      <c r="E319" s="28" t="str">
        <f>IFERROR(__xludf.DUMMYFUNCTION("REGEXEXTRACT(C319, """"""([^""""]+)"""""")"),"Items.Vest_10_rich_02")</f>
        <v>Items.Vest_10_rich_02</v>
      </c>
    </row>
    <row r="320">
      <c r="A320" s="17" t="s">
        <v>178</v>
      </c>
      <c r="B320" s="13" t="s">
        <v>82</v>
      </c>
      <c r="C320" s="27" t="s">
        <v>1553</v>
      </c>
      <c r="D320" s="11" t="s">
        <v>1554</v>
      </c>
      <c r="E320" s="28" t="str">
        <f>IFERROR(__xludf.DUMMYFUNCTION("REGEXEXTRACT(C320, """"""([^""""]+)"""""")"),"Items.Jacket_09_rich_02")</f>
        <v>Items.Jacket_09_rich_02</v>
      </c>
    </row>
    <row r="321">
      <c r="A321" s="17" t="s">
        <v>178</v>
      </c>
      <c r="B321" s="13" t="s">
        <v>82</v>
      </c>
      <c r="C321" s="27" t="s">
        <v>1555</v>
      </c>
      <c r="D321" s="11" t="s">
        <v>1556</v>
      </c>
      <c r="E321" s="28" t="str">
        <f>IFERROR(__xludf.DUMMYFUNCTION("REGEXEXTRACT(C321, """"""([^""""]+)"""""")"),"Items.Jacket_10_old_01")</f>
        <v>Items.Jacket_10_old_01</v>
      </c>
    </row>
    <row r="322">
      <c r="A322" s="17" t="s">
        <v>178</v>
      </c>
      <c r="B322" s="13" t="s">
        <v>82</v>
      </c>
      <c r="C322" s="27" t="s">
        <v>1557</v>
      </c>
      <c r="D322" s="11" t="s">
        <v>1558</v>
      </c>
      <c r="E322" s="28" t="str">
        <f>IFERROR(__xludf.DUMMYFUNCTION("REGEXEXTRACT(C322, """"""([^""""]+)"""""")"),"Items.Jacket_03_old_03")</f>
        <v>Items.Jacket_03_old_03</v>
      </c>
    </row>
    <row r="323">
      <c r="A323" s="17" t="s">
        <v>178</v>
      </c>
      <c r="B323" s="13" t="s">
        <v>82</v>
      </c>
      <c r="C323" s="27" t="s">
        <v>1559</v>
      </c>
      <c r="D323" s="11" t="s">
        <v>1560</v>
      </c>
      <c r="E323" s="28" t="str">
        <f>IFERROR(__xludf.DUMMYFUNCTION("REGEXEXTRACT(C323, """"""([^""""]+)"""""")"),"Items.Jacket_13_rich_02")</f>
        <v>Items.Jacket_13_rich_02</v>
      </c>
    </row>
    <row r="324">
      <c r="A324" s="17" t="s">
        <v>178</v>
      </c>
      <c r="B324" s="13" t="s">
        <v>82</v>
      </c>
      <c r="C324" s="27" t="s">
        <v>1561</v>
      </c>
      <c r="D324" s="11" t="s">
        <v>1562</v>
      </c>
      <c r="E324" s="28" t="str">
        <f>IFERROR(__xludf.DUMMYFUNCTION("REGEXEXTRACT(C324, """"""([^""""]+)"""""")"),"Items.Jumpsuit_02_basic_01")</f>
        <v>Items.Jumpsuit_02_basic_01</v>
      </c>
    </row>
    <row r="325">
      <c r="A325" s="17" t="s">
        <v>178</v>
      </c>
      <c r="B325" s="13" t="s">
        <v>82</v>
      </c>
      <c r="C325" s="27" t="s">
        <v>1563</v>
      </c>
      <c r="D325" s="11" t="s">
        <v>1564</v>
      </c>
      <c r="E325" s="28" t="str">
        <f>IFERROR(__xludf.DUMMYFUNCTION("REGEXEXTRACT(C325, """"""([^""""]+)"""""")"),"Items.FormalJacket_05_rich_02")</f>
        <v>Items.FormalJacket_05_rich_02</v>
      </c>
    </row>
    <row r="326">
      <c r="A326" s="17" t="s">
        <v>178</v>
      </c>
      <c r="B326" s="13" t="s">
        <v>82</v>
      </c>
      <c r="C326" s="27" t="s">
        <v>1565</v>
      </c>
      <c r="D326" s="11" t="s">
        <v>1566</v>
      </c>
      <c r="E326" s="28" t="str">
        <f>IFERROR(__xludf.DUMMYFUNCTION("REGEXEXTRACT(C326, """"""([^""""]+)"""""")"),"Items.Jacket_07_rich_01")</f>
        <v>Items.Jacket_07_rich_01</v>
      </c>
    </row>
    <row r="327">
      <c r="A327" s="17" t="s">
        <v>178</v>
      </c>
      <c r="B327" s="3" t="s">
        <v>181</v>
      </c>
      <c r="C327" s="27" t="s">
        <v>1567</v>
      </c>
      <c r="D327" s="11" t="s">
        <v>1568</v>
      </c>
      <c r="E327" s="28" t="str">
        <f>IFERROR(__xludf.DUMMYFUNCTION("REGEXEXTRACT(C327, """"""([^""""]+)"""""")"),"Items.Jacket_19_rich_06")</f>
        <v>Items.Jacket_19_rich_06</v>
      </c>
    </row>
    <row r="328">
      <c r="A328" s="17" t="s">
        <v>178</v>
      </c>
      <c r="B328" s="3" t="s">
        <v>181</v>
      </c>
      <c r="C328" s="27" t="s">
        <v>1569</v>
      </c>
      <c r="D328" s="11" t="s">
        <v>1570</v>
      </c>
      <c r="E328" s="28" t="str">
        <f>IFERROR(__xludf.DUMMYFUNCTION("REGEXEXTRACT(C328, """"""([^""""]+)"""""")"),"Items.Jacket_20_basic_05")</f>
        <v>Items.Jacket_20_basic_05</v>
      </c>
    </row>
    <row r="329">
      <c r="A329" s="17" t="s">
        <v>178</v>
      </c>
      <c r="B329" s="3" t="s">
        <v>181</v>
      </c>
      <c r="C329" s="27" t="s">
        <v>1571</v>
      </c>
      <c r="D329" s="11" t="s">
        <v>1572</v>
      </c>
      <c r="E329" s="28" t="str">
        <f>IFERROR(__xludf.DUMMYFUNCTION("REGEXEXTRACT(C329, """"""([^""""]+)"""""")"),"Items.Jacket_19_rich_02")</f>
        <v>Items.Jacket_19_rich_02</v>
      </c>
    </row>
    <row r="330">
      <c r="A330" s="17" t="s">
        <v>178</v>
      </c>
      <c r="B330" s="3" t="s">
        <v>181</v>
      </c>
      <c r="C330" s="27" t="s">
        <v>1573</v>
      </c>
      <c r="D330" s="11" t="s">
        <v>1574</v>
      </c>
      <c r="E330" s="28" t="str">
        <f>IFERROR(__xludf.DUMMYFUNCTION("REGEXEXTRACT(C330, """"""([^""""]+)"""""")"),"Items.Jacket_20_rich_04")</f>
        <v>Items.Jacket_20_rich_04</v>
      </c>
    </row>
    <row r="331">
      <c r="A331" s="17" t="s">
        <v>178</v>
      </c>
      <c r="B331" s="3" t="s">
        <v>181</v>
      </c>
      <c r="C331" s="27" t="s">
        <v>1575</v>
      </c>
      <c r="D331" s="11" t="s">
        <v>1576</v>
      </c>
      <c r="E331" s="28" t="str">
        <f>IFERROR(__xludf.DUMMYFUNCTION("REGEXEXTRACT(C331, """"""([^""""]+)"""""")"),"Items.Jacket_19_basic_02")</f>
        <v>Items.Jacket_19_basic_02</v>
      </c>
    </row>
    <row r="332">
      <c r="A332" s="17" t="s">
        <v>178</v>
      </c>
      <c r="B332" s="3" t="s">
        <v>181</v>
      </c>
      <c r="C332" s="27" t="s">
        <v>1577</v>
      </c>
      <c r="D332" s="11" t="s">
        <v>1578</v>
      </c>
      <c r="E332" s="28" t="str">
        <f>IFERROR(__xludf.DUMMYFUNCTION("REGEXEXTRACT(C332, """"""([^""""]+)"""""")"),"Items.Jacket_19_rich_04")</f>
        <v>Items.Jacket_19_rich_04</v>
      </c>
    </row>
    <row r="333">
      <c r="A333" s="17" t="s">
        <v>178</v>
      </c>
      <c r="B333" s="3" t="s">
        <v>181</v>
      </c>
      <c r="C333" s="27" t="s">
        <v>1579</v>
      </c>
      <c r="D333" s="11" t="s">
        <v>1580</v>
      </c>
      <c r="E333" s="28" t="str">
        <f>IFERROR(__xludf.DUMMYFUNCTION("REGEXEXTRACT(C333, """"""([^""""]+)"""""")"),"Items.Jacket_19_old_02")</f>
        <v>Items.Jacket_19_old_02</v>
      </c>
    </row>
    <row r="334">
      <c r="A334" s="17" t="s">
        <v>178</v>
      </c>
      <c r="B334" s="3" t="s">
        <v>181</v>
      </c>
      <c r="C334" s="27" t="s">
        <v>1581</v>
      </c>
      <c r="D334" s="11" t="s">
        <v>1582</v>
      </c>
      <c r="E334" s="28" t="str">
        <f>IFERROR(__xludf.DUMMYFUNCTION("REGEXEXTRACT(C334, """"""([^""""]+)"""""")"),"Items.Jacket_20_old_03")</f>
        <v>Items.Jacket_20_old_03</v>
      </c>
    </row>
    <row r="335">
      <c r="A335" s="17" t="s">
        <v>178</v>
      </c>
      <c r="B335" s="3" t="s">
        <v>181</v>
      </c>
      <c r="C335" s="27" t="s">
        <v>1583</v>
      </c>
      <c r="D335" s="11" t="s">
        <v>1584</v>
      </c>
      <c r="E335" s="28" t="str">
        <f>IFERROR(__xludf.DUMMYFUNCTION("REGEXEXTRACT(C335, """"""([^""""]+)"""""")"),"Items.Jacket_20_basic_06")</f>
        <v>Items.Jacket_20_basic_06</v>
      </c>
    </row>
    <row r="336">
      <c r="A336" s="17" t="s">
        <v>178</v>
      </c>
      <c r="B336" s="3" t="s">
        <v>181</v>
      </c>
      <c r="C336" s="27" t="s">
        <v>1585</v>
      </c>
      <c r="D336" s="11" t="s">
        <v>1586</v>
      </c>
      <c r="E336" s="28" t="str">
        <f>IFERROR(__xludf.DUMMYFUNCTION("REGEXEXTRACT(C336, """"""([^""""]+)"""""")"),"Items.Jacket_20_basic_04")</f>
        <v>Items.Jacket_20_basic_04</v>
      </c>
    </row>
    <row r="337">
      <c r="A337" s="17" t="s">
        <v>178</v>
      </c>
      <c r="B337" s="3" t="s">
        <v>181</v>
      </c>
      <c r="C337" s="27" t="s">
        <v>1587</v>
      </c>
      <c r="D337" s="11" t="s">
        <v>1588</v>
      </c>
      <c r="E337" s="28" t="str">
        <f>IFERROR(__xludf.DUMMYFUNCTION("REGEXEXTRACT(C337, """"""([^""""]+)"""""")"),"Items.Jacket_20_basic_07")</f>
        <v>Items.Jacket_20_basic_07</v>
      </c>
    </row>
    <row r="338">
      <c r="A338" s="17" t="s">
        <v>178</v>
      </c>
      <c r="B338" s="3" t="s">
        <v>181</v>
      </c>
      <c r="C338" s="27" t="s">
        <v>1589</v>
      </c>
      <c r="D338" s="11" t="s">
        <v>1590</v>
      </c>
      <c r="E338" s="28" t="str">
        <f>IFERROR(__xludf.DUMMYFUNCTION("REGEXEXTRACT(C338, """"""([^""""]+)"""""")"),"Items.Jacket_20_basic_03")</f>
        <v>Items.Jacket_20_basic_03</v>
      </c>
    </row>
    <row r="339">
      <c r="A339" s="17" t="s">
        <v>178</v>
      </c>
      <c r="B339" s="3" t="s">
        <v>181</v>
      </c>
      <c r="C339" s="27" t="s">
        <v>1591</v>
      </c>
      <c r="D339" s="11" t="s">
        <v>1592</v>
      </c>
      <c r="E339" s="28" t="str">
        <f>IFERROR(__xludf.DUMMYFUNCTION("REGEXEXTRACT(C339, """"""([^""""]+)"""""")"),"Items.Jacket_19_rich_03")</f>
        <v>Items.Jacket_19_rich_03</v>
      </c>
    </row>
    <row r="340">
      <c r="A340" s="17" t="s">
        <v>178</v>
      </c>
      <c r="B340" s="3" t="s">
        <v>181</v>
      </c>
      <c r="C340" s="27" t="s">
        <v>1593</v>
      </c>
      <c r="D340" s="11" t="s">
        <v>1594</v>
      </c>
      <c r="E340" s="28" t="str">
        <f>IFERROR(__xludf.DUMMYFUNCTION("REGEXEXTRACT(C340, """"""([^""""]+)"""""")"),"Items.Jacket_20_rich_01")</f>
        <v>Items.Jacket_20_rich_01</v>
      </c>
    </row>
    <row r="341">
      <c r="A341" s="17" t="s">
        <v>178</v>
      </c>
      <c r="B341" s="3" t="s">
        <v>181</v>
      </c>
      <c r="C341" s="27" t="s">
        <v>1595</v>
      </c>
      <c r="D341" s="11" t="s">
        <v>1596</v>
      </c>
      <c r="E341" s="28" t="str">
        <f>IFERROR(__xludf.DUMMYFUNCTION("REGEXEXTRACT(C341, """"""([^""""]+)"""""")"),"Items.Jacket_20_rich_05")</f>
        <v>Items.Jacket_20_rich_05</v>
      </c>
    </row>
    <row r="342">
      <c r="A342" s="17" t="s">
        <v>178</v>
      </c>
      <c r="B342" s="3" t="s">
        <v>181</v>
      </c>
      <c r="C342" s="27" t="s">
        <v>1597</v>
      </c>
      <c r="D342" s="11" t="s">
        <v>1598</v>
      </c>
      <c r="E342" s="28" t="str">
        <f>IFERROR(__xludf.DUMMYFUNCTION("REGEXEXTRACT(C342, """"""([^""""]+)"""""")"),"Items.Jacket_19_basic_03")</f>
        <v>Items.Jacket_19_basic_03</v>
      </c>
    </row>
    <row r="343">
      <c r="A343" s="17" t="s">
        <v>178</v>
      </c>
      <c r="B343" s="3" t="s">
        <v>181</v>
      </c>
      <c r="C343" s="27" t="s">
        <v>1599</v>
      </c>
      <c r="D343" s="15" t="s">
        <v>1600</v>
      </c>
      <c r="E343" s="28" t="str">
        <f>IFERROR(__xludf.DUMMYFUNCTION("REGEXEXTRACT(C343, """"""([^""""]+)"""""")"),"Items.Jacket_19_basic_04")</f>
        <v>Items.Jacket_19_basic_04</v>
      </c>
    </row>
    <row r="344">
      <c r="A344" s="17" t="s">
        <v>178</v>
      </c>
      <c r="B344" s="3" t="s">
        <v>181</v>
      </c>
      <c r="C344" s="27" t="s">
        <v>1601</v>
      </c>
      <c r="D344" s="11" t="s">
        <v>1602</v>
      </c>
      <c r="E344" s="28" t="str">
        <f>IFERROR(__xludf.DUMMYFUNCTION("REGEXEXTRACT(C344, """"""([^""""]+)"""""")"),"Items.Jacket_20_basic_02")</f>
        <v>Items.Jacket_20_basic_02</v>
      </c>
    </row>
    <row r="345">
      <c r="A345" s="17" t="s">
        <v>178</v>
      </c>
      <c r="B345" s="3" t="s">
        <v>181</v>
      </c>
      <c r="C345" s="27" t="s">
        <v>1603</v>
      </c>
      <c r="D345" s="11" t="s">
        <v>1604</v>
      </c>
      <c r="E345" s="28" t="str">
        <f>IFERROR(__xludf.DUMMYFUNCTION("REGEXEXTRACT(C345, """"""([^""""]+)"""""")"),"Items.Jacket_20_old_04")</f>
        <v>Items.Jacket_20_old_04</v>
      </c>
    </row>
    <row r="346">
      <c r="A346" s="17" t="s">
        <v>178</v>
      </c>
      <c r="B346" s="3" t="s">
        <v>181</v>
      </c>
      <c r="C346" s="27" t="s">
        <v>1605</v>
      </c>
      <c r="D346" s="11" t="s">
        <v>1606</v>
      </c>
      <c r="E346" s="28" t="str">
        <f>IFERROR(__xludf.DUMMYFUNCTION("REGEXEXTRACT(C346, """"""([^""""]+)"""""")"),"Items.Jacket_19_rich_01")</f>
        <v>Items.Jacket_19_rich_01</v>
      </c>
    </row>
    <row r="347">
      <c r="A347" s="17" t="s">
        <v>178</v>
      </c>
      <c r="B347" s="3" t="s">
        <v>181</v>
      </c>
      <c r="C347" s="27" t="s">
        <v>1607</v>
      </c>
      <c r="D347" s="11" t="s">
        <v>1608</v>
      </c>
      <c r="E347" s="28" t="str">
        <f>IFERROR(__xludf.DUMMYFUNCTION("REGEXEXTRACT(C347, """"""([^""""]+)"""""")"),"Items.Jacket_19_old_06")</f>
        <v>Items.Jacket_19_old_06</v>
      </c>
    </row>
    <row r="348">
      <c r="A348" s="17" t="s">
        <v>178</v>
      </c>
      <c r="B348" s="3" t="s">
        <v>181</v>
      </c>
      <c r="C348" s="27" t="s">
        <v>1609</v>
      </c>
      <c r="D348" s="11" t="s">
        <v>1610</v>
      </c>
      <c r="E348" s="28" t="str">
        <f>IFERROR(__xludf.DUMMYFUNCTION("REGEXEXTRACT(C348, """"""([^""""]+)"""""")"),"Items.Jacket_20_old_05")</f>
        <v>Items.Jacket_20_old_05</v>
      </c>
    </row>
    <row r="349">
      <c r="A349" s="17" t="s">
        <v>178</v>
      </c>
      <c r="B349" s="3" t="s">
        <v>181</v>
      </c>
      <c r="C349" s="27" t="s">
        <v>1611</v>
      </c>
      <c r="D349" s="15" t="s">
        <v>1612</v>
      </c>
      <c r="E349" s="28" t="str">
        <f>IFERROR(__xludf.DUMMYFUNCTION("REGEXEXTRACT(C349, """"""([^""""]+)"""""")"),"Items.Jacket_20_basic_01")</f>
        <v>Items.Jacket_20_basic_01</v>
      </c>
    </row>
    <row r="350">
      <c r="A350" s="17" t="s">
        <v>178</v>
      </c>
      <c r="B350" s="3" t="s">
        <v>181</v>
      </c>
      <c r="C350" s="27" t="s">
        <v>1613</v>
      </c>
      <c r="D350" s="11" t="s">
        <v>1614</v>
      </c>
      <c r="E350" s="28" t="str">
        <f>IFERROR(__xludf.DUMMYFUNCTION("REGEXEXTRACT(C350, """"""([^""""]+)"""""")"),"Items.Jacket_19_old_03")</f>
        <v>Items.Jacket_19_old_03</v>
      </c>
    </row>
    <row r="351">
      <c r="A351" s="17" t="s">
        <v>178</v>
      </c>
      <c r="B351" s="3" t="s">
        <v>181</v>
      </c>
      <c r="C351" s="27" t="s">
        <v>1615</v>
      </c>
      <c r="D351" s="11" t="s">
        <v>1616</v>
      </c>
      <c r="E351" s="28" t="str">
        <f>IFERROR(__xludf.DUMMYFUNCTION("REGEXEXTRACT(C351, """"""([^""""]+)"""""")"),"Items.Jacket_20_rich_03")</f>
        <v>Items.Jacket_20_rich_03</v>
      </c>
    </row>
    <row r="352">
      <c r="A352" s="17" t="s">
        <v>178</v>
      </c>
      <c r="B352" s="3" t="s">
        <v>181</v>
      </c>
      <c r="C352" s="27" t="s">
        <v>1617</v>
      </c>
      <c r="D352" s="11" t="s">
        <v>1618</v>
      </c>
      <c r="E352" s="28" t="str">
        <f>IFERROR(__xludf.DUMMYFUNCTION("REGEXEXTRACT(C352, """"""([^""""]+)"""""")"),"Items.Jacket_19_old_04")</f>
        <v>Items.Jacket_19_old_04</v>
      </c>
    </row>
    <row r="353">
      <c r="A353" s="17" t="s">
        <v>178</v>
      </c>
      <c r="B353" s="3" t="s">
        <v>181</v>
      </c>
      <c r="C353" s="27" t="s">
        <v>1619</v>
      </c>
      <c r="D353" s="11" t="s">
        <v>1620</v>
      </c>
      <c r="E353" s="28" t="str">
        <f>IFERROR(__xludf.DUMMYFUNCTION("REGEXEXTRACT(C353, """"""([^""""]+)"""""")"),"Items.Jacket_20_rich_02")</f>
        <v>Items.Jacket_20_rich_02</v>
      </c>
    </row>
    <row r="354">
      <c r="A354" s="17" t="s">
        <v>178</v>
      </c>
      <c r="B354" s="3" t="s">
        <v>181</v>
      </c>
      <c r="C354" s="27" t="s">
        <v>1621</v>
      </c>
      <c r="D354" s="11" t="s">
        <v>1622</v>
      </c>
      <c r="E354" s="28" t="str">
        <f>IFERROR(__xludf.DUMMYFUNCTION("REGEXEXTRACT(C354, """"""([^""""]+)"""""")"),"Items.Jacket_20_old_01")</f>
        <v>Items.Jacket_20_old_01</v>
      </c>
    </row>
    <row r="355">
      <c r="A355" s="17" t="s">
        <v>178</v>
      </c>
      <c r="B355" s="3" t="s">
        <v>181</v>
      </c>
      <c r="C355" s="27" t="s">
        <v>1623</v>
      </c>
      <c r="D355" s="11" t="s">
        <v>1624</v>
      </c>
      <c r="E355" s="28" t="str">
        <f>IFERROR(__xludf.DUMMYFUNCTION("REGEXEXTRACT(C355, """"""([^""""]+)"""""")"),"Items.Jacket_19_rich_05")</f>
        <v>Items.Jacket_19_rich_05</v>
      </c>
    </row>
    <row r="356">
      <c r="A356" s="17" t="s">
        <v>178</v>
      </c>
      <c r="B356" s="3" t="s">
        <v>181</v>
      </c>
      <c r="C356" s="27" t="s">
        <v>1625</v>
      </c>
      <c r="D356" s="11" t="s">
        <v>1626</v>
      </c>
      <c r="E356" s="28" t="str">
        <f>IFERROR(__xludf.DUMMYFUNCTION("REGEXEXTRACT(C356, """"""([^""""]+)"""""")"),"Items.Jacket_19_basic_01")</f>
        <v>Items.Jacket_19_basic_01</v>
      </c>
    </row>
    <row r="357">
      <c r="A357" s="17" t="s">
        <v>178</v>
      </c>
      <c r="B357" s="3" t="s">
        <v>181</v>
      </c>
      <c r="C357" s="27" t="s">
        <v>1627</v>
      </c>
      <c r="D357" s="11" t="s">
        <v>1628</v>
      </c>
      <c r="E357" s="28" t="str">
        <f>IFERROR(__xludf.DUMMYFUNCTION("REGEXEXTRACT(C357, """"""([^""""]+)"""""")"),"Items.Jacket_19_basic_05")</f>
        <v>Items.Jacket_19_basic_05</v>
      </c>
    </row>
    <row r="358">
      <c r="A358" s="17" t="s">
        <v>178</v>
      </c>
      <c r="B358" s="3" t="s">
        <v>181</v>
      </c>
      <c r="C358" s="27" t="s">
        <v>1629</v>
      </c>
      <c r="D358" s="11" t="s">
        <v>1630</v>
      </c>
      <c r="E358" s="28" t="str">
        <f>IFERROR(__xludf.DUMMYFUNCTION("REGEXEXTRACT(C358, """"""([^""""]+)"""""")"),"Items.Jacket_20_old_02")</f>
        <v>Items.Jacket_20_old_02</v>
      </c>
    </row>
    <row r="359">
      <c r="A359" s="17" t="s">
        <v>178</v>
      </c>
      <c r="B359" s="3" t="s">
        <v>181</v>
      </c>
      <c r="C359" s="27" t="s">
        <v>1631</v>
      </c>
      <c r="D359" s="11" t="s">
        <v>1632</v>
      </c>
      <c r="E359" s="28" t="str">
        <f>IFERROR(__xludf.DUMMYFUNCTION("REGEXEXTRACT(C359, """"""([^""""]+)"""""")"),"Items.Jacket_19_basic_06")</f>
        <v>Items.Jacket_19_basic_06</v>
      </c>
    </row>
    <row r="360">
      <c r="A360" s="17" t="s">
        <v>178</v>
      </c>
      <c r="B360" s="3" t="s">
        <v>181</v>
      </c>
      <c r="C360" s="27" t="s">
        <v>1633</v>
      </c>
      <c r="D360" s="11" t="s">
        <v>1634</v>
      </c>
      <c r="E360" s="28" t="str">
        <f>IFERROR(__xludf.DUMMYFUNCTION("REGEXEXTRACT(C360, """"""([^""""]+)"""""")"),"Items.Jacket_19_old_05")</f>
        <v>Items.Jacket_19_old_05</v>
      </c>
    </row>
    <row r="361">
      <c r="A361" s="17" t="s">
        <v>178</v>
      </c>
      <c r="B361" s="3" t="s">
        <v>181</v>
      </c>
      <c r="C361" s="27" t="s">
        <v>1635</v>
      </c>
      <c r="D361" s="11" t="s">
        <v>1636</v>
      </c>
      <c r="E361" s="28" t="str">
        <f>IFERROR(__xludf.DUMMYFUNCTION("REGEXEXTRACT(C361, """"""([^""""]+)"""""")"),"Items.Jacket_19_old_01")</f>
        <v>Items.Jacket_19_old_01</v>
      </c>
    </row>
    <row r="362">
      <c r="A362" s="17" t="s">
        <v>178</v>
      </c>
      <c r="B362" s="3" t="s">
        <v>37</v>
      </c>
      <c r="C362" s="27" t="s">
        <v>1637</v>
      </c>
      <c r="D362" s="11" t="s">
        <v>1638</v>
      </c>
      <c r="E362" s="28" t="str">
        <f>IFERROR(__xludf.DUMMYFUNCTION("REGEXEXTRACT(C362, """"""([^""""]+)"""""")"),"Items.Jacket_22_rich_01")</f>
        <v>Items.Jacket_22_rich_01</v>
      </c>
    </row>
    <row r="363">
      <c r="A363" s="17" t="s">
        <v>178</v>
      </c>
      <c r="B363" s="3" t="s">
        <v>37</v>
      </c>
      <c r="C363" s="27" t="s">
        <v>1639</v>
      </c>
      <c r="D363" s="11" t="s">
        <v>1640</v>
      </c>
      <c r="E363" s="28" t="str">
        <f>IFERROR(__xludf.DUMMYFUNCTION("REGEXEXTRACT(C363, """"""([^""""]+)"""""")"),"Items.Vest_24_basic_04")</f>
        <v>Items.Vest_24_basic_04</v>
      </c>
    </row>
    <row r="364">
      <c r="A364" s="17" t="s">
        <v>178</v>
      </c>
      <c r="B364" s="3" t="s">
        <v>37</v>
      </c>
      <c r="C364" s="27" t="s">
        <v>1641</v>
      </c>
      <c r="D364" s="11" t="s">
        <v>1642</v>
      </c>
      <c r="E364" s="28" t="str">
        <f>IFERROR(__xludf.DUMMYFUNCTION("REGEXEXTRACT(C364, """"""([^""""]+)"""""")"),"Items.Vest_22_rich_03")</f>
        <v>Items.Vest_22_rich_03</v>
      </c>
    </row>
    <row r="365">
      <c r="A365" s="17" t="s">
        <v>178</v>
      </c>
      <c r="B365" s="3" t="s">
        <v>37</v>
      </c>
      <c r="C365" s="27" t="s">
        <v>1643</v>
      </c>
      <c r="D365" s="11" t="s">
        <v>1644</v>
      </c>
      <c r="E365" s="28" t="str">
        <f>IFERROR(__xludf.DUMMYFUNCTION("REGEXEXTRACT(C365, """"""([^""""]+)"""""")"),"Items.Coat_06_basic_02")</f>
        <v>Items.Coat_06_basic_02</v>
      </c>
    </row>
    <row r="366">
      <c r="A366" s="17" t="s">
        <v>178</v>
      </c>
      <c r="B366" s="3" t="s">
        <v>37</v>
      </c>
      <c r="C366" s="27" t="s">
        <v>1645</v>
      </c>
      <c r="D366" s="11" t="s">
        <v>1646</v>
      </c>
      <c r="E366" s="28" t="str">
        <f>IFERROR(__xludf.DUMMYFUNCTION("REGEXEXTRACT(C366, """"""([^""""]+)"""""")"),"Items.Vest_24_rich_01")</f>
        <v>Items.Vest_24_rich_01</v>
      </c>
    </row>
    <row r="367">
      <c r="A367" s="17" t="s">
        <v>178</v>
      </c>
      <c r="B367" s="3" t="s">
        <v>37</v>
      </c>
      <c r="C367" s="27" t="s">
        <v>1647</v>
      </c>
      <c r="D367" s="11" t="s">
        <v>1648</v>
      </c>
      <c r="E367" s="28" t="str">
        <f>IFERROR(__xludf.DUMMYFUNCTION("REGEXEXTRACT(C367, """"""([^""""]+)"""""")"),"Items.Jacket_22_rich_02")</f>
        <v>Items.Jacket_22_rich_02</v>
      </c>
    </row>
    <row r="368">
      <c r="A368" s="17" t="s">
        <v>178</v>
      </c>
      <c r="B368" s="3" t="s">
        <v>37</v>
      </c>
      <c r="C368" s="27" t="s">
        <v>1649</v>
      </c>
      <c r="D368" s="11" t="s">
        <v>1650</v>
      </c>
      <c r="E368" s="28" t="str">
        <f>IFERROR(__xludf.DUMMYFUNCTION("REGEXEXTRACT(C368, """"""([^""""]+)"""""")"),"Items.Jacket_22_basic_05")</f>
        <v>Items.Jacket_22_basic_05</v>
      </c>
    </row>
    <row r="369">
      <c r="A369" s="17" t="s">
        <v>178</v>
      </c>
      <c r="B369" s="3" t="s">
        <v>37</v>
      </c>
      <c r="C369" s="27" t="s">
        <v>1651</v>
      </c>
      <c r="D369" s="11" t="s">
        <v>1652</v>
      </c>
      <c r="E369" s="28" t="str">
        <f>IFERROR(__xludf.DUMMYFUNCTION("REGEXEXTRACT(C369, """"""([^""""]+)"""""")"),"Items.Jacket_24_rich_03")</f>
        <v>Items.Jacket_24_rich_03</v>
      </c>
    </row>
    <row r="370">
      <c r="A370" s="17" t="s">
        <v>178</v>
      </c>
      <c r="B370" s="3" t="s">
        <v>37</v>
      </c>
      <c r="C370" s="27" t="s">
        <v>1653</v>
      </c>
      <c r="D370" s="11" t="s">
        <v>1654</v>
      </c>
      <c r="E370" s="28" t="str">
        <f>IFERROR(__xludf.DUMMYFUNCTION("REGEXEXTRACT(C370, """"""([^""""]+)"""""")"),"Items.Coat_05_basic_02")</f>
        <v>Items.Coat_05_basic_02</v>
      </c>
    </row>
    <row r="371">
      <c r="A371" s="17" t="s">
        <v>178</v>
      </c>
      <c r="B371" s="3" t="s">
        <v>37</v>
      </c>
      <c r="C371" s="27" t="s">
        <v>1655</v>
      </c>
      <c r="D371" s="11" t="s">
        <v>1656</v>
      </c>
      <c r="E371" s="28" t="str">
        <f>IFERROR(__xludf.DUMMYFUNCTION("REGEXEXTRACT(C371, """"""([^""""]+)"""""")"),"Items.Vest_22_basic_04")</f>
        <v>Items.Vest_22_basic_04</v>
      </c>
    </row>
    <row r="372">
      <c r="A372" s="17" t="s">
        <v>178</v>
      </c>
      <c r="B372" s="3" t="s">
        <v>37</v>
      </c>
      <c r="C372" s="27" t="s">
        <v>1657</v>
      </c>
      <c r="D372" s="11" t="s">
        <v>1658</v>
      </c>
      <c r="E372" s="28" t="str">
        <f>IFERROR(__xludf.DUMMYFUNCTION("REGEXEXTRACT(C372, """"""([^""""]+)"""""")"),"Items.Vest_21_basic_02")</f>
        <v>Items.Vest_21_basic_02</v>
      </c>
    </row>
    <row r="373">
      <c r="A373" s="17" t="s">
        <v>178</v>
      </c>
      <c r="B373" s="3" t="s">
        <v>37</v>
      </c>
      <c r="C373" s="27" t="s">
        <v>1659</v>
      </c>
      <c r="D373" s="11" t="s">
        <v>1660</v>
      </c>
      <c r="E373" s="28" t="str">
        <f>IFERROR(__xludf.DUMMYFUNCTION("REGEXEXTRACT(C373, """"""([^""""]+)"""""")"),"Items.Vest_21_basic_04")</f>
        <v>Items.Vest_21_basic_04</v>
      </c>
    </row>
    <row r="374">
      <c r="A374" s="17" t="s">
        <v>178</v>
      </c>
      <c r="B374" s="3" t="s">
        <v>37</v>
      </c>
      <c r="C374" s="27" t="s">
        <v>1661</v>
      </c>
      <c r="D374" s="11" t="s">
        <v>1662</v>
      </c>
      <c r="E374" s="28" t="str">
        <f>IFERROR(__xludf.DUMMYFUNCTION("REGEXEXTRACT(C374, """"""([^""""]+)"""""")"),"Items.Jacket_23_rich_04")</f>
        <v>Items.Jacket_23_rich_04</v>
      </c>
    </row>
    <row r="375">
      <c r="A375" s="17" t="s">
        <v>178</v>
      </c>
      <c r="B375" s="3" t="s">
        <v>37</v>
      </c>
      <c r="C375" s="27" t="s">
        <v>1663</v>
      </c>
      <c r="D375" s="11" t="s">
        <v>1664</v>
      </c>
      <c r="E375" s="28" t="str">
        <f>IFERROR(__xludf.DUMMYFUNCTION("REGEXEXTRACT(C375, """"""([^""""]+)"""""")"),"Items.Vest_22_basic_02")</f>
        <v>Items.Vest_22_basic_02</v>
      </c>
    </row>
    <row r="376">
      <c r="A376" s="17" t="s">
        <v>178</v>
      </c>
      <c r="B376" s="3" t="s">
        <v>37</v>
      </c>
      <c r="C376" s="27" t="s">
        <v>1665</v>
      </c>
      <c r="D376" s="11" t="s">
        <v>1666</v>
      </c>
      <c r="E376" s="28" t="str">
        <f>IFERROR(__xludf.DUMMYFUNCTION("REGEXEXTRACT(C376, """"""([^""""]+)"""""")"),"Items.Vest_22_rich_02")</f>
        <v>Items.Vest_22_rich_02</v>
      </c>
    </row>
    <row r="377">
      <c r="A377" s="17" t="s">
        <v>178</v>
      </c>
      <c r="B377" s="3" t="s">
        <v>37</v>
      </c>
      <c r="C377" s="27" t="s">
        <v>1667</v>
      </c>
      <c r="D377" s="11" t="s">
        <v>1668</v>
      </c>
      <c r="E377" s="28" t="str">
        <f>IFERROR(__xludf.DUMMYFUNCTION("REGEXEXTRACT(C377, """"""([^""""]+)"""""")"),"Items.Vest_24_old_01")</f>
        <v>Items.Vest_24_old_01</v>
      </c>
    </row>
    <row r="378">
      <c r="A378" s="17" t="s">
        <v>178</v>
      </c>
      <c r="B378" s="3" t="s">
        <v>37</v>
      </c>
      <c r="C378" s="27" t="s">
        <v>1669</v>
      </c>
      <c r="D378" s="11" t="s">
        <v>1670</v>
      </c>
      <c r="E378" s="28" t="str">
        <f>IFERROR(__xludf.DUMMYFUNCTION("REGEXEXTRACT(C378, """"""([^""""]+)"""""")"),"Items.Dress_03_rich_04")</f>
        <v>Items.Dress_03_rich_04</v>
      </c>
    </row>
    <row r="379">
      <c r="A379" s="17" t="s">
        <v>178</v>
      </c>
      <c r="B379" s="3" t="s">
        <v>37</v>
      </c>
      <c r="C379" s="27" t="s">
        <v>1671</v>
      </c>
      <c r="D379" s="11" t="s">
        <v>1672</v>
      </c>
      <c r="E379" s="28" t="str">
        <f>IFERROR(__xludf.DUMMYFUNCTION("REGEXEXTRACT(C379, """"""([^""""]+)"""""")"),"Items.Vest_24_rich_02")</f>
        <v>Items.Vest_24_rich_02</v>
      </c>
    </row>
    <row r="380">
      <c r="A380" s="17" t="s">
        <v>178</v>
      </c>
      <c r="B380" s="3" t="s">
        <v>37</v>
      </c>
      <c r="C380" s="27" t="s">
        <v>1673</v>
      </c>
      <c r="D380" s="11" t="s">
        <v>1674</v>
      </c>
      <c r="E380" s="28" t="str">
        <f>IFERROR(__xludf.DUMMYFUNCTION("REGEXEXTRACT(C380, """"""([^""""]+)"""""")"),"Items.Jacket_25_old_03")</f>
        <v>Items.Jacket_25_old_03</v>
      </c>
    </row>
    <row r="381">
      <c r="A381" s="17" t="s">
        <v>178</v>
      </c>
      <c r="B381" s="3" t="s">
        <v>37</v>
      </c>
      <c r="C381" s="27" t="s">
        <v>1675</v>
      </c>
      <c r="D381" s="11" t="s">
        <v>1676</v>
      </c>
      <c r="E381" s="28" t="str">
        <f>IFERROR(__xludf.DUMMYFUNCTION("REGEXEXTRACT(C381, """"""([^""""]+)"""""")"),"Items.Dress_04_basic_06")</f>
        <v>Items.Dress_04_basic_06</v>
      </c>
    </row>
    <row r="382">
      <c r="A382" s="17" t="s">
        <v>178</v>
      </c>
      <c r="B382" s="3" t="s">
        <v>37</v>
      </c>
      <c r="C382" s="27" t="s">
        <v>1677</v>
      </c>
      <c r="D382" s="11" t="s">
        <v>1678</v>
      </c>
      <c r="E382" s="28" t="str">
        <f>IFERROR(__xludf.DUMMYFUNCTION("REGEXEXTRACT(C382, """"""([^""""]+)"""""")"),"Items.Coat_05_basic_05")</f>
        <v>Items.Coat_05_basic_05</v>
      </c>
    </row>
    <row r="383">
      <c r="A383" s="17" t="s">
        <v>178</v>
      </c>
      <c r="B383" s="3" t="s">
        <v>37</v>
      </c>
      <c r="C383" s="27" t="s">
        <v>1679</v>
      </c>
      <c r="D383" s="11" t="s">
        <v>1680</v>
      </c>
      <c r="E383" s="28" t="str">
        <f>IFERROR(__xludf.DUMMYFUNCTION("REGEXEXTRACT(C383, """"""([^""""]+)"""""")"),"Items.Vest_21_rich_03")</f>
        <v>Items.Vest_21_rich_03</v>
      </c>
    </row>
    <row r="384">
      <c r="A384" s="17" t="s">
        <v>178</v>
      </c>
      <c r="B384" s="3" t="s">
        <v>37</v>
      </c>
      <c r="C384" s="27" t="s">
        <v>1681</v>
      </c>
      <c r="D384" s="11" t="s">
        <v>1682</v>
      </c>
      <c r="E384" s="28" t="str">
        <f>IFERROR(__xludf.DUMMYFUNCTION("REGEXEXTRACT(C384, """"""([^""""]+)"""""")"),"Items.Jacket_24_basic_03")</f>
        <v>Items.Jacket_24_basic_03</v>
      </c>
    </row>
    <row r="385">
      <c r="A385" s="17" t="s">
        <v>178</v>
      </c>
      <c r="B385" s="3" t="s">
        <v>37</v>
      </c>
      <c r="C385" s="27" t="s">
        <v>1683</v>
      </c>
      <c r="D385" s="11" t="s">
        <v>1684</v>
      </c>
      <c r="E385" s="28" t="str">
        <f>IFERROR(__xludf.DUMMYFUNCTION("REGEXEXTRACT(C385, """"""([^""""]+)"""""")"),"Items.Jacket_22_old_01")</f>
        <v>Items.Jacket_22_old_01</v>
      </c>
    </row>
    <row r="386">
      <c r="A386" s="17" t="s">
        <v>178</v>
      </c>
      <c r="B386" s="3" t="s">
        <v>37</v>
      </c>
      <c r="C386" s="27" t="s">
        <v>1685</v>
      </c>
      <c r="D386" s="11" t="s">
        <v>1686</v>
      </c>
      <c r="E386" s="28" t="str">
        <f>IFERROR(__xludf.DUMMYFUNCTION("REGEXEXTRACT(C386, """"""([^""""]+)"""""")"),"Items.Jacket_22_basic_06")</f>
        <v>Items.Jacket_22_basic_06</v>
      </c>
    </row>
    <row r="387">
      <c r="A387" s="17" t="s">
        <v>178</v>
      </c>
      <c r="B387" s="3" t="s">
        <v>37</v>
      </c>
      <c r="C387" s="27" t="s">
        <v>1687</v>
      </c>
      <c r="D387" s="11" t="s">
        <v>1688</v>
      </c>
      <c r="E387" s="28" t="str">
        <f>IFERROR(__xludf.DUMMYFUNCTION("REGEXEXTRACT(C387, """"""([^""""]+)"""""")"),"Items.Dress_03_rich_05")</f>
        <v>Items.Dress_03_rich_05</v>
      </c>
    </row>
    <row r="388">
      <c r="A388" s="17" t="s">
        <v>178</v>
      </c>
      <c r="B388" s="3" t="s">
        <v>37</v>
      </c>
      <c r="C388" s="27" t="s">
        <v>1689</v>
      </c>
      <c r="D388" s="11" t="s">
        <v>1690</v>
      </c>
      <c r="E388" s="28" t="str">
        <f>IFERROR(__xludf.DUMMYFUNCTION("REGEXEXTRACT(C388, """"""([^""""]+)"""""")"),"Items.Jacket_25_old_01")</f>
        <v>Items.Jacket_25_old_01</v>
      </c>
    </row>
    <row r="389">
      <c r="A389" s="17" t="s">
        <v>178</v>
      </c>
      <c r="B389" s="3" t="s">
        <v>37</v>
      </c>
      <c r="C389" s="27" t="s">
        <v>1691</v>
      </c>
      <c r="D389" s="11" t="s">
        <v>1692</v>
      </c>
      <c r="E389" s="28" t="str">
        <f>IFERROR(__xludf.DUMMYFUNCTION("REGEXEXTRACT(C389, """"""([^""""]+)"""""")"),"Items.Jacket_25_basic_01")</f>
        <v>Items.Jacket_25_basic_01</v>
      </c>
    </row>
    <row r="390">
      <c r="A390" s="17" t="s">
        <v>178</v>
      </c>
      <c r="B390" s="3" t="s">
        <v>37</v>
      </c>
      <c r="C390" s="27" t="s">
        <v>1693</v>
      </c>
      <c r="D390" s="11" t="s">
        <v>1694</v>
      </c>
      <c r="E390" s="28" t="str">
        <f>IFERROR(__xludf.DUMMYFUNCTION("REGEXEXTRACT(C390, """"""([^""""]+)"""""")"),"Items.Coat_05_basic_04")</f>
        <v>Items.Coat_05_basic_04</v>
      </c>
    </row>
    <row r="391">
      <c r="A391" s="17" t="s">
        <v>178</v>
      </c>
      <c r="B391" s="3" t="s">
        <v>37</v>
      </c>
      <c r="C391" s="27" t="s">
        <v>1695</v>
      </c>
      <c r="D391" s="11" t="s">
        <v>1696</v>
      </c>
      <c r="E391" s="28" t="str">
        <f>IFERROR(__xludf.DUMMYFUNCTION("REGEXEXTRACT(C391, """"""([^""""]+)"""""")"),"Items.Vest_23_rich_02")</f>
        <v>Items.Vest_23_rich_02</v>
      </c>
    </row>
    <row r="392">
      <c r="A392" s="17" t="s">
        <v>178</v>
      </c>
      <c r="B392" s="3" t="s">
        <v>37</v>
      </c>
      <c r="C392" s="27" t="s">
        <v>1697</v>
      </c>
      <c r="D392" s="11" t="s">
        <v>1698</v>
      </c>
      <c r="E392" s="28" t="str">
        <f>IFERROR(__xludf.DUMMYFUNCTION("REGEXEXTRACT(C392, """"""([^""""]+)"""""")"),"Items.FormalJacket_06_basic_01")</f>
        <v>Items.FormalJacket_06_basic_01</v>
      </c>
    </row>
    <row r="393">
      <c r="A393" s="17" t="s">
        <v>178</v>
      </c>
      <c r="B393" s="3" t="s">
        <v>37</v>
      </c>
      <c r="C393" s="27" t="s">
        <v>1699</v>
      </c>
      <c r="D393" s="11" t="s">
        <v>1700</v>
      </c>
      <c r="E393" s="28" t="str">
        <f>IFERROR(__xludf.DUMMYFUNCTION("REGEXEXTRACT(C393, """"""([^""""]+)"""""")"),"Items.Dress_03_basic_02")</f>
        <v>Items.Dress_03_basic_02</v>
      </c>
    </row>
    <row r="394">
      <c r="A394" s="17" t="s">
        <v>178</v>
      </c>
      <c r="B394" s="3" t="s">
        <v>37</v>
      </c>
      <c r="C394" s="27" t="s">
        <v>1701</v>
      </c>
      <c r="D394" s="11" t="s">
        <v>1702</v>
      </c>
      <c r="E394" s="28" t="str">
        <f>IFERROR(__xludf.DUMMYFUNCTION("REGEXEXTRACT(C394, """"""([^""""]+)"""""")"),"Items.FormalJacket_06_rich_07")</f>
        <v>Items.FormalJacket_06_rich_07</v>
      </c>
    </row>
    <row r="395">
      <c r="A395" s="17" t="s">
        <v>178</v>
      </c>
      <c r="B395" s="3" t="s">
        <v>37</v>
      </c>
      <c r="C395" s="27" t="s">
        <v>1703</v>
      </c>
      <c r="D395" s="11" t="s">
        <v>1704</v>
      </c>
      <c r="E395" s="28" t="str">
        <f>IFERROR(__xludf.DUMMYFUNCTION("REGEXEXTRACT(C395, """"""([^""""]+)"""""")"),"Items.Dress_03_rich_01")</f>
        <v>Items.Dress_03_rich_01</v>
      </c>
    </row>
    <row r="396">
      <c r="A396" s="17" t="s">
        <v>178</v>
      </c>
      <c r="B396" s="3" t="s">
        <v>37</v>
      </c>
      <c r="C396" s="27" t="s">
        <v>1705</v>
      </c>
      <c r="D396" s="11" t="s">
        <v>1706</v>
      </c>
      <c r="E396" s="28" t="str">
        <f>IFERROR(__xludf.DUMMYFUNCTION("REGEXEXTRACT(C396, """"""([^""""]+)"""""")"),"Items.Vest_22_rich_01")</f>
        <v>Items.Vest_22_rich_01</v>
      </c>
    </row>
    <row r="397">
      <c r="A397" s="17" t="s">
        <v>178</v>
      </c>
      <c r="B397" s="3" t="s">
        <v>37</v>
      </c>
      <c r="C397" s="27" t="s">
        <v>1707</v>
      </c>
      <c r="D397" s="11" t="s">
        <v>1708</v>
      </c>
      <c r="E397" s="28" t="str">
        <f>IFERROR(__xludf.DUMMYFUNCTION("REGEXEXTRACT(C397, """"""([^""""]+)"""""")"),"Items.Vest_23_rich_03")</f>
        <v>Items.Vest_23_rich_03</v>
      </c>
    </row>
    <row r="398">
      <c r="A398" s="17" t="s">
        <v>178</v>
      </c>
      <c r="B398" s="3" t="s">
        <v>37</v>
      </c>
      <c r="C398" s="27" t="s">
        <v>1709</v>
      </c>
      <c r="D398" s="11" t="s">
        <v>1710</v>
      </c>
      <c r="E398" s="28" t="str">
        <f>IFERROR(__xludf.DUMMYFUNCTION("REGEXEXTRACT(C398, """"""([^""""]+)"""""")"),"Items.FormalJacket_06_basic_02")</f>
        <v>Items.FormalJacket_06_basic_02</v>
      </c>
    </row>
    <row r="399">
      <c r="A399" s="17" t="s">
        <v>178</v>
      </c>
      <c r="B399" s="3" t="s">
        <v>37</v>
      </c>
      <c r="C399" s="27" t="s">
        <v>1711</v>
      </c>
      <c r="D399" s="11" t="s">
        <v>1712</v>
      </c>
      <c r="E399" s="28" t="str">
        <f>IFERROR(__xludf.DUMMYFUNCTION("REGEXEXTRACT(C399, """"""([^""""]+)"""""")"),"Items.Coat_06_basic_03")</f>
        <v>Items.Coat_06_basic_03</v>
      </c>
    </row>
    <row r="400">
      <c r="A400" s="17" t="s">
        <v>178</v>
      </c>
      <c r="B400" s="3" t="s">
        <v>37</v>
      </c>
      <c r="C400" s="27" t="s">
        <v>1713</v>
      </c>
      <c r="D400" s="11" t="s">
        <v>1714</v>
      </c>
      <c r="E400" s="28" t="str">
        <f>IFERROR(__xludf.DUMMYFUNCTION("REGEXEXTRACT(C400, """"""([^""""]+)"""""")"),"Items.Vest_23_old_04")</f>
        <v>Items.Vest_23_old_04</v>
      </c>
    </row>
    <row r="401">
      <c r="A401" s="17" t="s">
        <v>178</v>
      </c>
      <c r="B401" s="3" t="s">
        <v>37</v>
      </c>
      <c r="C401" s="27" t="s">
        <v>1715</v>
      </c>
      <c r="D401" s="11" t="s">
        <v>1716</v>
      </c>
      <c r="E401" s="28" t="str">
        <f>IFERROR(__xludf.DUMMYFUNCTION("REGEXEXTRACT(C401, """"""([^""""]+)"""""")"),"Items.Vest_21_old_02")</f>
        <v>Items.Vest_21_old_02</v>
      </c>
    </row>
    <row r="402">
      <c r="A402" s="17" t="s">
        <v>178</v>
      </c>
      <c r="B402" s="3" t="s">
        <v>37</v>
      </c>
      <c r="C402" s="27" t="s">
        <v>1717</v>
      </c>
      <c r="D402" s="11" t="s">
        <v>1718</v>
      </c>
      <c r="E402" s="28" t="str">
        <f>IFERROR(__xludf.DUMMYFUNCTION("REGEXEXTRACT(C402, """"""([^""""]+)"""""")"),"Items.Jacket_23_rich_02")</f>
        <v>Items.Jacket_23_rich_02</v>
      </c>
    </row>
    <row r="403">
      <c r="A403" s="17" t="s">
        <v>178</v>
      </c>
      <c r="B403" s="3" t="s">
        <v>37</v>
      </c>
      <c r="C403" s="27" t="s">
        <v>1719</v>
      </c>
      <c r="D403" s="11" t="s">
        <v>1720</v>
      </c>
      <c r="E403" s="28" t="str">
        <f>IFERROR(__xludf.DUMMYFUNCTION("REGEXEXTRACT(C403, """"""([^""""]+)"""""")"),"Items.Jacket_23_old_01")</f>
        <v>Items.Jacket_23_old_01</v>
      </c>
    </row>
    <row r="404">
      <c r="A404" s="17" t="s">
        <v>178</v>
      </c>
      <c r="B404" s="3" t="s">
        <v>37</v>
      </c>
      <c r="C404" s="27" t="s">
        <v>1721</v>
      </c>
      <c r="D404" s="11" t="s">
        <v>1722</v>
      </c>
      <c r="E404" s="28" t="str">
        <f>IFERROR(__xludf.DUMMYFUNCTION("REGEXEXTRACT(C404, """"""([^""""]+)"""""")"),"Items.Vest_23_old_03")</f>
        <v>Items.Vest_23_old_03</v>
      </c>
    </row>
    <row r="405">
      <c r="A405" s="17" t="s">
        <v>178</v>
      </c>
      <c r="B405" s="3" t="s">
        <v>37</v>
      </c>
      <c r="C405" s="27" t="s">
        <v>1723</v>
      </c>
      <c r="D405" s="11" t="s">
        <v>1724</v>
      </c>
      <c r="E405" s="28" t="str">
        <f>IFERROR(__xludf.DUMMYFUNCTION("REGEXEXTRACT(C405, """"""([^""""]+)"""""")"),"Items.Vest_23_old_02")</f>
        <v>Items.Vest_23_old_02</v>
      </c>
    </row>
    <row r="406">
      <c r="A406" s="17" t="s">
        <v>178</v>
      </c>
      <c r="B406" s="3" t="s">
        <v>37</v>
      </c>
      <c r="C406" s="27" t="s">
        <v>1725</v>
      </c>
      <c r="D406" s="11" t="s">
        <v>1726</v>
      </c>
      <c r="E406" s="28" t="str">
        <f>IFERROR(__xludf.DUMMYFUNCTION("REGEXEXTRACT(C406, """"""([^""""]+)"""""")"),"Items.Vest_24_old_02")</f>
        <v>Items.Vest_24_old_02</v>
      </c>
    </row>
    <row r="407">
      <c r="A407" s="17" t="s">
        <v>178</v>
      </c>
      <c r="B407" s="3" t="s">
        <v>37</v>
      </c>
      <c r="C407" s="27" t="s">
        <v>1727</v>
      </c>
      <c r="D407" s="11" t="s">
        <v>1728</v>
      </c>
      <c r="E407" s="28" t="str">
        <f>IFERROR(__xludf.DUMMYFUNCTION("REGEXEXTRACT(C407, """"""([^""""]+)"""""")"),"Items.Dress_04_basic_01")</f>
        <v>Items.Dress_04_basic_01</v>
      </c>
    </row>
    <row r="408">
      <c r="A408" s="17" t="s">
        <v>178</v>
      </c>
      <c r="B408" s="3" t="s">
        <v>37</v>
      </c>
      <c r="C408" s="27" t="s">
        <v>1729</v>
      </c>
      <c r="D408" s="11" t="s">
        <v>1730</v>
      </c>
      <c r="E408" s="28" t="str">
        <f>IFERROR(__xludf.DUMMYFUNCTION("REGEXEXTRACT(C408, """"""([^""""]+)"""""")"),"Items.Coat_06_basic_05")</f>
        <v>Items.Coat_06_basic_05</v>
      </c>
    </row>
    <row r="409">
      <c r="A409" s="17" t="s">
        <v>178</v>
      </c>
      <c r="B409" s="3" t="s">
        <v>37</v>
      </c>
      <c r="C409" s="27" t="s">
        <v>1731</v>
      </c>
      <c r="D409" s="11" t="s">
        <v>1732</v>
      </c>
      <c r="E409" s="28" t="str">
        <f>IFERROR(__xludf.DUMMYFUNCTION("REGEXEXTRACT(C409, """"""([^""""]+)"""""")"),"Items.Jacket_23_basic_01")</f>
        <v>Items.Jacket_23_basic_01</v>
      </c>
    </row>
    <row r="410">
      <c r="A410" s="17" t="s">
        <v>178</v>
      </c>
      <c r="B410" s="3" t="s">
        <v>37</v>
      </c>
      <c r="C410" s="27" t="s">
        <v>1733</v>
      </c>
      <c r="D410" s="11" t="s">
        <v>1734</v>
      </c>
      <c r="E410" s="28" t="str">
        <f>IFERROR(__xludf.DUMMYFUNCTION("REGEXEXTRACT(C410, """"""([^""""]+)"""""")"),"Items.Vest_24_rich_03")</f>
        <v>Items.Vest_24_rich_03</v>
      </c>
    </row>
    <row r="411">
      <c r="A411" s="17" t="s">
        <v>178</v>
      </c>
      <c r="B411" s="3" t="s">
        <v>37</v>
      </c>
      <c r="C411" s="27" t="s">
        <v>1735</v>
      </c>
      <c r="D411" s="11" t="s">
        <v>1736</v>
      </c>
      <c r="E411" s="28" t="str">
        <f>IFERROR(__xludf.DUMMYFUNCTION("REGEXEXTRACT(C411, """"""([^""""]+)"""""")"),"Items.FormalJacket_06_rich_06")</f>
        <v>Items.FormalJacket_06_rich_06</v>
      </c>
    </row>
    <row r="412">
      <c r="A412" s="17" t="s">
        <v>178</v>
      </c>
      <c r="B412" s="3" t="s">
        <v>37</v>
      </c>
      <c r="C412" s="27" t="s">
        <v>1737</v>
      </c>
      <c r="D412" s="11" t="s">
        <v>1738</v>
      </c>
      <c r="E412" s="28" t="str">
        <f>IFERROR(__xludf.DUMMYFUNCTION("REGEXEXTRACT(C412, """"""([^""""]+)"""""")"),"Items.Dress_04_rich_03")</f>
        <v>Items.Dress_04_rich_03</v>
      </c>
    </row>
    <row r="413">
      <c r="A413" s="17" t="s">
        <v>178</v>
      </c>
      <c r="B413" s="3" t="s">
        <v>37</v>
      </c>
      <c r="C413" s="27" t="s">
        <v>1739</v>
      </c>
      <c r="D413" s="11" t="s">
        <v>1740</v>
      </c>
      <c r="E413" s="28" t="str">
        <f>IFERROR(__xludf.DUMMYFUNCTION("REGEXEXTRACT(C413, """"""([^""""]+)"""""")"),"Items.FormalJacket_06_basic_04")</f>
        <v>Items.FormalJacket_06_basic_04</v>
      </c>
    </row>
    <row r="414">
      <c r="A414" s="17" t="s">
        <v>178</v>
      </c>
      <c r="B414" s="3" t="s">
        <v>37</v>
      </c>
      <c r="C414" s="27" t="s">
        <v>1741</v>
      </c>
      <c r="D414" s="11" t="s">
        <v>1742</v>
      </c>
      <c r="E414" s="28" t="str">
        <f>IFERROR(__xludf.DUMMYFUNCTION("REGEXEXTRACT(C414, """"""([^""""]+)"""""")"),"Items.FormalJacket_06_basic_06")</f>
        <v>Items.FormalJacket_06_basic_06</v>
      </c>
    </row>
    <row r="415">
      <c r="A415" s="17" t="s">
        <v>178</v>
      </c>
      <c r="B415" s="3" t="s">
        <v>37</v>
      </c>
      <c r="C415" s="27" t="s">
        <v>1743</v>
      </c>
      <c r="D415" s="11" t="s">
        <v>1744</v>
      </c>
      <c r="E415" s="28" t="str">
        <f>IFERROR(__xludf.DUMMYFUNCTION("REGEXEXTRACT(C415, """"""([^""""]+)"""""")"),"Items.Vest_22_old_01")</f>
        <v>Items.Vest_22_old_01</v>
      </c>
    </row>
    <row r="416">
      <c r="A416" s="17" t="s">
        <v>178</v>
      </c>
      <c r="B416" s="3" t="s">
        <v>37</v>
      </c>
      <c r="C416" s="27" t="s">
        <v>1745</v>
      </c>
      <c r="D416" s="11" t="s">
        <v>1746</v>
      </c>
      <c r="E416" s="28" t="str">
        <f>IFERROR(__xludf.DUMMYFUNCTION("REGEXEXTRACT(C416, """"""([^""""]+)"""""")"),"Items.Coat_05_rich_02")</f>
        <v>Items.Coat_05_rich_02</v>
      </c>
    </row>
    <row r="417">
      <c r="A417" s="17" t="s">
        <v>178</v>
      </c>
      <c r="B417" s="3" t="s">
        <v>37</v>
      </c>
      <c r="C417" s="27" t="s">
        <v>1747</v>
      </c>
      <c r="D417" s="11" t="s">
        <v>1748</v>
      </c>
      <c r="E417" s="28" t="str">
        <f>IFERROR(__xludf.DUMMYFUNCTION("REGEXEXTRACT(C417, """"""([^""""]+)"""""")"),"Items.FormalJacket_06_rich_04")</f>
        <v>Items.FormalJacket_06_rich_04</v>
      </c>
    </row>
    <row r="418">
      <c r="A418" s="17" t="s">
        <v>178</v>
      </c>
      <c r="B418" s="3" t="s">
        <v>37</v>
      </c>
      <c r="C418" s="27" t="s">
        <v>1749</v>
      </c>
      <c r="D418" s="11" t="s">
        <v>1750</v>
      </c>
      <c r="E418" s="28" t="str">
        <f>IFERROR(__xludf.DUMMYFUNCTION("REGEXEXTRACT(C418, """"""([^""""]+)"""""")"),"Items.Coat_06_old_02")</f>
        <v>Items.Coat_06_old_02</v>
      </c>
    </row>
    <row r="419">
      <c r="A419" s="17" t="s">
        <v>178</v>
      </c>
      <c r="B419" s="3" t="s">
        <v>37</v>
      </c>
      <c r="C419" s="27" t="s">
        <v>1751</v>
      </c>
      <c r="D419" s="11" t="s">
        <v>1752</v>
      </c>
      <c r="E419" s="28" t="str">
        <f>IFERROR(__xludf.DUMMYFUNCTION("REGEXEXTRACT(C419, """"""([^""""]+)"""""")"),"Items.FormalJacket_06_rich_08")</f>
        <v>Items.FormalJacket_06_rich_08</v>
      </c>
    </row>
    <row r="420">
      <c r="A420" s="17" t="s">
        <v>178</v>
      </c>
      <c r="B420" s="3" t="s">
        <v>37</v>
      </c>
      <c r="C420" s="27" t="s">
        <v>1753</v>
      </c>
      <c r="D420" s="11" t="s">
        <v>1754</v>
      </c>
      <c r="E420" s="28" t="str">
        <f>IFERROR(__xludf.DUMMYFUNCTION("REGEXEXTRACT(C420, """"""([^""""]+)"""""")"),"Items.Jacket_25_basic_02")</f>
        <v>Items.Jacket_25_basic_02</v>
      </c>
    </row>
    <row r="421">
      <c r="A421" s="17" t="s">
        <v>178</v>
      </c>
      <c r="B421" s="3" t="s">
        <v>37</v>
      </c>
      <c r="C421" s="27" t="s">
        <v>1755</v>
      </c>
      <c r="D421" s="11" t="s">
        <v>1756</v>
      </c>
      <c r="E421" s="28" t="str">
        <f>IFERROR(__xludf.DUMMYFUNCTION("REGEXEXTRACT(C421, """"""([^""""]+)"""""")"),"Items.Jacket_25_rich_01")</f>
        <v>Items.Jacket_25_rich_01</v>
      </c>
    </row>
    <row r="422">
      <c r="A422" s="17" t="s">
        <v>178</v>
      </c>
      <c r="B422" s="3" t="s">
        <v>37</v>
      </c>
      <c r="C422" s="27" t="s">
        <v>1757</v>
      </c>
      <c r="D422" s="11" t="s">
        <v>1758</v>
      </c>
      <c r="E422" s="28" t="str">
        <f>IFERROR(__xludf.DUMMYFUNCTION("REGEXEXTRACT(C422, """"""([^""""]+)"""""")"),"Items.Dress_04_rich_01")</f>
        <v>Items.Dress_04_rich_01</v>
      </c>
    </row>
    <row r="423">
      <c r="A423" s="17" t="s">
        <v>178</v>
      </c>
      <c r="B423" s="3" t="s">
        <v>37</v>
      </c>
      <c r="C423" s="27" t="s">
        <v>1759</v>
      </c>
      <c r="D423" s="11" t="s">
        <v>1760</v>
      </c>
      <c r="E423" s="28" t="str">
        <f>IFERROR(__xludf.DUMMYFUNCTION("REGEXEXTRACT(C423, """"""([^""""]+)"""""")"),"Items.Jacket_25_basic_03")</f>
        <v>Items.Jacket_25_basic_03</v>
      </c>
    </row>
    <row r="424">
      <c r="A424" s="17" t="s">
        <v>178</v>
      </c>
      <c r="B424" s="3" t="s">
        <v>37</v>
      </c>
      <c r="C424" s="27" t="s">
        <v>1761</v>
      </c>
      <c r="D424" s="11" t="s">
        <v>1762</v>
      </c>
      <c r="E424" s="28" t="str">
        <f>IFERROR(__xludf.DUMMYFUNCTION("REGEXEXTRACT(C424, """"""([^""""]+)"""""")"),"Items.Jacket_25_rich_03")</f>
        <v>Items.Jacket_25_rich_03</v>
      </c>
    </row>
    <row r="425">
      <c r="A425" s="17" t="s">
        <v>178</v>
      </c>
      <c r="B425" s="3" t="s">
        <v>37</v>
      </c>
      <c r="C425" s="27" t="s">
        <v>1763</v>
      </c>
      <c r="D425" s="11" t="s">
        <v>1764</v>
      </c>
      <c r="E425" s="28" t="str">
        <f>IFERROR(__xludf.DUMMYFUNCTION("REGEXEXTRACT(C425, """"""([^""""]+)"""""")"),"Items.Dress_04_rich_02")</f>
        <v>Items.Dress_04_rich_02</v>
      </c>
    </row>
    <row r="426">
      <c r="A426" s="17" t="s">
        <v>178</v>
      </c>
      <c r="B426" s="3" t="s">
        <v>37</v>
      </c>
      <c r="C426" s="27" t="s">
        <v>1765</v>
      </c>
      <c r="D426" s="11" t="s">
        <v>1766</v>
      </c>
      <c r="E426" s="28" t="str">
        <f>IFERROR(__xludf.DUMMYFUNCTION("REGEXEXTRACT(C426, """"""([^""""]+)"""""")"),"Items.Dress_03_basic_01")</f>
        <v>Items.Dress_03_basic_01</v>
      </c>
    </row>
    <row r="427">
      <c r="A427" s="17" t="s">
        <v>178</v>
      </c>
      <c r="B427" s="3" t="s">
        <v>37</v>
      </c>
      <c r="C427" s="27" t="s">
        <v>1767</v>
      </c>
      <c r="D427" s="11" t="s">
        <v>1768</v>
      </c>
      <c r="E427" s="28" t="str">
        <f>IFERROR(__xludf.DUMMYFUNCTION("REGEXEXTRACT(C427, """"""([^""""]+)"""""")"),"Items.Jacket_24_old_03")</f>
        <v>Items.Jacket_24_old_03</v>
      </c>
    </row>
    <row r="428">
      <c r="A428" s="17" t="s">
        <v>178</v>
      </c>
      <c r="B428" s="3" t="s">
        <v>37</v>
      </c>
      <c r="C428" s="27" t="s">
        <v>1769</v>
      </c>
      <c r="D428" s="11" t="s">
        <v>1770</v>
      </c>
      <c r="E428" s="28" t="str">
        <f>IFERROR(__xludf.DUMMYFUNCTION("REGEXEXTRACT(C428, """"""([^""""]+)"""""")"),"Items.Dress_03_basic_03")</f>
        <v>Items.Dress_03_basic_03</v>
      </c>
    </row>
    <row r="429">
      <c r="A429" s="17" t="s">
        <v>178</v>
      </c>
      <c r="B429" s="3" t="s">
        <v>37</v>
      </c>
      <c r="C429" s="27" t="s">
        <v>1771</v>
      </c>
      <c r="D429" s="11" t="s">
        <v>1772</v>
      </c>
      <c r="E429" s="28" t="str">
        <f>IFERROR(__xludf.DUMMYFUNCTION("REGEXEXTRACT(C429, """"""([^""""]+)"""""")"),"Items.Dress_04_old_03")</f>
        <v>Items.Dress_04_old_03</v>
      </c>
    </row>
    <row r="430">
      <c r="A430" s="17" t="s">
        <v>178</v>
      </c>
      <c r="B430" s="3" t="s">
        <v>37</v>
      </c>
      <c r="C430" s="27" t="s">
        <v>1773</v>
      </c>
      <c r="D430" s="11" t="s">
        <v>1774</v>
      </c>
      <c r="E430" s="28" t="str">
        <f>IFERROR(__xludf.DUMMYFUNCTION("REGEXEXTRACT(C430, """"""([^""""]+)"""""")"),"Items.Jacket_23_old_04")</f>
        <v>Items.Jacket_23_old_04</v>
      </c>
    </row>
    <row r="431">
      <c r="A431" s="17" t="s">
        <v>178</v>
      </c>
      <c r="B431" s="3" t="s">
        <v>37</v>
      </c>
      <c r="C431" s="27" t="s">
        <v>1775</v>
      </c>
      <c r="D431" s="11" t="s">
        <v>1776</v>
      </c>
      <c r="E431" s="28" t="str">
        <f>IFERROR(__xludf.DUMMYFUNCTION("REGEXEXTRACT(C431, """"""([^""""]+)"""""")"),"Items.FormalJacket_06_rich_01")</f>
        <v>Items.FormalJacket_06_rich_01</v>
      </c>
    </row>
    <row r="432">
      <c r="A432" s="17" t="s">
        <v>178</v>
      </c>
      <c r="B432" s="3" t="s">
        <v>37</v>
      </c>
      <c r="C432" s="27" t="s">
        <v>1777</v>
      </c>
      <c r="D432" s="11" t="s">
        <v>1778</v>
      </c>
      <c r="E432" s="28" t="str">
        <f>IFERROR(__xludf.DUMMYFUNCTION("REGEXEXTRACT(C432, """"""([^""""]+)"""""")"),"Items.Coat_06_rich_05")</f>
        <v>Items.Coat_06_rich_05</v>
      </c>
    </row>
    <row r="433">
      <c r="A433" s="17" t="s">
        <v>178</v>
      </c>
      <c r="B433" s="3" t="s">
        <v>37</v>
      </c>
      <c r="C433" s="27" t="s">
        <v>1779</v>
      </c>
      <c r="D433" s="11" t="s">
        <v>1780</v>
      </c>
      <c r="E433" s="28" t="str">
        <f>IFERROR(__xludf.DUMMYFUNCTION("REGEXEXTRACT(C433, """"""([^""""]+)"""""")"),"Items.FormalJacket_06_basic_05")</f>
        <v>Items.FormalJacket_06_basic_05</v>
      </c>
    </row>
    <row r="434">
      <c r="A434" s="17" t="s">
        <v>178</v>
      </c>
      <c r="B434" s="3" t="s">
        <v>37</v>
      </c>
      <c r="C434" s="27" t="s">
        <v>1781</v>
      </c>
      <c r="D434" s="11" t="s">
        <v>1782</v>
      </c>
      <c r="E434" s="28" t="str">
        <f>IFERROR(__xludf.DUMMYFUNCTION("REGEXEXTRACT(C434, """"""([^""""]+)"""""")"),"Items.FormalJacket_06_rich_05")</f>
        <v>Items.FormalJacket_06_rich_05</v>
      </c>
    </row>
    <row r="435">
      <c r="A435" s="17" t="s">
        <v>178</v>
      </c>
      <c r="B435" s="3" t="s">
        <v>37</v>
      </c>
      <c r="C435" s="27" t="s">
        <v>1783</v>
      </c>
      <c r="D435" s="11" t="s">
        <v>1784</v>
      </c>
      <c r="E435" s="28" t="str">
        <f>IFERROR(__xludf.DUMMYFUNCTION("REGEXEXTRACT(C435, """"""([^""""]+)"""""")"),"Items.Coat_05_rich_01")</f>
        <v>Items.Coat_05_rich_01</v>
      </c>
    </row>
    <row r="436">
      <c r="A436" s="17" t="s">
        <v>178</v>
      </c>
      <c r="B436" s="3" t="s">
        <v>37</v>
      </c>
      <c r="C436" s="27" t="s">
        <v>1785</v>
      </c>
      <c r="D436" s="11" t="s">
        <v>1786</v>
      </c>
      <c r="E436" s="28" t="str">
        <f>IFERROR(__xludf.DUMMYFUNCTION("REGEXEXTRACT(C436, """"""([^""""]+)"""""")"),"Items.Jacket_22_basic_04")</f>
        <v>Items.Jacket_22_basic_04</v>
      </c>
    </row>
    <row r="437">
      <c r="A437" s="17" t="s">
        <v>178</v>
      </c>
      <c r="B437" s="3" t="s">
        <v>37</v>
      </c>
      <c r="C437" s="27" t="s">
        <v>1787</v>
      </c>
      <c r="D437" s="11" t="s">
        <v>1788</v>
      </c>
      <c r="E437" s="28" t="str">
        <f>IFERROR(__xludf.DUMMYFUNCTION("REGEXEXTRACT(C437, """"""([^""""]+)"""""")"),"Items.Jacket_23_rich_03")</f>
        <v>Items.Jacket_23_rich_03</v>
      </c>
    </row>
    <row r="438">
      <c r="A438" s="17" t="s">
        <v>178</v>
      </c>
      <c r="B438" s="3" t="s">
        <v>37</v>
      </c>
      <c r="C438" s="27" t="s">
        <v>1789</v>
      </c>
      <c r="D438" s="11" t="s">
        <v>1790</v>
      </c>
      <c r="E438" s="28" t="str">
        <f>IFERROR(__xludf.DUMMYFUNCTION("REGEXEXTRACT(C438, """"""([^""""]+)"""""")"),"Items.Dress_03_rich_02")</f>
        <v>Items.Dress_03_rich_02</v>
      </c>
    </row>
    <row r="439">
      <c r="A439" s="17" t="s">
        <v>178</v>
      </c>
      <c r="B439" s="3" t="s">
        <v>37</v>
      </c>
      <c r="C439" s="27" t="s">
        <v>1791</v>
      </c>
      <c r="D439" s="11" t="s">
        <v>1792</v>
      </c>
      <c r="E439" s="28" t="str">
        <f>IFERROR(__xludf.DUMMYFUNCTION("REGEXEXTRACT(C439, """"""([^""""]+)"""""")"),"Items.Dress_04_rich_04")</f>
        <v>Items.Dress_04_rich_04</v>
      </c>
    </row>
    <row r="440">
      <c r="A440" s="17" t="s">
        <v>178</v>
      </c>
      <c r="B440" s="3" t="s">
        <v>37</v>
      </c>
      <c r="C440" s="27" t="s">
        <v>1793</v>
      </c>
      <c r="D440" s="11" t="s">
        <v>1794</v>
      </c>
      <c r="E440" s="28" t="str">
        <f>IFERROR(__xludf.DUMMYFUNCTION("REGEXEXTRACT(C440, """"""([^""""]+)"""""")"),"Items.Coat_06_old_03")</f>
        <v>Items.Coat_06_old_03</v>
      </c>
    </row>
    <row r="441">
      <c r="A441" s="17" t="s">
        <v>178</v>
      </c>
      <c r="B441" s="3" t="s">
        <v>37</v>
      </c>
      <c r="C441" s="27" t="s">
        <v>1795</v>
      </c>
      <c r="D441" s="11" t="s">
        <v>1796</v>
      </c>
      <c r="E441" s="28" t="str">
        <f>IFERROR(__xludf.DUMMYFUNCTION("REGEXEXTRACT(C441, """"""([^""""]+)"""""")"),"Items.Vest_22_old_02")</f>
        <v>Items.Vest_22_old_02</v>
      </c>
    </row>
    <row r="442">
      <c r="A442" s="17" t="s">
        <v>178</v>
      </c>
      <c r="B442" s="3" t="s">
        <v>37</v>
      </c>
      <c r="C442" s="27" t="s">
        <v>1797</v>
      </c>
      <c r="D442" s="11" t="s">
        <v>1798</v>
      </c>
      <c r="E442" s="28" t="str">
        <f>IFERROR(__xludf.DUMMYFUNCTION("REGEXEXTRACT(C442, """"""([^""""]+)"""""")"),"Items.Coat_05_basic_06")</f>
        <v>Items.Coat_05_basic_06</v>
      </c>
    </row>
    <row r="443">
      <c r="A443" s="17" t="s">
        <v>178</v>
      </c>
      <c r="B443" s="3" t="s">
        <v>37</v>
      </c>
      <c r="C443" s="27" t="s">
        <v>1799</v>
      </c>
      <c r="D443" s="11" t="s">
        <v>1800</v>
      </c>
      <c r="E443" s="28" t="str">
        <f>IFERROR(__xludf.DUMMYFUNCTION("REGEXEXTRACT(C443, """"""([^""""]+)"""""")"),"Items.Dress_03_rich_06")</f>
        <v>Items.Dress_03_rich_06</v>
      </c>
    </row>
    <row r="444">
      <c r="A444" s="17" t="s">
        <v>178</v>
      </c>
      <c r="B444" s="3" t="s">
        <v>37</v>
      </c>
      <c r="C444" s="27" t="s">
        <v>1801</v>
      </c>
      <c r="D444" s="11" t="s">
        <v>1802</v>
      </c>
      <c r="E444" s="28" t="str">
        <f>IFERROR(__xludf.DUMMYFUNCTION("REGEXEXTRACT(C444, """"""([^""""]+)"""""")"),"Items.Jacket_24_basic_07")</f>
        <v>Items.Jacket_24_basic_07</v>
      </c>
    </row>
    <row r="445">
      <c r="A445" s="17" t="s">
        <v>178</v>
      </c>
      <c r="B445" s="3" t="s">
        <v>37</v>
      </c>
      <c r="C445" s="27" t="s">
        <v>1803</v>
      </c>
      <c r="D445" s="11" t="s">
        <v>1804</v>
      </c>
      <c r="E445" s="28" t="str">
        <f>IFERROR(__xludf.DUMMYFUNCTION("REGEXEXTRACT(C445, """"""([^""""]+)"""""")"),"Items.Jacket_22_old_03")</f>
        <v>Items.Jacket_22_old_03</v>
      </c>
    </row>
    <row r="446">
      <c r="A446" s="17" t="s">
        <v>178</v>
      </c>
      <c r="B446" s="3" t="s">
        <v>37</v>
      </c>
      <c r="C446" s="27" t="s">
        <v>1805</v>
      </c>
      <c r="D446" s="11" t="s">
        <v>1806</v>
      </c>
      <c r="E446" s="28" t="str">
        <f>IFERROR(__xludf.DUMMYFUNCTION("REGEXEXTRACT(C446, """"""([^""""]+)"""""")"),"Items.Jacket_24_rich_02")</f>
        <v>Items.Jacket_24_rich_02</v>
      </c>
    </row>
    <row r="447">
      <c r="A447" s="17" t="s">
        <v>178</v>
      </c>
      <c r="B447" s="3" t="s">
        <v>37</v>
      </c>
      <c r="C447" s="27" t="s">
        <v>1807</v>
      </c>
      <c r="D447" s="11" t="s">
        <v>1808</v>
      </c>
      <c r="E447" s="28" t="str">
        <f>IFERROR(__xludf.DUMMYFUNCTION("REGEXEXTRACT(C447, """"""([^""""]+)"""""")"),"Items.Coat_06_basic_01")</f>
        <v>Items.Coat_06_basic_01</v>
      </c>
    </row>
    <row r="448">
      <c r="A448" s="17" t="s">
        <v>178</v>
      </c>
      <c r="B448" s="3" t="s">
        <v>37</v>
      </c>
      <c r="C448" s="27" t="s">
        <v>1809</v>
      </c>
      <c r="D448" s="11" t="s">
        <v>1810</v>
      </c>
      <c r="E448" s="28" t="str">
        <f>IFERROR(__xludf.DUMMYFUNCTION("REGEXEXTRACT(C448, """"""([^""""]+)"""""")"),"Items.Coat_06_rich_02")</f>
        <v>Items.Coat_06_rich_02</v>
      </c>
    </row>
    <row r="449">
      <c r="A449" s="17" t="s">
        <v>178</v>
      </c>
      <c r="B449" s="3" t="s">
        <v>37</v>
      </c>
      <c r="C449" s="27" t="s">
        <v>1811</v>
      </c>
      <c r="D449" s="11" t="s">
        <v>1812</v>
      </c>
      <c r="E449" s="28" t="str">
        <f>IFERROR(__xludf.DUMMYFUNCTION("REGEXEXTRACT(C449, """"""([^""""]+)"""""")"),"Items.Dress_03_rich_08")</f>
        <v>Items.Dress_03_rich_08</v>
      </c>
    </row>
    <row r="450">
      <c r="A450" s="17" t="s">
        <v>178</v>
      </c>
      <c r="B450" s="3" t="s">
        <v>37</v>
      </c>
      <c r="C450" s="27" t="s">
        <v>1813</v>
      </c>
      <c r="D450" s="11" t="s">
        <v>1814</v>
      </c>
      <c r="E450" s="28" t="str">
        <f>IFERROR(__xludf.DUMMYFUNCTION("REGEXEXTRACT(C450, """"""([^""""]+)"""""")"),"Items.Dress_04_basic_04")</f>
        <v>Items.Dress_04_basic_04</v>
      </c>
    </row>
    <row r="451">
      <c r="A451" s="17" t="s">
        <v>178</v>
      </c>
      <c r="B451" s="3" t="s">
        <v>37</v>
      </c>
      <c r="C451" s="27" t="s">
        <v>1815</v>
      </c>
      <c r="D451" s="11" t="s">
        <v>1816</v>
      </c>
      <c r="E451" s="28" t="str">
        <f>IFERROR(__xludf.DUMMYFUNCTION("REGEXEXTRACT(C451, """"""([^""""]+)"""""")"),"Items.Coat_05_rich_04")</f>
        <v>Items.Coat_05_rich_04</v>
      </c>
    </row>
    <row r="452">
      <c r="A452" s="17" t="s">
        <v>178</v>
      </c>
      <c r="B452" s="3" t="s">
        <v>37</v>
      </c>
      <c r="C452" s="27" t="s">
        <v>1817</v>
      </c>
      <c r="D452" s="11" t="s">
        <v>1818</v>
      </c>
      <c r="E452" s="28" t="str">
        <f>IFERROR(__xludf.DUMMYFUNCTION("REGEXEXTRACT(C452, """"""([^""""]+)"""""")"),"Items.FormalJacket_06_basic_08")</f>
        <v>Items.FormalJacket_06_basic_08</v>
      </c>
    </row>
    <row r="453">
      <c r="A453" s="17" t="s">
        <v>178</v>
      </c>
      <c r="B453" s="3" t="s">
        <v>37</v>
      </c>
      <c r="C453" s="27" t="s">
        <v>1819</v>
      </c>
      <c r="D453" s="11" t="s">
        <v>1820</v>
      </c>
      <c r="E453" s="28" t="str">
        <f>IFERROR(__xludf.DUMMYFUNCTION("REGEXEXTRACT(C453, """"""([^""""]+)"""""")"),"Items.Dress_04_rich_05")</f>
        <v>Items.Dress_04_rich_05</v>
      </c>
    </row>
    <row r="454">
      <c r="A454" s="17" t="s">
        <v>178</v>
      </c>
      <c r="B454" s="3" t="s">
        <v>37</v>
      </c>
      <c r="C454" s="27" t="s">
        <v>1821</v>
      </c>
      <c r="D454" s="11" t="s">
        <v>1822</v>
      </c>
      <c r="E454" s="28" t="str">
        <f>IFERROR(__xludf.DUMMYFUNCTION("REGEXEXTRACT(C454, """"""([^""""]+)"""""")"),"Items.FormalJacket_06_basic_07")</f>
        <v>Items.FormalJacket_06_basic_07</v>
      </c>
    </row>
    <row r="455">
      <c r="A455" s="17" t="s">
        <v>178</v>
      </c>
      <c r="B455" s="3" t="s">
        <v>37</v>
      </c>
      <c r="C455" s="27" t="s">
        <v>1823</v>
      </c>
      <c r="D455" s="11" t="s">
        <v>1824</v>
      </c>
      <c r="E455" s="28" t="str">
        <f>IFERROR(__xludf.DUMMYFUNCTION("REGEXEXTRACT(C455, """"""([^""""]+)"""""")"),"Items.Dress_03_basic_04")</f>
        <v>Items.Dress_03_basic_04</v>
      </c>
    </row>
    <row r="456">
      <c r="A456" s="17" t="s">
        <v>178</v>
      </c>
      <c r="B456" s="3" t="s">
        <v>37</v>
      </c>
      <c r="C456" s="27" t="s">
        <v>1825</v>
      </c>
      <c r="D456" s="11" t="s">
        <v>1826</v>
      </c>
      <c r="E456" s="28" t="str">
        <f>IFERROR(__xludf.DUMMYFUNCTION("REGEXEXTRACT(C456, """"""([^""""]+)"""""")"),"Items.Vest_23_basic_04")</f>
        <v>Items.Vest_23_basic_04</v>
      </c>
    </row>
    <row r="457">
      <c r="A457" s="17" t="s">
        <v>178</v>
      </c>
      <c r="B457" s="3" t="s">
        <v>37</v>
      </c>
      <c r="C457" s="27" t="s">
        <v>1827</v>
      </c>
      <c r="D457" s="11" t="s">
        <v>1828</v>
      </c>
      <c r="E457" s="28" t="str">
        <f>IFERROR(__xludf.DUMMYFUNCTION("REGEXEXTRACT(C457, """"""([^""""]+)"""""")"),"Items.Jacket_25_rich_06")</f>
        <v>Items.Jacket_25_rich_06</v>
      </c>
    </row>
    <row r="458">
      <c r="A458" s="17" t="s">
        <v>178</v>
      </c>
      <c r="B458" s="3" t="s">
        <v>37</v>
      </c>
      <c r="C458" s="27" t="s">
        <v>1829</v>
      </c>
      <c r="D458" s="11" t="s">
        <v>1830</v>
      </c>
      <c r="E458" s="28" t="str">
        <f>IFERROR(__xludf.DUMMYFUNCTION("REGEXEXTRACT(C458, """"""([^""""]+)"""""")"),"Items.Jacket_22_old_02")</f>
        <v>Items.Jacket_22_old_02</v>
      </c>
    </row>
    <row r="459">
      <c r="A459" s="17" t="s">
        <v>178</v>
      </c>
      <c r="B459" s="3" t="s">
        <v>37</v>
      </c>
      <c r="C459" s="27" t="s">
        <v>1831</v>
      </c>
      <c r="D459" s="11" t="s">
        <v>1832</v>
      </c>
      <c r="E459" s="28" t="str">
        <f>IFERROR(__xludf.DUMMYFUNCTION("REGEXEXTRACT(C459, """"""([^""""]+)"""""")"),"Items.Vest_23_rich_01")</f>
        <v>Items.Vest_23_rich_01</v>
      </c>
    </row>
    <row r="460">
      <c r="A460" s="17" t="s">
        <v>178</v>
      </c>
      <c r="B460" s="3" t="s">
        <v>37</v>
      </c>
      <c r="C460" s="27" t="s">
        <v>1833</v>
      </c>
      <c r="D460" s="11" t="s">
        <v>1834</v>
      </c>
      <c r="E460" s="28" t="str">
        <f>IFERROR(__xludf.DUMMYFUNCTION("REGEXEXTRACT(C460, """"""([^""""]+)"""""")"),"Items.Vest_21_old_04")</f>
        <v>Items.Vest_21_old_04</v>
      </c>
    </row>
    <row r="461">
      <c r="A461" s="17" t="s">
        <v>178</v>
      </c>
      <c r="B461" s="3" t="s">
        <v>37</v>
      </c>
      <c r="C461" s="27" t="s">
        <v>1835</v>
      </c>
      <c r="D461" s="11" t="s">
        <v>1836</v>
      </c>
      <c r="E461" s="28" t="str">
        <f>IFERROR(__xludf.DUMMYFUNCTION("REGEXEXTRACT(C461, """"""([^""""]+)"""""")"),"Items.Coat_05_old_02")</f>
        <v>Items.Coat_05_old_02</v>
      </c>
    </row>
    <row r="462">
      <c r="A462" s="17" t="s">
        <v>178</v>
      </c>
      <c r="B462" s="3" t="s">
        <v>37</v>
      </c>
      <c r="C462" s="27" t="s">
        <v>1837</v>
      </c>
      <c r="D462" s="11" t="s">
        <v>1838</v>
      </c>
      <c r="E462" s="28" t="str">
        <f>IFERROR(__xludf.DUMMYFUNCTION("REGEXEXTRACT(C462, """"""([^""""]+)"""""")"),"Items.Coat_05_rich_03")</f>
        <v>Items.Coat_05_rich_03</v>
      </c>
    </row>
    <row r="463">
      <c r="A463" s="17" t="s">
        <v>178</v>
      </c>
      <c r="B463" s="3" t="s">
        <v>37</v>
      </c>
      <c r="C463" s="27" t="s">
        <v>1839</v>
      </c>
      <c r="D463" s="11" t="s">
        <v>1840</v>
      </c>
      <c r="E463" s="28" t="str">
        <f>IFERROR(__xludf.DUMMYFUNCTION("REGEXEXTRACT(C463, """"""([^""""]+)"""""")"),"Items.Jacket_24_old_01")</f>
        <v>Items.Jacket_24_old_01</v>
      </c>
    </row>
    <row r="464">
      <c r="A464" s="17" t="s">
        <v>178</v>
      </c>
      <c r="B464" s="3" t="s">
        <v>37</v>
      </c>
      <c r="C464" s="27" t="s">
        <v>1841</v>
      </c>
      <c r="D464" s="11" t="s">
        <v>1842</v>
      </c>
      <c r="E464" s="28" t="str">
        <f>IFERROR(__xludf.DUMMYFUNCTION("REGEXEXTRACT(C464, """"""([^""""]+)"""""")"),"Items.Vest_24_basic_01")</f>
        <v>Items.Vest_24_basic_01</v>
      </c>
    </row>
    <row r="465">
      <c r="A465" s="17" t="s">
        <v>178</v>
      </c>
      <c r="B465" s="3" t="s">
        <v>37</v>
      </c>
      <c r="C465" s="27" t="s">
        <v>1843</v>
      </c>
      <c r="D465" s="11" t="s">
        <v>1844</v>
      </c>
      <c r="E465" s="28" t="str">
        <f>IFERROR(__xludf.DUMMYFUNCTION("REGEXEXTRACT(C465, """"""([^""""]+)"""""")"),"Items.Jacket_25_rich_05")</f>
        <v>Items.Jacket_25_rich_05</v>
      </c>
    </row>
    <row r="466">
      <c r="A466" s="17" t="s">
        <v>178</v>
      </c>
      <c r="B466" s="3" t="s">
        <v>37</v>
      </c>
      <c r="C466" s="27" t="s">
        <v>1845</v>
      </c>
      <c r="D466" s="11" t="s">
        <v>1846</v>
      </c>
      <c r="E466" s="28" t="str">
        <f>IFERROR(__xludf.DUMMYFUNCTION("REGEXEXTRACT(C466, """"""([^""""]+)"""""")"),"Items.Vest_22_basic_01")</f>
        <v>Items.Vest_22_basic_01</v>
      </c>
    </row>
    <row r="467">
      <c r="A467" s="17" t="s">
        <v>178</v>
      </c>
      <c r="B467" s="3" t="s">
        <v>37</v>
      </c>
      <c r="C467" s="27" t="s">
        <v>1847</v>
      </c>
      <c r="D467" s="11" t="s">
        <v>1848</v>
      </c>
      <c r="E467" s="28" t="str">
        <f>IFERROR(__xludf.DUMMYFUNCTION("REGEXEXTRACT(C467, """"""([^""""]+)"""""")"),"Items.Vest_21_basic_01")</f>
        <v>Items.Vest_21_basic_01</v>
      </c>
    </row>
    <row r="468">
      <c r="A468" s="17" t="s">
        <v>178</v>
      </c>
      <c r="B468" s="3" t="s">
        <v>37</v>
      </c>
      <c r="C468" s="27" t="s">
        <v>1849</v>
      </c>
      <c r="D468" s="11" t="s">
        <v>1850</v>
      </c>
      <c r="E468" s="28" t="str">
        <f>IFERROR(__xludf.DUMMYFUNCTION("REGEXEXTRACT(C468, """"""([^""""]+)"""""")"),"Items.Vest_24_basic_03")</f>
        <v>Items.Vest_24_basic_03</v>
      </c>
    </row>
    <row r="469">
      <c r="A469" s="17" t="s">
        <v>178</v>
      </c>
      <c r="B469" s="3" t="s">
        <v>37</v>
      </c>
      <c r="C469" s="27" t="s">
        <v>1851</v>
      </c>
      <c r="D469" s="11" t="s">
        <v>1852</v>
      </c>
      <c r="E469" s="28" t="str">
        <f>IFERROR(__xludf.DUMMYFUNCTION("REGEXEXTRACT(C469, """"""([^""""]+)"""""")"),"Items.Coat_05_old_03")</f>
        <v>Items.Coat_05_old_03</v>
      </c>
    </row>
    <row r="470">
      <c r="A470" s="17" t="s">
        <v>178</v>
      </c>
      <c r="B470" s="3" t="s">
        <v>37</v>
      </c>
      <c r="C470" s="27" t="s">
        <v>1853</v>
      </c>
      <c r="D470" s="11" t="s">
        <v>1854</v>
      </c>
      <c r="E470" s="28" t="str">
        <f>IFERROR(__xludf.DUMMYFUNCTION("REGEXEXTRACT(C470, """"""([^""""]+)"""""")"),"Items.FormalJacket_06_rich_03")</f>
        <v>Items.FormalJacket_06_rich_03</v>
      </c>
    </row>
    <row r="471">
      <c r="A471" s="17" t="s">
        <v>178</v>
      </c>
      <c r="B471" s="3" t="s">
        <v>37</v>
      </c>
      <c r="C471" s="27" t="s">
        <v>1855</v>
      </c>
      <c r="D471" s="11" t="s">
        <v>1856</v>
      </c>
      <c r="E471" s="28" t="str">
        <f>IFERROR(__xludf.DUMMYFUNCTION("REGEXEXTRACT(C471, """"""([^""""]+)"""""")"),"Items.Vest_24_basic_05")</f>
        <v>Items.Vest_24_basic_05</v>
      </c>
    </row>
    <row r="472">
      <c r="A472" s="17" t="s">
        <v>178</v>
      </c>
      <c r="B472" s="3" t="s">
        <v>37</v>
      </c>
      <c r="C472" s="27" t="s">
        <v>1857</v>
      </c>
      <c r="D472" s="11" t="s">
        <v>1858</v>
      </c>
      <c r="E472" s="28" t="str">
        <f>IFERROR(__xludf.DUMMYFUNCTION("REGEXEXTRACT(C472, """"""([^""""]+)"""""")"),"Items.Vest_23_basic_01")</f>
        <v>Items.Vest_23_basic_01</v>
      </c>
    </row>
    <row r="473">
      <c r="A473" s="17" t="s">
        <v>178</v>
      </c>
      <c r="B473" s="3" t="s">
        <v>37</v>
      </c>
      <c r="C473" s="27" t="s">
        <v>1859</v>
      </c>
      <c r="D473" s="11" t="s">
        <v>1860</v>
      </c>
      <c r="E473" s="28" t="str">
        <f>IFERROR(__xludf.DUMMYFUNCTION("REGEXEXTRACT(C473, """"""([^""""]+)"""""")"),"Items.Coat_06_rich_04")</f>
        <v>Items.Coat_06_rich_04</v>
      </c>
    </row>
    <row r="474">
      <c r="A474" s="17" t="s">
        <v>178</v>
      </c>
      <c r="B474" s="3" t="s">
        <v>37</v>
      </c>
      <c r="C474" s="27" t="s">
        <v>1861</v>
      </c>
      <c r="D474" s="11" t="s">
        <v>1862</v>
      </c>
      <c r="E474" s="28" t="str">
        <f>IFERROR(__xludf.DUMMYFUNCTION("REGEXEXTRACT(C474, """"""([^""""]+)"""""")"),"Items.Jacket_22_basic_03")</f>
        <v>Items.Jacket_22_basic_03</v>
      </c>
    </row>
    <row r="475">
      <c r="A475" s="17" t="s">
        <v>178</v>
      </c>
      <c r="B475" s="3" t="s">
        <v>37</v>
      </c>
      <c r="C475" s="27" t="s">
        <v>1863</v>
      </c>
      <c r="D475" s="11" t="s">
        <v>1864</v>
      </c>
      <c r="E475" s="28" t="str">
        <f>IFERROR(__xludf.DUMMYFUNCTION("REGEXEXTRACT(C475, """"""([^""""]+)"""""")"),"Items.Coat_06_old_05")</f>
        <v>Items.Coat_06_old_05</v>
      </c>
    </row>
    <row r="476">
      <c r="A476" s="17" t="s">
        <v>178</v>
      </c>
      <c r="B476" s="3" t="s">
        <v>37</v>
      </c>
      <c r="C476" s="27" t="s">
        <v>1865</v>
      </c>
      <c r="D476" s="11" t="s">
        <v>1866</v>
      </c>
      <c r="E476" s="28" t="str">
        <f>IFERROR(__xludf.DUMMYFUNCTION("REGEXEXTRACT(C476, """"""([^""""]+)"""""")"),"Items.Dress_04_basic_05")</f>
        <v>Items.Dress_04_basic_05</v>
      </c>
    </row>
    <row r="477">
      <c r="A477" s="17" t="s">
        <v>178</v>
      </c>
      <c r="B477" s="3" t="s">
        <v>37</v>
      </c>
      <c r="C477" s="27" t="s">
        <v>1867</v>
      </c>
      <c r="D477" s="11" t="s">
        <v>1868</v>
      </c>
      <c r="E477" s="28" t="str">
        <f>IFERROR(__xludf.DUMMYFUNCTION("REGEXEXTRACT(C477, """"""([^""""]+)"""""")"),"Items.Dress_03_rich_03")</f>
        <v>Items.Dress_03_rich_03</v>
      </c>
    </row>
    <row r="478">
      <c r="A478" s="17" t="s">
        <v>178</v>
      </c>
      <c r="B478" s="3" t="s">
        <v>37</v>
      </c>
      <c r="C478" s="27" t="s">
        <v>1869</v>
      </c>
      <c r="D478" s="11" t="s">
        <v>1870</v>
      </c>
      <c r="E478" s="28" t="str">
        <f>IFERROR(__xludf.DUMMYFUNCTION("REGEXEXTRACT(C478, """"""([^""""]+)"""""")"),"Items.Vest_21_rich_01")</f>
        <v>Items.Vest_21_rich_01</v>
      </c>
    </row>
    <row r="479">
      <c r="A479" s="17" t="s">
        <v>178</v>
      </c>
      <c r="B479" s="3" t="s">
        <v>37</v>
      </c>
      <c r="C479" s="27" t="s">
        <v>1871</v>
      </c>
      <c r="D479" s="11" t="s">
        <v>1872</v>
      </c>
      <c r="E479" s="28" t="str">
        <f>IFERROR(__xludf.DUMMYFUNCTION("REGEXEXTRACT(C479, """"""([^""""]+)"""""")"),"Items.Vest_23_basic_02")</f>
        <v>Items.Vest_23_basic_02</v>
      </c>
    </row>
    <row r="480">
      <c r="A480" s="17" t="s">
        <v>178</v>
      </c>
      <c r="B480" s="3" t="s">
        <v>37</v>
      </c>
      <c r="C480" s="27" t="s">
        <v>1873</v>
      </c>
      <c r="D480" s="11" t="s">
        <v>1874</v>
      </c>
      <c r="E480" s="28" t="str">
        <f>IFERROR(__xludf.DUMMYFUNCTION("REGEXEXTRACT(C480, """"""([^""""]+)"""""")"),"Items.Vest_22_old_03")</f>
        <v>Items.Vest_22_old_03</v>
      </c>
    </row>
    <row r="481">
      <c r="A481" s="17" t="s">
        <v>178</v>
      </c>
      <c r="B481" s="3" t="s">
        <v>37</v>
      </c>
      <c r="C481" s="27" t="s">
        <v>1875</v>
      </c>
      <c r="D481" s="11" t="s">
        <v>1876</v>
      </c>
      <c r="E481" s="28" t="str">
        <f>IFERROR(__xludf.DUMMYFUNCTION("REGEXEXTRACT(C481, """"""([^""""]+)"""""")"),"Items.Vest_21_old_03")</f>
        <v>Items.Vest_21_old_03</v>
      </c>
    </row>
    <row r="482">
      <c r="A482" s="17" t="s">
        <v>178</v>
      </c>
      <c r="B482" s="3" t="s">
        <v>37</v>
      </c>
      <c r="C482" s="27" t="s">
        <v>1877</v>
      </c>
      <c r="D482" s="11" t="s">
        <v>1878</v>
      </c>
      <c r="E482" s="28" t="str">
        <f>IFERROR(__xludf.DUMMYFUNCTION("REGEXEXTRACT(C482, """"""([^""""]+)"""""")"),"Items.Jacket_22_rich_03")</f>
        <v>Items.Jacket_22_rich_03</v>
      </c>
    </row>
    <row r="483">
      <c r="A483" s="17" t="s">
        <v>178</v>
      </c>
      <c r="B483" s="3" t="s">
        <v>37</v>
      </c>
      <c r="C483" s="27" t="s">
        <v>1879</v>
      </c>
      <c r="D483" s="11" t="s">
        <v>1880</v>
      </c>
      <c r="E483" s="28" t="str">
        <f>IFERROR(__xludf.DUMMYFUNCTION("REGEXEXTRACT(C483, """"""([^""""]+)"""""")"),"Items.Jacket_25_basic_09")</f>
        <v>Items.Jacket_25_basic_09</v>
      </c>
    </row>
    <row r="484">
      <c r="A484" s="17" t="s">
        <v>178</v>
      </c>
      <c r="B484" s="3" t="s">
        <v>37</v>
      </c>
      <c r="C484" s="27" t="s">
        <v>1881</v>
      </c>
      <c r="D484" s="11" t="s">
        <v>1882</v>
      </c>
      <c r="E484" s="28" t="str">
        <f>IFERROR(__xludf.DUMMYFUNCTION("REGEXEXTRACT(C484, """"""([^""""]+)"""""")"),"Items.Coat_06_basic_04")</f>
        <v>Items.Coat_06_basic_04</v>
      </c>
    </row>
    <row r="485">
      <c r="A485" s="17" t="s">
        <v>178</v>
      </c>
      <c r="B485" s="3" t="s">
        <v>37</v>
      </c>
      <c r="C485" s="27" t="s">
        <v>1883</v>
      </c>
      <c r="D485" s="11" t="s">
        <v>1884</v>
      </c>
      <c r="E485" s="28" t="str">
        <f>IFERROR(__xludf.DUMMYFUNCTION("REGEXEXTRACT(C485, """"""([^""""]+)"""""")"),"Items.Jacket_25_rich_07")</f>
        <v>Items.Jacket_25_rich_07</v>
      </c>
    </row>
    <row r="486">
      <c r="A486" s="17" t="s">
        <v>178</v>
      </c>
      <c r="B486" s="3" t="s">
        <v>37</v>
      </c>
      <c r="C486" s="27" t="s">
        <v>1885</v>
      </c>
      <c r="D486" s="11" t="s">
        <v>1886</v>
      </c>
      <c r="E486" s="28" t="str">
        <f>IFERROR(__xludf.DUMMYFUNCTION("REGEXEXTRACT(C486, """"""([^""""]+)"""""")"),"Items.Jacket_25_rich_04")</f>
        <v>Items.Jacket_25_rich_04</v>
      </c>
    </row>
    <row r="487">
      <c r="A487" s="17" t="s">
        <v>178</v>
      </c>
      <c r="B487" s="3" t="s">
        <v>37</v>
      </c>
      <c r="C487" s="27" t="s">
        <v>1887</v>
      </c>
      <c r="D487" s="11" t="s">
        <v>1888</v>
      </c>
      <c r="E487" s="28" t="str">
        <f>IFERROR(__xludf.DUMMYFUNCTION("REGEXEXTRACT(C487, """"""([^""""]+)"""""")"),"Items.Dress_04_basic_08")</f>
        <v>Items.Dress_04_basic_08</v>
      </c>
    </row>
    <row r="488">
      <c r="A488" s="17" t="s">
        <v>178</v>
      </c>
      <c r="B488" s="3" t="s">
        <v>37</v>
      </c>
      <c r="C488" s="27" t="s">
        <v>1889</v>
      </c>
      <c r="D488" s="11" t="s">
        <v>1890</v>
      </c>
      <c r="E488" s="28" t="str">
        <f>IFERROR(__xludf.DUMMYFUNCTION("REGEXEXTRACT(C488, """"""([^""""]+)"""""")"),"Items.Coat_05_old_04")</f>
        <v>Items.Coat_05_old_04</v>
      </c>
    </row>
    <row r="489">
      <c r="A489" s="17" t="s">
        <v>178</v>
      </c>
      <c r="B489" s="3" t="s">
        <v>37</v>
      </c>
      <c r="C489" s="27" t="s">
        <v>1891</v>
      </c>
      <c r="D489" s="11" t="s">
        <v>1892</v>
      </c>
      <c r="E489" s="28" t="str">
        <f>IFERROR(__xludf.DUMMYFUNCTION("REGEXEXTRACT(C489, """"""([^""""]+)"""""")"),"Items.Dress_04_basic_03")</f>
        <v>Items.Dress_04_basic_03</v>
      </c>
    </row>
    <row r="490">
      <c r="A490" s="17" t="s">
        <v>178</v>
      </c>
      <c r="B490" s="3" t="s">
        <v>37</v>
      </c>
      <c r="C490" s="27" t="s">
        <v>1893</v>
      </c>
      <c r="D490" s="11" t="s">
        <v>1894</v>
      </c>
      <c r="E490" s="28" t="str">
        <f>IFERROR(__xludf.DUMMYFUNCTION("REGEXEXTRACT(C490, """"""([^""""]+)"""""")"),"Items.Vest_21_rich_04")</f>
        <v>Items.Vest_21_rich_04</v>
      </c>
    </row>
    <row r="491">
      <c r="A491" s="17" t="s">
        <v>178</v>
      </c>
      <c r="B491" s="3" t="s">
        <v>37</v>
      </c>
      <c r="C491" s="27" t="s">
        <v>1895</v>
      </c>
      <c r="D491" s="11" t="s">
        <v>1896</v>
      </c>
      <c r="E491" s="28" t="str">
        <f>IFERROR(__xludf.DUMMYFUNCTION("REGEXEXTRACT(C491, """"""([^""""]+)"""""")"),"Items.Jacket_25_basic_05")</f>
        <v>Items.Jacket_25_basic_05</v>
      </c>
    </row>
    <row r="492">
      <c r="A492" s="17" t="s">
        <v>178</v>
      </c>
      <c r="B492" s="3" t="s">
        <v>37</v>
      </c>
      <c r="C492" s="27" t="s">
        <v>1897</v>
      </c>
      <c r="D492" s="11" t="s">
        <v>1898</v>
      </c>
      <c r="E492" s="28" t="str">
        <f>IFERROR(__xludf.DUMMYFUNCTION("REGEXEXTRACT(C492, """"""([^""""]+)"""""")"),"Items.Vest_22_old_04")</f>
        <v>Items.Vest_22_old_04</v>
      </c>
    </row>
    <row r="493">
      <c r="A493" s="17" t="s">
        <v>178</v>
      </c>
      <c r="B493" s="3" t="s">
        <v>37</v>
      </c>
      <c r="C493" s="27" t="s">
        <v>1899</v>
      </c>
      <c r="D493" s="11" t="s">
        <v>1900</v>
      </c>
      <c r="E493" s="28" t="str">
        <f>IFERROR(__xludf.DUMMYFUNCTION("REGEXEXTRACT(C493, """"""([^""""]+)"""""")"),"Items.Vest_21_old_01")</f>
        <v>Items.Vest_21_old_01</v>
      </c>
    </row>
    <row r="494">
      <c r="A494" s="17" t="s">
        <v>178</v>
      </c>
      <c r="B494" s="3" t="s">
        <v>37</v>
      </c>
      <c r="C494" s="27" t="s">
        <v>1901</v>
      </c>
      <c r="D494" s="11" t="s">
        <v>1902</v>
      </c>
      <c r="E494" s="28" t="str">
        <f>IFERROR(__xludf.DUMMYFUNCTION("REGEXEXTRACT(C494, """"""([^""""]+)"""""")"),"Items.Jacket_24_rich_04")</f>
        <v>Items.Jacket_24_rich_04</v>
      </c>
    </row>
    <row r="495">
      <c r="A495" s="17" t="s">
        <v>178</v>
      </c>
      <c r="B495" s="3" t="s">
        <v>37</v>
      </c>
      <c r="C495" s="27" t="s">
        <v>1903</v>
      </c>
      <c r="D495" s="11" t="s">
        <v>1904</v>
      </c>
      <c r="E495" s="28" t="str">
        <f>IFERROR(__xludf.DUMMYFUNCTION("REGEXEXTRACT(C495, """"""([^""""]+)"""""")"),"Items.Jacket_23_basic_03")</f>
        <v>Items.Jacket_23_basic_03</v>
      </c>
    </row>
    <row r="496">
      <c r="A496" s="17" t="s">
        <v>178</v>
      </c>
      <c r="B496" s="3" t="s">
        <v>37</v>
      </c>
      <c r="C496" s="27" t="s">
        <v>1905</v>
      </c>
      <c r="D496" s="11" t="s">
        <v>1906</v>
      </c>
      <c r="E496" s="28" t="str">
        <f>IFERROR(__xludf.DUMMYFUNCTION("REGEXEXTRACT(C496, """"""([^""""]+)"""""")"),"Items.FormalJacket_06_basic_03")</f>
        <v>Items.FormalJacket_06_basic_03</v>
      </c>
    </row>
    <row r="497">
      <c r="A497" s="17" t="s">
        <v>178</v>
      </c>
      <c r="B497" s="3" t="s">
        <v>37</v>
      </c>
      <c r="C497" s="27" t="s">
        <v>1907</v>
      </c>
      <c r="D497" s="11" t="s">
        <v>1908</v>
      </c>
      <c r="E497" s="28" t="str">
        <f>IFERROR(__xludf.DUMMYFUNCTION("REGEXEXTRACT(C497, """"""([^""""]+)"""""")"),"Items.Coat_06_rich_03")</f>
        <v>Items.Coat_06_rich_03</v>
      </c>
    </row>
    <row r="498">
      <c r="A498" s="17" t="s">
        <v>178</v>
      </c>
      <c r="B498" s="3" t="s">
        <v>37</v>
      </c>
      <c r="C498" s="27" t="s">
        <v>1909</v>
      </c>
      <c r="D498" s="11" t="s">
        <v>1910</v>
      </c>
      <c r="E498" s="28" t="str">
        <f>IFERROR(__xludf.DUMMYFUNCTION("REGEXEXTRACT(C498, """"""([^""""]+)"""""")"),"Items.Vest_24_basic_02")</f>
        <v>Items.Vest_24_basic_02</v>
      </c>
    </row>
    <row r="499">
      <c r="A499" s="17" t="s">
        <v>178</v>
      </c>
      <c r="B499" s="3" t="s">
        <v>37</v>
      </c>
      <c r="C499" s="27" t="s">
        <v>1911</v>
      </c>
      <c r="D499" s="11" t="s">
        <v>1912</v>
      </c>
      <c r="E499" s="28" t="str">
        <f>IFERROR(__xludf.DUMMYFUNCTION("REGEXEXTRACT(C499, """"""([^""""]+)"""""")"),"Items.Jacket_22_basic_02")</f>
        <v>Items.Jacket_22_basic_02</v>
      </c>
    </row>
    <row r="500">
      <c r="A500" s="17" t="s">
        <v>178</v>
      </c>
      <c r="B500" s="3" t="s">
        <v>37</v>
      </c>
      <c r="C500" s="27" t="s">
        <v>1913</v>
      </c>
      <c r="D500" s="11" t="s">
        <v>1914</v>
      </c>
      <c r="E500" s="28" t="str">
        <f>IFERROR(__xludf.DUMMYFUNCTION("REGEXEXTRACT(C500, """"""([^""""]+)"""""")"),"Items.Dress_04_old_01")</f>
        <v>Items.Dress_04_old_01</v>
      </c>
    </row>
    <row r="501">
      <c r="A501" s="17" t="s">
        <v>178</v>
      </c>
      <c r="B501" s="3" t="s">
        <v>37</v>
      </c>
      <c r="C501" s="27" t="s">
        <v>1915</v>
      </c>
      <c r="D501" s="11" t="s">
        <v>1916</v>
      </c>
      <c r="E501" s="28" t="str">
        <f>IFERROR(__xludf.DUMMYFUNCTION("REGEXEXTRACT(C501, """"""([^""""]+)"""""")"),"Items.Jacket_24_old_05")</f>
        <v>Items.Jacket_24_old_05</v>
      </c>
    </row>
    <row r="502">
      <c r="A502" s="17" t="s">
        <v>178</v>
      </c>
      <c r="B502" s="3" t="s">
        <v>37</v>
      </c>
      <c r="C502" s="27" t="s">
        <v>1917</v>
      </c>
      <c r="D502" s="11" t="s">
        <v>1918</v>
      </c>
      <c r="E502" s="28" t="str">
        <f>IFERROR(__xludf.DUMMYFUNCTION("REGEXEXTRACT(C502, """"""([^""""]+)"""""")"),"Items.Dress_03_rich_07")</f>
        <v>Items.Dress_03_rich_07</v>
      </c>
    </row>
    <row r="503">
      <c r="A503" s="17" t="s">
        <v>178</v>
      </c>
      <c r="B503" s="3" t="s">
        <v>37</v>
      </c>
      <c r="C503" s="27" t="s">
        <v>1919</v>
      </c>
      <c r="D503" s="11" t="s">
        <v>1920</v>
      </c>
      <c r="E503" s="28" t="str">
        <f>IFERROR(__xludf.DUMMYFUNCTION("REGEXEXTRACT(C503, """"""([^""""]+)"""""")"),"Items.Dress_03_basic_05")</f>
        <v>Items.Dress_03_basic_05</v>
      </c>
    </row>
    <row r="504">
      <c r="A504" s="17" t="s">
        <v>178</v>
      </c>
      <c r="B504" s="3" t="s">
        <v>37</v>
      </c>
      <c r="C504" s="27" t="s">
        <v>1921</v>
      </c>
      <c r="D504" s="11" t="s">
        <v>1922</v>
      </c>
      <c r="E504" s="28" t="str">
        <f>IFERROR(__xludf.DUMMYFUNCTION("REGEXEXTRACT(C504, """"""([^""""]+)"""""")"),"Items.Vest_23_basic_03")</f>
        <v>Items.Vest_23_basic_03</v>
      </c>
    </row>
    <row r="505">
      <c r="A505" s="17" t="s">
        <v>178</v>
      </c>
      <c r="B505" s="3" t="s">
        <v>37</v>
      </c>
      <c r="C505" s="27" t="s">
        <v>1923</v>
      </c>
      <c r="D505" s="11" t="s">
        <v>1924</v>
      </c>
      <c r="E505" s="28" t="str">
        <f>IFERROR(__xludf.DUMMYFUNCTION("REGEXEXTRACT(C505, """"""([^""""]+)"""""")"),"Items.Coat_06_old_01")</f>
        <v>Items.Coat_06_old_01</v>
      </c>
    </row>
    <row r="506">
      <c r="A506" s="17" t="s">
        <v>178</v>
      </c>
      <c r="B506" s="3" t="s">
        <v>37</v>
      </c>
      <c r="C506" s="27" t="s">
        <v>1925</v>
      </c>
      <c r="D506" s="11" t="s">
        <v>1926</v>
      </c>
      <c r="E506" s="28" t="str">
        <f>IFERROR(__xludf.DUMMYFUNCTION("REGEXEXTRACT(C506, """"""([^""""]+)"""""")"),"Items.Dress_03_basic_06")</f>
        <v>Items.Dress_03_basic_06</v>
      </c>
    </row>
    <row r="507">
      <c r="A507" s="17" t="s">
        <v>178</v>
      </c>
      <c r="B507" s="3" t="s">
        <v>37</v>
      </c>
      <c r="C507" s="27" t="s">
        <v>1927</v>
      </c>
      <c r="D507" s="11" t="s">
        <v>1928</v>
      </c>
      <c r="E507" s="28" t="str">
        <f>IFERROR(__xludf.DUMMYFUNCTION("REGEXEXTRACT(C507, """"""([^""""]+)"""""")"),"Items.Jacket_24_rich_01")</f>
        <v>Items.Jacket_24_rich_01</v>
      </c>
    </row>
    <row r="508">
      <c r="A508" s="17" t="s">
        <v>178</v>
      </c>
      <c r="B508" s="3" t="s">
        <v>37</v>
      </c>
      <c r="C508" s="27" t="s">
        <v>1929</v>
      </c>
      <c r="D508" s="11" t="s">
        <v>1930</v>
      </c>
      <c r="E508" s="28" t="str">
        <f>IFERROR(__xludf.DUMMYFUNCTION("REGEXEXTRACT(C508, """"""([^""""]+)"""""")"),"Items.Jacket_23_rich_01")</f>
        <v>Items.Jacket_23_rich_01</v>
      </c>
    </row>
    <row r="509">
      <c r="A509" s="17" t="s">
        <v>178</v>
      </c>
      <c r="B509" s="3" t="s">
        <v>37</v>
      </c>
      <c r="C509" s="27" t="s">
        <v>1931</v>
      </c>
      <c r="D509" s="11" t="s">
        <v>1932</v>
      </c>
      <c r="E509" s="28" t="str">
        <f>IFERROR(__xludf.DUMMYFUNCTION("REGEXEXTRACT(C509, """"""([^""""]+)"""""")"),"Items.FormalJacket_06_rich_09")</f>
        <v>Items.FormalJacket_06_rich_09</v>
      </c>
    </row>
    <row r="510">
      <c r="A510" s="17" t="s">
        <v>178</v>
      </c>
      <c r="B510" s="3" t="s">
        <v>37</v>
      </c>
      <c r="C510" s="27" t="s">
        <v>1933</v>
      </c>
      <c r="D510" s="11" t="s">
        <v>1934</v>
      </c>
      <c r="E510" s="28" t="str">
        <f>IFERROR(__xludf.DUMMYFUNCTION("REGEXEXTRACT(C510, """"""([^""""]+)"""""")"),"Items.Dress_04_basic_07")</f>
        <v>Items.Dress_04_basic_07</v>
      </c>
    </row>
    <row r="511">
      <c r="A511" s="17" t="s">
        <v>178</v>
      </c>
      <c r="B511" s="3" t="s">
        <v>37</v>
      </c>
      <c r="C511" s="27" t="s">
        <v>1935</v>
      </c>
      <c r="D511" s="11" t="s">
        <v>1936</v>
      </c>
      <c r="E511" s="28" t="str">
        <f>IFERROR(__xludf.DUMMYFUNCTION("REGEXEXTRACT(C511, """"""([^""""]+)"""""")"),"Items.Jacket_25_basic_07")</f>
        <v>Items.Jacket_25_basic_07</v>
      </c>
    </row>
    <row r="512">
      <c r="A512" s="17" t="s">
        <v>178</v>
      </c>
      <c r="B512" s="3" t="s">
        <v>37</v>
      </c>
      <c r="C512" s="27" t="s">
        <v>1937</v>
      </c>
      <c r="D512" s="11" t="s">
        <v>1938</v>
      </c>
      <c r="E512" s="28" t="str">
        <f>IFERROR(__xludf.DUMMYFUNCTION("REGEXEXTRACT(C512, """"""([^""""]+)"""""")"),"Items.Dress_03_basic_07")</f>
        <v>Items.Dress_03_basic_07</v>
      </c>
    </row>
    <row r="513">
      <c r="A513" s="17" t="s">
        <v>178</v>
      </c>
      <c r="B513" s="3" t="s">
        <v>37</v>
      </c>
      <c r="C513" s="27" t="s">
        <v>1939</v>
      </c>
      <c r="D513" s="11" t="s">
        <v>1940</v>
      </c>
      <c r="E513" s="28" t="str">
        <f>IFERROR(__xludf.DUMMYFUNCTION("REGEXEXTRACT(C513, """"""([^""""]+)"""""")"),"Items.Jacket_24_basic_02")</f>
        <v>Items.Jacket_24_basic_02</v>
      </c>
    </row>
    <row r="514">
      <c r="A514" s="17" t="s">
        <v>178</v>
      </c>
      <c r="B514" s="3" t="s">
        <v>37</v>
      </c>
      <c r="C514" s="27" t="s">
        <v>1941</v>
      </c>
      <c r="D514" s="11" t="s">
        <v>1942</v>
      </c>
      <c r="E514" s="28" t="str">
        <f>IFERROR(__xludf.DUMMYFUNCTION("REGEXEXTRACT(C514, """"""([^""""]+)"""""")"),"Items.Vest_22_basic_03")</f>
        <v>Items.Vest_22_basic_03</v>
      </c>
    </row>
    <row r="515">
      <c r="A515" s="17" t="s">
        <v>178</v>
      </c>
      <c r="B515" s="3" t="s">
        <v>37</v>
      </c>
      <c r="C515" s="27" t="s">
        <v>1943</v>
      </c>
      <c r="D515" s="11" t="s">
        <v>1944</v>
      </c>
      <c r="E515" s="28" t="str">
        <f>IFERROR(__xludf.DUMMYFUNCTION("REGEXEXTRACT(C515, """"""([^""""]+)"""""")"),"Items.Jacket_25_rich_02")</f>
        <v>Items.Jacket_25_rich_02</v>
      </c>
    </row>
    <row r="516">
      <c r="A516" s="17" t="s">
        <v>178</v>
      </c>
      <c r="B516" s="3" t="s">
        <v>37</v>
      </c>
      <c r="C516" s="27" t="s">
        <v>1945</v>
      </c>
      <c r="D516" s="11" t="s">
        <v>1946</v>
      </c>
      <c r="E516" s="28" t="str">
        <f>IFERROR(__xludf.DUMMYFUNCTION("REGEXEXTRACT(C516, """"""([^""""]+)"""""")"),"Items.Jacket_25_basic_06")</f>
        <v>Items.Jacket_25_basic_06</v>
      </c>
    </row>
    <row r="517">
      <c r="A517" s="17" t="s">
        <v>178</v>
      </c>
      <c r="B517" s="3" t="s">
        <v>37</v>
      </c>
      <c r="C517" s="27" t="s">
        <v>1947</v>
      </c>
      <c r="D517" s="11" t="s">
        <v>1948</v>
      </c>
      <c r="E517" s="28" t="str">
        <f>IFERROR(__xludf.DUMMYFUNCTION("REGEXEXTRACT(C517, """"""([^""""]+)"""""")"),"Items.Coat_05_old_01")</f>
        <v>Items.Coat_05_old_01</v>
      </c>
    </row>
    <row r="518">
      <c r="A518" s="17" t="s">
        <v>178</v>
      </c>
      <c r="B518" s="3" t="s">
        <v>37</v>
      </c>
      <c r="C518" s="27" t="s">
        <v>1949</v>
      </c>
      <c r="D518" s="11" t="s">
        <v>1950</v>
      </c>
      <c r="E518" s="28" t="str">
        <f>IFERROR(__xludf.DUMMYFUNCTION("REGEXEXTRACT(C518, """"""([^""""]+)"""""")"),"Items.Jacket_24_old_04")</f>
        <v>Items.Jacket_24_old_04</v>
      </c>
    </row>
    <row r="519">
      <c r="A519" s="17" t="s">
        <v>178</v>
      </c>
      <c r="B519" s="3" t="s">
        <v>37</v>
      </c>
      <c r="C519" s="27" t="s">
        <v>1951</v>
      </c>
      <c r="D519" s="11" t="s">
        <v>1952</v>
      </c>
      <c r="E519" s="28" t="str">
        <f>IFERROR(__xludf.DUMMYFUNCTION("REGEXEXTRACT(C519, """"""([^""""]+)"""""")"),"Items.Dress_03_basic_08")</f>
        <v>Items.Dress_03_basic_08</v>
      </c>
    </row>
    <row r="520">
      <c r="A520" s="17" t="s">
        <v>178</v>
      </c>
      <c r="B520" s="3" t="s">
        <v>37</v>
      </c>
      <c r="C520" s="27" t="s">
        <v>1953</v>
      </c>
      <c r="D520" s="11" t="s">
        <v>1954</v>
      </c>
      <c r="E520" s="28" t="str">
        <f>IFERROR(__xludf.DUMMYFUNCTION("REGEXEXTRACT(C520, """"""([^""""]+)"""""")"),"Items.Jacket_24_basic_06")</f>
        <v>Items.Jacket_24_basic_06</v>
      </c>
    </row>
    <row r="521">
      <c r="A521" s="17" t="s">
        <v>178</v>
      </c>
      <c r="B521" s="3" t="s">
        <v>37</v>
      </c>
      <c r="C521" s="27" t="s">
        <v>1955</v>
      </c>
      <c r="D521" s="11" t="s">
        <v>1956</v>
      </c>
      <c r="E521" s="28" t="str">
        <f>IFERROR(__xludf.DUMMYFUNCTION("REGEXEXTRACT(C521, """"""([^""""]+)"""""")"),"Items.Coat_05_basic_03")</f>
        <v>Items.Coat_05_basic_03</v>
      </c>
    </row>
    <row r="522">
      <c r="A522" s="17" t="s">
        <v>178</v>
      </c>
      <c r="B522" s="3" t="s">
        <v>37</v>
      </c>
      <c r="C522" s="27" t="s">
        <v>1957</v>
      </c>
      <c r="D522" s="11" t="s">
        <v>1958</v>
      </c>
      <c r="E522" s="28" t="str">
        <f>IFERROR(__xludf.DUMMYFUNCTION("REGEXEXTRACT(C522, """"""([^""""]+)"""""")"),"Items.Dress_04_basic_02")</f>
        <v>Items.Dress_04_basic_02</v>
      </c>
    </row>
    <row r="523">
      <c r="A523" s="17" t="s">
        <v>178</v>
      </c>
      <c r="B523" s="3" t="s">
        <v>37</v>
      </c>
      <c r="C523" s="27" t="s">
        <v>1959</v>
      </c>
      <c r="D523" s="11" t="s">
        <v>1960</v>
      </c>
      <c r="E523" s="28" t="str">
        <f>IFERROR(__xludf.DUMMYFUNCTION("REGEXEXTRACT(C523, """"""([^""""]+)"""""")"),"Items.Coat_05_basic_01")</f>
        <v>Items.Coat_05_basic_01</v>
      </c>
    </row>
    <row r="524">
      <c r="A524" s="17" t="s">
        <v>178</v>
      </c>
      <c r="B524" s="3" t="s">
        <v>37</v>
      </c>
      <c r="C524" s="27" t="s">
        <v>1961</v>
      </c>
      <c r="D524" s="11" t="s">
        <v>1962</v>
      </c>
      <c r="E524" s="28" t="str">
        <f>IFERROR(__xludf.DUMMYFUNCTION("REGEXEXTRACT(C524, """"""([^""""]+)"""""")"),"Items.Jacket_24_rich_05")</f>
        <v>Items.Jacket_24_rich_05</v>
      </c>
    </row>
    <row r="525">
      <c r="A525" s="17" t="s">
        <v>178</v>
      </c>
      <c r="B525" s="3" t="s">
        <v>37</v>
      </c>
      <c r="C525" s="27" t="s">
        <v>1963</v>
      </c>
      <c r="D525" s="11" t="s">
        <v>1964</v>
      </c>
      <c r="E525" s="28" t="str">
        <f>IFERROR(__xludf.DUMMYFUNCTION("REGEXEXTRACT(C525, """"""([^""""]+)"""""")"),"Items.Jacket_22_rich_04")</f>
        <v>Items.Jacket_22_rich_04</v>
      </c>
    </row>
    <row r="526">
      <c r="A526" s="17" t="s">
        <v>178</v>
      </c>
      <c r="B526" s="3" t="s">
        <v>37</v>
      </c>
      <c r="C526" s="27" t="s">
        <v>1965</v>
      </c>
      <c r="D526" s="11" t="s">
        <v>1966</v>
      </c>
      <c r="E526" s="28" t="str">
        <f>IFERROR(__xludf.DUMMYFUNCTION("REGEXEXTRACT(C526, """"""([^""""]+)"""""")"),"Items.Jacket_23_basic_02")</f>
        <v>Items.Jacket_23_basic_02</v>
      </c>
    </row>
    <row r="527">
      <c r="A527" s="17" t="s">
        <v>178</v>
      </c>
      <c r="B527" s="3" t="s">
        <v>37</v>
      </c>
      <c r="C527" s="27" t="s">
        <v>1967</v>
      </c>
      <c r="D527" s="11" t="s">
        <v>1968</v>
      </c>
      <c r="E527" s="28" t="str">
        <f>IFERROR(__xludf.DUMMYFUNCTION("REGEXEXTRACT(C527, """"""([^""""]+)"""""")"),"Items.Jacket_23_old_02")</f>
        <v>Items.Jacket_23_old_02</v>
      </c>
    </row>
    <row r="528">
      <c r="A528" s="17" t="s">
        <v>178</v>
      </c>
      <c r="B528" s="3" t="s">
        <v>37</v>
      </c>
      <c r="C528" s="27" t="s">
        <v>1969</v>
      </c>
      <c r="D528" s="11" t="s">
        <v>1970</v>
      </c>
      <c r="E528" s="28" t="str">
        <f>IFERROR(__xludf.DUMMYFUNCTION("REGEXEXTRACT(C528, """"""([^""""]+)"""""")"),"Items.Jacket_22_old_05")</f>
        <v>Items.Jacket_22_old_05</v>
      </c>
    </row>
    <row r="529">
      <c r="A529" s="17" t="s">
        <v>178</v>
      </c>
      <c r="B529" s="3" t="s">
        <v>37</v>
      </c>
      <c r="C529" s="27" t="s">
        <v>1971</v>
      </c>
      <c r="D529" s="11" t="s">
        <v>1972</v>
      </c>
      <c r="E529" s="28" t="str">
        <f>IFERROR(__xludf.DUMMYFUNCTION("REGEXEXTRACT(C529, """"""([^""""]+)"""""")"),"Items.Jacket_22_basic_01")</f>
        <v>Items.Jacket_22_basic_01</v>
      </c>
    </row>
    <row r="530">
      <c r="A530" s="17" t="s">
        <v>178</v>
      </c>
      <c r="B530" s="3" t="s">
        <v>37</v>
      </c>
      <c r="C530" s="27" t="s">
        <v>1973</v>
      </c>
      <c r="D530" s="11" t="s">
        <v>1974</v>
      </c>
      <c r="E530" s="28" t="str">
        <f>IFERROR(__xludf.DUMMYFUNCTION("REGEXEXTRACT(C530, """"""([^""""]+)"""""")"),"Items.Jacket_25_basic_04")</f>
        <v>Items.Jacket_25_basic_04</v>
      </c>
    </row>
    <row r="531">
      <c r="A531" s="17" t="s">
        <v>178</v>
      </c>
      <c r="B531" s="3" t="s">
        <v>37</v>
      </c>
      <c r="C531" s="27" t="s">
        <v>1975</v>
      </c>
      <c r="D531" s="11" t="s">
        <v>1976</v>
      </c>
      <c r="E531" s="28" t="str">
        <f>IFERROR(__xludf.DUMMYFUNCTION("REGEXEXTRACT(C531, """"""([^""""]+)"""""")"),"Items.Vest_21_rich_02")</f>
        <v>Items.Vest_21_rich_02</v>
      </c>
    </row>
    <row r="532">
      <c r="A532" s="17" t="s">
        <v>178</v>
      </c>
      <c r="B532" s="3" t="s">
        <v>37</v>
      </c>
      <c r="C532" s="27" t="s">
        <v>1977</v>
      </c>
      <c r="D532" s="11" t="s">
        <v>1978</v>
      </c>
      <c r="E532" s="28" t="str">
        <f>IFERROR(__xludf.DUMMYFUNCTION("REGEXEXTRACT(C532, """"""([^""""]+)"""""")"),"Items.Coat_06_rich_01")</f>
        <v>Items.Coat_06_rich_01</v>
      </c>
    </row>
    <row r="533">
      <c r="A533" s="17" t="s">
        <v>178</v>
      </c>
      <c r="B533" s="3" t="s">
        <v>37</v>
      </c>
      <c r="C533" s="27" t="s">
        <v>1979</v>
      </c>
      <c r="D533" s="11" t="s">
        <v>1980</v>
      </c>
      <c r="E533" s="28" t="str">
        <f>IFERROR(__xludf.DUMMYFUNCTION("REGEXEXTRACT(C533, """"""([^""""]+)"""""")"),"Items.Vest_24_old_04")</f>
        <v>Items.Vest_24_old_04</v>
      </c>
    </row>
    <row r="534">
      <c r="A534" s="17" t="s">
        <v>178</v>
      </c>
      <c r="B534" s="3" t="s">
        <v>37</v>
      </c>
      <c r="C534" s="27" t="s">
        <v>1981</v>
      </c>
      <c r="D534" s="11" t="s">
        <v>1982</v>
      </c>
      <c r="E534" s="28" t="str">
        <f>IFERROR(__xludf.DUMMYFUNCTION("REGEXEXTRACT(C534, """"""([^""""]+)"""""")"),"Items.Jacket_25_basic_08")</f>
        <v>Items.Jacket_25_basic_08</v>
      </c>
    </row>
    <row r="535">
      <c r="A535" s="17" t="s">
        <v>178</v>
      </c>
      <c r="B535" s="3" t="s">
        <v>37</v>
      </c>
      <c r="C535" s="27" t="s">
        <v>1983</v>
      </c>
      <c r="D535" s="11" t="s">
        <v>1984</v>
      </c>
      <c r="E535" s="28" t="str">
        <f>IFERROR(__xludf.DUMMYFUNCTION("REGEXEXTRACT(C535, """"""([^""""]+)"""""")"),"Items.Jacket_22_old_04")</f>
        <v>Items.Jacket_22_old_04</v>
      </c>
    </row>
    <row r="536">
      <c r="A536" s="17" t="s">
        <v>178</v>
      </c>
      <c r="B536" s="3" t="s">
        <v>37</v>
      </c>
      <c r="C536" s="27" t="s">
        <v>1985</v>
      </c>
      <c r="D536" s="11" t="s">
        <v>1986</v>
      </c>
      <c r="E536" s="28" t="str">
        <f>IFERROR(__xludf.DUMMYFUNCTION("REGEXEXTRACT(C536, """"""([^""""]+)"""""")"),"Items.Jacket_24_basic_04")</f>
        <v>Items.Jacket_24_basic_04</v>
      </c>
    </row>
    <row r="537">
      <c r="A537" s="17" t="s">
        <v>178</v>
      </c>
      <c r="B537" s="3" t="s">
        <v>37</v>
      </c>
      <c r="C537" s="27" t="s">
        <v>1987</v>
      </c>
      <c r="D537" s="11" t="s">
        <v>1988</v>
      </c>
      <c r="E537" s="28" t="str">
        <f>IFERROR(__xludf.DUMMYFUNCTION("REGEXEXTRACT(C537, """"""([^""""]+)"""""")"),"Items.Jacket_23_basic_04")</f>
        <v>Items.Jacket_23_basic_04</v>
      </c>
    </row>
    <row r="538">
      <c r="A538" s="17" t="s">
        <v>178</v>
      </c>
      <c r="B538" s="3" t="s">
        <v>37</v>
      </c>
      <c r="C538" s="27" t="s">
        <v>1989</v>
      </c>
      <c r="D538" s="11" t="s">
        <v>1990</v>
      </c>
      <c r="E538" s="28" t="str">
        <f>IFERROR(__xludf.DUMMYFUNCTION("REGEXEXTRACT(C538, """"""([^""""]+)"""""")"),"Items.Jacket_23_old_03")</f>
        <v>Items.Jacket_23_old_03</v>
      </c>
    </row>
    <row r="539">
      <c r="A539" s="17" t="s">
        <v>178</v>
      </c>
      <c r="B539" s="3" t="s">
        <v>37</v>
      </c>
      <c r="C539" s="27" t="s">
        <v>1991</v>
      </c>
      <c r="D539" s="11" t="s">
        <v>219</v>
      </c>
      <c r="E539" s="28" t="str">
        <f>IFERROR(__xludf.DUMMYFUNCTION("REGEXEXTRACT(C539, """"""([^""""]+)"""""")"),"Items.Q000_Corpo_FormalJacket2")</f>
        <v>Items.Q000_Corpo_FormalJacket2</v>
      </c>
    </row>
    <row r="540">
      <c r="A540" s="17" t="s">
        <v>178</v>
      </c>
      <c r="B540" s="3" t="s">
        <v>37</v>
      </c>
      <c r="C540" s="27" t="s">
        <v>1992</v>
      </c>
      <c r="D540" s="11" t="s">
        <v>1993</v>
      </c>
      <c r="E540" s="28" t="str">
        <f>IFERROR(__xludf.DUMMYFUNCTION("REGEXEXTRACT(C540, """"""([^""""]+)"""""")"),"Items.FormalJacket_06_rich_02")</f>
        <v>Items.FormalJacket_06_rich_02</v>
      </c>
    </row>
    <row r="541">
      <c r="A541" s="17" t="s">
        <v>178</v>
      </c>
      <c r="B541" s="3" t="s">
        <v>37</v>
      </c>
      <c r="C541" s="27" t="s">
        <v>1994</v>
      </c>
      <c r="D541" s="11" t="s">
        <v>1995</v>
      </c>
      <c r="E541" s="28" t="str">
        <f>IFERROR(__xludf.DUMMYFUNCTION("REGEXEXTRACT(C541, """"""([^""""]+)"""""")"),"Items.Vest_23_old_01")</f>
        <v>Items.Vest_23_old_01</v>
      </c>
    </row>
    <row r="542">
      <c r="A542" s="17" t="s">
        <v>178</v>
      </c>
      <c r="B542" s="3" t="s">
        <v>37</v>
      </c>
      <c r="C542" s="27" t="s">
        <v>1996</v>
      </c>
      <c r="D542" s="11" t="s">
        <v>1997</v>
      </c>
      <c r="E542" s="28" t="str">
        <f>IFERROR(__xludf.DUMMYFUNCTION("REGEXEXTRACT(C542, """"""([^""""]+)"""""")"),"Items.Jacket_24_basic_01")</f>
        <v>Items.Jacket_24_basic_01</v>
      </c>
    </row>
    <row r="543">
      <c r="A543" s="17" t="s">
        <v>178</v>
      </c>
      <c r="B543" s="3" t="s">
        <v>37</v>
      </c>
      <c r="C543" s="27" t="s">
        <v>1998</v>
      </c>
      <c r="D543" s="11" t="s">
        <v>1999</v>
      </c>
      <c r="E543" s="28" t="str">
        <f>IFERROR(__xludf.DUMMYFUNCTION("REGEXEXTRACT(C543, """"""([^""""]+)"""""")"),"Items.Vest_21_basic_03")</f>
        <v>Items.Vest_21_basic_03</v>
      </c>
    </row>
    <row r="544">
      <c r="A544" s="17" t="s">
        <v>178</v>
      </c>
      <c r="B544" s="3" t="s">
        <v>37</v>
      </c>
      <c r="C544" s="27" t="s">
        <v>2000</v>
      </c>
      <c r="D544" s="11" t="s">
        <v>2001</v>
      </c>
      <c r="E544" s="28" t="str">
        <f>IFERROR(__xludf.DUMMYFUNCTION("REGEXEXTRACT(C544, """"""([^""""]+)"""""")"),"Items.Dress_04_old_02")</f>
        <v>Items.Dress_04_old_02</v>
      </c>
    </row>
    <row r="545">
      <c r="A545" s="17" t="s">
        <v>178</v>
      </c>
      <c r="B545" s="3" t="s">
        <v>37</v>
      </c>
      <c r="C545" s="27" t="s">
        <v>2002</v>
      </c>
      <c r="D545" s="11" t="s">
        <v>2003</v>
      </c>
      <c r="E545" s="28" t="str">
        <f>IFERROR(__xludf.DUMMYFUNCTION("REGEXEXTRACT(C545, """"""([^""""]+)"""""")"),"Items.Coat_05_old_05")</f>
        <v>Items.Coat_05_old_05</v>
      </c>
    </row>
    <row r="546">
      <c r="A546" s="17" t="s">
        <v>178</v>
      </c>
      <c r="B546" s="3" t="s">
        <v>37</v>
      </c>
      <c r="C546" s="27" t="s">
        <v>2004</v>
      </c>
      <c r="D546" s="11" t="s">
        <v>2005</v>
      </c>
      <c r="E546" s="28" t="str">
        <f>IFERROR(__xludf.DUMMYFUNCTION("REGEXEXTRACT(C546, """"""([^""""]+)"""""")"),"Items.Jacket_24_basic_05")</f>
        <v>Items.Jacket_24_basic_05</v>
      </c>
    </row>
    <row r="547">
      <c r="A547" s="17" t="s">
        <v>178</v>
      </c>
      <c r="B547" s="3" t="s">
        <v>37</v>
      </c>
      <c r="C547" s="27" t="s">
        <v>2006</v>
      </c>
      <c r="D547" s="11" t="s">
        <v>2007</v>
      </c>
      <c r="E547" s="28" t="str">
        <f>IFERROR(__xludf.DUMMYFUNCTION("REGEXEXTRACT(C547, """"""([^""""]+)"""""")"),"Items.Jacket_25_old_02")</f>
        <v>Items.Jacket_25_old_02</v>
      </c>
    </row>
    <row r="548">
      <c r="A548" s="17" t="s">
        <v>178</v>
      </c>
      <c r="B548" s="3" t="s">
        <v>37</v>
      </c>
      <c r="C548" s="27" t="s">
        <v>2008</v>
      </c>
      <c r="D548" s="11" t="s">
        <v>2009</v>
      </c>
      <c r="E548" s="28" t="str">
        <f>IFERROR(__xludf.DUMMYFUNCTION("REGEXEXTRACT(C548, """"""([^""""]+)"""""")"),"Items.Coat_06_old_04")</f>
        <v>Items.Coat_06_old_04</v>
      </c>
    </row>
    <row r="549">
      <c r="A549" s="17" t="s">
        <v>178</v>
      </c>
      <c r="B549" s="3" t="s">
        <v>37</v>
      </c>
      <c r="C549" s="27" t="s">
        <v>2010</v>
      </c>
      <c r="D549" s="11" t="s">
        <v>2011</v>
      </c>
      <c r="E549" s="28" t="str">
        <f>IFERROR(__xludf.DUMMYFUNCTION("REGEXEXTRACT(C549, """"""([^""""]+)"""""")"),"Items.Jacket_24_old_02")</f>
        <v>Items.Jacket_24_old_02</v>
      </c>
    </row>
    <row r="550">
      <c r="A550" s="17" t="s">
        <v>178</v>
      </c>
      <c r="B550" s="3" t="s">
        <v>37</v>
      </c>
      <c r="C550" s="27" t="s">
        <v>2012</v>
      </c>
      <c r="D550" s="11" t="s">
        <v>2013</v>
      </c>
      <c r="E550" s="28" t="str">
        <f>IFERROR(__xludf.DUMMYFUNCTION("REGEXEXTRACT(C550, """"""([^""""]+)"""""")"),"Items.Vest_24_old_03")</f>
        <v>Items.Vest_24_old_03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</sheetData>
  <autoFilter ref="$A$1:$E$997">
    <sortState ref="A1:E997">
      <sortCondition ref="B1:B997"/>
      <sortCondition ref="D1:D997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61.13"/>
    <col customWidth="1" min="4" max="4" width="55.75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4" t="s">
        <v>100</v>
      </c>
      <c r="B2" s="13" t="s">
        <v>82</v>
      </c>
      <c r="C2" s="5" t="s">
        <v>2014</v>
      </c>
      <c r="D2" s="11" t="s">
        <v>2015</v>
      </c>
      <c r="E2" s="7" t="str">
        <f>IFERROR(__xludf.DUMMYFUNCTION("REGEXEXTRACT(C2, """"""([^""""]+)"""""")"),"Items.SQ023_Switchblade_Shirt")</f>
        <v>Items.SQ023_Switchblade_Shirt</v>
      </c>
    </row>
    <row r="3">
      <c r="A3" s="14" t="s">
        <v>100</v>
      </c>
      <c r="B3" s="13" t="s">
        <v>82</v>
      </c>
      <c r="C3" s="5" t="s">
        <v>2016</v>
      </c>
      <c r="D3" s="11" t="s">
        <v>2017</v>
      </c>
      <c r="E3" s="7" t="str">
        <f>IFERROR(__xludf.DUMMYFUNCTION("REGEXEXTRACT(C3, """"""([^""""]+)"""""")"),"Items.FormalShirt_01_rich_02")</f>
        <v>Items.FormalShirt_01_rich_02</v>
      </c>
    </row>
    <row r="4">
      <c r="A4" s="14" t="s">
        <v>100</v>
      </c>
      <c r="B4" s="13" t="s">
        <v>82</v>
      </c>
      <c r="C4" s="5" t="s">
        <v>2018</v>
      </c>
      <c r="D4" s="11" t="s">
        <v>2019</v>
      </c>
      <c r="E4" s="7" t="str">
        <f>IFERROR(__xludf.DUMMYFUNCTION("REGEXEXTRACT(C4, """"""([^""""]+)"""""")"),"Items.TShirt_11_rich_01")</f>
        <v>Items.TShirt_11_rich_01</v>
      </c>
    </row>
    <row r="5">
      <c r="A5" s="14" t="s">
        <v>100</v>
      </c>
      <c r="B5" s="13" t="s">
        <v>82</v>
      </c>
      <c r="C5" s="5" t="s">
        <v>2020</v>
      </c>
      <c r="D5" s="11" t="s">
        <v>2021</v>
      </c>
      <c r="E5" s="7" t="str">
        <f>IFERROR(__xludf.DUMMYFUNCTION("REGEXEXTRACT(C5, """"""([^""""]+)"""""")"),"Items.TShirt_08_rich_01")</f>
        <v>Items.TShirt_08_rich_01</v>
      </c>
    </row>
    <row r="6">
      <c r="A6" s="14" t="s">
        <v>100</v>
      </c>
      <c r="B6" s="13" t="s">
        <v>82</v>
      </c>
      <c r="C6" s="5" t="s">
        <v>2022</v>
      </c>
      <c r="D6" s="11" t="s">
        <v>2023</v>
      </c>
      <c r="E6" s="7" t="str">
        <f>IFERROR(__xludf.DUMMYFUNCTION("REGEXEXTRACT(C6, """"""([^""""]+)"""""")"),"Items.TShirt_01_old_01")</f>
        <v>Items.TShirt_01_old_01</v>
      </c>
    </row>
    <row r="7">
      <c r="A7" s="14" t="s">
        <v>100</v>
      </c>
      <c r="B7" s="13" t="s">
        <v>82</v>
      </c>
      <c r="C7" s="5" t="s">
        <v>2024</v>
      </c>
      <c r="D7" s="11" t="s">
        <v>2025</v>
      </c>
      <c r="E7" s="7" t="str">
        <f>IFERROR(__xludf.DUMMYFUNCTION("REGEXEXTRACT(C7, """"""([^""""]+)"""""")"),"Items.Shirt_02_old_01")</f>
        <v>Items.Shirt_02_old_01</v>
      </c>
    </row>
    <row r="8">
      <c r="A8" s="14" t="s">
        <v>100</v>
      </c>
      <c r="B8" s="13" t="s">
        <v>82</v>
      </c>
      <c r="C8" s="5" t="s">
        <v>2026</v>
      </c>
      <c r="D8" s="11" t="s">
        <v>2027</v>
      </c>
      <c r="E8" s="7" t="str">
        <f>IFERROR(__xludf.DUMMYFUNCTION("REGEXEXTRACT(C8, """"""([^""""]+)"""""")"),"Items.Shirt_02_basic_03")</f>
        <v>Items.Shirt_02_basic_03</v>
      </c>
    </row>
    <row r="9">
      <c r="A9" s="14" t="s">
        <v>100</v>
      </c>
      <c r="B9" s="13" t="s">
        <v>82</v>
      </c>
      <c r="C9" s="5" t="s">
        <v>2028</v>
      </c>
      <c r="D9" s="11" t="s">
        <v>2029</v>
      </c>
      <c r="E9" s="7" t="str">
        <f>IFERROR(__xludf.DUMMYFUNCTION("REGEXEXTRACT(C9, """"""([^""""]+)"""""")"),"Items.FormalShirt_02_basic_02")</f>
        <v>Items.FormalShirt_02_basic_02</v>
      </c>
    </row>
    <row r="10">
      <c r="A10" s="14" t="s">
        <v>100</v>
      </c>
      <c r="B10" s="13" t="s">
        <v>82</v>
      </c>
      <c r="C10" s="5" t="s">
        <v>2030</v>
      </c>
      <c r="D10" s="11" t="s">
        <v>2031</v>
      </c>
      <c r="E10" s="7" t="str">
        <f>IFERROR(__xludf.DUMMYFUNCTION("REGEXEXTRACT(C10, """"""([^""""]+)"""""")"),"Items.Shirt_03_rich_02")</f>
        <v>Items.Shirt_03_rich_02</v>
      </c>
    </row>
    <row r="11">
      <c r="A11" s="14" t="s">
        <v>100</v>
      </c>
      <c r="B11" s="13" t="s">
        <v>82</v>
      </c>
      <c r="C11" s="5" t="s">
        <v>2032</v>
      </c>
      <c r="D11" s="11" t="s">
        <v>2033</v>
      </c>
      <c r="E11" s="7" t="str">
        <f>IFERROR(__xludf.DUMMYFUNCTION("REGEXEXTRACT(C11, """"""([^""""]+)"""""")"),"Items.SQ021_Wraiths_Vest")</f>
        <v>Items.SQ021_Wraiths_Vest</v>
      </c>
    </row>
    <row r="12">
      <c r="A12" s="14" t="s">
        <v>100</v>
      </c>
      <c r="B12" s="13" t="s">
        <v>82</v>
      </c>
      <c r="C12" s="5" t="s">
        <v>2034</v>
      </c>
      <c r="D12" s="11" t="s">
        <v>2035</v>
      </c>
      <c r="E12" s="7" t="str">
        <f>IFERROR(__xludf.DUMMYFUNCTION("REGEXEXTRACT(C12, """"""([^""""]+)"""""")"),"Items.Undershirt_03_basic_02")</f>
        <v>Items.Undershirt_03_basic_02</v>
      </c>
    </row>
    <row r="13">
      <c r="A13" s="14" t="s">
        <v>100</v>
      </c>
      <c r="B13" s="13" t="s">
        <v>82</v>
      </c>
      <c r="C13" s="5" t="s">
        <v>2036</v>
      </c>
      <c r="D13" s="11" t="s">
        <v>2037</v>
      </c>
      <c r="E13" s="7" t="str">
        <f>IFERROR(__xludf.DUMMYFUNCTION("REGEXEXTRACT(C13, """"""([^""""]+)"""""")"),"Items.TShirt_01_basic_01")</f>
        <v>Items.TShirt_01_basic_01</v>
      </c>
    </row>
    <row r="14">
      <c r="A14" s="14" t="s">
        <v>100</v>
      </c>
      <c r="B14" s="13" t="s">
        <v>82</v>
      </c>
      <c r="C14" s="5" t="s">
        <v>2038</v>
      </c>
      <c r="D14" s="11" t="s">
        <v>2039</v>
      </c>
      <c r="E14" s="7" t="str">
        <f>IFERROR(__xludf.DUMMYFUNCTION("REGEXEXTRACT(C14, """"""([^""""]+)"""""")"),"Items.TShirt_06_basic_02")</f>
        <v>Items.TShirt_06_basic_02</v>
      </c>
    </row>
    <row r="15">
      <c r="A15" s="14" t="s">
        <v>100</v>
      </c>
      <c r="B15" s="13" t="s">
        <v>82</v>
      </c>
      <c r="C15" s="5" t="s">
        <v>2040</v>
      </c>
      <c r="D15" s="11" t="s">
        <v>2041</v>
      </c>
      <c r="E15" s="7" t="str">
        <f>IFERROR(__xludf.DUMMYFUNCTION("REGEXEXTRACT(C15, """"""([^""""]+)"""""")"),"Items.TShirt_04_old_03")</f>
        <v>Items.TShirt_04_old_03</v>
      </c>
    </row>
    <row r="16">
      <c r="A16" s="14" t="s">
        <v>100</v>
      </c>
      <c r="B16" s="13" t="s">
        <v>82</v>
      </c>
      <c r="C16" s="5" t="s">
        <v>2042</v>
      </c>
      <c r="D16" s="11" t="s">
        <v>2043</v>
      </c>
      <c r="E16" s="7" t="str">
        <f>IFERROR(__xludf.DUMMYFUNCTION("REGEXEXTRACT(C16, """"""([^""""]+)"""""")"),"Items.TShirt_06_old_01")</f>
        <v>Items.TShirt_06_old_01</v>
      </c>
    </row>
    <row r="17">
      <c r="A17" s="14" t="s">
        <v>100</v>
      </c>
      <c r="B17" s="13" t="s">
        <v>82</v>
      </c>
      <c r="C17" s="5" t="s">
        <v>2044</v>
      </c>
      <c r="D17" s="11" t="s">
        <v>2045</v>
      </c>
      <c r="E17" s="7" t="str">
        <f>IFERROR(__xludf.DUMMYFUNCTION("REGEXEXTRACT(C17, """"""([^""""]+)"""""")"),"Items.Shirt_03_rich_01")</f>
        <v>Items.Shirt_03_rich_01</v>
      </c>
    </row>
    <row r="18">
      <c r="A18" s="14" t="s">
        <v>100</v>
      </c>
      <c r="B18" s="13" t="s">
        <v>82</v>
      </c>
      <c r="C18" s="5" t="s">
        <v>2046</v>
      </c>
      <c r="D18" s="11" t="s">
        <v>2047</v>
      </c>
      <c r="E18" s="7" t="str">
        <f>IFERROR(__xludf.DUMMYFUNCTION("REGEXEXTRACT(C18, """"""([^""""]+)"""""")"),"Items.Shirt_01_basic_01")</f>
        <v>Items.Shirt_01_basic_01</v>
      </c>
    </row>
    <row r="19">
      <c r="A19" s="14" t="s">
        <v>100</v>
      </c>
      <c r="B19" s="13" t="s">
        <v>82</v>
      </c>
      <c r="C19" s="5" t="s">
        <v>2048</v>
      </c>
      <c r="D19" s="11" t="s">
        <v>2049</v>
      </c>
      <c r="E19" s="7" t="str">
        <f>IFERROR(__xludf.DUMMYFUNCTION("REGEXEXTRACT(C19, """"""([^""""]+)"""""")"),"Items.TShirt_03_basic_03")</f>
        <v>Items.TShirt_03_basic_03</v>
      </c>
    </row>
    <row r="20">
      <c r="A20" s="14" t="s">
        <v>100</v>
      </c>
      <c r="B20" s="13" t="s">
        <v>82</v>
      </c>
      <c r="C20" s="5" t="s">
        <v>2050</v>
      </c>
      <c r="D20" s="11" t="s">
        <v>2051</v>
      </c>
      <c r="E20" s="7" t="str">
        <f>IFERROR(__xludf.DUMMYFUNCTION("REGEXEXTRACT(C20, """"""([^""""]+)"""""")"),"Items.FormalShirt_02_basic_04")</f>
        <v>Items.FormalShirt_02_basic_04</v>
      </c>
    </row>
    <row r="21">
      <c r="A21" s="14" t="s">
        <v>100</v>
      </c>
      <c r="B21" s="13" t="s">
        <v>82</v>
      </c>
      <c r="C21" s="5" t="s">
        <v>2052</v>
      </c>
      <c r="D21" s="11" t="s">
        <v>2053</v>
      </c>
      <c r="E21" s="7" t="str">
        <f>IFERROR(__xludf.DUMMYFUNCTION("REGEXEXTRACT(C21, """"""([^""""]+)"""""")"),"Items.FormalShirt_01_old_02")</f>
        <v>Items.FormalShirt_01_old_02</v>
      </c>
    </row>
    <row r="22">
      <c r="A22" s="14" t="s">
        <v>100</v>
      </c>
      <c r="B22" s="13" t="s">
        <v>82</v>
      </c>
      <c r="C22" s="5" t="s">
        <v>2054</v>
      </c>
      <c r="D22" s="11" t="s">
        <v>2055</v>
      </c>
      <c r="E22" s="7" t="str">
        <f>IFERROR(__xludf.DUMMYFUNCTION("REGEXEXTRACT(C22, """"""([^""""]+)"""""")"),"Items.TightJumpsuit_01_rich_01")</f>
        <v>Items.TightJumpsuit_01_rich_01</v>
      </c>
    </row>
    <row r="23">
      <c r="A23" s="14" t="s">
        <v>100</v>
      </c>
      <c r="B23" s="13" t="s">
        <v>82</v>
      </c>
      <c r="C23" s="5" t="s">
        <v>2056</v>
      </c>
      <c r="D23" s="11" t="s">
        <v>2057</v>
      </c>
      <c r="E23" s="7" t="str">
        <f>IFERROR(__xludf.DUMMYFUNCTION("REGEXEXTRACT(C23, """"""([^""""]+)"""""")"),"Items.Shirt_03_basic_02")</f>
        <v>Items.Shirt_03_basic_02</v>
      </c>
    </row>
    <row r="24">
      <c r="A24" s="14" t="s">
        <v>100</v>
      </c>
      <c r="B24" s="13" t="s">
        <v>82</v>
      </c>
      <c r="C24" s="5" t="s">
        <v>2058</v>
      </c>
      <c r="D24" s="11" t="s">
        <v>2059</v>
      </c>
      <c r="E24" s="7" t="str">
        <f>IFERROR(__xludf.DUMMYFUNCTION("REGEXEXTRACT(C24, """"""([^""""]+)"""""")"),"Items.TShirt_02_rich_03")</f>
        <v>Items.TShirt_02_rich_03</v>
      </c>
    </row>
    <row r="25">
      <c r="A25" s="14" t="s">
        <v>100</v>
      </c>
      <c r="B25" s="13" t="s">
        <v>82</v>
      </c>
      <c r="C25" s="5" t="s">
        <v>2060</v>
      </c>
      <c r="D25" s="11" t="s">
        <v>2061</v>
      </c>
      <c r="E25" s="7" t="str">
        <f>IFERROR(__xludf.DUMMYFUNCTION("REGEXEXTRACT(C25, """"""([^""""]+)"""""")"),"Items.Shirt_01_old_01")</f>
        <v>Items.Shirt_01_old_01</v>
      </c>
    </row>
    <row r="26">
      <c r="A26" s="14" t="s">
        <v>100</v>
      </c>
      <c r="B26" s="13" t="s">
        <v>82</v>
      </c>
      <c r="C26" s="5" t="s">
        <v>2062</v>
      </c>
      <c r="D26" s="11" t="s">
        <v>2063</v>
      </c>
      <c r="E26" s="7" t="str">
        <f>IFERROR(__xludf.DUMMYFUNCTION("REGEXEXTRACT(C26, """"""([^""""]+)"""""")"),"Items.FormalShirt_01_old_01")</f>
        <v>Items.FormalShirt_01_old_01</v>
      </c>
    </row>
    <row r="27">
      <c r="A27" s="14" t="s">
        <v>100</v>
      </c>
      <c r="B27" s="13" t="s">
        <v>82</v>
      </c>
      <c r="C27" s="5" t="s">
        <v>2064</v>
      </c>
      <c r="D27" s="11" t="s">
        <v>2065</v>
      </c>
      <c r="E27" s="7" t="str">
        <f>IFERROR(__xludf.DUMMYFUNCTION("REGEXEXTRACT(C27, """"""([^""""]+)"""""")"),"Items.TShirt_01_rich_02")</f>
        <v>Items.TShirt_01_rich_02</v>
      </c>
    </row>
    <row r="28">
      <c r="A28" s="14" t="s">
        <v>100</v>
      </c>
      <c r="B28" s="13" t="s">
        <v>82</v>
      </c>
      <c r="C28" s="5" t="s">
        <v>2066</v>
      </c>
      <c r="D28" s="11" t="s">
        <v>2067</v>
      </c>
      <c r="E28" s="7" t="str">
        <f>IFERROR(__xludf.DUMMYFUNCTION("REGEXEXTRACT(C28, """"""([^""""]+)"""""")"),"Items.FormalShirt_01_rich_01")</f>
        <v>Items.FormalShirt_01_rich_01</v>
      </c>
    </row>
    <row r="29">
      <c r="A29" s="14" t="s">
        <v>100</v>
      </c>
      <c r="B29" s="13" t="s">
        <v>82</v>
      </c>
      <c r="C29" s="5" t="s">
        <v>2068</v>
      </c>
      <c r="D29" s="11" t="s">
        <v>2069</v>
      </c>
      <c r="E29" s="7" t="str">
        <f>IFERROR(__xludf.DUMMYFUNCTION("REGEXEXTRACT(C29, """"""([^""""]+)"""""")"),"Items.Shirt_03_rich_03")</f>
        <v>Items.Shirt_03_rich_03</v>
      </c>
    </row>
    <row r="30">
      <c r="A30" s="14" t="s">
        <v>100</v>
      </c>
      <c r="B30" s="13" t="s">
        <v>82</v>
      </c>
      <c r="C30" s="5" t="s">
        <v>2070</v>
      </c>
      <c r="D30" s="11" t="s">
        <v>2071</v>
      </c>
      <c r="E30" s="7" t="str">
        <f>IFERROR(__xludf.DUMMYFUNCTION("REGEXEXTRACT(C30, """"""([^""""]+)"""""")"),"Items.TShirt_02_basic_03")</f>
        <v>Items.TShirt_02_basic_03</v>
      </c>
    </row>
    <row r="31">
      <c r="A31" s="14" t="s">
        <v>100</v>
      </c>
      <c r="B31" s="13" t="s">
        <v>82</v>
      </c>
      <c r="C31" s="5" t="s">
        <v>2072</v>
      </c>
      <c r="D31" s="11" t="s">
        <v>2073</v>
      </c>
      <c r="E31" s="7" t="str">
        <f>IFERROR(__xludf.DUMMYFUNCTION("REGEXEXTRACT(C31, """"""([^""""]+)"""""")"),"Items.FormalShirt_02_rich_01")</f>
        <v>Items.FormalShirt_02_rich_01</v>
      </c>
    </row>
    <row r="32">
      <c r="A32" s="14" t="s">
        <v>100</v>
      </c>
      <c r="B32" s="13" t="s">
        <v>82</v>
      </c>
      <c r="C32" s="5" t="s">
        <v>2074</v>
      </c>
      <c r="D32" s="11" t="s">
        <v>2075</v>
      </c>
      <c r="E32" s="7" t="str">
        <f>IFERROR(__xludf.DUMMYFUNCTION("REGEXEXTRACT(C32, """"""([^""""]+)"""""")"),"Items.TShirt_02_old_03")</f>
        <v>Items.TShirt_02_old_03</v>
      </c>
    </row>
    <row r="33">
      <c r="A33" s="14" t="s">
        <v>100</v>
      </c>
      <c r="B33" s="13" t="s">
        <v>82</v>
      </c>
      <c r="C33" s="5" t="s">
        <v>2076</v>
      </c>
      <c r="D33" s="11" t="s">
        <v>2077</v>
      </c>
      <c r="E33" s="7" t="str">
        <f>IFERROR(__xludf.DUMMYFUNCTION("REGEXEXTRACT(C33, """"""([^""""]+)"""""")"),"Items.FormalShirt_01_rich_04")</f>
        <v>Items.FormalShirt_01_rich_04</v>
      </c>
    </row>
    <row r="34">
      <c r="A34" s="14" t="s">
        <v>100</v>
      </c>
      <c r="B34" s="13" t="s">
        <v>82</v>
      </c>
      <c r="C34" s="5" t="s">
        <v>2078</v>
      </c>
      <c r="D34" s="11" t="s">
        <v>2079</v>
      </c>
      <c r="E34" s="7" t="str">
        <f>IFERROR(__xludf.DUMMYFUNCTION("REGEXEXTRACT(C34, """"""([^""""]+)"""""")"),"Items.Shirt_02_old_03")</f>
        <v>Items.Shirt_02_old_03</v>
      </c>
    </row>
    <row r="35">
      <c r="A35" s="14" t="s">
        <v>100</v>
      </c>
      <c r="B35" s="13" t="s">
        <v>82</v>
      </c>
      <c r="C35" s="5" t="s">
        <v>2080</v>
      </c>
      <c r="D35" s="11" t="s">
        <v>2081</v>
      </c>
      <c r="E35" s="7" t="str">
        <f>IFERROR(__xludf.DUMMYFUNCTION("REGEXEXTRACT(C35, """"""([^""""]+)"""""")"),"Items.TShirt_03_basic_02")</f>
        <v>Items.TShirt_03_basic_02</v>
      </c>
    </row>
    <row r="36">
      <c r="A36" s="14" t="s">
        <v>100</v>
      </c>
      <c r="B36" s="13" t="s">
        <v>82</v>
      </c>
      <c r="C36" s="5" t="s">
        <v>2082</v>
      </c>
      <c r="D36" s="11" t="s">
        <v>2083</v>
      </c>
      <c r="E36" s="7" t="str">
        <f>IFERROR(__xludf.DUMMYFUNCTION("REGEXEXTRACT(C36, """"""([^""""]+)"""""")"),"Items.TShirt_08_basic_02")</f>
        <v>Items.TShirt_08_basic_02</v>
      </c>
    </row>
    <row r="37">
      <c r="A37" s="14" t="s">
        <v>100</v>
      </c>
      <c r="B37" s="13" t="s">
        <v>82</v>
      </c>
      <c r="C37" s="5" t="s">
        <v>2084</v>
      </c>
      <c r="D37" s="11" t="s">
        <v>2085</v>
      </c>
      <c r="E37" s="7" t="str">
        <f>IFERROR(__xludf.DUMMYFUNCTION("REGEXEXTRACT(C37, """"""([^""""]+)"""""")"),"Items.TShirt_03_basic_01")</f>
        <v>Items.TShirt_03_basic_01</v>
      </c>
    </row>
    <row r="38">
      <c r="A38" s="14" t="s">
        <v>100</v>
      </c>
      <c r="B38" s="13" t="s">
        <v>82</v>
      </c>
      <c r="C38" s="5" t="s">
        <v>2086</v>
      </c>
      <c r="D38" s="11" t="s">
        <v>2087</v>
      </c>
      <c r="E38" s="7" t="str">
        <f>IFERROR(__xludf.DUMMYFUNCTION("REGEXEXTRACT(C38, """"""([^""""]+)"""""")"),"Items.TShirt_08_old_01")</f>
        <v>Items.TShirt_08_old_01</v>
      </c>
    </row>
    <row r="39">
      <c r="A39" s="14" t="s">
        <v>100</v>
      </c>
      <c r="B39" s="13" t="s">
        <v>82</v>
      </c>
      <c r="C39" s="5" t="s">
        <v>2088</v>
      </c>
      <c r="D39" s="11" t="s">
        <v>2089</v>
      </c>
      <c r="E39" s="7" t="str">
        <f>IFERROR(__xludf.DUMMYFUNCTION("REGEXEXTRACT(C39, """"""([^""""]+)"""""")"),"Items.Undershirt_02_basic_02")</f>
        <v>Items.Undershirt_02_basic_02</v>
      </c>
    </row>
    <row r="40">
      <c r="A40" s="14" t="s">
        <v>100</v>
      </c>
      <c r="B40" s="13" t="s">
        <v>82</v>
      </c>
      <c r="C40" s="5" t="s">
        <v>2090</v>
      </c>
      <c r="D40" s="11" t="s">
        <v>2091</v>
      </c>
      <c r="E40" s="7" t="str">
        <f>IFERROR(__xludf.DUMMYFUNCTION("REGEXEXTRACT(C40, """"""([^""""]+)"""""")"),"Items.TShirt_04_old_02")</f>
        <v>Items.TShirt_04_old_02</v>
      </c>
    </row>
    <row r="41">
      <c r="A41" s="14" t="s">
        <v>100</v>
      </c>
      <c r="B41" s="13" t="s">
        <v>82</v>
      </c>
      <c r="C41" s="5" t="s">
        <v>2092</v>
      </c>
      <c r="D41" s="11" t="s">
        <v>2093</v>
      </c>
      <c r="E41" s="7" t="str">
        <f>IFERROR(__xludf.DUMMYFUNCTION("REGEXEXTRACT(C41, """"""([^""""]+)"""""")"),"Items.Shirt_03_old_02")</f>
        <v>Items.Shirt_03_old_02</v>
      </c>
    </row>
    <row r="42">
      <c r="A42" s="14" t="s">
        <v>100</v>
      </c>
      <c r="B42" s="13" t="s">
        <v>82</v>
      </c>
      <c r="C42" s="5" t="s">
        <v>2094</v>
      </c>
      <c r="D42" s="11" t="s">
        <v>2095</v>
      </c>
      <c r="E42" s="7" t="str">
        <f>IFERROR(__xludf.DUMMYFUNCTION("REGEXEXTRACT(C42, """"""([^""""]+)"""""")"),"Items.TShirt_10_basic_01")</f>
        <v>Items.TShirt_10_basic_01</v>
      </c>
    </row>
    <row r="43">
      <c r="A43" s="14" t="s">
        <v>100</v>
      </c>
      <c r="B43" s="13" t="s">
        <v>82</v>
      </c>
      <c r="C43" s="5" t="s">
        <v>2096</v>
      </c>
      <c r="D43" s="11" t="s">
        <v>2097</v>
      </c>
      <c r="E43" s="7" t="str">
        <f>IFERROR(__xludf.DUMMYFUNCTION("REGEXEXTRACT(C43, """"""([^""""]+)"""""")"),"Items.Shirt_01_rich_02")</f>
        <v>Items.Shirt_01_rich_02</v>
      </c>
    </row>
    <row r="44">
      <c r="A44" s="14" t="s">
        <v>100</v>
      </c>
      <c r="B44" s="13" t="s">
        <v>82</v>
      </c>
      <c r="C44" s="5" t="s">
        <v>2098</v>
      </c>
      <c r="D44" s="11" t="s">
        <v>2099</v>
      </c>
      <c r="E44" s="7" t="str">
        <f>IFERROR(__xludf.DUMMYFUNCTION("REGEXEXTRACT(C44, """"""([^""""]+)"""""")"),"Items.FormalShirt_01_rich_05")</f>
        <v>Items.FormalShirt_01_rich_05</v>
      </c>
    </row>
    <row r="45">
      <c r="A45" s="14" t="s">
        <v>100</v>
      </c>
      <c r="B45" s="13" t="s">
        <v>82</v>
      </c>
      <c r="C45" s="5" t="s">
        <v>2100</v>
      </c>
      <c r="D45" s="11" t="s">
        <v>2101</v>
      </c>
      <c r="E45" s="7" t="str">
        <f>IFERROR(__xludf.DUMMYFUNCTION("REGEXEXTRACT(C45, """"""([^""""]+)"""""")"),"Items.TShirt_07_basic_01")</f>
        <v>Items.TShirt_07_basic_01</v>
      </c>
    </row>
    <row r="46">
      <c r="A46" s="14" t="s">
        <v>100</v>
      </c>
      <c r="B46" s="13" t="s">
        <v>82</v>
      </c>
      <c r="C46" s="5" t="s">
        <v>2102</v>
      </c>
      <c r="D46" s="11" t="s">
        <v>2103</v>
      </c>
      <c r="E46" s="7" t="str">
        <f>IFERROR(__xludf.DUMMYFUNCTION("REGEXEXTRACT(C46, """"""([^""""]+)"""""")"),"Items.TShirt_10_old_01")</f>
        <v>Items.TShirt_10_old_01</v>
      </c>
    </row>
    <row r="47">
      <c r="A47" s="14" t="s">
        <v>100</v>
      </c>
      <c r="B47" s="13" t="s">
        <v>82</v>
      </c>
      <c r="C47" s="5" t="s">
        <v>2104</v>
      </c>
      <c r="D47" s="11" t="s">
        <v>2105</v>
      </c>
      <c r="E47" s="7" t="str">
        <f>IFERROR(__xludf.DUMMYFUNCTION("REGEXEXTRACT(C47, """"""([^""""]+)"""""")"),"Items.TShirt_04_old_01")</f>
        <v>Items.TShirt_04_old_01</v>
      </c>
    </row>
    <row r="48">
      <c r="A48" s="14" t="s">
        <v>100</v>
      </c>
      <c r="B48" s="13" t="s">
        <v>82</v>
      </c>
      <c r="C48" s="5" t="s">
        <v>2106</v>
      </c>
      <c r="D48" s="11" t="s">
        <v>2107</v>
      </c>
      <c r="E48" s="7" t="str">
        <f>IFERROR(__xludf.DUMMYFUNCTION("REGEXEXTRACT(C48, """"""([^""""]+)"""""")"),"Items.Q201_SpaceHospitalShirt")</f>
        <v>Items.Q201_SpaceHospitalShirt</v>
      </c>
    </row>
    <row r="49">
      <c r="A49" s="14" t="s">
        <v>100</v>
      </c>
      <c r="B49" s="13" t="s">
        <v>82</v>
      </c>
      <c r="C49" s="5" t="s">
        <v>2108</v>
      </c>
      <c r="D49" s="11" t="s">
        <v>2109</v>
      </c>
      <c r="E49" s="7" t="str">
        <f>IFERROR(__xludf.DUMMYFUNCTION("REGEXEXTRACT(C49, """"""([^""""]+)"""""")"),"Items.TShirt_08_basic_01")</f>
        <v>Items.TShirt_08_basic_01</v>
      </c>
    </row>
    <row r="50">
      <c r="A50" s="14" t="s">
        <v>100</v>
      </c>
      <c r="B50" s="13" t="s">
        <v>82</v>
      </c>
      <c r="C50" s="5" t="s">
        <v>2110</v>
      </c>
      <c r="D50" s="11" t="s">
        <v>2111</v>
      </c>
      <c r="E50" s="7" t="str">
        <f>IFERROR(__xludf.DUMMYFUNCTION("REGEXEXTRACT(C50, """"""([^""""]+)"""""")"),"Items.TightJumpsuit_01_basic_02")</f>
        <v>Items.TightJumpsuit_01_basic_02</v>
      </c>
    </row>
    <row r="51">
      <c r="A51" s="14" t="s">
        <v>100</v>
      </c>
      <c r="B51" s="13" t="s">
        <v>82</v>
      </c>
      <c r="C51" s="5" t="s">
        <v>2112</v>
      </c>
      <c r="D51" s="11" t="s">
        <v>2113</v>
      </c>
      <c r="E51" s="7" t="str">
        <f>IFERROR(__xludf.DUMMYFUNCTION("REGEXEXTRACT(C51, """"""([^""""]+)"""""")"),"Items.Shirt_02_rich_01")</f>
        <v>Items.Shirt_02_rich_01</v>
      </c>
    </row>
    <row r="52">
      <c r="A52" s="14" t="s">
        <v>100</v>
      </c>
      <c r="B52" s="13" t="s">
        <v>82</v>
      </c>
      <c r="C52" s="5" t="s">
        <v>2114</v>
      </c>
      <c r="D52" s="11" t="s">
        <v>2115</v>
      </c>
      <c r="E52" s="7" t="str">
        <f>IFERROR(__xludf.DUMMYFUNCTION("REGEXEXTRACT(C52, """"""([^""""]+)"""""")"),"Items.FormalShirt_02_old_01")</f>
        <v>Items.FormalShirt_02_old_01</v>
      </c>
    </row>
    <row r="53">
      <c r="A53" s="14" t="s">
        <v>100</v>
      </c>
      <c r="B53" s="13" t="s">
        <v>82</v>
      </c>
      <c r="C53" s="5" t="s">
        <v>2116</v>
      </c>
      <c r="D53" s="11" t="s">
        <v>2117</v>
      </c>
      <c r="E53" s="7" t="str">
        <f>IFERROR(__xludf.DUMMYFUNCTION("REGEXEXTRACT(C53, """"""([^""""]+)"""""")"),"Items.FormalShirt_02_rich_03")</f>
        <v>Items.FormalShirt_02_rich_03</v>
      </c>
    </row>
    <row r="54">
      <c r="A54" s="14" t="s">
        <v>100</v>
      </c>
      <c r="B54" s="13" t="s">
        <v>82</v>
      </c>
      <c r="C54" s="5" t="s">
        <v>2118</v>
      </c>
      <c r="D54" s="11" t="s">
        <v>2119</v>
      </c>
      <c r="E54" s="7" t="str">
        <f>IFERROR(__xludf.DUMMYFUNCTION("REGEXEXTRACT(C54, """"""([^""""]+)"""""")"),"Items.Shirt_01_old_02")</f>
        <v>Items.Shirt_01_old_02</v>
      </c>
    </row>
    <row r="55">
      <c r="A55" s="14" t="s">
        <v>100</v>
      </c>
      <c r="B55" s="13" t="s">
        <v>82</v>
      </c>
      <c r="C55" s="5" t="s">
        <v>2120</v>
      </c>
      <c r="D55" s="11" t="s">
        <v>2121</v>
      </c>
      <c r="E55" s="7" t="str">
        <f>IFERROR(__xludf.DUMMYFUNCTION("REGEXEXTRACT(C55, """"""([^""""]+)"""""")"),"Items.FormalShirt_01_rich_03")</f>
        <v>Items.FormalShirt_01_rich_03</v>
      </c>
    </row>
    <row r="56">
      <c r="A56" s="14" t="s">
        <v>100</v>
      </c>
      <c r="B56" s="13" t="s">
        <v>82</v>
      </c>
      <c r="C56" s="5" t="s">
        <v>2122</v>
      </c>
      <c r="D56" s="11" t="s">
        <v>2123</v>
      </c>
      <c r="E56" s="7" t="str">
        <f>IFERROR(__xludf.DUMMYFUNCTION("REGEXEXTRACT(C56, """"""([^""""]+)"""""")"),"Items.TShirt_01_basic_02")</f>
        <v>Items.TShirt_01_basic_02</v>
      </c>
    </row>
    <row r="57">
      <c r="A57" s="14" t="s">
        <v>100</v>
      </c>
      <c r="B57" s="13" t="s">
        <v>82</v>
      </c>
      <c r="C57" s="5" t="s">
        <v>2124</v>
      </c>
      <c r="D57" s="11" t="s">
        <v>2125</v>
      </c>
      <c r="E57" s="7" t="str">
        <f>IFERROR(__xludf.DUMMYFUNCTION("REGEXEXTRACT(C57, """"""([^""""]+)"""""")"),"Items.TightJumpsuit_01_basic_01")</f>
        <v>Items.TightJumpsuit_01_basic_01</v>
      </c>
    </row>
    <row r="58">
      <c r="A58" s="14" t="s">
        <v>100</v>
      </c>
      <c r="B58" s="13" t="s">
        <v>82</v>
      </c>
      <c r="C58" s="5" t="s">
        <v>2126</v>
      </c>
      <c r="D58" s="11" t="s">
        <v>2127</v>
      </c>
      <c r="E58" s="7" t="str">
        <f>IFERROR(__xludf.DUMMYFUNCTION("REGEXEXTRACT(C58, """"""([^""""]+)"""""")"),"Items.TShirt_03_old_03")</f>
        <v>Items.TShirt_03_old_03</v>
      </c>
    </row>
    <row r="59">
      <c r="A59" s="14" t="s">
        <v>100</v>
      </c>
      <c r="B59" s="13" t="s">
        <v>82</v>
      </c>
      <c r="C59" s="5" t="s">
        <v>2128</v>
      </c>
      <c r="D59" s="11" t="s">
        <v>2129</v>
      </c>
      <c r="E59" s="7" t="str">
        <f>IFERROR(__xludf.DUMMYFUNCTION("REGEXEXTRACT(C59, """"""([^""""]+)"""""")"),"Items.TShirt_08_rich_02")</f>
        <v>Items.TShirt_08_rich_02</v>
      </c>
    </row>
    <row r="60">
      <c r="A60" s="14" t="s">
        <v>100</v>
      </c>
      <c r="B60" s="13" t="s">
        <v>82</v>
      </c>
      <c r="C60" s="5" t="s">
        <v>2130</v>
      </c>
      <c r="D60" s="11" t="s">
        <v>2131</v>
      </c>
      <c r="E60" s="7" t="str">
        <f>IFERROR(__xludf.DUMMYFUNCTION("REGEXEXTRACT(C60, """"""([^""""]+)"""""")"),"Items.TShirt_03_rich_01")</f>
        <v>Items.TShirt_03_rich_01</v>
      </c>
    </row>
    <row r="61">
      <c r="A61" s="14" t="s">
        <v>100</v>
      </c>
      <c r="B61" s="13" t="s">
        <v>82</v>
      </c>
      <c r="C61" s="5" t="s">
        <v>2132</v>
      </c>
      <c r="D61" s="11" t="s">
        <v>2133</v>
      </c>
      <c r="E61" s="7" t="str">
        <f>IFERROR(__xludf.DUMMYFUNCTION("REGEXEXTRACT(C61, """"""([^""""]+)"""""")"),"Items.TShirt_07_basic_02")</f>
        <v>Items.TShirt_07_basic_02</v>
      </c>
    </row>
    <row r="62">
      <c r="A62" s="14" t="s">
        <v>100</v>
      </c>
      <c r="B62" s="13" t="s">
        <v>82</v>
      </c>
      <c r="C62" s="5" t="s">
        <v>2134</v>
      </c>
      <c r="D62" s="11" t="s">
        <v>2135</v>
      </c>
      <c r="E62" s="7" t="str">
        <f>IFERROR(__xludf.DUMMYFUNCTION("REGEXEXTRACT(C62, """"""([^""""]+)"""""")"),"Items.TShirt_06_basic_01")</f>
        <v>Items.TShirt_06_basic_01</v>
      </c>
    </row>
    <row r="63">
      <c r="A63" s="14" t="s">
        <v>100</v>
      </c>
      <c r="B63" s="13" t="s">
        <v>82</v>
      </c>
      <c r="C63" s="5" t="s">
        <v>2136</v>
      </c>
      <c r="D63" s="11" t="s">
        <v>2137</v>
      </c>
      <c r="E63" s="7" t="str">
        <f>IFERROR(__xludf.DUMMYFUNCTION("REGEXEXTRACT(C63, """"""([^""""]+)"""""")"),"Items.TShirt_06_old_02")</f>
        <v>Items.TShirt_06_old_02</v>
      </c>
    </row>
    <row r="64">
      <c r="A64" s="14" t="s">
        <v>100</v>
      </c>
      <c r="B64" s="13" t="s">
        <v>82</v>
      </c>
      <c r="C64" s="5" t="s">
        <v>2138</v>
      </c>
      <c r="D64" s="11" t="s">
        <v>2139</v>
      </c>
      <c r="E64" s="7" t="str">
        <f>IFERROR(__xludf.DUMMYFUNCTION("REGEXEXTRACT(C64, """"""([^""""]+)"""""")"),"Items.Shirt_03_old_01")</f>
        <v>Items.Shirt_03_old_01</v>
      </c>
    </row>
    <row r="65">
      <c r="A65" s="14" t="s">
        <v>100</v>
      </c>
      <c r="B65" s="13" t="s">
        <v>82</v>
      </c>
      <c r="C65" s="5" t="s">
        <v>2140</v>
      </c>
      <c r="D65" s="11" t="s">
        <v>2141</v>
      </c>
      <c r="E65" s="7" t="str">
        <f>IFERROR(__xludf.DUMMYFUNCTION("REGEXEXTRACT(C65, """"""([^""""]+)"""""")"),"Items.TShirt_02_old_02")</f>
        <v>Items.TShirt_02_old_02</v>
      </c>
    </row>
    <row r="66">
      <c r="A66" s="14" t="s">
        <v>100</v>
      </c>
      <c r="B66" s="13" t="s">
        <v>82</v>
      </c>
      <c r="C66" s="5" t="s">
        <v>2142</v>
      </c>
      <c r="D66" s="11" t="s">
        <v>2143</v>
      </c>
      <c r="E66" s="7" t="str">
        <f>IFERROR(__xludf.DUMMYFUNCTION("REGEXEXTRACT(C66, """"""([^""""]+)"""""")"),"Items.TightJumpsuit_01_old_02")</f>
        <v>Items.TightJumpsuit_01_old_02</v>
      </c>
    </row>
    <row r="67">
      <c r="A67" s="14" t="s">
        <v>100</v>
      </c>
      <c r="B67" s="13" t="s">
        <v>82</v>
      </c>
      <c r="C67" s="5" t="s">
        <v>2144</v>
      </c>
      <c r="D67" s="11" t="s">
        <v>2145</v>
      </c>
      <c r="E67" s="7" t="str">
        <f>IFERROR(__xludf.DUMMYFUNCTION("REGEXEXTRACT(C67, """"""([^""""]+)"""""")"),"Items.TShirt_01_old_03")</f>
        <v>Items.TShirt_01_old_03</v>
      </c>
    </row>
    <row r="68">
      <c r="A68" s="14" t="s">
        <v>100</v>
      </c>
      <c r="B68" s="13" t="s">
        <v>82</v>
      </c>
      <c r="C68" s="5" t="s">
        <v>2146</v>
      </c>
      <c r="D68" s="11" t="s">
        <v>2147</v>
      </c>
      <c r="E68" s="7" t="str">
        <f>IFERROR(__xludf.DUMMYFUNCTION("REGEXEXTRACT(C68, """"""([^""""]+)"""""")"),"Items.Undershirt_02_rich_02")</f>
        <v>Items.Undershirt_02_rich_02</v>
      </c>
    </row>
    <row r="69">
      <c r="A69" s="14" t="s">
        <v>100</v>
      </c>
      <c r="B69" s="13" t="s">
        <v>82</v>
      </c>
      <c r="C69" s="5" t="s">
        <v>2148</v>
      </c>
      <c r="D69" s="11" t="s">
        <v>2149</v>
      </c>
      <c r="E69" s="7" t="str">
        <f>IFERROR(__xludf.DUMMYFUNCTION("REGEXEXTRACT(C69, """"""([^""""]+)"""""")"),"Items.Shirt_03_basic_03")</f>
        <v>Items.Shirt_03_basic_03</v>
      </c>
    </row>
    <row r="70">
      <c r="A70" s="14" t="s">
        <v>100</v>
      </c>
      <c r="B70" s="13" t="s">
        <v>82</v>
      </c>
      <c r="C70" s="5" t="s">
        <v>2150</v>
      </c>
      <c r="D70" s="11" t="s">
        <v>2151</v>
      </c>
      <c r="E70" s="7" t="str">
        <f>IFERROR(__xludf.DUMMYFUNCTION("REGEXEXTRACT(C70, """"""([^""""]+)"""""")"),"Items.Shirt_02_old_02")</f>
        <v>Items.Shirt_02_old_02</v>
      </c>
    </row>
    <row r="71">
      <c r="A71" s="14" t="s">
        <v>100</v>
      </c>
      <c r="B71" s="13" t="s">
        <v>82</v>
      </c>
      <c r="C71" s="5" t="s">
        <v>2152</v>
      </c>
      <c r="D71" s="11" t="s">
        <v>2153</v>
      </c>
      <c r="E71" s="7" t="str">
        <f>IFERROR(__xludf.DUMMYFUNCTION("REGEXEXTRACT(C71, """"""([^""""]+)"""""")"),"Items.FormalShirt_02_rich_02")</f>
        <v>Items.FormalShirt_02_rich_02</v>
      </c>
    </row>
    <row r="72">
      <c r="A72" s="14" t="s">
        <v>100</v>
      </c>
      <c r="B72" s="13" t="s">
        <v>82</v>
      </c>
      <c r="C72" s="5" t="s">
        <v>2154</v>
      </c>
      <c r="D72" s="11" t="s">
        <v>2155</v>
      </c>
      <c r="E72" s="7" t="str">
        <f>IFERROR(__xludf.DUMMYFUNCTION("REGEXEXTRACT(C72, """"""([^""""]+)"""""")"),"Items.FormalShirt_01_rich_06")</f>
        <v>Items.FormalShirt_01_rich_06</v>
      </c>
    </row>
    <row r="73">
      <c r="A73" s="14" t="s">
        <v>100</v>
      </c>
      <c r="B73" s="13" t="s">
        <v>82</v>
      </c>
      <c r="C73" s="5" t="s">
        <v>2156</v>
      </c>
      <c r="D73" s="11" t="s">
        <v>2157</v>
      </c>
      <c r="E73" s="7" t="str">
        <f>IFERROR(__xludf.DUMMYFUNCTION("REGEXEXTRACT(C73, """"""([^""""]+)"""""")"),"Items.FormalShirt_01_old_03")</f>
        <v>Items.FormalShirt_01_old_03</v>
      </c>
    </row>
    <row r="74">
      <c r="A74" s="14" t="s">
        <v>100</v>
      </c>
      <c r="B74" s="13" t="s">
        <v>82</v>
      </c>
      <c r="C74" s="5" t="s">
        <v>2158</v>
      </c>
      <c r="D74" s="11" t="s">
        <v>2159</v>
      </c>
      <c r="E74" s="7" t="str">
        <f>IFERROR(__xludf.DUMMYFUNCTION("REGEXEXTRACT(C74, """"""([^""""]+)"""""")"),"Items.SQ012_Shirt_VoteForPeralez")</f>
        <v>Items.SQ012_Shirt_VoteForPeralez</v>
      </c>
    </row>
    <row r="75">
      <c r="A75" s="14" t="s">
        <v>100</v>
      </c>
      <c r="B75" s="13" t="s">
        <v>82</v>
      </c>
      <c r="C75" s="5" t="s">
        <v>2160</v>
      </c>
      <c r="D75" s="11" t="s">
        <v>2161</v>
      </c>
      <c r="E75" s="7" t="str">
        <f>IFERROR(__xludf.DUMMYFUNCTION("REGEXEXTRACT(C75, """"""([^""""]+)"""""")"),"Items.Shirt_01_basic_02")</f>
        <v>Items.Shirt_01_basic_02</v>
      </c>
    </row>
    <row r="76">
      <c r="A76" s="14" t="s">
        <v>100</v>
      </c>
      <c r="B76" s="13" t="s">
        <v>82</v>
      </c>
      <c r="C76" s="5" t="s">
        <v>2162</v>
      </c>
      <c r="D76" s="11" t="s">
        <v>2163</v>
      </c>
      <c r="E76" s="7" t="str">
        <f>IFERROR(__xludf.DUMMYFUNCTION("REGEXEXTRACT(C76, """"""([^""""]+)"""""")"),"Items.TShirt_02_rich_01")</f>
        <v>Items.TShirt_02_rich_01</v>
      </c>
    </row>
    <row r="77">
      <c r="A77" s="14" t="s">
        <v>100</v>
      </c>
      <c r="B77" s="13" t="s">
        <v>82</v>
      </c>
      <c r="C77" s="5" t="s">
        <v>2164</v>
      </c>
      <c r="D77" s="11" t="s">
        <v>2165</v>
      </c>
      <c r="E77" s="7" t="str">
        <f>IFERROR(__xludf.DUMMYFUNCTION("REGEXEXTRACT(C77, """"""([^""""]+)"""""")"),"Items.TShirt_07_rich_01")</f>
        <v>Items.TShirt_07_rich_01</v>
      </c>
    </row>
    <row r="78">
      <c r="A78" s="14" t="s">
        <v>100</v>
      </c>
      <c r="B78" s="13" t="s">
        <v>82</v>
      </c>
      <c r="C78" s="5" t="s">
        <v>2166</v>
      </c>
      <c r="D78" s="11" t="s">
        <v>2167</v>
      </c>
      <c r="E78" s="7" t="str">
        <f>IFERROR(__xludf.DUMMYFUNCTION("REGEXEXTRACT(C78, """"""([^""""]+)"""""")"),"Items.TShirt_02_basic_04")</f>
        <v>Items.TShirt_02_basic_04</v>
      </c>
    </row>
    <row r="79">
      <c r="A79" s="14" t="s">
        <v>100</v>
      </c>
      <c r="B79" s="13" t="s">
        <v>82</v>
      </c>
      <c r="C79" s="5" t="s">
        <v>2168</v>
      </c>
      <c r="D79" s="11" t="s">
        <v>2169</v>
      </c>
      <c r="E79" s="7" t="str">
        <f>IFERROR(__xludf.DUMMYFUNCTION("REGEXEXTRACT(C79, """"""([^""""]+)"""""")"),"Items.TShirt_11_old_01")</f>
        <v>Items.TShirt_11_old_01</v>
      </c>
    </row>
    <row r="80">
      <c r="A80" s="14" t="s">
        <v>100</v>
      </c>
      <c r="B80" s="13" t="s">
        <v>82</v>
      </c>
      <c r="C80" s="5" t="s">
        <v>2170</v>
      </c>
      <c r="D80" s="11" t="s">
        <v>2171</v>
      </c>
      <c r="E80" s="7" t="str">
        <f>IFERROR(__xludf.DUMMYFUNCTION("REGEXEXTRACT(C80, """"""([^""""]+)"""""")"),"Items.TShirt_01_old_02")</f>
        <v>Items.TShirt_01_old_02</v>
      </c>
    </row>
    <row r="81">
      <c r="A81" s="14" t="s">
        <v>100</v>
      </c>
      <c r="B81" s="13" t="s">
        <v>82</v>
      </c>
      <c r="C81" s="5" t="s">
        <v>2172</v>
      </c>
      <c r="D81" s="11" t="s">
        <v>2173</v>
      </c>
      <c r="E81" s="7" t="str">
        <f>IFERROR(__xludf.DUMMYFUNCTION("REGEXEXTRACT(C81, """"""([^""""]+)"""""")"),"Items.TShirt_01_basic_03")</f>
        <v>Items.TShirt_01_basic_03</v>
      </c>
    </row>
    <row r="82">
      <c r="A82" s="14" t="s">
        <v>100</v>
      </c>
      <c r="B82" s="13" t="s">
        <v>82</v>
      </c>
      <c r="C82" s="5" t="s">
        <v>2174</v>
      </c>
      <c r="D82" s="11" t="s">
        <v>2175</v>
      </c>
      <c r="E82" s="7" t="str">
        <f>IFERROR(__xludf.DUMMYFUNCTION("REGEXEXTRACT(C82, """"""([^""""]+)"""""")"),"Items.TShirt_06_rich_01")</f>
        <v>Items.TShirt_06_rich_01</v>
      </c>
    </row>
    <row r="83">
      <c r="A83" s="14" t="s">
        <v>100</v>
      </c>
      <c r="B83" s="13" t="s">
        <v>82</v>
      </c>
      <c r="C83" s="5" t="s">
        <v>2176</v>
      </c>
      <c r="D83" s="11" t="s">
        <v>2177</v>
      </c>
      <c r="E83" s="7" t="str">
        <f>IFERROR(__xludf.DUMMYFUNCTION("REGEXEXTRACT(C83, """"""([^""""]+)"""""")"),"Items.FormalShirt_02_old_02")</f>
        <v>Items.FormalShirt_02_old_02</v>
      </c>
    </row>
    <row r="84">
      <c r="A84" s="14" t="s">
        <v>100</v>
      </c>
      <c r="B84" s="13" t="s">
        <v>82</v>
      </c>
      <c r="C84" s="5" t="s">
        <v>2178</v>
      </c>
      <c r="D84" s="6" t="s">
        <v>2179</v>
      </c>
      <c r="E84" s="7" t="str">
        <f>IFERROR(__xludf.DUMMYFUNCTION("REGEXEXTRACT(C84, """"""([^""""]+)"""""")"),"Items.Proficiency_TightJumpsuit_01_rich_02_Crafting")</f>
        <v>Items.Proficiency_TightJumpsuit_01_rich_02_Crafting</v>
      </c>
    </row>
    <row r="85">
      <c r="A85" s="14" t="s">
        <v>100</v>
      </c>
      <c r="B85" s="13" t="s">
        <v>82</v>
      </c>
      <c r="C85" s="5" t="s">
        <v>2180</v>
      </c>
      <c r="D85" s="11" t="s">
        <v>2181</v>
      </c>
      <c r="E85" s="7" t="str">
        <f>IFERROR(__xludf.DUMMYFUNCTION("REGEXEXTRACT(C85, """"""([^""""]+)"""""")"),"Items.FormalShirt_02_basic_03")</f>
        <v>Items.FormalShirt_02_basic_03</v>
      </c>
    </row>
    <row r="86">
      <c r="A86" s="14" t="s">
        <v>100</v>
      </c>
      <c r="B86" s="13" t="s">
        <v>82</v>
      </c>
      <c r="C86" s="5" t="s">
        <v>2182</v>
      </c>
      <c r="D86" s="11" t="s">
        <v>2183</v>
      </c>
      <c r="E86" s="7" t="str">
        <f>IFERROR(__xludf.DUMMYFUNCTION("REGEXEXTRACT(C86, """"""([^""""]+)"""""")"),"Items.Undershirt_03_rich_02")</f>
        <v>Items.Undershirt_03_rich_02</v>
      </c>
    </row>
    <row r="87">
      <c r="A87" s="14" t="s">
        <v>100</v>
      </c>
      <c r="B87" s="13" t="s">
        <v>82</v>
      </c>
      <c r="C87" s="5" t="s">
        <v>2184</v>
      </c>
      <c r="D87" s="11" t="s">
        <v>2185</v>
      </c>
      <c r="E87" s="7" t="str">
        <f>IFERROR(__xludf.DUMMYFUNCTION("REGEXEXTRACT(C87, """"""([^""""]+)"""""")"),"Items.FormalShirt_01_basic_02")</f>
        <v>Items.FormalShirt_01_basic_02</v>
      </c>
    </row>
    <row r="88">
      <c r="A88" s="14" t="s">
        <v>100</v>
      </c>
      <c r="B88" s="13" t="s">
        <v>82</v>
      </c>
      <c r="C88" s="5" t="s">
        <v>2186</v>
      </c>
      <c r="D88" s="11" t="s">
        <v>2187</v>
      </c>
      <c r="E88" s="7" t="str">
        <f>IFERROR(__xludf.DUMMYFUNCTION("REGEXEXTRACT(C88, """"""([^""""]+)"""""")"),"Items.Undershirt_02_basic_01")</f>
        <v>Items.Undershirt_02_basic_01</v>
      </c>
    </row>
    <row r="89">
      <c r="A89" s="14" t="s">
        <v>100</v>
      </c>
      <c r="B89" s="13" t="s">
        <v>82</v>
      </c>
      <c r="C89" s="5" t="s">
        <v>2188</v>
      </c>
      <c r="D89" s="11" t="s">
        <v>2189</v>
      </c>
      <c r="E89" s="7" t="str">
        <f>IFERROR(__xludf.DUMMYFUNCTION("REGEXEXTRACT(C89, """"""([^""""]+)"""""")"),"Items.TShirt_11_basic_01")</f>
        <v>Items.TShirt_11_basic_01</v>
      </c>
    </row>
    <row r="90">
      <c r="A90" s="14" t="s">
        <v>100</v>
      </c>
      <c r="B90" s="13" t="s">
        <v>82</v>
      </c>
      <c r="C90" s="5" t="s">
        <v>2190</v>
      </c>
      <c r="D90" s="11" t="s">
        <v>2191</v>
      </c>
      <c r="E90" s="7" t="str">
        <f>IFERROR(__xludf.DUMMYFUNCTION("REGEXEXTRACT(C90, """"""([^""""]+)"""""")"),"Items.TShirt_09_basic_01")</f>
        <v>Items.TShirt_09_basic_01</v>
      </c>
    </row>
    <row r="91">
      <c r="A91" s="14" t="s">
        <v>100</v>
      </c>
      <c r="B91" s="13" t="s">
        <v>82</v>
      </c>
      <c r="C91" s="5" t="s">
        <v>2192</v>
      </c>
      <c r="D91" s="11" t="s">
        <v>2193</v>
      </c>
      <c r="E91" s="7" t="str">
        <f>IFERROR(__xludf.DUMMYFUNCTION("REGEXEXTRACT(C91, """"""([^""""]+)"""""")"),"Items.TShirt_09_old_01")</f>
        <v>Items.TShirt_09_old_01</v>
      </c>
    </row>
    <row r="92">
      <c r="A92" s="14" t="s">
        <v>100</v>
      </c>
      <c r="B92" s="13" t="s">
        <v>82</v>
      </c>
      <c r="C92" s="5" t="s">
        <v>2194</v>
      </c>
      <c r="D92" s="11" t="s">
        <v>2195</v>
      </c>
      <c r="E92" s="7" t="str">
        <f>IFERROR(__xludf.DUMMYFUNCTION("REGEXEXTRACT(C92, """"""([^""""]+)"""""")"),"Items.TShirt_02_old_01")</f>
        <v>Items.TShirt_02_old_01</v>
      </c>
    </row>
    <row r="93">
      <c r="A93" s="14" t="s">
        <v>100</v>
      </c>
      <c r="B93" s="13" t="s">
        <v>82</v>
      </c>
      <c r="C93" s="5" t="s">
        <v>2196</v>
      </c>
      <c r="D93" s="11" t="s">
        <v>2197</v>
      </c>
      <c r="E93" s="7" t="str">
        <f>IFERROR(__xludf.DUMMYFUNCTION("REGEXEXTRACT(C93, """"""([^""""]+)"""""")"),"Items.TShirt_10_rich_01")</f>
        <v>Items.TShirt_10_rich_01</v>
      </c>
    </row>
    <row r="94">
      <c r="A94" s="14" t="s">
        <v>100</v>
      </c>
      <c r="B94" s="13" t="s">
        <v>82</v>
      </c>
      <c r="C94" s="5" t="s">
        <v>2198</v>
      </c>
      <c r="D94" s="11" t="s">
        <v>2199</v>
      </c>
      <c r="E94" s="7" t="str">
        <f>IFERROR(__xludf.DUMMYFUNCTION("REGEXEXTRACT(C94, """"""([^""""]+)"""""")"),"Items.SamuraiWorldTour_TShirt")</f>
        <v>Items.SamuraiWorldTour_TShirt</v>
      </c>
    </row>
    <row r="95">
      <c r="A95" s="14" t="s">
        <v>100</v>
      </c>
      <c r="B95" s="13" t="s">
        <v>82</v>
      </c>
      <c r="C95" s="5" t="s">
        <v>2200</v>
      </c>
      <c r="D95" s="11" t="s">
        <v>2201</v>
      </c>
      <c r="E95" s="7" t="str">
        <f>IFERROR(__xludf.DUMMYFUNCTION("REGEXEXTRACT(C95, """"""([^""""]+)"""""")"),"Items.Shirt_02_basic_04")</f>
        <v>Items.Shirt_02_basic_04</v>
      </c>
    </row>
    <row r="96">
      <c r="A96" s="14" t="s">
        <v>100</v>
      </c>
      <c r="B96" s="13" t="s">
        <v>82</v>
      </c>
      <c r="C96" s="5" t="s">
        <v>2202</v>
      </c>
      <c r="D96" s="11" t="s">
        <v>2203</v>
      </c>
      <c r="E96" s="7" t="str">
        <f>IFERROR(__xludf.DUMMYFUNCTION("REGEXEXTRACT(C96, """"""([^""""]+)"""""")"),"Items.TShirt_01_rich_03")</f>
        <v>Items.TShirt_01_rich_03</v>
      </c>
    </row>
    <row r="97">
      <c r="A97" s="14" t="s">
        <v>100</v>
      </c>
      <c r="B97" s="13" t="s">
        <v>82</v>
      </c>
      <c r="C97" s="5" t="s">
        <v>2204</v>
      </c>
      <c r="D97" s="11" t="s">
        <v>2205</v>
      </c>
      <c r="E97" s="7" t="str">
        <f>IFERROR(__xludf.DUMMYFUNCTION("REGEXEXTRACT(C97, """"""([^""""]+)"""""")"),"Items.TShirt_03_rich_02")</f>
        <v>Items.TShirt_03_rich_02</v>
      </c>
    </row>
    <row r="98">
      <c r="A98" s="14" t="s">
        <v>100</v>
      </c>
      <c r="B98" s="13" t="s">
        <v>82</v>
      </c>
      <c r="C98" s="5" t="s">
        <v>2206</v>
      </c>
      <c r="D98" s="11" t="s">
        <v>2207</v>
      </c>
      <c r="E98" s="7" t="str">
        <f>IFERROR(__xludf.DUMMYFUNCTION("REGEXEXTRACT(C98, """"""([^""""]+)"""""")"),"Items.TShirt_07_rich_02")</f>
        <v>Items.TShirt_07_rich_02</v>
      </c>
    </row>
    <row r="99">
      <c r="A99" s="14" t="s">
        <v>100</v>
      </c>
      <c r="B99" s="13" t="s">
        <v>82</v>
      </c>
      <c r="C99" s="5" t="s">
        <v>2208</v>
      </c>
      <c r="D99" s="11" t="s">
        <v>2209</v>
      </c>
      <c r="E99" s="7" t="str">
        <f>IFERROR(__xludf.DUMMYFUNCTION("REGEXEXTRACT(C99, """"""([^""""]+)"""""")"),"Items.TShirt_08_old_02")</f>
        <v>Items.TShirt_08_old_02</v>
      </c>
    </row>
    <row r="100">
      <c r="A100" s="14" t="s">
        <v>100</v>
      </c>
      <c r="B100" s="13" t="s">
        <v>82</v>
      </c>
      <c r="C100" s="5" t="s">
        <v>2210</v>
      </c>
      <c r="D100" s="11" t="s">
        <v>2211</v>
      </c>
      <c r="E100" s="7" t="str">
        <f>IFERROR(__xludf.DUMMYFUNCTION("REGEXEXTRACT(C100, """"""([^""""]+)"""""")"),"Items.TShirt_04_old_05")</f>
        <v>Items.TShirt_04_old_05</v>
      </c>
    </row>
    <row r="101">
      <c r="A101" s="14" t="s">
        <v>100</v>
      </c>
      <c r="B101" s="13" t="s">
        <v>82</v>
      </c>
      <c r="C101" s="5" t="s">
        <v>2212</v>
      </c>
      <c r="D101" s="11" t="s">
        <v>2213</v>
      </c>
      <c r="E101" s="7" t="str">
        <f>IFERROR(__xludf.DUMMYFUNCTION("REGEXEXTRACT(C101, """"""([^""""]+)"""""")"),"Items.FormalShirt_02_basic_01")</f>
        <v>Items.FormalShirt_02_basic_01</v>
      </c>
    </row>
    <row r="102">
      <c r="A102" s="14" t="s">
        <v>100</v>
      </c>
      <c r="B102" s="13" t="s">
        <v>82</v>
      </c>
      <c r="C102" s="5" t="s">
        <v>2214</v>
      </c>
      <c r="D102" s="26" t="s">
        <v>2215</v>
      </c>
      <c r="E102" s="7" t="str">
        <f>IFERROR(__xludf.DUMMYFUNCTION("REGEXEXTRACT(C102, """"""([^""""]+)"""""")"),"Items.Proficiency_Shirt_02_basic_02_Crafting")</f>
        <v>Items.Proficiency_Shirt_02_basic_02_Crafting</v>
      </c>
    </row>
    <row r="103">
      <c r="A103" s="14" t="s">
        <v>100</v>
      </c>
      <c r="B103" s="13" t="s">
        <v>82</v>
      </c>
      <c r="C103" s="5" t="s">
        <v>2216</v>
      </c>
      <c r="D103" s="11" t="s">
        <v>2217</v>
      </c>
      <c r="E103" s="7" t="str">
        <f>IFERROR(__xludf.DUMMYFUNCTION("REGEXEXTRACT(C103, """"""([^""""]+)"""""")"),"Items.Undershirt_03_basic_01")</f>
        <v>Items.Undershirt_03_basic_01</v>
      </c>
    </row>
    <row r="104">
      <c r="A104" s="14" t="s">
        <v>100</v>
      </c>
      <c r="B104" s="13" t="s">
        <v>82</v>
      </c>
      <c r="C104" s="5" t="s">
        <v>2218</v>
      </c>
      <c r="D104" s="11" t="s">
        <v>2219</v>
      </c>
      <c r="E104" s="7" t="str">
        <f>IFERROR(__xludf.DUMMYFUNCTION("REGEXEXTRACT(C104, """"""([^""""]+)"""""")"),"Items.Shirt_02_rich_02")</f>
        <v>Items.Shirt_02_rich_02</v>
      </c>
    </row>
    <row r="105">
      <c r="A105" s="14" t="s">
        <v>100</v>
      </c>
      <c r="B105" s="13" t="s">
        <v>82</v>
      </c>
      <c r="C105" s="5" t="s">
        <v>2220</v>
      </c>
      <c r="D105" s="11" t="s">
        <v>2221</v>
      </c>
      <c r="E105" s="7" t="str">
        <f>IFERROR(__xludf.DUMMYFUNCTION("REGEXEXTRACT(C105, """"""([^""""]+)"""""")"),"Items.Shirt_02_basic_01")</f>
        <v>Items.Shirt_02_basic_01</v>
      </c>
    </row>
    <row r="106">
      <c r="A106" s="14" t="s">
        <v>100</v>
      </c>
      <c r="B106" s="13" t="s">
        <v>82</v>
      </c>
      <c r="C106" s="5" t="s">
        <v>2222</v>
      </c>
      <c r="D106" s="11" t="s">
        <v>2223</v>
      </c>
      <c r="E106" s="7" t="str">
        <f>IFERROR(__xludf.DUMMYFUNCTION("REGEXEXTRACT(C106, """"""([^""""]+)"""""")"),"Items.Undershirt_03_basic_04")</f>
        <v>Items.Undershirt_03_basic_04</v>
      </c>
    </row>
    <row r="107">
      <c r="A107" s="14" t="s">
        <v>100</v>
      </c>
      <c r="B107" s="13" t="s">
        <v>82</v>
      </c>
      <c r="C107" s="5" t="s">
        <v>2224</v>
      </c>
      <c r="D107" s="11" t="s">
        <v>2225</v>
      </c>
      <c r="E107" s="7" t="str">
        <f>IFERROR(__xludf.DUMMYFUNCTION("REGEXEXTRACT(C107, """"""([^""""]+)"""""")"),"Items.TShirt_03_old_01")</f>
        <v>Items.TShirt_03_old_01</v>
      </c>
    </row>
    <row r="108">
      <c r="A108" s="14" t="s">
        <v>100</v>
      </c>
      <c r="B108" s="13" t="s">
        <v>82</v>
      </c>
      <c r="C108" s="5" t="s">
        <v>2226</v>
      </c>
      <c r="D108" s="11" t="s">
        <v>2227</v>
      </c>
      <c r="E108" s="7" t="str">
        <f>IFERROR(__xludf.DUMMYFUNCTION("REGEXEXTRACT(C108, """"""([^""""]+)"""""")"),"Items.TShirt_05_old_06")</f>
        <v>Items.TShirt_05_old_06</v>
      </c>
    </row>
    <row r="109">
      <c r="A109" s="14" t="s">
        <v>100</v>
      </c>
      <c r="B109" s="13" t="s">
        <v>82</v>
      </c>
      <c r="C109" s="5" t="s">
        <v>2228</v>
      </c>
      <c r="D109" s="11" t="s">
        <v>2229</v>
      </c>
      <c r="E109" s="7" t="str">
        <f>IFERROR(__xludf.DUMMYFUNCTION("REGEXEXTRACT(C109, """"""([^""""]+)"""""")"),"Items.TShirt_04_old_06")</f>
        <v>Items.TShirt_04_old_06</v>
      </c>
    </row>
    <row r="110">
      <c r="A110" s="14" t="s">
        <v>100</v>
      </c>
      <c r="B110" s="13" t="s">
        <v>82</v>
      </c>
      <c r="C110" s="5" t="s">
        <v>2230</v>
      </c>
      <c r="D110" s="15" t="s">
        <v>2231</v>
      </c>
      <c r="E110" s="7" t="str">
        <f>IFERROR(__xludf.DUMMYFUNCTION("REGEXEXTRACT(C110, """"""([^""""]+)"""""")"),"Items.Proficiency_Undershirt_03_basic_03_Crafting")</f>
        <v>Items.Proficiency_Undershirt_03_basic_03_Crafting</v>
      </c>
    </row>
    <row r="111">
      <c r="A111" s="14" t="s">
        <v>100</v>
      </c>
      <c r="B111" s="13" t="s">
        <v>82</v>
      </c>
      <c r="C111" s="5" t="s">
        <v>2232</v>
      </c>
      <c r="D111" s="11" t="s">
        <v>2233</v>
      </c>
      <c r="E111" s="7" t="str">
        <f>IFERROR(__xludf.DUMMYFUNCTION("REGEXEXTRACT(C111, """"""([^""""]+)"""""")"),"Items.TShirt_02_rich_02")</f>
        <v>Items.TShirt_02_rich_02</v>
      </c>
    </row>
    <row r="112">
      <c r="A112" s="14" t="s">
        <v>100</v>
      </c>
      <c r="B112" s="13" t="s">
        <v>82</v>
      </c>
      <c r="C112" s="5" t="s">
        <v>2234</v>
      </c>
      <c r="D112" s="11" t="s">
        <v>2235</v>
      </c>
      <c r="E112" s="7" t="str">
        <f>IFERROR(__xludf.DUMMYFUNCTION("REGEXEXTRACT(C112, """"""([^""""]+)"""""")"),"Items.Shirt_01_rich_01")</f>
        <v>Items.Shirt_01_rich_01</v>
      </c>
    </row>
    <row r="113">
      <c r="A113" s="14" t="s">
        <v>100</v>
      </c>
      <c r="B113" s="13" t="s">
        <v>82</v>
      </c>
      <c r="C113" s="5" t="s">
        <v>2236</v>
      </c>
      <c r="D113" s="11" t="s">
        <v>2237</v>
      </c>
      <c r="E113" s="7" t="str">
        <f>IFERROR(__xludf.DUMMYFUNCTION("REGEXEXTRACT(C113, """"""([^""""]+)"""""")"),"Items.FormalShirt_01_basic_03")</f>
        <v>Items.FormalShirt_01_basic_03</v>
      </c>
    </row>
    <row r="114">
      <c r="A114" s="14" t="s">
        <v>100</v>
      </c>
      <c r="B114" s="13" t="s">
        <v>82</v>
      </c>
      <c r="C114" s="5" t="s">
        <v>2238</v>
      </c>
      <c r="D114" s="11" t="s">
        <v>2239</v>
      </c>
      <c r="E114" s="7" t="str">
        <f>IFERROR(__xludf.DUMMYFUNCTION("REGEXEXTRACT(C114, """"""([^""""]+)"""""")"),"Items.Shirt_03_basic_01")</f>
        <v>Items.Shirt_03_basic_01</v>
      </c>
    </row>
    <row r="115">
      <c r="A115" s="14" t="s">
        <v>100</v>
      </c>
      <c r="B115" s="13" t="s">
        <v>82</v>
      </c>
      <c r="C115" s="5" t="s">
        <v>2240</v>
      </c>
      <c r="D115" s="11" t="s">
        <v>2241</v>
      </c>
      <c r="E115" s="7" t="str">
        <f>IFERROR(__xludf.DUMMYFUNCTION("REGEXEXTRACT(C115, """"""([^""""]+)"""""")"),"Items.TShirt_07_old_01")</f>
        <v>Items.TShirt_07_old_01</v>
      </c>
    </row>
    <row r="116">
      <c r="A116" s="14" t="s">
        <v>100</v>
      </c>
      <c r="B116" s="13" t="s">
        <v>82</v>
      </c>
      <c r="C116" s="5" t="s">
        <v>2242</v>
      </c>
      <c r="D116" s="11" t="s">
        <v>2243</v>
      </c>
      <c r="E116" s="7" t="str">
        <f>IFERROR(__xludf.DUMMYFUNCTION("REGEXEXTRACT(C116, """"""([^""""]+)"""""")"),"Items.TShirt_09_basic_02")</f>
        <v>Items.TShirt_09_basic_02</v>
      </c>
    </row>
    <row r="117">
      <c r="A117" s="14" t="s">
        <v>100</v>
      </c>
      <c r="B117" s="13" t="s">
        <v>82</v>
      </c>
      <c r="C117" s="5" t="s">
        <v>2244</v>
      </c>
      <c r="D117" s="11" t="s">
        <v>2245</v>
      </c>
      <c r="E117" s="7" t="str">
        <f>IFERROR(__xludf.DUMMYFUNCTION("REGEXEXTRACT(C117, """"""([^""""]+)"""""")"),"Items.FormalShirt_01_basic_01")</f>
        <v>Items.FormalShirt_01_basic_01</v>
      </c>
    </row>
    <row r="118">
      <c r="A118" s="14" t="s">
        <v>100</v>
      </c>
      <c r="B118" s="13" t="s">
        <v>82</v>
      </c>
      <c r="C118" s="5" t="s">
        <v>2246</v>
      </c>
      <c r="D118" s="11" t="s">
        <v>2247</v>
      </c>
      <c r="E118" s="7" t="str">
        <f>IFERROR(__xludf.DUMMYFUNCTION("REGEXEXTRACT(C118, """"""([^""""]+)"""""")"),"Items.TShirt_05_old_01")</f>
        <v>Items.TShirt_05_old_01</v>
      </c>
    </row>
    <row r="119">
      <c r="A119" s="14" t="s">
        <v>100</v>
      </c>
      <c r="B119" s="13" t="s">
        <v>82</v>
      </c>
      <c r="C119" s="5" t="s">
        <v>2248</v>
      </c>
      <c r="D119" s="11" t="s">
        <v>2249</v>
      </c>
      <c r="E119" s="7" t="str">
        <f>IFERROR(__xludf.DUMMYFUNCTION("REGEXEXTRACT(C119, """"""([^""""]+)"""""")"),"Items.TShirt_05_old_02")</f>
        <v>Items.TShirt_05_old_02</v>
      </c>
    </row>
    <row r="120">
      <c r="A120" s="14" t="s">
        <v>100</v>
      </c>
      <c r="B120" s="13" t="s">
        <v>82</v>
      </c>
      <c r="C120" s="5" t="s">
        <v>2250</v>
      </c>
      <c r="D120" s="11" t="s">
        <v>2251</v>
      </c>
      <c r="E120" s="7" t="str">
        <f>IFERROR(__xludf.DUMMYFUNCTION("REGEXEXTRACT(C120, """"""([^""""]+)"""""")"),"Items.TShirt_05_old_03")</f>
        <v>Items.TShirt_05_old_03</v>
      </c>
    </row>
    <row r="121">
      <c r="A121" s="14" t="s">
        <v>100</v>
      </c>
      <c r="B121" s="13" t="s">
        <v>82</v>
      </c>
      <c r="C121" s="5" t="s">
        <v>2252</v>
      </c>
      <c r="D121" s="11" t="s">
        <v>2253</v>
      </c>
      <c r="E121" s="7" t="str">
        <f>IFERROR(__xludf.DUMMYFUNCTION("REGEXEXTRACT(C121, """"""([^""""]+)"""""")"),"Items.TShirt_09_old_02")</f>
        <v>Items.TShirt_09_old_02</v>
      </c>
    </row>
    <row r="122">
      <c r="A122" s="14" t="s">
        <v>100</v>
      </c>
      <c r="B122" s="13" t="s">
        <v>82</v>
      </c>
      <c r="C122" s="5" t="s">
        <v>2254</v>
      </c>
      <c r="D122" s="11" t="s">
        <v>2255</v>
      </c>
      <c r="E122" s="7" t="str">
        <f>IFERROR(__xludf.DUMMYFUNCTION("REGEXEXTRACT(C122, """"""([^""""]+)"""""")"),"Items.TShirt_05_old_05")</f>
        <v>Items.TShirt_05_old_05</v>
      </c>
    </row>
    <row r="123">
      <c r="A123" s="14" t="s">
        <v>100</v>
      </c>
      <c r="B123" s="13" t="s">
        <v>82</v>
      </c>
      <c r="C123" s="5" t="s">
        <v>2256</v>
      </c>
      <c r="D123" s="11" t="s">
        <v>2257</v>
      </c>
      <c r="E123" s="7" t="str">
        <f>IFERROR(__xludf.DUMMYFUNCTION("REGEXEXTRACT(C123, """"""([^""""]+)"""""")"),"Items.TShirt_05_old_04")</f>
        <v>Items.TShirt_05_old_04</v>
      </c>
    </row>
    <row r="124">
      <c r="A124" s="14" t="s">
        <v>100</v>
      </c>
      <c r="B124" s="13" t="s">
        <v>82</v>
      </c>
      <c r="C124" s="5" t="s">
        <v>2258</v>
      </c>
      <c r="D124" s="11" t="s">
        <v>2259</v>
      </c>
      <c r="E124" s="7" t="str">
        <f>IFERROR(__xludf.DUMMYFUNCTION("REGEXEXTRACT(C124, """"""([^""""]+)"""""")"),"Items.TShirt_02_basic_02")</f>
        <v>Items.TShirt_02_basic_02</v>
      </c>
    </row>
    <row r="125">
      <c r="A125" s="14" t="s">
        <v>100</v>
      </c>
      <c r="B125" s="13" t="s">
        <v>82</v>
      </c>
      <c r="C125" s="5" t="s">
        <v>2260</v>
      </c>
      <c r="D125" s="11" t="s">
        <v>2261</v>
      </c>
      <c r="E125" s="7" t="str">
        <f>IFERROR(__xludf.DUMMYFUNCTION("REGEXEXTRACT(C125, """"""([^""""]+)"""""")"),"Items.Undershirt_02_rich_01")</f>
        <v>Items.Undershirt_02_rich_01</v>
      </c>
    </row>
    <row r="126">
      <c r="A126" s="14" t="s">
        <v>100</v>
      </c>
      <c r="B126" s="13" t="s">
        <v>82</v>
      </c>
      <c r="C126" s="5" t="s">
        <v>2262</v>
      </c>
      <c r="D126" s="11" t="s">
        <v>2263</v>
      </c>
      <c r="E126" s="7" t="str">
        <f>IFERROR(__xludf.DUMMYFUNCTION("REGEXEXTRACT(C126, """"""([^""""]+)"""""")"),"Items.TShirt_01_rich_01")</f>
        <v>Items.TShirt_01_rich_01</v>
      </c>
    </row>
    <row r="127">
      <c r="A127" s="14" t="s">
        <v>100</v>
      </c>
      <c r="B127" s="13" t="s">
        <v>82</v>
      </c>
      <c r="C127" s="5" t="s">
        <v>2264</v>
      </c>
      <c r="D127" s="11" t="s">
        <v>2265</v>
      </c>
      <c r="E127" s="7" t="str">
        <f>IFERROR(__xludf.DUMMYFUNCTION("REGEXEXTRACT(C127, """"""([^""""]+)"""""")"),"Items.Undershirt_03_rich_01")</f>
        <v>Items.Undershirt_03_rich_01</v>
      </c>
    </row>
    <row r="128">
      <c r="A128" s="14" t="s">
        <v>100</v>
      </c>
      <c r="B128" s="13" t="s">
        <v>82</v>
      </c>
      <c r="C128" s="5" t="s">
        <v>2266</v>
      </c>
      <c r="D128" s="10" t="s">
        <v>2267</v>
      </c>
      <c r="E128" s="7" t="str">
        <f>IFERROR(__xludf.DUMMYFUNCTION("REGEXEXTRACT(C128, """"""([^""""]+)"""""")"),"Items.Proficiency_TShirt_03_rich_03_Crafting")</f>
        <v>Items.Proficiency_TShirt_03_rich_03_Crafting</v>
      </c>
    </row>
    <row r="129">
      <c r="A129" s="14" t="s">
        <v>100</v>
      </c>
      <c r="B129" s="13" t="s">
        <v>82</v>
      </c>
      <c r="C129" s="5" t="s">
        <v>2268</v>
      </c>
      <c r="D129" s="11" t="s">
        <v>2269</v>
      </c>
      <c r="E129" s="7" t="str">
        <f>IFERROR(__xludf.DUMMYFUNCTION("REGEXEXTRACT(C129, """"""([^""""]+)"""""")"),"Items.TShirt_02_basic_01")</f>
        <v>Items.TShirt_02_basic_01</v>
      </c>
    </row>
    <row r="130">
      <c r="A130" s="14" t="s">
        <v>100</v>
      </c>
      <c r="B130" s="13" t="s">
        <v>82</v>
      </c>
      <c r="C130" s="5" t="s">
        <v>2270</v>
      </c>
      <c r="D130" s="11" t="s">
        <v>2271</v>
      </c>
      <c r="E130" s="7" t="str">
        <f>IFERROR(__xludf.DUMMYFUNCTION("REGEXEXTRACT(C130, """"""([^""""]+)"""""")"),"Items.TShirt_02_old_04")</f>
        <v>Items.TShirt_02_old_04</v>
      </c>
    </row>
    <row r="131">
      <c r="A131" s="14" t="s">
        <v>100</v>
      </c>
      <c r="B131" s="13" t="s">
        <v>82</v>
      </c>
      <c r="C131" s="5" t="s">
        <v>2272</v>
      </c>
      <c r="D131" s="11" t="s">
        <v>2273</v>
      </c>
      <c r="E131" s="7" t="str">
        <f>IFERROR(__xludf.DUMMYFUNCTION("REGEXEXTRACT(C131, """"""([^""""]+)"""""")"),"Items.TShirt_02_basic_05")</f>
        <v>Items.TShirt_02_basic_05</v>
      </c>
    </row>
    <row r="132">
      <c r="A132" s="14" t="s">
        <v>100</v>
      </c>
      <c r="B132" s="13" t="s">
        <v>82</v>
      </c>
      <c r="C132" s="5" t="s">
        <v>2274</v>
      </c>
      <c r="D132" s="11" t="s">
        <v>2275</v>
      </c>
      <c r="E132" s="7" t="str">
        <f>IFERROR(__xludf.DUMMYFUNCTION("REGEXEXTRACT(C132, """"""([^""""]+)"""""")"),"Items.Shirt_02_rich_03")</f>
        <v>Items.Shirt_02_rich_03</v>
      </c>
    </row>
    <row r="133">
      <c r="A133" s="14" t="s">
        <v>100</v>
      </c>
      <c r="B133" s="13" t="s">
        <v>82</v>
      </c>
      <c r="C133" s="5" t="s">
        <v>2276</v>
      </c>
      <c r="D133" s="11" t="s">
        <v>2277</v>
      </c>
      <c r="E133" s="7" t="str">
        <f>IFERROR(__xludf.DUMMYFUNCTION("REGEXEXTRACT(C133, """"""([^""""]+)"""""")"),"Items.Shirt_03_old_03")</f>
        <v>Items.Shirt_03_old_03</v>
      </c>
    </row>
    <row r="134">
      <c r="A134" s="14" t="s">
        <v>100</v>
      </c>
      <c r="B134" s="13" t="s">
        <v>82</v>
      </c>
      <c r="C134" s="5" t="s">
        <v>2278</v>
      </c>
      <c r="D134" s="11" t="s">
        <v>2279</v>
      </c>
      <c r="E134" s="7" t="str">
        <f>IFERROR(__xludf.DUMMYFUNCTION("REGEXEXTRACT(C134, """"""([^""""]+)"""""")"),"Items.TightJumpsuit_01_old_01")</f>
        <v>Items.TightJumpsuit_01_old_01</v>
      </c>
    </row>
    <row r="135">
      <c r="A135" s="14" t="s">
        <v>100</v>
      </c>
      <c r="B135" s="13" t="s">
        <v>82</v>
      </c>
      <c r="C135" s="5" t="s">
        <v>2280</v>
      </c>
      <c r="D135" s="11" t="s">
        <v>2281</v>
      </c>
      <c r="E135" s="7" t="str">
        <f>IFERROR(__xludf.DUMMYFUNCTION("REGEXEXTRACT(C135, """"""([^""""]+)"""""")"),"Items.TShirt_03_old_02")</f>
        <v>Items.TShirt_03_old_02</v>
      </c>
    </row>
    <row r="136">
      <c r="A136" s="14" t="s">
        <v>100</v>
      </c>
      <c r="B136" s="13" t="s">
        <v>82</v>
      </c>
      <c r="C136" s="5" t="s">
        <v>2282</v>
      </c>
      <c r="D136" s="11" t="s">
        <v>2283</v>
      </c>
      <c r="E136" s="7" t="str">
        <f>IFERROR(__xludf.DUMMYFUNCTION("REGEXEXTRACT(C136, """"""([^""""]+)"""""")"),"Items.FormalShirt_02_old_03")</f>
        <v>Items.FormalShirt_02_old_03</v>
      </c>
    </row>
    <row r="137">
      <c r="A137" s="14" t="s">
        <v>100</v>
      </c>
      <c r="B137" s="13" t="s">
        <v>82</v>
      </c>
      <c r="C137" s="5" t="s">
        <v>2284</v>
      </c>
      <c r="D137" s="11" t="s">
        <v>2285</v>
      </c>
      <c r="E137" s="7" t="str">
        <f>IFERROR(__xludf.DUMMYFUNCTION("REGEXEXTRACT(C137, """"""([^""""]+)"""""")"),"Items.TShirt_06_rich_02")</f>
        <v>Items.TShirt_06_rich_02</v>
      </c>
    </row>
    <row r="138">
      <c r="A138" s="14" t="s">
        <v>100</v>
      </c>
      <c r="B138" s="13" t="s">
        <v>82</v>
      </c>
      <c r="C138" s="5" t="s">
        <v>2286</v>
      </c>
      <c r="D138" s="11" t="s">
        <v>2287</v>
      </c>
      <c r="E138" s="7" t="str">
        <f>IFERROR(__xludf.DUMMYFUNCTION("REGEXEXTRACT(C138, """"""([^""""]+)"""""")"),"Items.TShirt_04_old_04")</f>
        <v>Items.TShirt_04_old_04</v>
      </c>
    </row>
    <row r="139">
      <c r="A139" s="14" t="s">
        <v>100</v>
      </c>
      <c r="B139" s="13" t="s">
        <v>82</v>
      </c>
      <c r="C139" s="5" t="s">
        <v>2288</v>
      </c>
      <c r="D139" s="11" t="s">
        <v>2289</v>
      </c>
      <c r="E139" s="7" t="str">
        <f>IFERROR(__xludf.DUMMYFUNCTION("REGEXEXTRACT(C139, """"""([^""""]+)"""""")"),"Items.Q005_Yorinobu_FormalShirt")</f>
        <v>Items.Q005_Yorinobu_FormalShirt</v>
      </c>
    </row>
    <row r="140">
      <c r="A140" s="14" t="s">
        <v>100</v>
      </c>
      <c r="B140" s="13" t="s">
        <v>82</v>
      </c>
      <c r="C140" s="5" t="s">
        <v>2290</v>
      </c>
      <c r="D140" s="11" t="s">
        <v>2291</v>
      </c>
      <c r="E140" s="7" t="str">
        <f>IFERROR(__xludf.DUMMYFUNCTION("REGEXEXTRACT(C140, """"""([^""""]+)"""""")"),"Items.TShirt_07_old_02")</f>
        <v>Items.TShirt_07_old_02</v>
      </c>
    </row>
    <row r="141">
      <c r="A141" s="14" t="s">
        <v>100</v>
      </c>
      <c r="B141" s="13" t="s">
        <v>82</v>
      </c>
      <c r="C141" s="5" t="s">
        <v>2292</v>
      </c>
      <c r="D141" s="11" t="s">
        <v>2293</v>
      </c>
      <c r="E141" s="7" t="str">
        <f>IFERROR(__xludf.DUMMYFUNCTION("REGEXEXTRACT(C141, """"""([^""""]+)"""""")"),"Items.TShirt_02_rich_04")</f>
        <v>Items.TShirt_02_rich_04</v>
      </c>
    </row>
    <row r="142">
      <c r="A142" s="14" t="s">
        <v>100</v>
      </c>
      <c r="B142" s="3" t="s">
        <v>37</v>
      </c>
      <c r="C142" s="5" t="s">
        <v>2294</v>
      </c>
      <c r="D142" s="11" t="s">
        <v>2295</v>
      </c>
      <c r="E142" s="7" t="str">
        <f>IFERROR(__xludf.DUMMYFUNCTION("REGEXEXTRACT(C142, """"""([^""""]+)"""""")"),"Items.Tshirt_12_basic_10")</f>
        <v>Items.Tshirt_12_basic_10</v>
      </c>
    </row>
    <row r="143">
      <c r="A143" s="14" t="s">
        <v>100</v>
      </c>
      <c r="B143" s="3" t="s">
        <v>37</v>
      </c>
      <c r="C143" s="5" t="s">
        <v>2296</v>
      </c>
      <c r="D143" s="11" t="s">
        <v>2297</v>
      </c>
      <c r="E143" s="7" t="str">
        <f>IFERROR(__xludf.DUMMYFUNCTION("REGEXEXTRACT(C143, """"""([^""""]+)"""""")"),"Items.TightJumpsuit_02_basic_03")</f>
        <v>Items.TightJumpsuit_02_basic_03</v>
      </c>
    </row>
    <row r="144">
      <c r="A144" s="14" t="s">
        <v>100</v>
      </c>
      <c r="B144" s="3" t="s">
        <v>37</v>
      </c>
      <c r="C144" s="5" t="s">
        <v>2298</v>
      </c>
      <c r="D144" s="11" t="s">
        <v>2299</v>
      </c>
      <c r="E144" s="7" t="str">
        <f>IFERROR(__xludf.DUMMYFUNCTION("REGEXEXTRACT(C144, """"""([^""""]+)"""""")"),"Items.TightJumpsuit_02_basic_04")</f>
        <v>Items.TightJumpsuit_02_basic_04</v>
      </c>
    </row>
    <row r="145">
      <c r="A145" s="14" t="s">
        <v>100</v>
      </c>
      <c r="B145" s="3" t="s">
        <v>37</v>
      </c>
      <c r="C145" s="5" t="s">
        <v>2300</v>
      </c>
      <c r="D145" s="11" t="s">
        <v>2301</v>
      </c>
      <c r="E145" s="7" t="str">
        <f>IFERROR(__xludf.DUMMYFUNCTION("REGEXEXTRACT(C145, """"""([^""""]+)"""""")"),"Items.Tshirt_12_old_06")</f>
        <v>Items.Tshirt_12_old_06</v>
      </c>
    </row>
    <row r="146">
      <c r="A146" s="14" t="s">
        <v>100</v>
      </c>
      <c r="B146" s="3" t="s">
        <v>37</v>
      </c>
      <c r="C146" s="5" t="s">
        <v>2302</v>
      </c>
      <c r="D146" s="11" t="s">
        <v>2303</v>
      </c>
      <c r="E146" s="7" t="str">
        <f>IFERROR(__xludf.DUMMYFUNCTION("REGEXEXTRACT(C146, """"""([^""""]+)"""""")"),"Items.Tshirt_12_basic_02")</f>
        <v>Items.Tshirt_12_basic_02</v>
      </c>
    </row>
    <row r="147">
      <c r="A147" s="14" t="s">
        <v>100</v>
      </c>
      <c r="B147" s="3" t="s">
        <v>37</v>
      </c>
      <c r="C147" s="5" t="s">
        <v>2304</v>
      </c>
      <c r="D147" s="11" t="s">
        <v>2305</v>
      </c>
      <c r="E147" s="7" t="str">
        <f>IFERROR(__xludf.DUMMYFUNCTION("REGEXEXTRACT(C147, """"""([^""""]+)"""""")"),"Items.Tshirt_12_basic_06")</f>
        <v>Items.Tshirt_12_basic_06</v>
      </c>
    </row>
    <row r="148">
      <c r="A148" s="14" t="s">
        <v>100</v>
      </c>
      <c r="B148" s="3" t="s">
        <v>37</v>
      </c>
      <c r="C148" s="5" t="s">
        <v>2306</v>
      </c>
      <c r="D148" s="11" t="s">
        <v>2307</v>
      </c>
      <c r="E148" s="7" t="str">
        <f>IFERROR(__xludf.DUMMYFUNCTION("REGEXEXTRACT(C148, """"""([^""""]+)"""""")"),"Items.TightJumpsuit_02_rich_04")</f>
        <v>Items.TightJumpsuit_02_rich_04</v>
      </c>
    </row>
    <row r="149">
      <c r="A149" s="14" t="s">
        <v>100</v>
      </c>
      <c r="B149" s="3" t="s">
        <v>37</v>
      </c>
      <c r="C149" s="5" t="s">
        <v>2308</v>
      </c>
      <c r="D149" s="11" t="s">
        <v>2309</v>
      </c>
      <c r="E149" s="7" t="str">
        <f>IFERROR(__xludf.DUMMYFUNCTION("REGEXEXTRACT(C149, """"""([^""""]+)"""""")"),"Items.TightJumpsuit_02_basic_01")</f>
        <v>Items.TightJumpsuit_02_basic_01</v>
      </c>
    </row>
    <row r="150">
      <c r="A150" s="14" t="s">
        <v>100</v>
      </c>
      <c r="B150" s="3" t="s">
        <v>37</v>
      </c>
      <c r="C150" s="5" t="s">
        <v>2310</v>
      </c>
      <c r="D150" s="11" t="s">
        <v>2311</v>
      </c>
      <c r="E150" s="7" t="str">
        <f>IFERROR(__xludf.DUMMYFUNCTION("REGEXEXTRACT(C150, """"""([^""""]+)"""""")"),"Items.TightJumpsuit_02_rich_05")</f>
        <v>Items.TightJumpsuit_02_rich_05</v>
      </c>
    </row>
    <row r="151">
      <c r="A151" s="14" t="s">
        <v>100</v>
      </c>
      <c r="B151" s="3" t="s">
        <v>37</v>
      </c>
      <c r="C151" s="5" t="s">
        <v>2312</v>
      </c>
      <c r="D151" s="11" t="s">
        <v>2313</v>
      </c>
      <c r="E151" s="7" t="str">
        <f>IFERROR(__xludf.DUMMYFUNCTION("REGEXEXTRACT(C151, """"""([^""""]+)"""""")"),"Items.Tshirt_12_old_02")</f>
        <v>Items.Tshirt_12_old_02</v>
      </c>
    </row>
    <row r="152">
      <c r="A152" s="14" t="s">
        <v>100</v>
      </c>
      <c r="B152" s="3" t="s">
        <v>37</v>
      </c>
      <c r="C152" s="5" t="s">
        <v>2314</v>
      </c>
      <c r="D152" s="11" t="s">
        <v>2315</v>
      </c>
      <c r="E152" s="7" t="str">
        <f>IFERROR(__xludf.DUMMYFUNCTION("REGEXEXTRACT(C152, """"""([^""""]+)"""""")"),"Items.TightJumpsuit_02_rich_06")</f>
        <v>Items.TightJumpsuit_02_rich_06</v>
      </c>
    </row>
    <row r="153">
      <c r="A153" s="14" t="s">
        <v>100</v>
      </c>
      <c r="B153" s="3" t="s">
        <v>37</v>
      </c>
      <c r="C153" s="5" t="s">
        <v>2316</v>
      </c>
      <c r="D153" s="11" t="s">
        <v>2317</v>
      </c>
      <c r="E153" s="7" t="str">
        <f>IFERROR(__xludf.DUMMYFUNCTION("REGEXEXTRACT(C153, """"""([^""""]+)"""""")"),"Items.TightJumpsuit_02_rich_01")</f>
        <v>Items.TightJumpsuit_02_rich_01</v>
      </c>
    </row>
    <row r="154">
      <c r="A154" s="14" t="s">
        <v>100</v>
      </c>
      <c r="B154" s="3" t="s">
        <v>37</v>
      </c>
      <c r="C154" s="5" t="s">
        <v>2318</v>
      </c>
      <c r="D154" s="11" t="s">
        <v>2319</v>
      </c>
      <c r="E154" s="7" t="str">
        <f>IFERROR(__xludf.DUMMYFUNCTION("REGEXEXTRACT(C154, """"""([^""""]+)"""""")"),"Items.TightJumpsuit_02_basic_02")</f>
        <v>Items.TightJumpsuit_02_basic_02</v>
      </c>
    </row>
    <row r="155">
      <c r="A155" s="14" t="s">
        <v>100</v>
      </c>
      <c r="B155" s="3" t="s">
        <v>37</v>
      </c>
      <c r="C155" s="5" t="s">
        <v>2320</v>
      </c>
      <c r="D155" s="11" t="s">
        <v>2321</v>
      </c>
      <c r="E155" s="7" t="str">
        <f>IFERROR(__xludf.DUMMYFUNCTION("REGEXEXTRACT(C155, """"""([^""""]+)"""""")"),"Items.Tshirt_12_old_08")</f>
        <v>Items.Tshirt_12_old_08</v>
      </c>
    </row>
    <row r="156">
      <c r="A156" s="14" t="s">
        <v>100</v>
      </c>
      <c r="B156" s="3" t="s">
        <v>37</v>
      </c>
      <c r="C156" s="5" t="s">
        <v>2322</v>
      </c>
      <c r="D156" s="11" t="s">
        <v>2323</v>
      </c>
      <c r="E156" s="7" t="str">
        <f>IFERROR(__xludf.DUMMYFUNCTION("REGEXEXTRACT(C156, """"""([^""""]+)"""""")"),"Items.Tshirt_12_old_05")</f>
        <v>Items.Tshirt_12_old_05</v>
      </c>
    </row>
    <row r="157">
      <c r="A157" s="14" t="s">
        <v>100</v>
      </c>
      <c r="B157" s="3" t="s">
        <v>37</v>
      </c>
      <c r="C157" s="5" t="s">
        <v>2324</v>
      </c>
      <c r="D157" s="11" t="s">
        <v>2325</v>
      </c>
      <c r="E157" s="7" t="str">
        <f>IFERROR(__xludf.DUMMYFUNCTION("REGEXEXTRACT(C157, """"""([^""""]+)"""""")"),"Items.TightJumpsuit_02_basic_05")</f>
        <v>Items.TightJumpsuit_02_basic_05</v>
      </c>
    </row>
    <row r="158">
      <c r="A158" s="14" t="s">
        <v>100</v>
      </c>
      <c r="B158" s="3" t="s">
        <v>37</v>
      </c>
      <c r="C158" s="5" t="s">
        <v>2326</v>
      </c>
      <c r="D158" s="11" t="s">
        <v>2327</v>
      </c>
      <c r="E158" s="7" t="str">
        <f>IFERROR(__xludf.DUMMYFUNCTION("REGEXEXTRACT(C158, """"""([^""""]+)"""""")"),"Items.Tshirt_12_old_04")</f>
        <v>Items.Tshirt_12_old_04</v>
      </c>
    </row>
    <row r="159">
      <c r="A159" s="14" t="s">
        <v>100</v>
      </c>
      <c r="B159" s="3" t="s">
        <v>37</v>
      </c>
      <c r="C159" s="5" t="s">
        <v>2328</v>
      </c>
      <c r="D159" s="11" t="s">
        <v>2329</v>
      </c>
      <c r="E159" s="7" t="str">
        <f>IFERROR(__xludf.DUMMYFUNCTION("REGEXEXTRACT(C159, """"""([^""""]+)"""""")"),"Items.TightJumpsuit_02_rich_03")</f>
        <v>Items.TightJumpsuit_02_rich_03</v>
      </c>
    </row>
    <row r="160">
      <c r="A160" s="14" t="s">
        <v>100</v>
      </c>
      <c r="B160" s="3" t="s">
        <v>37</v>
      </c>
      <c r="C160" s="5" t="s">
        <v>2330</v>
      </c>
      <c r="D160" s="11" t="s">
        <v>2331</v>
      </c>
      <c r="E160" s="7" t="str">
        <f>IFERROR(__xludf.DUMMYFUNCTION("REGEXEXTRACT(C160, """"""([^""""]+)"""""")"),"Items.TightJumpsuit_02_basic_06")</f>
        <v>Items.TightJumpsuit_02_basic_06</v>
      </c>
    </row>
    <row r="161">
      <c r="A161" s="14" t="s">
        <v>100</v>
      </c>
      <c r="B161" s="3" t="s">
        <v>37</v>
      </c>
      <c r="C161" s="5" t="s">
        <v>2332</v>
      </c>
      <c r="D161" s="11" t="s">
        <v>2333</v>
      </c>
      <c r="E161" s="7" t="str">
        <f>IFERROR(__xludf.DUMMYFUNCTION("REGEXEXTRACT(C161, """"""([^""""]+)"""""")"),"Items.Tshirt_12_old_03")</f>
        <v>Items.Tshirt_12_old_03</v>
      </c>
    </row>
    <row r="162">
      <c r="A162" s="14" t="s">
        <v>100</v>
      </c>
      <c r="B162" s="3" t="s">
        <v>37</v>
      </c>
      <c r="C162" s="5" t="s">
        <v>2334</v>
      </c>
      <c r="D162" s="11" t="s">
        <v>2335</v>
      </c>
      <c r="E162" s="7" t="str">
        <f>IFERROR(__xludf.DUMMYFUNCTION("REGEXEXTRACT(C162, """"""([^""""]+)"""""")"),"Items.Tshirt_12_basic_08")</f>
        <v>Items.Tshirt_12_basic_08</v>
      </c>
    </row>
    <row r="163">
      <c r="A163" s="14" t="s">
        <v>100</v>
      </c>
      <c r="B163" s="3" t="s">
        <v>37</v>
      </c>
      <c r="C163" s="5" t="s">
        <v>2336</v>
      </c>
      <c r="D163" s="11" t="s">
        <v>2337</v>
      </c>
      <c r="E163" s="7" t="str">
        <f>IFERROR(__xludf.DUMMYFUNCTION("REGEXEXTRACT(C163, """"""([^""""]+)"""""")"),"Items.Tshirt_12_basic_07")</f>
        <v>Items.Tshirt_12_basic_07</v>
      </c>
    </row>
    <row r="164">
      <c r="A164" s="14" t="s">
        <v>100</v>
      </c>
      <c r="B164" s="3" t="s">
        <v>37</v>
      </c>
      <c r="C164" s="5" t="s">
        <v>2338</v>
      </c>
      <c r="D164" s="11" t="s">
        <v>2339</v>
      </c>
      <c r="E164" s="7" t="str">
        <f>IFERROR(__xludf.DUMMYFUNCTION("REGEXEXTRACT(C164, """"""([^""""]+)"""""")"),"Items.Tshirt_12_basic_09")</f>
        <v>Items.Tshirt_12_basic_09</v>
      </c>
    </row>
    <row r="165">
      <c r="A165" s="14" t="s">
        <v>100</v>
      </c>
      <c r="B165" s="3" t="s">
        <v>37</v>
      </c>
      <c r="C165" s="5" t="s">
        <v>2340</v>
      </c>
      <c r="D165" s="11" t="s">
        <v>2341</v>
      </c>
      <c r="E165" s="7" t="str">
        <f>IFERROR(__xludf.DUMMYFUNCTION("REGEXEXTRACT(C165, """"""([^""""]+)"""""")"),"Items.Tshirt_12_basic_04")</f>
        <v>Items.Tshirt_12_basic_04</v>
      </c>
    </row>
    <row r="166">
      <c r="A166" s="14" t="s">
        <v>100</v>
      </c>
      <c r="B166" s="3" t="s">
        <v>37</v>
      </c>
      <c r="C166" s="5" t="s">
        <v>2342</v>
      </c>
      <c r="D166" s="11" t="s">
        <v>2343</v>
      </c>
      <c r="E166" s="7" t="str">
        <f>IFERROR(__xludf.DUMMYFUNCTION("REGEXEXTRACT(C166, """"""([^""""]+)"""""")"),"Items.Tshirt_12_basic_01")</f>
        <v>Items.Tshirt_12_basic_01</v>
      </c>
    </row>
    <row r="167">
      <c r="A167" s="14" t="s">
        <v>100</v>
      </c>
      <c r="B167" s="3" t="s">
        <v>37</v>
      </c>
      <c r="C167" s="5" t="s">
        <v>2344</v>
      </c>
      <c r="D167" s="11" t="s">
        <v>2345</v>
      </c>
      <c r="E167" s="7" t="str">
        <f>IFERROR(__xludf.DUMMYFUNCTION("REGEXEXTRACT(C167, """"""([^""""]+)"""""")"),"Items.TightJumpsuit_02_basic_08")</f>
        <v>Items.TightJumpsuit_02_basic_08</v>
      </c>
    </row>
    <row r="168">
      <c r="A168" s="14" t="s">
        <v>100</v>
      </c>
      <c r="B168" s="3" t="s">
        <v>37</v>
      </c>
      <c r="C168" s="5" t="s">
        <v>2346</v>
      </c>
      <c r="D168" s="11" t="s">
        <v>2347</v>
      </c>
      <c r="E168" s="7" t="str">
        <f>IFERROR(__xludf.DUMMYFUNCTION("REGEXEXTRACT(C168, """"""([^""""]+)"""""")"),"Items.Tshirt_12_basic_03")</f>
        <v>Items.Tshirt_12_basic_03</v>
      </c>
    </row>
    <row r="169">
      <c r="A169" s="14" t="s">
        <v>100</v>
      </c>
      <c r="B169" s="3" t="s">
        <v>37</v>
      </c>
      <c r="C169" s="5" t="s">
        <v>2348</v>
      </c>
      <c r="D169" s="11" t="s">
        <v>2349</v>
      </c>
      <c r="E169" s="7" t="str">
        <f>IFERROR(__xludf.DUMMYFUNCTION("REGEXEXTRACT(C169, """"""([^""""]+)"""""")"),"Items.TightJumpsuit_02_basic_07")</f>
        <v>Items.TightJumpsuit_02_basic_07</v>
      </c>
    </row>
    <row r="170">
      <c r="A170" s="14" t="s">
        <v>100</v>
      </c>
      <c r="B170" s="3" t="s">
        <v>37</v>
      </c>
      <c r="C170" s="5" t="s">
        <v>2350</v>
      </c>
      <c r="D170" s="11" t="s">
        <v>2351</v>
      </c>
      <c r="E170" s="7" t="str">
        <f>IFERROR(__xludf.DUMMYFUNCTION("REGEXEXTRACT(C170, """"""([^""""]+)"""""")"),"Items.Tshirt_12_old_01")</f>
        <v>Items.Tshirt_12_old_01</v>
      </c>
    </row>
    <row r="171">
      <c r="A171" s="14" t="s">
        <v>100</v>
      </c>
      <c r="B171" s="3" t="s">
        <v>37</v>
      </c>
      <c r="C171" s="5" t="s">
        <v>2352</v>
      </c>
      <c r="D171" s="11" t="s">
        <v>2353</v>
      </c>
      <c r="E171" s="7" t="str">
        <f>IFERROR(__xludf.DUMMYFUNCTION("REGEXEXTRACT(C171, """"""([^""""]+)"""""")"),"Items.TightJumpsuit_02_rich_02")</f>
        <v>Items.TightJumpsuit_02_rich_02</v>
      </c>
    </row>
    <row r="172">
      <c r="A172" s="14" t="s">
        <v>100</v>
      </c>
      <c r="B172" s="3" t="s">
        <v>37</v>
      </c>
      <c r="C172" s="5" t="s">
        <v>2354</v>
      </c>
      <c r="D172" s="11" t="s">
        <v>2355</v>
      </c>
      <c r="E172" s="7" t="str">
        <f>IFERROR(__xludf.DUMMYFUNCTION("REGEXEXTRACT(C172, """"""([^""""]+)"""""")"),"Items.Tshirt_12_basic_05")</f>
        <v>Items.Tshirt_12_basic_05</v>
      </c>
    </row>
    <row r="173">
      <c r="A173" s="14" t="s">
        <v>100</v>
      </c>
      <c r="B173" s="3" t="s">
        <v>37</v>
      </c>
      <c r="C173" s="5" t="s">
        <v>2356</v>
      </c>
      <c r="D173" s="11" t="s">
        <v>2357</v>
      </c>
      <c r="E173" s="7" t="str">
        <f>IFERROR(__xludf.DUMMYFUNCTION("REGEXEXTRACT(C173, """"""([^""""]+)"""""")"),"Items.Tshirt_12_old_07")</f>
        <v>Items.Tshirt_12_old_07</v>
      </c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88"/>
    <col customWidth="1" min="4" max="4" width="53.13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16" t="s">
        <v>139</v>
      </c>
      <c r="B2" s="13" t="s">
        <v>82</v>
      </c>
      <c r="C2" s="5" t="s">
        <v>2358</v>
      </c>
      <c r="D2" s="11" t="s">
        <v>2359</v>
      </c>
      <c r="E2" s="7" t="str">
        <f>IFERROR(__xludf.DUMMYFUNCTION("REGEXEXTRACT(C2, """"""([^""""]+)"""""")"),"Items.SQ023_Switchblade_Pants")</f>
        <v>Items.SQ023_Switchblade_Pants</v>
      </c>
    </row>
    <row r="3">
      <c r="A3" s="16" t="s">
        <v>139</v>
      </c>
      <c r="B3" s="13" t="s">
        <v>82</v>
      </c>
      <c r="C3" s="5" t="s">
        <v>2360</v>
      </c>
      <c r="D3" s="11" t="s">
        <v>2361</v>
      </c>
      <c r="E3" s="7" t="str">
        <f>IFERROR(__xludf.DUMMYFUNCTION("REGEXEXTRACT(C3, """"""([^""""]+)"""""")"),"Items.Pants_11_old_03")</f>
        <v>Items.Pants_11_old_03</v>
      </c>
    </row>
    <row r="4">
      <c r="A4" s="16" t="s">
        <v>139</v>
      </c>
      <c r="B4" s="13" t="s">
        <v>82</v>
      </c>
      <c r="C4" s="5" t="s">
        <v>2362</v>
      </c>
      <c r="D4" s="11" t="s">
        <v>2363</v>
      </c>
      <c r="E4" s="7" t="str">
        <f>IFERROR(__xludf.DUMMYFUNCTION("REGEXEXTRACT(C4, """"""([^""""]+)"""""")"),"Items.Pants_10_basic_01")</f>
        <v>Items.Pants_10_basic_01</v>
      </c>
    </row>
    <row r="5">
      <c r="A5" s="16" t="s">
        <v>139</v>
      </c>
      <c r="B5" s="13" t="s">
        <v>82</v>
      </c>
      <c r="C5" s="5" t="s">
        <v>2364</v>
      </c>
      <c r="D5" s="11" t="s">
        <v>2365</v>
      </c>
      <c r="E5" s="7" t="str">
        <f>IFERROR(__xludf.DUMMYFUNCTION("REGEXEXTRACT(C5, """"""([^""""]+)"""""")"),"Items.Pants_09_basic_01")</f>
        <v>Items.Pants_09_basic_01</v>
      </c>
    </row>
    <row r="6">
      <c r="A6" s="16" t="s">
        <v>139</v>
      </c>
      <c r="B6" s="13" t="s">
        <v>82</v>
      </c>
      <c r="C6" s="5" t="s">
        <v>2366</v>
      </c>
      <c r="D6" s="11" t="s">
        <v>2367</v>
      </c>
      <c r="E6" s="7" t="str">
        <f>IFERROR(__xludf.DUMMYFUNCTION("REGEXEXTRACT(C6, """"""([^""""]+)"""""")"),"Items.Shorts_01_old_02")</f>
        <v>Items.Shorts_01_old_02</v>
      </c>
    </row>
    <row r="7">
      <c r="A7" s="16" t="s">
        <v>139</v>
      </c>
      <c r="B7" s="13" t="s">
        <v>82</v>
      </c>
      <c r="C7" s="5" t="s">
        <v>2368</v>
      </c>
      <c r="D7" s="11" t="s">
        <v>2369</v>
      </c>
      <c r="E7" s="7" t="str">
        <f>IFERROR(__xludf.DUMMYFUNCTION("REGEXEXTRACT(C7, """"""([^""""]+)"""""")"),"Items.FormalSkirt_01_rich_03")</f>
        <v>Items.FormalSkirt_01_rich_03</v>
      </c>
    </row>
    <row r="8">
      <c r="A8" s="16" t="s">
        <v>139</v>
      </c>
      <c r="B8" s="13" t="s">
        <v>82</v>
      </c>
      <c r="C8" s="5" t="s">
        <v>2370</v>
      </c>
      <c r="D8" s="11" t="s">
        <v>2371</v>
      </c>
      <c r="E8" s="7" t="str">
        <f>IFERROR(__xludf.DUMMYFUNCTION("REGEXEXTRACT(C8, """"""([^""""]+)"""""")"),"Items.Pants_11_basic_01")</f>
        <v>Items.Pants_11_basic_01</v>
      </c>
    </row>
    <row r="9">
      <c r="A9" s="16" t="s">
        <v>139</v>
      </c>
      <c r="B9" s="13" t="s">
        <v>82</v>
      </c>
      <c r="C9" s="5" t="s">
        <v>2372</v>
      </c>
      <c r="D9" s="11" t="s">
        <v>2373</v>
      </c>
      <c r="E9" s="7" t="str">
        <f>IFERROR(__xludf.DUMMYFUNCTION("REGEXEXTRACT(C9, """"""([^""""]+)"""""")"),"Items.Pants_12_basic_03")</f>
        <v>Items.Pants_12_basic_03</v>
      </c>
    </row>
    <row r="10">
      <c r="A10" s="16" t="s">
        <v>139</v>
      </c>
      <c r="B10" s="13" t="s">
        <v>82</v>
      </c>
      <c r="C10" s="5" t="s">
        <v>2374</v>
      </c>
      <c r="D10" s="11" t="s">
        <v>2375</v>
      </c>
      <c r="E10" s="7" t="str">
        <f>IFERROR(__xludf.DUMMYFUNCTION("REGEXEXTRACT(C10, """"""([^""""]+)"""""")"),"Items.Pants_09_rich_01")</f>
        <v>Items.Pants_09_rich_01</v>
      </c>
    </row>
    <row r="11">
      <c r="A11" s="16" t="s">
        <v>139</v>
      </c>
      <c r="B11" s="13" t="s">
        <v>82</v>
      </c>
      <c r="C11" s="5" t="s">
        <v>2376</v>
      </c>
      <c r="D11" s="11" t="s">
        <v>2377</v>
      </c>
      <c r="E11" s="7" t="str">
        <f>IFERROR(__xludf.DUMMYFUNCTION("REGEXEXTRACT(C11, """"""([^""""]+)"""""")"),"Items.Shorts_03_basic_02")</f>
        <v>Items.Shorts_03_basic_02</v>
      </c>
    </row>
    <row r="12">
      <c r="A12" s="16" t="s">
        <v>139</v>
      </c>
      <c r="B12" s="13" t="s">
        <v>82</v>
      </c>
      <c r="C12" s="5" t="s">
        <v>2378</v>
      </c>
      <c r="D12" s="11" t="s">
        <v>2379</v>
      </c>
      <c r="E12" s="7" t="str">
        <f>IFERROR(__xludf.DUMMYFUNCTION("REGEXEXTRACT(C12, """"""([^""""]+)"""""")"),"Items.Shorts_02_basic_01")</f>
        <v>Items.Shorts_02_basic_01</v>
      </c>
    </row>
    <row r="13">
      <c r="A13" s="16" t="s">
        <v>139</v>
      </c>
      <c r="B13" s="13" t="s">
        <v>82</v>
      </c>
      <c r="C13" s="5" t="s">
        <v>2380</v>
      </c>
      <c r="D13" s="11" t="s">
        <v>2381</v>
      </c>
      <c r="E13" s="7" t="str">
        <f>IFERROR(__xludf.DUMMYFUNCTION("REGEXEXTRACT(C13, """"""([^""""]+)"""""")"),"Items.Pants_07_rich_02")</f>
        <v>Items.Pants_07_rich_02</v>
      </c>
    </row>
    <row r="14">
      <c r="A14" s="16" t="s">
        <v>139</v>
      </c>
      <c r="B14" s="13" t="s">
        <v>82</v>
      </c>
      <c r="C14" s="5" t="s">
        <v>2382</v>
      </c>
      <c r="D14" s="11" t="s">
        <v>2383</v>
      </c>
      <c r="E14" s="7" t="str">
        <f>IFERROR(__xludf.DUMMYFUNCTION("REGEXEXTRACT(C14, """"""([^""""]+)"""""")"),"Items.FormalPants_02_rich_01")</f>
        <v>Items.FormalPants_02_rich_01</v>
      </c>
    </row>
    <row r="15">
      <c r="A15" s="16" t="s">
        <v>139</v>
      </c>
      <c r="B15" s="13" t="s">
        <v>82</v>
      </c>
      <c r="C15" s="5" t="s">
        <v>2384</v>
      </c>
      <c r="D15" s="11" t="s">
        <v>2385</v>
      </c>
      <c r="E15" s="7" t="str">
        <f>IFERROR(__xludf.DUMMYFUNCTION("REGEXEXTRACT(C15, """"""([^""""]+)"""""")"),"Items.Pants_03_basic_03")</f>
        <v>Items.Pants_03_basic_03</v>
      </c>
    </row>
    <row r="16">
      <c r="A16" s="16" t="s">
        <v>139</v>
      </c>
      <c r="B16" s="13" t="s">
        <v>82</v>
      </c>
      <c r="C16" s="5" t="s">
        <v>2386</v>
      </c>
      <c r="D16" s="11" t="s">
        <v>2387</v>
      </c>
      <c r="E16" s="7" t="str">
        <f>IFERROR(__xludf.DUMMYFUNCTION("REGEXEXTRACT(C16, """"""([^""""]+)"""""")"),"Items.Shorts_02_basic_02")</f>
        <v>Items.Shorts_02_basic_02</v>
      </c>
    </row>
    <row r="17">
      <c r="A17" s="16" t="s">
        <v>139</v>
      </c>
      <c r="B17" s="13" t="s">
        <v>82</v>
      </c>
      <c r="C17" s="5" t="s">
        <v>2388</v>
      </c>
      <c r="D17" s="11" t="s">
        <v>2389</v>
      </c>
      <c r="E17" s="7" t="str">
        <f>IFERROR(__xludf.DUMMYFUNCTION("REGEXEXTRACT(C17, """"""([^""""]+)"""""")"),"Items.Pants_08_basic_02")</f>
        <v>Items.Pants_08_basic_02</v>
      </c>
    </row>
    <row r="18">
      <c r="A18" s="16" t="s">
        <v>139</v>
      </c>
      <c r="B18" s="13" t="s">
        <v>82</v>
      </c>
      <c r="C18" s="5" t="s">
        <v>2390</v>
      </c>
      <c r="D18" s="11" t="s">
        <v>2391</v>
      </c>
      <c r="E18" s="7" t="str">
        <f>IFERROR(__xludf.DUMMYFUNCTION("REGEXEXTRACT(C18, """"""([^""""]+)"""""")"),"Items.Pants_07_rich_01")</f>
        <v>Items.Pants_07_rich_01</v>
      </c>
    </row>
    <row r="19">
      <c r="A19" s="16" t="s">
        <v>139</v>
      </c>
      <c r="B19" s="13" t="s">
        <v>82</v>
      </c>
      <c r="C19" s="5" t="s">
        <v>2392</v>
      </c>
      <c r="D19" s="11" t="s">
        <v>2393</v>
      </c>
      <c r="E19" s="7" t="str">
        <f>IFERROR(__xludf.DUMMYFUNCTION("REGEXEXTRACT(C19, """"""([^""""]+)"""""")"),"Items.FormalSkirt_02_rich_02")</f>
        <v>Items.FormalSkirt_02_rich_02</v>
      </c>
    </row>
    <row r="20">
      <c r="A20" s="16" t="s">
        <v>139</v>
      </c>
      <c r="B20" s="13" t="s">
        <v>82</v>
      </c>
      <c r="C20" s="5" t="s">
        <v>2394</v>
      </c>
      <c r="D20" s="11" t="s">
        <v>2395</v>
      </c>
      <c r="E20" s="7" t="str">
        <f>IFERROR(__xludf.DUMMYFUNCTION("REGEXEXTRACT(C20, """"""([^""""]+)"""""")"),"Items.FormalSkirt_02_basic_02")</f>
        <v>Items.FormalSkirt_02_basic_02</v>
      </c>
    </row>
    <row r="21">
      <c r="A21" s="16" t="s">
        <v>139</v>
      </c>
      <c r="B21" s="13" t="s">
        <v>82</v>
      </c>
      <c r="C21" s="5" t="s">
        <v>2396</v>
      </c>
      <c r="D21" s="11" t="s">
        <v>2397</v>
      </c>
      <c r="E21" s="7" t="str">
        <f>IFERROR(__xludf.DUMMYFUNCTION("REGEXEXTRACT(C21, """"""([^""""]+)"""""")"),"Items.Pants_03_basic_02")</f>
        <v>Items.Pants_03_basic_02</v>
      </c>
    </row>
    <row r="22">
      <c r="A22" s="16" t="s">
        <v>139</v>
      </c>
      <c r="B22" s="13" t="s">
        <v>82</v>
      </c>
      <c r="C22" s="5" t="s">
        <v>2398</v>
      </c>
      <c r="D22" s="11" t="s">
        <v>2399</v>
      </c>
      <c r="E22" s="7" t="str">
        <f>IFERROR(__xludf.DUMMYFUNCTION("REGEXEXTRACT(C22, """"""([^""""]+)"""""")"),"Items.Pants_11_basic_02")</f>
        <v>Items.Pants_11_basic_02</v>
      </c>
    </row>
    <row r="23">
      <c r="A23" s="16" t="s">
        <v>139</v>
      </c>
      <c r="B23" s="13" t="s">
        <v>82</v>
      </c>
      <c r="C23" s="5" t="s">
        <v>2400</v>
      </c>
      <c r="D23" s="11" t="s">
        <v>2401</v>
      </c>
      <c r="E23" s="7" t="str">
        <f>IFERROR(__xludf.DUMMYFUNCTION("REGEXEXTRACT(C23, """"""([^""""]+)"""""")"),"Items.FormalSkirt_02_rich_03")</f>
        <v>Items.FormalSkirt_02_rich_03</v>
      </c>
    </row>
    <row r="24">
      <c r="A24" s="16" t="s">
        <v>139</v>
      </c>
      <c r="B24" s="13" t="s">
        <v>82</v>
      </c>
      <c r="C24" s="5" t="s">
        <v>2402</v>
      </c>
      <c r="D24" s="11" t="s">
        <v>2403</v>
      </c>
      <c r="E24" s="7" t="str">
        <f>IFERROR(__xludf.DUMMYFUNCTION("REGEXEXTRACT(C24, """"""([^""""]+)"""""")"),"Items.Pants_02_rich_02")</f>
        <v>Items.Pants_02_rich_02</v>
      </c>
    </row>
    <row r="25">
      <c r="A25" s="16" t="s">
        <v>139</v>
      </c>
      <c r="B25" s="13" t="s">
        <v>82</v>
      </c>
      <c r="C25" s="5" t="s">
        <v>2404</v>
      </c>
      <c r="D25" s="11" t="s">
        <v>2405</v>
      </c>
      <c r="E25" s="7" t="str">
        <f>IFERROR(__xludf.DUMMYFUNCTION("REGEXEXTRACT(C25, """"""([^""""]+)"""""")"),"Items.Shorts_01_basic_01")</f>
        <v>Items.Shorts_01_basic_01</v>
      </c>
    </row>
    <row r="26">
      <c r="A26" s="16" t="s">
        <v>139</v>
      </c>
      <c r="B26" s="13" t="s">
        <v>82</v>
      </c>
      <c r="C26" s="5" t="s">
        <v>2406</v>
      </c>
      <c r="D26" s="11" t="s">
        <v>2407</v>
      </c>
      <c r="E26" s="7" t="str">
        <f>IFERROR(__xludf.DUMMYFUNCTION("REGEXEXTRACT(C26, """"""([^""""]+)"""""")"),"Items.Shorts_03_basic_01")</f>
        <v>Items.Shorts_03_basic_01</v>
      </c>
    </row>
    <row r="27">
      <c r="A27" s="16" t="s">
        <v>139</v>
      </c>
      <c r="B27" s="13" t="s">
        <v>82</v>
      </c>
      <c r="C27" s="5" t="s">
        <v>2408</v>
      </c>
      <c r="D27" s="11" t="s">
        <v>2409</v>
      </c>
      <c r="E27" s="7" t="str">
        <f>IFERROR(__xludf.DUMMYFUNCTION("REGEXEXTRACT(C27, """"""([^""""]+)"""""")"),"Items.FormalPants_01_basic_02")</f>
        <v>Items.FormalPants_01_basic_02</v>
      </c>
    </row>
    <row r="28">
      <c r="A28" s="16" t="s">
        <v>139</v>
      </c>
      <c r="B28" s="13" t="s">
        <v>82</v>
      </c>
      <c r="C28" s="5" t="s">
        <v>2410</v>
      </c>
      <c r="D28" s="11" t="s">
        <v>2411</v>
      </c>
      <c r="E28" s="7" t="str">
        <f>IFERROR(__xludf.DUMMYFUNCTION("REGEXEXTRACT(C28, """"""([^""""]+)"""""")"),"Items.FormalPants_02_basic_01")</f>
        <v>Items.FormalPants_02_basic_01</v>
      </c>
    </row>
    <row r="29">
      <c r="A29" s="16" t="s">
        <v>139</v>
      </c>
      <c r="B29" s="13" t="s">
        <v>82</v>
      </c>
      <c r="C29" s="5" t="s">
        <v>2412</v>
      </c>
      <c r="D29" s="11" t="s">
        <v>2413</v>
      </c>
      <c r="E29" s="7" t="str">
        <f>IFERROR(__xludf.DUMMYFUNCTION("REGEXEXTRACT(C29, """"""([^""""]+)"""""")"),"Items.FormalSkirt_01_basic_02")</f>
        <v>Items.FormalSkirt_01_basic_02</v>
      </c>
    </row>
    <row r="30">
      <c r="A30" s="16" t="s">
        <v>139</v>
      </c>
      <c r="B30" s="13" t="s">
        <v>82</v>
      </c>
      <c r="C30" s="5" t="s">
        <v>2414</v>
      </c>
      <c r="D30" s="11" t="s">
        <v>2415</v>
      </c>
      <c r="E30" s="7" t="str">
        <f>IFERROR(__xludf.DUMMYFUNCTION("REGEXEXTRACT(C30, """"""([^""""]+)"""""")"),"Items.FormalPants_02_basic_02")</f>
        <v>Items.FormalPants_02_basic_02</v>
      </c>
    </row>
    <row r="31">
      <c r="A31" s="16" t="s">
        <v>139</v>
      </c>
      <c r="B31" s="13" t="s">
        <v>82</v>
      </c>
      <c r="C31" s="5" t="s">
        <v>2416</v>
      </c>
      <c r="D31" s="11" t="s">
        <v>2417</v>
      </c>
      <c r="E31" s="7" t="str">
        <f>IFERROR(__xludf.DUMMYFUNCTION("REGEXEXTRACT(C31, """"""([^""""]+)"""""")"),"Items.Shorts_05_old_05")</f>
        <v>Items.Shorts_05_old_05</v>
      </c>
    </row>
    <row r="32">
      <c r="A32" s="16" t="s">
        <v>139</v>
      </c>
      <c r="B32" s="13" t="s">
        <v>82</v>
      </c>
      <c r="C32" s="5" t="s">
        <v>2418</v>
      </c>
      <c r="D32" s="11" t="s">
        <v>2419</v>
      </c>
      <c r="E32" s="7" t="str">
        <f>IFERROR(__xludf.DUMMYFUNCTION("REGEXEXTRACT(C32, """"""([^""""]+)"""""")"),"Items.Pants_01_basic_01")</f>
        <v>Items.Pants_01_basic_01</v>
      </c>
    </row>
    <row r="33">
      <c r="A33" s="16" t="s">
        <v>139</v>
      </c>
      <c r="B33" s="13" t="s">
        <v>82</v>
      </c>
      <c r="C33" s="5" t="s">
        <v>2420</v>
      </c>
      <c r="D33" s="11" t="s">
        <v>2421</v>
      </c>
      <c r="E33" s="7" t="str">
        <f>IFERROR(__xludf.DUMMYFUNCTION("REGEXEXTRACT(C33, """"""([^""""]+)"""""")"),"Items.Pants_07_basic_03")</f>
        <v>Items.Pants_07_basic_03</v>
      </c>
    </row>
    <row r="34">
      <c r="A34" s="16" t="s">
        <v>139</v>
      </c>
      <c r="B34" s="13" t="s">
        <v>82</v>
      </c>
      <c r="C34" s="5" t="s">
        <v>2422</v>
      </c>
      <c r="D34" s="11" t="s">
        <v>2423</v>
      </c>
      <c r="E34" s="7" t="str">
        <f>IFERROR(__xludf.DUMMYFUNCTION("REGEXEXTRACT(C34, """"""([^""""]+)"""""")"),"Items.Pants_13_rich_01")</f>
        <v>Items.Pants_13_rich_01</v>
      </c>
    </row>
    <row r="35">
      <c r="A35" s="16" t="s">
        <v>139</v>
      </c>
      <c r="B35" s="13" t="s">
        <v>82</v>
      </c>
      <c r="C35" s="5" t="s">
        <v>2424</v>
      </c>
      <c r="D35" s="11" t="s">
        <v>2425</v>
      </c>
      <c r="E35" s="7" t="str">
        <f>IFERROR(__xludf.DUMMYFUNCTION("REGEXEXTRACT(C35, """"""([^""""]+)"""""")"),"Items.Shorts_02_rich_02")</f>
        <v>Items.Shorts_02_rich_02</v>
      </c>
    </row>
    <row r="36">
      <c r="A36" s="16" t="s">
        <v>139</v>
      </c>
      <c r="B36" s="13" t="s">
        <v>82</v>
      </c>
      <c r="C36" s="5" t="s">
        <v>2426</v>
      </c>
      <c r="D36" s="11" t="s">
        <v>2427</v>
      </c>
      <c r="E36" s="7" t="str">
        <f>IFERROR(__xludf.DUMMYFUNCTION("REGEXEXTRACT(C36, """"""([^""""]+)"""""")"),"Items.Pants_01_old_02")</f>
        <v>Items.Pants_01_old_02</v>
      </c>
    </row>
    <row r="37">
      <c r="A37" s="16" t="s">
        <v>139</v>
      </c>
      <c r="B37" s="13" t="s">
        <v>82</v>
      </c>
      <c r="C37" s="5" t="s">
        <v>2428</v>
      </c>
      <c r="D37" s="11" t="s">
        <v>2429</v>
      </c>
      <c r="E37" s="7" t="str">
        <f>IFERROR(__xludf.DUMMYFUNCTION("REGEXEXTRACT(C37, """"""([^""""]+)"""""")"),"Items.Shorts_01_old_01")</f>
        <v>Items.Shorts_01_old_01</v>
      </c>
    </row>
    <row r="38">
      <c r="A38" s="16" t="s">
        <v>139</v>
      </c>
      <c r="B38" s="13" t="s">
        <v>82</v>
      </c>
      <c r="C38" s="5" t="s">
        <v>2430</v>
      </c>
      <c r="D38" s="11" t="s">
        <v>2431</v>
      </c>
      <c r="E38" s="7" t="str">
        <f>IFERROR(__xludf.DUMMYFUNCTION("REGEXEXTRACT(C38, """"""([^""""]+)"""""")"),"Items.Shorts_04_old_01")</f>
        <v>Items.Shorts_04_old_01</v>
      </c>
    </row>
    <row r="39">
      <c r="A39" s="16" t="s">
        <v>139</v>
      </c>
      <c r="B39" s="13" t="s">
        <v>82</v>
      </c>
      <c r="C39" s="5" t="s">
        <v>2432</v>
      </c>
      <c r="D39" s="11" t="s">
        <v>2433</v>
      </c>
      <c r="E39" s="7" t="str">
        <f>IFERROR(__xludf.DUMMYFUNCTION("REGEXEXTRACT(C39, """"""([^""""]+)"""""")"),"Items.Pants_09_old_03")</f>
        <v>Items.Pants_09_old_03</v>
      </c>
    </row>
    <row r="40">
      <c r="A40" s="16" t="s">
        <v>139</v>
      </c>
      <c r="B40" s="13" t="s">
        <v>82</v>
      </c>
      <c r="C40" s="5" t="s">
        <v>2434</v>
      </c>
      <c r="D40" s="11" t="s">
        <v>2435</v>
      </c>
      <c r="E40" s="7" t="str">
        <f>IFERROR(__xludf.DUMMYFUNCTION("REGEXEXTRACT(C40, """"""([^""""]+)"""""")"),"Items.Pants_10_old_02")</f>
        <v>Items.Pants_10_old_02</v>
      </c>
    </row>
    <row r="41">
      <c r="A41" s="16" t="s">
        <v>139</v>
      </c>
      <c r="B41" s="13" t="s">
        <v>82</v>
      </c>
      <c r="C41" s="5" t="s">
        <v>2436</v>
      </c>
      <c r="D41" s="11" t="s">
        <v>2437</v>
      </c>
      <c r="E41" s="7" t="str">
        <f>IFERROR(__xludf.DUMMYFUNCTION("REGEXEXTRACT(C41, """"""([^""""]+)"""""")"),"Items.Pants_06_rich_01")</f>
        <v>Items.Pants_06_rich_01</v>
      </c>
    </row>
    <row r="42">
      <c r="A42" s="16" t="s">
        <v>139</v>
      </c>
      <c r="B42" s="13" t="s">
        <v>82</v>
      </c>
      <c r="C42" s="5" t="s">
        <v>2438</v>
      </c>
      <c r="D42" s="11" t="s">
        <v>2439</v>
      </c>
      <c r="E42" s="7" t="str">
        <f>IFERROR(__xludf.DUMMYFUNCTION("REGEXEXTRACT(C42, """"""([^""""]+)"""""")"),"Items.Pants_04_rich_03")</f>
        <v>Items.Pants_04_rich_03</v>
      </c>
    </row>
    <row r="43">
      <c r="A43" s="16" t="s">
        <v>139</v>
      </c>
      <c r="B43" s="13" t="s">
        <v>82</v>
      </c>
      <c r="C43" s="5" t="s">
        <v>2440</v>
      </c>
      <c r="D43" s="11" t="s">
        <v>2441</v>
      </c>
      <c r="E43" s="7" t="str">
        <f>IFERROR(__xludf.DUMMYFUNCTION("REGEXEXTRACT(C43, """"""([^""""]+)"""""")"),"Items.Pants_10_basic_02")</f>
        <v>Items.Pants_10_basic_02</v>
      </c>
    </row>
    <row r="44">
      <c r="A44" s="16" t="s">
        <v>139</v>
      </c>
      <c r="B44" s="13" t="s">
        <v>82</v>
      </c>
      <c r="C44" s="5" t="s">
        <v>2442</v>
      </c>
      <c r="D44" s="11" t="s">
        <v>2443</v>
      </c>
      <c r="E44" s="7" t="str">
        <f>IFERROR(__xludf.DUMMYFUNCTION("REGEXEXTRACT(C44, """"""([^""""]+)"""""")"),"Items.Pants_03_rich_02")</f>
        <v>Items.Pants_03_rich_02</v>
      </c>
    </row>
    <row r="45">
      <c r="A45" s="16" t="s">
        <v>139</v>
      </c>
      <c r="B45" s="13" t="s">
        <v>82</v>
      </c>
      <c r="C45" s="5" t="s">
        <v>2444</v>
      </c>
      <c r="D45" s="11" t="s">
        <v>2445</v>
      </c>
      <c r="E45" s="7" t="str">
        <f>IFERROR(__xludf.DUMMYFUNCTION("REGEXEXTRACT(C45, """"""([^""""]+)"""""")"),"Items.Pants_07_rich_03")</f>
        <v>Items.Pants_07_rich_03</v>
      </c>
    </row>
    <row r="46">
      <c r="A46" s="16" t="s">
        <v>139</v>
      </c>
      <c r="B46" s="13" t="s">
        <v>82</v>
      </c>
      <c r="C46" s="5" t="s">
        <v>2446</v>
      </c>
      <c r="D46" s="11" t="s">
        <v>2447</v>
      </c>
      <c r="E46" s="7" t="str">
        <f>IFERROR(__xludf.DUMMYFUNCTION("REGEXEXTRACT(C46, """"""([^""""]+)"""""")"),"Items.Pants_01_rich_03")</f>
        <v>Items.Pants_01_rich_03</v>
      </c>
    </row>
    <row r="47">
      <c r="A47" s="16" t="s">
        <v>139</v>
      </c>
      <c r="B47" s="13" t="s">
        <v>82</v>
      </c>
      <c r="C47" s="5" t="s">
        <v>2448</v>
      </c>
      <c r="D47" s="11" t="s">
        <v>2449</v>
      </c>
      <c r="E47" s="7" t="str">
        <f>IFERROR(__xludf.DUMMYFUNCTION("REGEXEXTRACT(C47, """"""([^""""]+)"""""")"),"Items.Shorts_04_old_03")</f>
        <v>Items.Shorts_04_old_03</v>
      </c>
    </row>
    <row r="48">
      <c r="A48" s="16" t="s">
        <v>139</v>
      </c>
      <c r="B48" s="13" t="s">
        <v>82</v>
      </c>
      <c r="C48" s="5" t="s">
        <v>2450</v>
      </c>
      <c r="D48" s="11" t="s">
        <v>2451</v>
      </c>
      <c r="E48" s="7" t="str">
        <f>IFERROR(__xludf.DUMMYFUNCTION("REGEXEXTRACT(C48, """"""([^""""]+)"""""")"),"Items.Pants_06_old_02")</f>
        <v>Items.Pants_06_old_02</v>
      </c>
    </row>
    <row r="49">
      <c r="A49" s="16" t="s">
        <v>139</v>
      </c>
      <c r="B49" s="13" t="s">
        <v>82</v>
      </c>
      <c r="C49" s="5" t="s">
        <v>2452</v>
      </c>
      <c r="D49" s="11" t="s">
        <v>2453</v>
      </c>
      <c r="E49" s="7" t="str">
        <f>IFERROR(__xludf.DUMMYFUNCTION("REGEXEXTRACT(C49, """"""([^""""]+)"""""")"),"Items.Pants_02_old_01")</f>
        <v>Items.Pants_02_old_01</v>
      </c>
    </row>
    <row r="50">
      <c r="A50" s="16" t="s">
        <v>139</v>
      </c>
      <c r="B50" s="13" t="s">
        <v>82</v>
      </c>
      <c r="C50" s="5" t="s">
        <v>2454</v>
      </c>
      <c r="D50" s="11" t="s">
        <v>2455</v>
      </c>
      <c r="E50" s="7" t="str">
        <f>IFERROR(__xludf.DUMMYFUNCTION("REGEXEXTRACT(C50, """"""([^""""]+)"""""")"),"Items.Pants_01_old_03")</f>
        <v>Items.Pants_01_old_03</v>
      </c>
    </row>
    <row r="51">
      <c r="A51" s="16" t="s">
        <v>139</v>
      </c>
      <c r="B51" s="13" t="s">
        <v>82</v>
      </c>
      <c r="C51" s="5" t="s">
        <v>2456</v>
      </c>
      <c r="D51" s="11" t="s">
        <v>2457</v>
      </c>
      <c r="E51" s="7" t="str">
        <f>IFERROR(__xludf.DUMMYFUNCTION("REGEXEXTRACT(C51, """"""([^""""]+)"""""")"),"Items.Pants_01_rich_02")</f>
        <v>Items.Pants_01_rich_02</v>
      </c>
    </row>
    <row r="52">
      <c r="A52" s="16" t="s">
        <v>139</v>
      </c>
      <c r="B52" s="13" t="s">
        <v>82</v>
      </c>
      <c r="C52" s="5" t="s">
        <v>2458</v>
      </c>
      <c r="D52" s="11" t="s">
        <v>2459</v>
      </c>
      <c r="E52" s="7" t="str">
        <f>IFERROR(__xludf.DUMMYFUNCTION("REGEXEXTRACT(C52, """"""([^""""]+)"""""")"),"Items.FormalPants_01_basic_03")</f>
        <v>Items.FormalPants_01_basic_03</v>
      </c>
    </row>
    <row r="53">
      <c r="A53" s="16" t="s">
        <v>139</v>
      </c>
      <c r="B53" s="13" t="s">
        <v>82</v>
      </c>
      <c r="C53" s="5" t="s">
        <v>2460</v>
      </c>
      <c r="D53" s="11" t="s">
        <v>2461</v>
      </c>
      <c r="E53" s="7" t="str">
        <f>IFERROR(__xludf.DUMMYFUNCTION("REGEXEXTRACT(C53, """"""([^""""]+)"""""")"),"Items.Pants_03_old_03")</f>
        <v>Items.Pants_03_old_03</v>
      </c>
    </row>
    <row r="54">
      <c r="A54" s="16" t="s">
        <v>139</v>
      </c>
      <c r="B54" s="13" t="s">
        <v>82</v>
      </c>
      <c r="C54" s="5" t="s">
        <v>2462</v>
      </c>
      <c r="D54" s="11" t="s">
        <v>2463</v>
      </c>
      <c r="E54" s="7" t="str">
        <f>IFERROR(__xludf.DUMMYFUNCTION("REGEXEXTRACT(C54, """"""([^""""]+)"""""")"),"Items.FormalSkirt_01_basic_01")</f>
        <v>Items.FormalSkirt_01_basic_01</v>
      </c>
    </row>
    <row r="55">
      <c r="A55" s="16" t="s">
        <v>139</v>
      </c>
      <c r="B55" s="13" t="s">
        <v>82</v>
      </c>
      <c r="C55" s="5" t="s">
        <v>2464</v>
      </c>
      <c r="D55" s="11" t="s">
        <v>2465</v>
      </c>
      <c r="E55" s="7" t="str">
        <f>IFERROR(__xludf.DUMMYFUNCTION("REGEXEXTRACT(C55, """"""([^""""]+)"""""")"),"Items.Pants_02_basic_01")</f>
        <v>Items.Pants_02_basic_01</v>
      </c>
    </row>
    <row r="56">
      <c r="A56" s="16" t="s">
        <v>139</v>
      </c>
      <c r="B56" s="13" t="s">
        <v>82</v>
      </c>
      <c r="C56" s="5" t="s">
        <v>2466</v>
      </c>
      <c r="D56" s="11" t="s">
        <v>2467</v>
      </c>
      <c r="E56" s="7" t="str">
        <f>IFERROR(__xludf.DUMMYFUNCTION("REGEXEXTRACT(C56, """"""([^""""]+)"""""")"),"Items.Pants_12_basic_01")</f>
        <v>Items.Pants_12_basic_01</v>
      </c>
    </row>
    <row r="57">
      <c r="A57" s="16" t="s">
        <v>139</v>
      </c>
      <c r="B57" s="13" t="s">
        <v>82</v>
      </c>
      <c r="C57" s="5" t="s">
        <v>2468</v>
      </c>
      <c r="D57" s="11" t="s">
        <v>2469</v>
      </c>
      <c r="E57" s="7" t="str">
        <f>IFERROR(__xludf.DUMMYFUNCTION("REGEXEXTRACT(C57, """"""([^""""]+)"""""")"),"Items.Pants_15_old_01")</f>
        <v>Items.Pants_15_old_01</v>
      </c>
    </row>
    <row r="58">
      <c r="A58" s="16" t="s">
        <v>139</v>
      </c>
      <c r="B58" s="13" t="s">
        <v>82</v>
      </c>
      <c r="C58" s="5" t="s">
        <v>2470</v>
      </c>
      <c r="D58" s="11" t="s">
        <v>2471</v>
      </c>
      <c r="E58" s="7" t="str">
        <f>IFERROR(__xludf.DUMMYFUNCTION("REGEXEXTRACT(C58, """"""([^""""]+)"""""")"),"Items.Pants_08_basic_03")</f>
        <v>Items.Pants_08_basic_03</v>
      </c>
    </row>
    <row r="59">
      <c r="A59" s="16" t="s">
        <v>139</v>
      </c>
      <c r="B59" s="13" t="s">
        <v>82</v>
      </c>
      <c r="C59" s="5" t="s">
        <v>2472</v>
      </c>
      <c r="D59" s="11" t="s">
        <v>2473</v>
      </c>
      <c r="E59" s="7" t="str">
        <f>IFERROR(__xludf.DUMMYFUNCTION("REGEXEXTRACT(C59, """"""([^""""]+)"""""")"),"Items.Shorts_04_old_04")</f>
        <v>Items.Shorts_04_old_04</v>
      </c>
    </row>
    <row r="60">
      <c r="A60" s="16" t="s">
        <v>139</v>
      </c>
      <c r="B60" s="13" t="s">
        <v>82</v>
      </c>
      <c r="C60" s="5" t="s">
        <v>2474</v>
      </c>
      <c r="D60" s="11" t="s">
        <v>2475</v>
      </c>
      <c r="E60" s="7" t="str">
        <f>IFERROR(__xludf.DUMMYFUNCTION("REGEXEXTRACT(C60, """"""([^""""]+)"""""")"),"Items.FormalPants_02_basic_03")</f>
        <v>Items.FormalPants_02_basic_03</v>
      </c>
    </row>
    <row r="61">
      <c r="A61" s="16" t="s">
        <v>139</v>
      </c>
      <c r="B61" s="13" t="s">
        <v>82</v>
      </c>
      <c r="C61" s="5" t="s">
        <v>2476</v>
      </c>
      <c r="D61" s="11" t="s">
        <v>2477</v>
      </c>
      <c r="E61" s="7" t="str">
        <f>IFERROR(__xludf.DUMMYFUNCTION("REGEXEXTRACT(C61, """"""([^""""]+)"""""")"),"Items.Pants_15_basic_01")</f>
        <v>Items.Pants_15_basic_01</v>
      </c>
    </row>
    <row r="62">
      <c r="A62" s="16" t="s">
        <v>139</v>
      </c>
      <c r="B62" s="13" t="s">
        <v>82</v>
      </c>
      <c r="C62" s="5" t="s">
        <v>2478</v>
      </c>
      <c r="D62" s="11" t="s">
        <v>2479</v>
      </c>
      <c r="E62" s="7" t="str">
        <f>IFERROR(__xludf.DUMMYFUNCTION("REGEXEXTRACT(C62, """"""([^""""]+)"""""")"),"Items.Pants_05_basic_02")</f>
        <v>Items.Pants_05_basic_02</v>
      </c>
    </row>
    <row r="63">
      <c r="A63" s="16" t="s">
        <v>139</v>
      </c>
      <c r="B63" s="13" t="s">
        <v>82</v>
      </c>
      <c r="C63" s="5" t="s">
        <v>2480</v>
      </c>
      <c r="D63" s="11" t="s">
        <v>2481</v>
      </c>
      <c r="E63" s="7" t="str">
        <f>IFERROR(__xludf.DUMMYFUNCTION("REGEXEXTRACT(C63, """"""([^""""]+)"""""")"),"Items.Shorts_04_old_02")</f>
        <v>Items.Shorts_04_old_02</v>
      </c>
    </row>
    <row r="64">
      <c r="A64" s="16" t="s">
        <v>139</v>
      </c>
      <c r="B64" s="13" t="s">
        <v>82</v>
      </c>
      <c r="C64" s="5" t="s">
        <v>2482</v>
      </c>
      <c r="D64" s="11" t="s">
        <v>2483</v>
      </c>
      <c r="E64" s="7" t="str">
        <f>IFERROR(__xludf.DUMMYFUNCTION("REGEXEXTRACT(C64, """"""([^""""]+)"""""")"),"Items.Pants_07_old_03")</f>
        <v>Items.Pants_07_old_03</v>
      </c>
    </row>
    <row r="65">
      <c r="A65" s="16" t="s">
        <v>139</v>
      </c>
      <c r="B65" s="13" t="s">
        <v>82</v>
      </c>
      <c r="C65" s="5" t="s">
        <v>2484</v>
      </c>
      <c r="D65" s="11" t="s">
        <v>2485</v>
      </c>
      <c r="E65" s="7" t="str">
        <f>IFERROR(__xludf.DUMMYFUNCTION("REGEXEXTRACT(C65, """"""([^""""]+)"""""")"),"Items.Pants_03_old_01")</f>
        <v>Items.Pants_03_old_01</v>
      </c>
    </row>
    <row r="66">
      <c r="A66" s="16" t="s">
        <v>139</v>
      </c>
      <c r="B66" s="13" t="s">
        <v>82</v>
      </c>
      <c r="C66" s="5" t="s">
        <v>2486</v>
      </c>
      <c r="D66" s="11" t="s">
        <v>2487</v>
      </c>
      <c r="E66" s="7" t="str">
        <f>IFERROR(__xludf.DUMMYFUNCTION("REGEXEXTRACT(C66, """"""([^""""]+)"""""")"),"Items.Pants_04_basic_01")</f>
        <v>Items.Pants_04_basic_01</v>
      </c>
    </row>
    <row r="67">
      <c r="A67" s="16" t="s">
        <v>139</v>
      </c>
      <c r="B67" s="13" t="s">
        <v>82</v>
      </c>
      <c r="C67" s="5" t="s">
        <v>2488</v>
      </c>
      <c r="D67" s="11" t="s">
        <v>2489</v>
      </c>
      <c r="E67" s="7" t="str">
        <f>IFERROR(__xludf.DUMMYFUNCTION("REGEXEXTRACT(C67, """"""([^""""]+)"""""")"),"Items.Pants_07_basic_02")</f>
        <v>Items.Pants_07_basic_02</v>
      </c>
    </row>
    <row r="68">
      <c r="A68" s="16" t="s">
        <v>139</v>
      </c>
      <c r="B68" s="13" t="s">
        <v>82</v>
      </c>
      <c r="C68" s="5" t="s">
        <v>2490</v>
      </c>
      <c r="D68" s="11" t="s">
        <v>2491</v>
      </c>
      <c r="E68" s="7" t="str">
        <f>IFERROR(__xludf.DUMMYFUNCTION("REGEXEXTRACT(C68, """"""([^""""]+)"""""")"),"Items.Pants_08_rich_01")</f>
        <v>Items.Pants_08_rich_01</v>
      </c>
    </row>
    <row r="69">
      <c r="A69" s="16" t="s">
        <v>139</v>
      </c>
      <c r="B69" s="13" t="s">
        <v>82</v>
      </c>
      <c r="C69" s="5" t="s">
        <v>2492</v>
      </c>
      <c r="D69" s="11" t="s">
        <v>2493</v>
      </c>
      <c r="E69" s="7" t="str">
        <f>IFERROR(__xludf.DUMMYFUNCTION("REGEXEXTRACT(C69, """"""([^""""]+)"""""")"),"Items.FormalPants_02_rich_03")</f>
        <v>Items.FormalPants_02_rich_03</v>
      </c>
    </row>
    <row r="70">
      <c r="A70" s="16" t="s">
        <v>139</v>
      </c>
      <c r="B70" s="13" t="s">
        <v>82</v>
      </c>
      <c r="C70" s="5" t="s">
        <v>2494</v>
      </c>
      <c r="D70" s="11" t="s">
        <v>2495</v>
      </c>
      <c r="E70" s="7" t="str">
        <f>IFERROR(__xludf.DUMMYFUNCTION("REGEXEXTRACT(C70, """"""([^""""]+)"""""")"),"Items.FormalSkirt_01_rich_01")</f>
        <v>Items.FormalSkirt_01_rich_01</v>
      </c>
    </row>
    <row r="71">
      <c r="A71" s="16" t="s">
        <v>139</v>
      </c>
      <c r="B71" s="13" t="s">
        <v>82</v>
      </c>
      <c r="C71" s="5" t="s">
        <v>2496</v>
      </c>
      <c r="D71" s="11" t="s">
        <v>2497</v>
      </c>
      <c r="E71" s="7" t="str">
        <f>IFERROR(__xludf.DUMMYFUNCTION("REGEXEXTRACT(C71, """"""([^""""]+)"""""")"),"Items.Shorts_02_rich_01")</f>
        <v>Items.Shorts_02_rich_01</v>
      </c>
    </row>
    <row r="72">
      <c r="A72" s="16" t="s">
        <v>139</v>
      </c>
      <c r="B72" s="13" t="s">
        <v>82</v>
      </c>
      <c r="C72" s="5" t="s">
        <v>2498</v>
      </c>
      <c r="D72" s="11" t="s">
        <v>2499</v>
      </c>
      <c r="E72" s="7" t="str">
        <f>IFERROR(__xludf.DUMMYFUNCTION("REGEXEXTRACT(C72, """"""([^""""]+)"""""")"),"Items.Pants_12_rich_03")</f>
        <v>Items.Pants_12_rich_03</v>
      </c>
    </row>
    <row r="73">
      <c r="A73" s="16" t="s">
        <v>139</v>
      </c>
      <c r="B73" s="13" t="s">
        <v>82</v>
      </c>
      <c r="C73" s="5" t="s">
        <v>2500</v>
      </c>
      <c r="D73" s="11" t="s">
        <v>2501</v>
      </c>
      <c r="E73" s="7" t="str">
        <f>IFERROR(__xludf.DUMMYFUNCTION("REGEXEXTRACT(C73, """"""([^""""]+)"""""")"),"Items.Pants_06_rich_02")</f>
        <v>Items.Pants_06_rich_02</v>
      </c>
    </row>
    <row r="74">
      <c r="A74" s="16" t="s">
        <v>139</v>
      </c>
      <c r="B74" s="13" t="s">
        <v>82</v>
      </c>
      <c r="C74" s="5" t="s">
        <v>2502</v>
      </c>
      <c r="D74" s="11" t="s">
        <v>2503</v>
      </c>
      <c r="E74" s="7" t="str">
        <f>IFERROR(__xludf.DUMMYFUNCTION("REGEXEXTRACT(C74, """"""([^""""]+)"""""")"),"Items.Shorts_05_old_04")</f>
        <v>Items.Shorts_05_old_04</v>
      </c>
    </row>
    <row r="75">
      <c r="A75" s="16" t="s">
        <v>139</v>
      </c>
      <c r="B75" s="13" t="s">
        <v>82</v>
      </c>
      <c r="C75" s="5" t="s">
        <v>2504</v>
      </c>
      <c r="D75" s="11" t="s">
        <v>2505</v>
      </c>
      <c r="E75" s="7" t="str">
        <f>IFERROR(__xludf.DUMMYFUNCTION("REGEXEXTRACT(C75, """"""([^""""]+)"""""")"),"Items.Shorts_03_rich_01")</f>
        <v>Items.Shorts_03_rich_01</v>
      </c>
    </row>
    <row r="76">
      <c r="A76" s="16" t="s">
        <v>139</v>
      </c>
      <c r="B76" s="13" t="s">
        <v>82</v>
      </c>
      <c r="C76" s="5" t="s">
        <v>2506</v>
      </c>
      <c r="D76" s="11" t="s">
        <v>2507</v>
      </c>
      <c r="E76" s="7" t="str">
        <f>IFERROR(__xludf.DUMMYFUNCTION("REGEXEXTRACT(C76, """"""([^""""]+)"""""")"),"Items.Pants_05_rich_01")</f>
        <v>Items.Pants_05_rich_01</v>
      </c>
    </row>
    <row r="77">
      <c r="A77" s="16" t="s">
        <v>139</v>
      </c>
      <c r="B77" s="13" t="s">
        <v>82</v>
      </c>
      <c r="C77" s="5" t="s">
        <v>2508</v>
      </c>
      <c r="D77" s="11" t="s">
        <v>2509</v>
      </c>
      <c r="E77" s="7" t="str">
        <f>IFERROR(__xludf.DUMMYFUNCTION("REGEXEXTRACT(C77, """"""([^""""]+)"""""")"),"Items.Pants_10_old_01")</f>
        <v>Items.Pants_10_old_01</v>
      </c>
    </row>
    <row r="78">
      <c r="A78" s="16" t="s">
        <v>139</v>
      </c>
      <c r="B78" s="13" t="s">
        <v>82</v>
      </c>
      <c r="C78" s="5" t="s">
        <v>2510</v>
      </c>
      <c r="D78" s="11" t="s">
        <v>2511</v>
      </c>
      <c r="E78" s="7" t="str">
        <f>IFERROR(__xludf.DUMMYFUNCTION("REGEXEXTRACT(C78, """"""([^""""]+)"""""")"),"Items.Pants_13_rich_02")</f>
        <v>Items.Pants_13_rich_02</v>
      </c>
    </row>
    <row r="79">
      <c r="A79" s="16" t="s">
        <v>139</v>
      </c>
      <c r="B79" s="13" t="s">
        <v>82</v>
      </c>
      <c r="C79" s="5" t="s">
        <v>2512</v>
      </c>
      <c r="D79" s="11" t="s">
        <v>2513</v>
      </c>
      <c r="E79" s="7" t="str">
        <f>IFERROR(__xludf.DUMMYFUNCTION("REGEXEXTRACT(C79, """"""([^""""]+)"""""")"),"Items.Pants_04_rich_01")</f>
        <v>Items.Pants_04_rich_01</v>
      </c>
    </row>
    <row r="80">
      <c r="A80" s="16" t="s">
        <v>139</v>
      </c>
      <c r="B80" s="13" t="s">
        <v>82</v>
      </c>
      <c r="C80" s="5" t="s">
        <v>2514</v>
      </c>
      <c r="D80" s="11" t="s">
        <v>2515</v>
      </c>
      <c r="E80" s="7" t="str">
        <f>IFERROR(__xludf.DUMMYFUNCTION("REGEXEXTRACT(C80, """"""([^""""]+)"""""")"),"Items.FormalSkirt_02_rich_01")</f>
        <v>Items.FormalSkirt_02_rich_01</v>
      </c>
    </row>
    <row r="81">
      <c r="A81" s="16" t="s">
        <v>139</v>
      </c>
      <c r="B81" s="13" t="s">
        <v>82</v>
      </c>
      <c r="C81" s="5" t="s">
        <v>2516</v>
      </c>
      <c r="D81" s="11" t="s">
        <v>2517</v>
      </c>
      <c r="E81" s="7" t="str">
        <f>IFERROR(__xludf.DUMMYFUNCTION("REGEXEXTRACT(C81, """"""([^""""]+)"""""")"),"Items.Pants_02_rich_01")</f>
        <v>Items.Pants_02_rich_01</v>
      </c>
    </row>
    <row r="82">
      <c r="A82" s="16" t="s">
        <v>139</v>
      </c>
      <c r="B82" s="13" t="s">
        <v>82</v>
      </c>
      <c r="C82" s="5" t="s">
        <v>2518</v>
      </c>
      <c r="D82" s="11" t="s">
        <v>2519</v>
      </c>
      <c r="E82" s="7" t="str">
        <f>IFERROR(__xludf.DUMMYFUNCTION("REGEXEXTRACT(C82, """"""([^""""]+)"""""")"),"Items.Q201_SpaceHospitalPants")</f>
        <v>Items.Q201_SpaceHospitalPants</v>
      </c>
    </row>
    <row r="83">
      <c r="A83" s="16" t="s">
        <v>139</v>
      </c>
      <c r="B83" s="13" t="s">
        <v>82</v>
      </c>
      <c r="C83" s="5" t="s">
        <v>2520</v>
      </c>
      <c r="D83" s="11" t="s">
        <v>2521</v>
      </c>
      <c r="E83" s="7" t="str">
        <f>IFERROR(__xludf.DUMMYFUNCTION("REGEXEXTRACT(C83, """"""([^""""]+)"""""")"),"Items.FormalPants_03_rich_01")</f>
        <v>Items.FormalPants_03_rich_01</v>
      </c>
    </row>
    <row r="84">
      <c r="A84" s="16" t="s">
        <v>139</v>
      </c>
      <c r="B84" s="13" t="s">
        <v>82</v>
      </c>
      <c r="C84" s="5" t="s">
        <v>2522</v>
      </c>
      <c r="D84" s="11" t="s">
        <v>2523</v>
      </c>
      <c r="E84" s="7" t="str">
        <f>IFERROR(__xludf.DUMMYFUNCTION("REGEXEXTRACT(C84, """"""([^""""]+)"""""")"),"Items.Pants_04_basic_03")</f>
        <v>Items.Pants_04_basic_03</v>
      </c>
    </row>
    <row r="85">
      <c r="A85" s="16" t="s">
        <v>139</v>
      </c>
      <c r="B85" s="13" t="s">
        <v>82</v>
      </c>
      <c r="C85" s="5" t="s">
        <v>2524</v>
      </c>
      <c r="D85" s="11" t="s">
        <v>2525</v>
      </c>
      <c r="E85" s="7" t="str">
        <f>IFERROR(__xludf.DUMMYFUNCTION("REGEXEXTRACT(C85, """"""([^""""]+)"""""")"),"Items.Pants_01_basic_02")</f>
        <v>Items.Pants_01_basic_02</v>
      </c>
    </row>
    <row r="86">
      <c r="A86" s="16" t="s">
        <v>139</v>
      </c>
      <c r="B86" s="13" t="s">
        <v>82</v>
      </c>
      <c r="C86" s="5" t="s">
        <v>2526</v>
      </c>
      <c r="D86" s="11" t="s">
        <v>2527</v>
      </c>
      <c r="E86" s="7" t="str">
        <f>IFERROR(__xludf.DUMMYFUNCTION("REGEXEXTRACT(C86, """"""([^""""]+)"""""")"),"Items.Shorts_05_old_03")</f>
        <v>Items.Shorts_05_old_03</v>
      </c>
    </row>
    <row r="87">
      <c r="A87" s="16" t="s">
        <v>139</v>
      </c>
      <c r="B87" s="13" t="s">
        <v>82</v>
      </c>
      <c r="C87" s="5" t="s">
        <v>2528</v>
      </c>
      <c r="D87" s="11" t="s">
        <v>2529</v>
      </c>
      <c r="E87" s="7" t="str">
        <f>IFERROR(__xludf.DUMMYFUNCTION("REGEXEXTRACT(C87, """"""([^""""]+)"""""")"),"Items.Pants_13_basic_03")</f>
        <v>Items.Pants_13_basic_03</v>
      </c>
    </row>
    <row r="88">
      <c r="A88" s="16" t="s">
        <v>139</v>
      </c>
      <c r="B88" s="13" t="s">
        <v>82</v>
      </c>
      <c r="C88" s="5" t="s">
        <v>2530</v>
      </c>
      <c r="D88" s="11" t="s">
        <v>2531</v>
      </c>
      <c r="E88" s="7" t="str">
        <f>IFERROR(__xludf.DUMMYFUNCTION("REGEXEXTRACT(C88, """"""([^""""]+)"""""")"),"Items.Pants_14_basic_01")</f>
        <v>Items.Pants_14_basic_01</v>
      </c>
    </row>
    <row r="89">
      <c r="A89" s="16" t="s">
        <v>139</v>
      </c>
      <c r="B89" s="13" t="s">
        <v>82</v>
      </c>
      <c r="C89" s="5" t="s">
        <v>2532</v>
      </c>
      <c r="D89" s="11" t="s">
        <v>2533</v>
      </c>
      <c r="E89" s="7" t="str">
        <f>IFERROR(__xludf.DUMMYFUNCTION("REGEXEXTRACT(C89, """"""([^""""]+)"""""")"),"Items.Pants_03_rich_01")</f>
        <v>Items.Pants_03_rich_01</v>
      </c>
    </row>
    <row r="90">
      <c r="A90" s="16" t="s">
        <v>139</v>
      </c>
      <c r="B90" s="13" t="s">
        <v>82</v>
      </c>
      <c r="C90" s="5" t="s">
        <v>2534</v>
      </c>
      <c r="D90" s="11" t="s">
        <v>2535</v>
      </c>
      <c r="E90" s="7" t="str">
        <f>IFERROR(__xludf.DUMMYFUNCTION("REGEXEXTRACT(C90, """"""([^""""]+)"""""")"),"Items.Shorts_02_old_02")</f>
        <v>Items.Shorts_02_old_02</v>
      </c>
    </row>
    <row r="91">
      <c r="A91" s="16" t="s">
        <v>139</v>
      </c>
      <c r="B91" s="13" t="s">
        <v>82</v>
      </c>
      <c r="C91" s="5" t="s">
        <v>2536</v>
      </c>
      <c r="D91" s="11" t="s">
        <v>2537</v>
      </c>
      <c r="E91" s="7" t="str">
        <f>IFERROR(__xludf.DUMMYFUNCTION("REGEXEXTRACT(C91, """"""([^""""]+)"""""")"),"Items.Pants_02_old_03")</f>
        <v>Items.Pants_02_old_03</v>
      </c>
    </row>
    <row r="92">
      <c r="A92" s="16" t="s">
        <v>139</v>
      </c>
      <c r="B92" s="13" t="s">
        <v>82</v>
      </c>
      <c r="C92" s="5" t="s">
        <v>2538</v>
      </c>
      <c r="D92" s="11" t="s">
        <v>2539</v>
      </c>
      <c r="E92" s="7" t="str">
        <f>IFERROR(__xludf.DUMMYFUNCTION("REGEXEXTRACT(C92, """"""([^""""]+)"""""")"),"Items.Shorts_01_rich_01")</f>
        <v>Items.Shorts_01_rich_01</v>
      </c>
    </row>
    <row r="93">
      <c r="A93" s="16" t="s">
        <v>139</v>
      </c>
      <c r="B93" s="13" t="s">
        <v>82</v>
      </c>
      <c r="C93" s="5" t="s">
        <v>2540</v>
      </c>
      <c r="D93" s="11" t="s">
        <v>2541</v>
      </c>
      <c r="E93" s="7" t="str">
        <f>IFERROR(__xludf.DUMMYFUNCTION("REGEXEXTRACT(C93, """"""([^""""]+)"""""")"),"Items.Pants_04_basic_02")</f>
        <v>Items.Pants_04_basic_02</v>
      </c>
    </row>
    <row r="94">
      <c r="A94" s="16" t="s">
        <v>139</v>
      </c>
      <c r="B94" s="13" t="s">
        <v>82</v>
      </c>
      <c r="C94" s="5" t="s">
        <v>2542</v>
      </c>
      <c r="D94" s="11" t="s">
        <v>2543</v>
      </c>
      <c r="E94" s="7" t="str">
        <f>IFERROR(__xludf.DUMMYFUNCTION("REGEXEXTRACT(C94, """"""([^""""]+)"""""")"),"Items.Pants_12_old_01")</f>
        <v>Items.Pants_12_old_01</v>
      </c>
    </row>
    <row r="95">
      <c r="A95" s="16" t="s">
        <v>139</v>
      </c>
      <c r="B95" s="13" t="s">
        <v>82</v>
      </c>
      <c r="C95" s="5" t="s">
        <v>2544</v>
      </c>
      <c r="D95" s="11" t="s">
        <v>2545</v>
      </c>
      <c r="E95" s="7" t="str">
        <f>IFERROR(__xludf.DUMMYFUNCTION("REGEXEXTRACT(C95, """"""([^""""]+)"""""")"),"Items.Pants_14_rich_01")</f>
        <v>Items.Pants_14_rich_01</v>
      </c>
    </row>
    <row r="96">
      <c r="A96" s="16" t="s">
        <v>139</v>
      </c>
      <c r="B96" s="13" t="s">
        <v>82</v>
      </c>
      <c r="C96" s="5" t="s">
        <v>2546</v>
      </c>
      <c r="D96" s="11" t="s">
        <v>2547</v>
      </c>
      <c r="E96" s="7" t="str">
        <f>IFERROR(__xludf.DUMMYFUNCTION("REGEXEXTRACT(C96, """"""([^""""]+)"""""")"),"Items.Pants_09_basic_02")</f>
        <v>Items.Pants_09_basic_02</v>
      </c>
    </row>
    <row r="97">
      <c r="A97" s="16" t="s">
        <v>139</v>
      </c>
      <c r="B97" s="13" t="s">
        <v>82</v>
      </c>
      <c r="C97" s="5" t="s">
        <v>2548</v>
      </c>
      <c r="D97" s="11" t="s">
        <v>2549</v>
      </c>
      <c r="E97" s="7" t="str">
        <f>IFERROR(__xludf.DUMMYFUNCTION("REGEXEXTRACT(C97, """"""([^""""]+)"""""")"),"Items.Pants_05_old_01")</f>
        <v>Items.Pants_05_old_01</v>
      </c>
    </row>
    <row r="98">
      <c r="A98" s="16" t="s">
        <v>139</v>
      </c>
      <c r="B98" s="13" t="s">
        <v>82</v>
      </c>
      <c r="C98" s="5" t="s">
        <v>2550</v>
      </c>
      <c r="D98" s="11" t="s">
        <v>2551</v>
      </c>
      <c r="E98" s="7" t="str">
        <f>IFERROR(__xludf.DUMMYFUNCTION("REGEXEXTRACT(C98, """"""([^""""]+)"""""")"),"Items.Pants_08_basic_01")</f>
        <v>Items.Pants_08_basic_01</v>
      </c>
    </row>
    <row r="99">
      <c r="A99" s="16" t="s">
        <v>139</v>
      </c>
      <c r="B99" s="13" t="s">
        <v>82</v>
      </c>
      <c r="C99" s="5" t="s">
        <v>2552</v>
      </c>
      <c r="D99" s="11" t="s">
        <v>2553</v>
      </c>
      <c r="E99" s="7" t="str">
        <f>IFERROR(__xludf.DUMMYFUNCTION("REGEXEXTRACT(C99, """"""([^""""]+)"""""")"),"Items.FormalSkirt_01_rich_02")</f>
        <v>Items.FormalSkirt_01_rich_02</v>
      </c>
    </row>
    <row r="100">
      <c r="A100" s="16" t="s">
        <v>139</v>
      </c>
      <c r="B100" s="13" t="s">
        <v>82</v>
      </c>
      <c r="C100" s="5" t="s">
        <v>2554</v>
      </c>
      <c r="D100" s="11" t="s">
        <v>2555</v>
      </c>
      <c r="E100" s="7" t="str">
        <f>IFERROR(__xludf.DUMMYFUNCTION("REGEXEXTRACT(C100, """"""([^""""]+)"""""")"),"Items.FormalPants_03_old_01")</f>
        <v>Items.FormalPants_03_old_01</v>
      </c>
    </row>
    <row r="101">
      <c r="A101" s="16" t="s">
        <v>139</v>
      </c>
      <c r="B101" s="13" t="s">
        <v>82</v>
      </c>
      <c r="C101" s="5" t="s">
        <v>2556</v>
      </c>
      <c r="D101" s="11" t="s">
        <v>2557</v>
      </c>
      <c r="E101" s="7" t="str">
        <f>IFERROR(__xludf.DUMMYFUNCTION("REGEXEXTRACT(C101, """"""([^""""]+)"""""")"),"Items.Shorts_03_basic_03")</f>
        <v>Items.Shorts_03_basic_03</v>
      </c>
    </row>
    <row r="102">
      <c r="A102" s="16" t="s">
        <v>139</v>
      </c>
      <c r="B102" s="13" t="s">
        <v>82</v>
      </c>
      <c r="C102" s="5" t="s">
        <v>2558</v>
      </c>
      <c r="D102" s="11" t="s">
        <v>2559</v>
      </c>
      <c r="E102" s="7" t="str">
        <f>IFERROR(__xludf.DUMMYFUNCTION("REGEXEXTRACT(C102, """"""([^""""]+)"""""")"),"Items.Pants_11_old_02")</f>
        <v>Items.Pants_11_old_02</v>
      </c>
    </row>
    <row r="103">
      <c r="A103" s="16" t="s">
        <v>139</v>
      </c>
      <c r="B103" s="13" t="s">
        <v>82</v>
      </c>
      <c r="C103" s="5" t="s">
        <v>2560</v>
      </c>
      <c r="D103" s="11" t="s">
        <v>2561</v>
      </c>
      <c r="E103" s="7" t="str">
        <f>IFERROR(__xludf.DUMMYFUNCTION("REGEXEXTRACT(C103, """"""([^""""]+)"""""")"),"Items.Pants_08_rich_03")</f>
        <v>Items.Pants_08_rich_03</v>
      </c>
    </row>
    <row r="104">
      <c r="A104" s="16" t="s">
        <v>139</v>
      </c>
      <c r="B104" s="13" t="s">
        <v>82</v>
      </c>
      <c r="C104" s="5" t="s">
        <v>2562</v>
      </c>
      <c r="D104" s="11" t="s">
        <v>2563</v>
      </c>
      <c r="E104" s="7" t="str">
        <f>IFERROR(__xludf.DUMMYFUNCTION("REGEXEXTRACT(C104, """"""([^""""]+)"""""")"),"Items.Pants_08_old_01")</f>
        <v>Items.Pants_08_old_01</v>
      </c>
    </row>
    <row r="105">
      <c r="A105" s="16" t="s">
        <v>139</v>
      </c>
      <c r="B105" s="13" t="s">
        <v>82</v>
      </c>
      <c r="C105" s="5" t="s">
        <v>2564</v>
      </c>
      <c r="D105" s="11" t="s">
        <v>2565</v>
      </c>
      <c r="E105" s="7" t="str">
        <f>IFERROR(__xludf.DUMMYFUNCTION("REGEXEXTRACT(C105, """"""([^""""]+)"""""")"),"Items.Pants_07_old_01")</f>
        <v>Items.Pants_07_old_01</v>
      </c>
    </row>
    <row r="106">
      <c r="A106" s="16" t="s">
        <v>139</v>
      </c>
      <c r="B106" s="13" t="s">
        <v>82</v>
      </c>
      <c r="C106" s="5" t="s">
        <v>2566</v>
      </c>
      <c r="D106" s="11" t="s">
        <v>2567</v>
      </c>
      <c r="E106" s="7" t="str">
        <f>IFERROR(__xludf.DUMMYFUNCTION("REGEXEXTRACT(C106, """"""([^""""]+)"""""")"),"Items.Shorts_05_old_01")</f>
        <v>Items.Shorts_05_old_01</v>
      </c>
    </row>
    <row r="107">
      <c r="A107" s="16" t="s">
        <v>139</v>
      </c>
      <c r="B107" s="13" t="s">
        <v>82</v>
      </c>
      <c r="C107" s="5" t="s">
        <v>2568</v>
      </c>
      <c r="D107" s="11" t="s">
        <v>2569</v>
      </c>
      <c r="E107" s="7" t="str">
        <f>IFERROR(__xludf.DUMMYFUNCTION("REGEXEXTRACT(C107, """"""([^""""]+)"""""")"),"Items.Shorts_03_old_01")</f>
        <v>Items.Shorts_03_old_01</v>
      </c>
    </row>
    <row r="108">
      <c r="A108" s="16" t="s">
        <v>139</v>
      </c>
      <c r="B108" s="13" t="s">
        <v>82</v>
      </c>
      <c r="C108" s="5" t="s">
        <v>2570</v>
      </c>
      <c r="D108" s="11" t="s">
        <v>2571</v>
      </c>
      <c r="E108" s="7" t="str">
        <f>IFERROR(__xludf.DUMMYFUNCTION("REGEXEXTRACT(C108, """"""([^""""]+)"""""")"),"Items.Pants_12_old_02")</f>
        <v>Items.Pants_12_old_02</v>
      </c>
    </row>
    <row r="109">
      <c r="A109" s="16" t="s">
        <v>139</v>
      </c>
      <c r="B109" s="13" t="s">
        <v>82</v>
      </c>
      <c r="C109" s="5" t="s">
        <v>2572</v>
      </c>
      <c r="D109" s="11" t="s">
        <v>2573</v>
      </c>
      <c r="E109" s="7" t="str">
        <f>IFERROR(__xludf.DUMMYFUNCTION("REGEXEXTRACT(C109, """"""([^""""]+)"""""")"),"Items.Shorts_01_old_03")</f>
        <v>Items.Shorts_01_old_03</v>
      </c>
    </row>
    <row r="110">
      <c r="A110" s="16" t="s">
        <v>139</v>
      </c>
      <c r="B110" s="13" t="s">
        <v>82</v>
      </c>
      <c r="C110" s="5" t="s">
        <v>2574</v>
      </c>
      <c r="D110" s="11" t="s">
        <v>2575</v>
      </c>
      <c r="E110" s="7" t="str">
        <f>IFERROR(__xludf.DUMMYFUNCTION("REGEXEXTRACT(C110, """"""([^""""]+)"""""")"),"Items.Pants_03_old_02")</f>
        <v>Items.Pants_03_old_02</v>
      </c>
    </row>
    <row r="111">
      <c r="A111" s="16" t="s">
        <v>139</v>
      </c>
      <c r="B111" s="13" t="s">
        <v>82</v>
      </c>
      <c r="C111" s="5" t="s">
        <v>2576</v>
      </c>
      <c r="D111" s="11" t="s">
        <v>2577</v>
      </c>
      <c r="E111" s="7" t="str">
        <f>IFERROR(__xludf.DUMMYFUNCTION("REGEXEXTRACT(C111, """"""([^""""]+)"""""")"),"Items.Pants_09_old_02")</f>
        <v>Items.Pants_09_old_02</v>
      </c>
    </row>
    <row r="112">
      <c r="A112" s="16" t="s">
        <v>139</v>
      </c>
      <c r="B112" s="13" t="s">
        <v>82</v>
      </c>
      <c r="C112" s="5" t="s">
        <v>2578</v>
      </c>
      <c r="D112" s="11" t="s">
        <v>2579</v>
      </c>
      <c r="E112" s="7" t="str">
        <f>IFERROR(__xludf.DUMMYFUNCTION("REGEXEXTRACT(C112, """"""([^""""]+)"""""")"),"Items.Pants_11_basic_03")</f>
        <v>Items.Pants_11_basic_03</v>
      </c>
    </row>
    <row r="113">
      <c r="A113" s="16" t="s">
        <v>139</v>
      </c>
      <c r="B113" s="13" t="s">
        <v>82</v>
      </c>
      <c r="C113" s="5" t="s">
        <v>2580</v>
      </c>
      <c r="D113" s="11" t="s">
        <v>2581</v>
      </c>
      <c r="E113" s="7" t="str">
        <f>IFERROR(__xludf.DUMMYFUNCTION("REGEXEXTRACT(C113, """"""([^""""]+)"""""")"),"Items.Pants_15_rich_01")</f>
        <v>Items.Pants_15_rich_01</v>
      </c>
    </row>
    <row r="114">
      <c r="A114" s="16" t="s">
        <v>139</v>
      </c>
      <c r="B114" s="13" t="s">
        <v>82</v>
      </c>
      <c r="C114" s="5" t="s">
        <v>2582</v>
      </c>
      <c r="D114" s="11" t="s">
        <v>2583</v>
      </c>
      <c r="E114" s="7" t="str">
        <f>IFERROR(__xludf.DUMMYFUNCTION("REGEXEXTRACT(C114, """"""([^""""]+)"""""")"),"Items.FormalSkirt_01_basic_03")</f>
        <v>Items.FormalSkirt_01_basic_03</v>
      </c>
    </row>
    <row r="115">
      <c r="A115" s="16" t="s">
        <v>139</v>
      </c>
      <c r="B115" s="13" t="s">
        <v>82</v>
      </c>
      <c r="C115" s="5" t="s">
        <v>2584</v>
      </c>
      <c r="D115" s="11" t="s">
        <v>2585</v>
      </c>
      <c r="E115" s="7" t="str">
        <f>IFERROR(__xludf.DUMMYFUNCTION("REGEXEXTRACT(C115, """"""([^""""]+)"""""")"),"Items.Pants_11_rich_03")</f>
        <v>Items.Pants_11_rich_03</v>
      </c>
    </row>
    <row r="116">
      <c r="A116" s="16" t="s">
        <v>139</v>
      </c>
      <c r="B116" s="13" t="s">
        <v>82</v>
      </c>
      <c r="C116" s="5" t="s">
        <v>2586</v>
      </c>
      <c r="D116" s="11" t="s">
        <v>2587</v>
      </c>
      <c r="E116" s="7" t="str">
        <f>IFERROR(__xludf.DUMMYFUNCTION("REGEXEXTRACT(C116, """"""([^""""]+)"""""")"),"Items.Pants_05_old_02")</f>
        <v>Items.Pants_05_old_02</v>
      </c>
    </row>
    <row r="117">
      <c r="A117" s="16" t="s">
        <v>139</v>
      </c>
      <c r="B117" s="13" t="s">
        <v>82</v>
      </c>
      <c r="C117" s="5" t="s">
        <v>2588</v>
      </c>
      <c r="D117" s="11" t="s">
        <v>2589</v>
      </c>
      <c r="E117" s="7" t="str">
        <f>IFERROR(__xludf.DUMMYFUNCTION("REGEXEXTRACT(C117, """"""([^""""]+)"""""")"),"Items.Pants_03_rich_03")</f>
        <v>Items.Pants_03_rich_03</v>
      </c>
    </row>
    <row r="118">
      <c r="A118" s="16" t="s">
        <v>139</v>
      </c>
      <c r="B118" s="13" t="s">
        <v>82</v>
      </c>
      <c r="C118" s="5" t="s">
        <v>2590</v>
      </c>
      <c r="D118" s="11" t="s">
        <v>2591</v>
      </c>
      <c r="E118" s="7" t="str">
        <f>IFERROR(__xludf.DUMMYFUNCTION("REGEXEXTRACT(C118, """"""([^""""]+)"""""")"),"Items.Pants_05_basic_01")</f>
        <v>Items.Pants_05_basic_01</v>
      </c>
    </row>
    <row r="119">
      <c r="A119" s="16" t="s">
        <v>139</v>
      </c>
      <c r="B119" s="13" t="s">
        <v>82</v>
      </c>
      <c r="C119" s="5" t="s">
        <v>2592</v>
      </c>
      <c r="D119" s="11" t="s">
        <v>2593</v>
      </c>
      <c r="E119" s="7" t="str">
        <f>IFERROR(__xludf.DUMMYFUNCTION("REGEXEXTRACT(C119, """"""([^""""]+)"""""")"),"Items.Pants_02_rich_03")</f>
        <v>Items.Pants_02_rich_03</v>
      </c>
    </row>
    <row r="120">
      <c r="A120" s="16" t="s">
        <v>139</v>
      </c>
      <c r="B120" s="13" t="s">
        <v>82</v>
      </c>
      <c r="C120" s="5" t="s">
        <v>2594</v>
      </c>
      <c r="D120" s="11" t="s">
        <v>2595</v>
      </c>
      <c r="E120" s="7" t="str">
        <f>IFERROR(__xludf.DUMMYFUNCTION("REGEXEXTRACT(C120, """"""([^""""]+)"""""")"),"Items.Pants_11_rich_02")</f>
        <v>Items.Pants_11_rich_02</v>
      </c>
    </row>
    <row r="121">
      <c r="A121" s="16" t="s">
        <v>139</v>
      </c>
      <c r="B121" s="13" t="s">
        <v>82</v>
      </c>
      <c r="C121" s="5" t="s">
        <v>2596</v>
      </c>
      <c r="D121" s="11" t="s">
        <v>2597</v>
      </c>
      <c r="E121" s="7" t="str">
        <f>IFERROR(__xludf.DUMMYFUNCTION("REGEXEXTRACT(C121, """"""([^""""]+)"""""")"),"Items.FormalPants_01_old_01")</f>
        <v>Items.FormalPants_01_old_01</v>
      </c>
    </row>
    <row r="122">
      <c r="A122" s="16" t="s">
        <v>139</v>
      </c>
      <c r="B122" s="13" t="s">
        <v>82</v>
      </c>
      <c r="C122" s="5" t="s">
        <v>2598</v>
      </c>
      <c r="D122" s="11" t="s">
        <v>2599</v>
      </c>
      <c r="E122" s="7" t="str">
        <f>IFERROR(__xludf.DUMMYFUNCTION("REGEXEXTRACT(C122, """"""([^""""]+)"""""")"),"Items.Pants_06_basic_01")</f>
        <v>Items.Pants_06_basic_01</v>
      </c>
    </row>
    <row r="123">
      <c r="A123" s="16" t="s">
        <v>139</v>
      </c>
      <c r="B123" s="13" t="s">
        <v>82</v>
      </c>
      <c r="C123" s="5" t="s">
        <v>2600</v>
      </c>
      <c r="D123" s="11" t="s">
        <v>2601</v>
      </c>
      <c r="E123" s="7" t="str">
        <f>IFERROR(__xludf.DUMMYFUNCTION("REGEXEXTRACT(C123, """"""([^""""]+)"""""")"),"Items.Pants_06_old_03")</f>
        <v>Items.Pants_06_old_03</v>
      </c>
    </row>
    <row r="124">
      <c r="A124" s="16" t="s">
        <v>139</v>
      </c>
      <c r="B124" s="13" t="s">
        <v>82</v>
      </c>
      <c r="C124" s="5" t="s">
        <v>2602</v>
      </c>
      <c r="D124" s="11" t="s">
        <v>2603</v>
      </c>
      <c r="E124" s="7" t="str">
        <f>IFERROR(__xludf.DUMMYFUNCTION("REGEXEXTRACT(C124, """"""([^""""]+)"""""")"),"Items.Pants_04_old_02")</f>
        <v>Items.Pants_04_old_02</v>
      </c>
    </row>
    <row r="125">
      <c r="A125" s="16" t="s">
        <v>139</v>
      </c>
      <c r="B125" s="13" t="s">
        <v>82</v>
      </c>
      <c r="C125" s="5" t="s">
        <v>2604</v>
      </c>
      <c r="D125" s="11" t="s">
        <v>2605</v>
      </c>
      <c r="E125" s="7" t="str">
        <f>IFERROR(__xludf.DUMMYFUNCTION("REGEXEXTRACT(C125, """"""([^""""]+)"""""")"),"Items.Pants_01_rich_01")</f>
        <v>Items.Pants_01_rich_01</v>
      </c>
    </row>
    <row r="126">
      <c r="A126" s="16" t="s">
        <v>139</v>
      </c>
      <c r="B126" s="13" t="s">
        <v>82</v>
      </c>
      <c r="C126" s="5" t="s">
        <v>2606</v>
      </c>
      <c r="D126" s="11" t="s">
        <v>2607</v>
      </c>
      <c r="E126" s="7" t="str">
        <f>IFERROR(__xludf.DUMMYFUNCTION("REGEXEXTRACT(C126, """"""([^""""]+)"""""")"),"Items.Pants_13_old_02")</f>
        <v>Items.Pants_13_old_02</v>
      </c>
    </row>
    <row r="127">
      <c r="A127" s="16" t="s">
        <v>139</v>
      </c>
      <c r="B127" s="13" t="s">
        <v>82</v>
      </c>
      <c r="C127" s="5" t="s">
        <v>2608</v>
      </c>
      <c r="D127" s="11" t="s">
        <v>2609</v>
      </c>
      <c r="E127" s="7" t="str">
        <f>IFERROR(__xludf.DUMMYFUNCTION("REGEXEXTRACT(C127, """"""([^""""]+)"""""")"),"Items.FormalPants_02_rich_02")</f>
        <v>Items.FormalPants_02_rich_02</v>
      </c>
    </row>
    <row r="128">
      <c r="A128" s="16" t="s">
        <v>139</v>
      </c>
      <c r="B128" s="13" t="s">
        <v>82</v>
      </c>
      <c r="C128" s="5" t="s">
        <v>2610</v>
      </c>
      <c r="D128" s="11" t="s">
        <v>2611</v>
      </c>
      <c r="E128" s="7" t="str">
        <f>IFERROR(__xludf.DUMMYFUNCTION("REGEXEXTRACT(C128, """"""([^""""]+)"""""")"),"Items.Pants_04_old_03")</f>
        <v>Items.Pants_04_old_03</v>
      </c>
    </row>
    <row r="129">
      <c r="A129" s="16" t="s">
        <v>139</v>
      </c>
      <c r="B129" s="13" t="s">
        <v>82</v>
      </c>
      <c r="C129" s="5" t="s">
        <v>2612</v>
      </c>
      <c r="D129" s="11" t="s">
        <v>2613</v>
      </c>
      <c r="E129" s="7" t="str">
        <f>IFERROR(__xludf.DUMMYFUNCTION("REGEXEXTRACT(C129, """"""([^""""]+)"""""")"),"Items.Pants_14_rich_02")</f>
        <v>Items.Pants_14_rich_02</v>
      </c>
    </row>
    <row r="130">
      <c r="A130" s="16" t="s">
        <v>139</v>
      </c>
      <c r="B130" s="13" t="s">
        <v>82</v>
      </c>
      <c r="C130" s="5" t="s">
        <v>2614</v>
      </c>
      <c r="D130" s="11" t="s">
        <v>2615</v>
      </c>
      <c r="E130" s="7" t="str">
        <f>IFERROR(__xludf.DUMMYFUNCTION("REGEXEXTRACT(C130, """"""([^""""]+)"""""")"),"Items.FormalSkirt_02_basic_03")</f>
        <v>Items.FormalSkirt_02_basic_03</v>
      </c>
    </row>
    <row r="131">
      <c r="A131" s="16" t="s">
        <v>139</v>
      </c>
      <c r="B131" s="13" t="s">
        <v>82</v>
      </c>
      <c r="C131" s="5" t="s">
        <v>2616</v>
      </c>
      <c r="D131" s="11" t="s">
        <v>2617</v>
      </c>
      <c r="E131" s="7" t="str">
        <f>IFERROR(__xludf.DUMMYFUNCTION("REGEXEXTRACT(C131, """"""([^""""]+)"""""")"),"Items.Pants_04_basic_04")</f>
        <v>Items.Pants_04_basic_04</v>
      </c>
    </row>
    <row r="132">
      <c r="A132" s="16" t="s">
        <v>139</v>
      </c>
      <c r="B132" s="13" t="s">
        <v>82</v>
      </c>
      <c r="C132" s="5" t="s">
        <v>2618</v>
      </c>
      <c r="D132" s="11" t="s">
        <v>2619</v>
      </c>
      <c r="E132" s="7" t="str">
        <f>IFERROR(__xludf.DUMMYFUNCTION("REGEXEXTRACT(C132, """"""([^""""]+)"""""")"),"Items.Pants_08_old_02")</f>
        <v>Items.Pants_08_old_02</v>
      </c>
    </row>
    <row r="133">
      <c r="A133" s="16" t="s">
        <v>139</v>
      </c>
      <c r="B133" s="13" t="s">
        <v>82</v>
      </c>
      <c r="C133" s="5" t="s">
        <v>2620</v>
      </c>
      <c r="D133" s="11" t="s">
        <v>2621</v>
      </c>
      <c r="E133" s="7" t="str">
        <f>IFERROR(__xludf.DUMMYFUNCTION("REGEXEXTRACT(C133, """"""([^""""]+)"""""")"),"Items.Pants_12_old_03")</f>
        <v>Items.Pants_12_old_03</v>
      </c>
    </row>
    <row r="134">
      <c r="A134" s="16" t="s">
        <v>139</v>
      </c>
      <c r="B134" s="13" t="s">
        <v>82</v>
      </c>
      <c r="C134" s="5" t="s">
        <v>2622</v>
      </c>
      <c r="D134" s="11" t="s">
        <v>2623</v>
      </c>
      <c r="E134" s="7" t="str">
        <f>IFERROR(__xludf.DUMMYFUNCTION("REGEXEXTRACT(C134, """"""([^""""]+)"""""")"),"Items.Pants_04_rich_02")</f>
        <v>Items.Pants_04_rich_02</v>
      </c>
    </row>
    <row r="135">
      <c r="A135" s="16" t="s">
        <v>139</v>
      </c>
      <c r="B135" s="13" t="s">
        <v>82</v>
      </c>
      <c r="C135" s="5" t="s">
        <v>2624</v>
      </c>
      <c r="D135" s="11" t="s">
        <v>2625</v>
      </c>
      <c r="E135" s="7" t="str">
        <f>IFERROR(__xludf.DUMMYFUNCTION("REGEXEXTRACT(C135, """"""([^""""]+)"""""")"),"Items.FormalPants_03_basic_01")</f>
        <v>Items.FormalPants_03_basic_01</v>
      </c>
    </row>
    <row r="136">
      <c r="A136" s="16" t="s">
        <v>139</v>
      </c>
      <c r="B136" s="13" t="s">
        <v>82</v>
      </c>
      <c r="C136" s="5" t="s">
        <v>2626</v>
      </c>
      <c r="D136" s="11" t="s">
        <v>2627</v>
      </c>
      <c r="E136" s="7" t="str">
        <f>IFERROR(__xludf.DUMMYFUNCTION("REGEXEXTRACT(C136, """"""([^""""]+)"""""")"),"Items.Pants_14_old_01")</f>
        <v>Items.Pants_14_old_01</v>
      </c>
    </row>
    <row r="137">
      <c r="A137" s="16" t="s">
        <v>139</v>
      </c>
      <c r="B137" s="13" t="s">
        <v>82</v>
      </c>
      <c r="C137" s="5" t="s">
        <v>2628</v>
      </c>
      <c r="D137" s="11" t="s">
        <v>2629</v>
      </c>
      <c r="E137" s="7" t="str">
        <f>IFERROR(__xludf.DUMMYFUNCTION("REGEXEXTRACT(C137, """"""([^""""]+)"""""")"),"Items.Pants_11_rich_01")</f>
        <v>Items.Pants_11_rich_01</v>
      </c>
    </row>
    <row r="138">
      <c r="A138" s="16" t="s">
        <v>139</v>
      </c>
      <c r="B138" s="13" t="s">
        <v>82</v>
      </c>
      <c r="C138" s="5" t="s">
        <v>2630</v>
      </c>
      <c r="D138" s="11" t="s">
        <v>2631</v>
      </c>
      <c r="E138" s="7" t="str">
        <f>IFERROR(__xludf.DUMMYFUNCTION("REGEXEXTRACT(C138, """"""([^""""]+)"""""")"),"Items.Pants_06_basic_02")</f>
        <v>Items.Pants_06_basic_02</v>
      </c>
    </row>
    <row r="139">
      <c r="A139" s="16" t="s">
        <v>139</v>
      </c>
      <c r="B139" s="13" t="s">
        <v>82</v>
      </c>
      <c r="C139" s="5" t="s">
        <v>2632</v>
      </c>
      <c r="D139" s="11" t="s">
        <v>2633</v>
      </c>
      <c r="E139" s="7" t="str">
        <f>IFERROR(__xludf.DUMMYFUNCTION("REGEXEXTRACT(C139, """"""([^""""]+)"""""")"),"Items.FormalPants_03_old_02")</f>
        <v>Items.FormalPants_03_old_02</v>
      </c>
    </row>
    <row r="140">
      <c r="A140" s="16" t="s">
        <v>139</v>
      </c>
      <c r="B140" s="13" t="s">
        <v>82</v>
      </c>
      <c r="C140" s="5" t="s">
        <v>2634</v>
      </c>
      <c r="D140" s="11" t="s">
        <v>2635</v>
      </c>
      <c r="E140" s="7" t="str">
        <f>IFERROR(__xludf.DUMMYFUNCTION("REGEXEXTRACT(C140, """"""([^""""]+)"""""")"),"Items.Pants_15_basic_02")</f>
        <v>Items.Pants_15_basic_02</v>
      </c>
    </row>
    <row r="141">
      <c r="A141" s="16" t="s">
        <v>139</v>
      </c>
      <c r="B141" s="13" t="s">
        <v>82</v>
      </c>
      <c r="C141" s="5" t="s">
        <v>2636</v>
      </c>
      <c r="D141" s="11" t="s">
        <v>2637</v>
      </c>
      <c r="E141" s="7" t="str">
        <f>IFERROR(__xludf.DUMMYFUNCTION("REGEXEXTRACT(C141, """"""([^""""]+)"""""")"),"Items.Pants_01_old_01")</f>
        <v>Items.Pants_01_old_01</v>
      </c>
    </row>
    <row r="142">
      <c r="A142" s="16" t="s">
        <v>139</v>
      </c>
      <c r="B142" s="13" t="s">
        <v>82</v>
      </c>
      <c r="C142" s="5" t="s">
        <v>2638</v>
      </c>
      <c r="D142" s="11" t="s">
        <v>2639</v>
      </c>
      <c r="E142" s="7" t="str">
        <f>IFERROR(__xludf.DUMMYFUNCTION("REGEXEXTRACT(C142, """"""([^""""]+)"""""")"),"Items.Pants_02_basic_03")</f>
        <v>Items.Pants_02_basic_03</v>
      </c>
    </row>
    <row r="143">
      <c r="A143" s="16" t="s">
        <v>139</v>
      </c>
      <c r="B143" s="13" t="s">
        <v>82</v>
      </c>
      <c r="C143" s="5" t="s">
        <v>2640</v>
      </c>
      <c r="D143" s="11" t="s">
        <v>2641</v>
      </c>
      <c r="E143" s="7" t="str">
        <f>IFERROR(__xludf.DUMMYFUNCTION("REGEXEXTRACT(C143, """"""([^""""]+)"""""")"),"Items.Pants_10_rich_02")</f>
        <v>Items.Pants_10_rich_02</v>
      </c>
    </row>
    <row r="144">
      <c r="A144" s="16" t="s">
        <v>139</v>
      </c>
      <c r="B144" s="13" t="s">
        <v>82</v>
      </c>
      <c r="C144" s="5" t="s">
        <v>2642</v>
      </c>
      <c r="D144" s="11" t="s">
        <v>2643</v>
      </c>
      <c r="E144" s="7" t="str">
        <f>IFERROR(__xludf.DUMMYFUNCTION("REGEXEXTRACT(C144, """"""([^""""]+)"""""")"),"Items.FormalPants_01_basic_01")</f>
        <v>Items.FormalPants_01_basic_01</v>
      </c>
    </row>
    <row r="145">
      <c r="A145" s="16" t="s">
        <v>139</v>
      </c>
      <c r="B145" s="13" t="s">
        <v>82</v>
      </c>
      <c r="C145" s="5" t="s">
        <v>2644</v>
      </c>
      <c r="D145" s="11" t="s">
        <v>2645</v>
      </c>
      <c r="E145" s="7" t="str">
        <f>IFERROR(__xludf.DUMMYFUNCTION("REGEXEXTRACT(C145, """"""([^""""]+)"""""")"),"Items.Pants_03_basic_01")</f>
        <v>Items.Pants_03_basic_01</v>
      </c>
    </row>
    <row r="146">
      <c r="A146" s="16" t="s">
        <v>139</v>
      </c>
      <c r="B146" s="13" t="s">
        <v>82</v>
      </c>
      <c r="C146" s="5" t="s">
        <v>2646</v>
      </c>
      <c r="D146" s="11" t="s">
        <v>2647</v>
      </c>
      <c r="E146" s="7" t="str">
        <f>IFERROR(__xludf.DUMMYFUNCTION("REGEXEXTRACT(C146, """"""([^""""]+)"""""")"),"Items.Pants_01_basic_03")</f>
        <v>Items.Pants_01_basic_03</v>
      </c>
    </row>
    <row r="147">
      <c r="A147" s="16" t="s">
        <v>139</v>
      </c>
      <c r="B147" s="13" t="s">
        <v>82</v>
      </c>
      <c r="C147" s="5" t="s">
        <v>2648</v>
      </c>
      <c r="D147" s="11" t="s">
        <v>2649</v>
      </c>
      <c r="E147" s="7" t="str">
        <f>IFERROR(__xludf.DUMMYFUNCTION("REGEXEXTRACT(C147, """"""([^""""]+)"""""")"),"Items.Pants_12_rich_01")</f>
        <v>Items.Pants_12_rich_01</v>
      </c>
    </row>
    <row r="148">
      <c r="A148" s="16" t="s">
        <v>139</v>
      </c>
      <c r="B148" s="13" t="s">
        <v>82</v>
      </c>
      <c r="C148" s="5" t="s">
        <v>2650</v>
      </c>
      <c r="D148" s="11" t="s">
        <v>2651</v>
      </c>
      <c r="E148" s="7" t="str">
        <f>IFERROR(__xludf.DUMMYFUNCTION("REGEXEXTRACT(C148, """"""([^""""]+)"""""")"),"Items.Pants_07_basic_01")</f>
        <v>Items.Pants_07_basic_01</v>
      </c>
    </row>
    <row r="149">
      <c r="A149" s="16" t="s">
        <v>139</v>
      </c>
      <c r="B149" s="13" t="s">
        <v>82</v>
      </c>
      <c r="C149" s="5" t="s">
        <v>2652</v>
      </c>
      <c r="D149" s="11" t="s">
        <v>2653</v>
      </c>
      <c r="E149" s="7" t="str">
        <f>IFERROR(__xludf.DUMMYFUNCTION("REGEXEXTRACT(C149, """"""([^""""]+)"""""")"),"Items.Pants_12_basic_02")</f>
        <v>Items.Pants_12_basic_02</v>
      </c>
    </row>
    <row r="150">
      <c r="A150" s="16" t="s">
        <v>139</v>
      </c>
      <c r="B150" s="13" t="s">
        <v>82</v>
      </c>
      <c r="C150" s="5" t="s">
        <v>2654</v>
      </c>
      <c r="D150" s="11" t="s">
        <v>2655</v>
      </c>
      <c r="E150" s="7" t="str">
        <f>IFERROR(__xludf.DUMMYFUNCTION("REGEXEXTRACT(C150, """"""([^""""]+)"""""")"),"Items.Shorts_05_old_02")</f>
        <v>Items.Shorts_05_old_02</v>
      </c>
    </row>
    <row r="151">
      <c r="A151" s="16" t="s">
        <v>139</v>
      </c>
      <c r="B151" s="13" t="s">
        <v>82</v>
      </c>
      <c r="C151" s="5" t="s">
        <v>2656</v>
      </c>
      <c r="D151" s="11" t="s">
        <v>2657</v>
      </c>
      <c r="E151" s="7" t="str">
        <f>IFERROR(__xludf.DUMMYFUNCTION("REGEXEXTRACT(C151, """"""([^""""]+)"""""")"),"Items.Pants_11_old_01")</f>
        <v>Items.Pants_11_old_01</v>
      </c>
    </row>
    <row r="152">
      <c r="A152" s="16" t="s">
        <v>139</v>
      </c>
      <c r="B152" s="13" t="s">
        <v>82</v>
      </c>
      <c r="C152" s="5" t="s">
        <v>2658</v>
      </c>
      <c r="D152" s="11" t="s">
        <v>2659</v>
      </c>
      <c r="E152" s="7" t="str">
        <f>IFERROR(__xludf.DUMMYFUNCTION("REGEXEXTRACT(C152, """"""([^""""]+)"""""")"),"Items.FormalPants_01_old_02")</f>
        <v>Items.FormalPants_01_old_02</v>
      </c>
    </row>
    <row r="153">
      <c r="A153" s="16" t="s">
        <v>139</v>
      </c>
      <c r="B153" s="13" t="s">
        <v>82</v>
      </c>
      <c r="C153" s="5" t="s">
        <v>2660</v>
      </c>
      <c r="D153" s="11" t="s">
        <v>2661</v>
      </c>
      <c r="E153" s="7" t="str">
        <f>IFERROR(__xludf.DUMMYFUNCTION("REGEXEXTRACT(C153, """"""([^""""]+)"""""")"),"Items.Pants_09_rich_02")</f>
        <v>Items.Pants_09_rich_02</v>
      </c>
    </row>
    <row r="154">
      <c r="A154" s="16" t="s">
        <v>139</v>
      </c>
      <c r="B154" s="13" t="s">
        <v>82</v>
      </c>
      <c r="C154" s="5" t="s">
        <v>2662</v>
      </c>
      <c r="D154" s="11" t="s">
        <v>2663</v>
      </c>
      <c r="E154" s="7" t="str">
        <f>IFERROR(__xludf.DUMMYFUNCTION("REGEXEXTRACT(C154, """"""([^""""]+)"""""")"),"Items.FormalSkirt_02_basic_01")</f>
        <v>Items.FormalSkirt_02_basic_01</v>
      </c>
    </row>
    <row r="155">
      <c r="A155" s="16" t="s">
        <v>139</v>
      </c>
      <c r="B155" s="13" t="s">
        <v>82</v>
      </c>
      <c r="C155" s="5" t="s">
        <v>2664</v>
      </c>
      <c r="D155" s="11" t="s">
        <v>2665</v>
      </c>
      <c r="E155" s="7" t="str">
        <f>IFERROR(__xludf.DUMMYFUNCTION("REGEXEXTRACT(C155, """"""([^""""]+)"""""")"),"Items.Pants_10_rich_01")</f>
        <v>Items.Pants_10_rich_01</v>
      </c>
    </row>
    <row r="156">
      <c r="A156" s="16" t="s">
        <v>139</v>
      </c>
      <c r="B156" s="13" t="s">
        <v>82</v>
      </c>
      <c r="C156" s="5" t="s">
        <v>2666</v>
      </c>
      <c r="D156" s="11" t="s">
        <v>2667</v>
      </c>
      <c r="E156" s="7" t="str">
        <f>IFERROR(__xludf.DUMMYFUNCTION("REGEXEXTRACT(C156, """"""([^""""]+)"""""")"),"Items.Pants_12_rich_02")</f>
        <v>Items.Pants_12_rich_02</v>
      </c>
    </row>
    <row r="157">
      <c r="A157" s="16" t="s">
        <v>139</v>
      </c>
      <c r="B157" s="13" t="s">
        <v>82</v>
      </c>
      <c r="C157" s="5" t="s">
        <v>2668</v>
      </c>
      <c r="D157" s="11" t="s">
        <v>2669</v>
      </c>
      <c r="E157" s="7" t="str">
        <f>IFERROR(__xludf.DUMMYFUNCTION("REGEXEXTRACT(C157, """"""([^""""]+)"""""")"),"Items.Pants_14_basic_02")</f>
        <v>Items.Pants_14_basic_02</v>
      </c>
    </row>
    <row r="158">
      <c r="A158" s="16" t="s">
        <v>139</v>
      </c>
      <c r="B158" s="13" t="s">
        <v>82</v>
      </c>
      <c r="C158" s="5" t="s">
        <v>2670</v>
      </c>
      <c r="D158" s="11" t="s">
        <v>2671</v>
      </c>
      <c r="E158" s="7" t="str">
        <f>IFERROR(__xludf.DUMMYFUNCTION("REGEXEXTRACT(C158, """"""([^""""]+)"""""")"),"Items.Shorts_02_old_01")</f>
        <v>Items.Shorts_02_old_01</v>
      </c>
    </row>
    <row r="159">
      <c r="A159" s="16" t="s">
        <v>139</v>
      </c>
      <c r="B159" s="13" t="s">
        <v>82</v>
      </c>
      <c r="C159" s="5" t="s">
        <v>2672</v>
      </c>
      <c r="D159" s="11" t="s">
        <v>2673</v>
      </c>
      <c r="E159" s="7" t="str">
        <f>IFERROR(__xludf.DUMMYFUNCTION("REGEXEXTRACT(C159, """"""([^""""]+)"""""")"),"Items.Pants_13_old_01")</f>
        <v>Items.Pants_13_old_01</v>
      </c>
    </row>
    <row r="160">
      <c r="A160" s="16" t="s">
        <v>139</v>
      </c>
      <c r="B160" s="13" t="s">
        <v>82</v>
      </c>
      <c r="C160" s="5" t="s">
        <v>2674</v>
      </c>
      <c r="D160" s="11" t="s">
        <v>2675</v>
      </c>
      <c r="E160" s="7" t="str">
        <f>IFERROR(__xludf.DUMMYFUNCTION("REGEXEXTRACT(C160, """"""([^""""]+)"""""")"),"Items.FormalSkirt_01_basic_04")</f>
        <v>Items.FormalSkirt_01_basic_04</v>
      </c>
    </row>
    <row r="161">
      <c r="A161" s="16" t="s">
        <v>139</v>
      </c>
      <c r="B161" s="13" t="s">
        <v>82</v>
      </c>
      <c r="C161" s="5" t="s">
        <v>2676</v>
      </c>
      <c r="D161" s="11" t="s">
        <v>2677</v>
      </c>
      <c r="E161" s="7" t="str">
        <f>IFERROR(__xludf.DUMMYFUNCTION("REGEXEXTRACT(C161, """"""([^""""]+)"""""")"),"Items.FormalPants_03_rich_02")</f>
        <v>Items.FormalPants_03_rich_02</v>
      </c>
    </row>
    <row r="162">
      <c r="A162" s="16" t="s">
        <v>139</v>
      </c>
      <c r="B162" s="13" t="s">
        <v>82</v>
      </c>
      <c r="C162" s="5" t="s">
        <v>2678</v>
      </c>
      <c r="D162" s="11" t="s">
        <v>2679</v>
      </c>
      <c r="E162" s="7" t="str">
        <f>IFERROR(__xludf.DUMMYFUNCTION("REGEXEXTRACT(C162, """"""([^""""]+)"""""")"),"Items.Pants_08_rich_02")</f>
        <v>Items.Pants_08_rich_02</v>
      </c>
    </row>
    <row r="163">
      <c r="A163" s="16" t="s">
        <v>139</v>
      </c>
      <c r="B163" s="13" t="s">
        <v>82</v>
      </c>
      <c r="C163" s="5" t="s">
        <v>2680</v>
      </c>
      <c r="D163" s="11" t="s">
        <v>2681</v>
      </c>
      <c r="E163" s="7" t="str">
        <f>IFERROR(__xludf.DUMMYFUNCTION("REGEXEXTRACT(C163, """"""([^""""]+)"""""")"),"Items.Pants_13_basic_01")</f>
        <v>Items.Pants_13_basic_01</v>
      </c>
    </row>
    <row r="164">
      <c r="A164" s="16" t="s">
        <v>139</v>
      </c>
      <c r="B164" s="13" t="s">
        <v>82</v>
      </c>
      <c r="C164" s="5" t="s">
        <v>2682</v>
      </c>
      <c r="D164" s="11" t="s">
        <v>2683</v>
      </c>
      <c r="E164" s="7" t="str">
        <f>IFERROR(__xludf.DUMMYFUNCTION("REGEXEXTRACT(C164, """"""([^""""]+)"""""")"),"Items.Pants_06_old_01")</f>
        <v>Items.Pants_06_old_01</v>
      </c>
    </row>
    <row r="165">
      <c r="A165" s="16" t="s">
        <v>139</v>
      </c>
      <c r="B165" s="13" t="s">
        <v>82</v>
      </c>
      <c r="C165" s="5" t="s">
        <v>2684</v>
      </c>
      <c r="D165" s="11" t="s">
        <v>2685</v>
      </c>
      <c r="E165" s="7" t="str">
        <f>IFERROR(__xludf.DUMMYFUNCTION("REGEXEXTRACT(C165, """"""([^""""]+)"""""")"),"Items.Pants_02_old_02")</f>
        <v>Items.Pants_02_old_02</v>
      </c>
    </row>
    <row r="166">
      <c r="A166" s="16" t="s">
        <v>139</v>
      </c>
      <c r="B166" s="13" t="s">
        <v>82</v>
      </c>
      <c r="C166" s="5" t="s">
        <v>2686</v>
      </c>
      <c r="D166" s="11" t="s">
        <v>2687</v>
      </c>
      <c r="E166" s="7" t="str">
        <f>IFERROR(__xludf.DUMMYFUNCTION("REGEXEXTRACT(C166, """"""([^""""]+)"""""")"),"Items.Pants_04_old_01")</f>
        <v>Items.Pants_04_old_01</v>
      </c>
    </row>
    <row r="167">
      <c r="A167" s="16" t="s">
        <v>139</v>
      </c>
      <c r="B167" s="13" t="s">
        <v>82</v>
      </c>
      <c r="C167" s="5" t="s">
        <v>2688</v>
      </c>
      <c r="D167" s="11" t="s">
        <v>2689</v>
      </c>
      <c r="E167" s="7" t="str">
        <f>IFERROR(__xludf.DUMMYFUNCTION("REGEXEXTRACT(C167, """"""([^""""]+)"""""")"),"Items.Pants_07_old_02")</f>
        <v>Items.Pants_07_old_02</v>
      </c>
    </row>
    <row r="168">
      <c r="A168" s="16" t="s">
        <v>139</v>
      </c>
      <c r="B168" s="13" t="s">
        <v>82</v>
      </c>
      <c r="C168" s="5" t="s">
        <v>2690</v>
      </c>
      <c r="D168" s="11" t="s">
        <v>2691</v>
      </c>
      <c r="E168" s="7" t="str">
        <f>IFERROR(__xludf.DUMMYFUNCTION("REGEXEXTRACT(C168, """"""([^""""]+)"""""")"),"Items.Pants_13_old_03")</f>
        <v>Items.Pants_13_old_03</v>
      </c>
    </row>
    <row r="169">
      <c r="A169" s="16" t="s">
        <v>139</v>
      </c>
      <c r="B169" s="13" t="s">
        <v>82</v>
      </c>
      <c r="C169" s="5" t="s">
        <v>2692</v>
      </c>
      <c r="D169" s="11" t="s">
        <v>2693</v>
      </c>
      <c r="E169" s="7" t="str">
        <f>IFERROR(__xludf.DUMMYFUNCTION("REGEXEXTRACT(C169, """"""([^""""]+)"""""")"),"Items.Pants_08_old_03")</f>
        <v>Items.Pants_08_old_03</v>
      </c>
    </row>
    <row r="170">
      <c r="A170" s="16" t="s">
        <v>139</v>
      </c>
      <c r="B170" s="13" t="s">
        <v>82</v>
      </c>
      <c r="C170" s="5" t="s">
        <v>2694</v>
      </c>
      <c r="D170" s="11" t="s">
        <v>2695</v>
      </c>
      <c r="E170" s="7" t="str">
        <f>IFERROR(__xludf.DUMMYFUNCTION("REGEXEXTRACT(C170, """"""([^""""]+)"""""")"),"Items.Pants_13_basic_02")</f>
        <v>Items.Pants_13_basic_02</v>
      </c>
    </row>
    <row r="171">
      <c r="A171" s="16" t="s">
        <v>139</v>
      </c>
      <c r="B171" s="13" t="s">
        <v>82</v>
      </c>
      <c r="C171" s="5" t="s">
        <v>2696</v>
      </c>
      <c r="D171" s="11" t="s">
        <v>2697</v>
      </c>
      <c r="E171" s="7" t="str">
        <f>IFERROR(__xludf.DUMMYFUNCTION("REGEXEXTRACT(C171, """"""([^""""]+)"""""")"),"Items.Pants_09_old_01")</f>
        <v>Items.Pants_09_old_01</v>
      </c>
    </row>
    <row r="172">
      <c r="A172" s="16" t="s">
        <v>139</v>
      </c>
      <c r="B172" s="13" t="s">
        <v>82</v>
      </c>
      <c r="C172" s="5" t="s">
        <v>2698</v>
      </c>
      <c r="D172" s="11" t="s">
        <v>2699</v>
      </c>
      <c r="E172" s="7" t="str">
        <f>IFERROR(__xludf.DUMMYFUNCTION("REGEXEXTRACT(C172, """"""([^""""]+)"""""")"),"Items.Q005_Yorinobu_FormalPants")</f>
        <v>Items.Q005_Yorinobu_FormalPants</v>
      </c>
    </row>
    <row r="173">
      <c r="A173" s="16" t="s">
        <v>139</v>
      </c>
      <c r="B173" s="13" t="s">
        <v>82</v>
      </c>
      <c r="C173" s="5" t="s">
        <v>2700</v>
      </c>
      <c r="D173" s="11" t="s">
        <v>2701</v>
      </c>
      <c r="E173" s="7" t="str">
        <f>IFERROR(__xludf.DUMMYFUNCTION("REGEXEXTRACT(C173, """"""([^""""]+)"""""")"),"Items.Pants_05_rich_02")</f>
        <v>Items.Pants_05_rich_02</v>
      </c>
    </row>
    <row r="174">
      <c r="A174" s="16" t="s">
        <v>139</v>
      </c>
      <c r="B174" s="13" t="s">
        <v>82</v>
      </c>
      <c r="C174" s="5" t="s">
        <v>2702</v>
      </c>
      <c r="D174" s="11" t="s">
        <v>2703</v>
      </c>
      <c r="E174" s="7" t="str">
        <f>IFERROR(__xludf.DUMMYFUNCTION("REGEXEXTRACT(C174, """"""([^""""]+)"""""")"),"Items.Pants_02_basic_02")</f>
        <v>Items.Pants_02_basic_02</v>
      </c>
    </row>
    <row r="175">
      <c r="A175" s="16" t="s">
        <v>139</v>
      </c>
      <c r="B175" s="13" t="s">
        <v>82</v>
      </c>
      <c r="C175" s="5" t="s">
        <v>2704</v>
      </c>
      <c r="D175" s="11" t="s">
        <v>2705</v>
      </c>
      <c r="E175" s="7" t="str">
        <f>IFERROR(__xludf.DUMMYFUNCTION("REGEXEXTRACT(C175, """"""([^""""]+)"""""")"),"Items.Pants_14_old_02")</f>
        <v>Items.Pants_14_old_02</v>
      </c>
    </row>
    <row r="176">
      <c r="A176" s="16" t="s">
        <v>139</v>
      </c>
      <c r="B176" s="3" t="s">
        <v>37</v>
      </c>
      <c r="C176" s="5" t="s">
        <v>2706</v>
      </c>
      <c r="D176" s="11" t="s">
        <v>2707</v>
      </c>
      <c r="E176" s="7" t="str">
        <f>IFERROR(__xludf.DUMMYFUNCTION("REGEXEXTRACT(C176, """"""([^""""]+)"""""")"),"Items.Pants_20_rich_01")</f>
        <v>Items.Pants_20_rich_01</v>
      </c>
    </row>
    <row r="177">
      <c r="A177" s="16" t="s">
        <v>139</v>
      </c>
      <c r="B177" s="3" t="s">
        <v>37</v>
      </c>
      <c r="C177" s="5" t="s">
        <v>2708</v>
      </c>
      <c r="D177" s="11" t="s">
        <v>2709</v>
      </c>
      <c r="E177" s="7" t="str">
        <f>IFERROR(__xludf.DUMMYFUNCTION("REGEXEXTRACT(C177, """"""([^""""]+)"""""")"),"Items.Pants_20_rich_04")</f>
        <v>Items.Pants_20_rich_04</v>
      </c>
    </row>
    <row r="178">
      <c r="A178" s="16" t="s">
        <v>139</v>
      </c>
      <c r="B178" s="3" t="s">
        <v>37</v>
      </c>
      <c r="C178" s="5" t="s">
        <v>2710</v>
      </c>
      <c r="D178" s="11" t="s">
        <v>2711</v>
      </c>
      <c r="E178" s="7" t="str">
        <f>IFERROR(__xludf.DUMMYFUNCTION("REGEXEXTRACT(C178, """"""([^""""]+)"""""")"),"Items.Pants_18_rich_04")</f>
        <v>Items.Pants_18_rich_04</v>
      </c>
    </row>
    <row r="179">
      <c r="A179" s="16" t="s">
        <v>139</v>
      </c>
      <c r="B179" s="3" t="s">
        <v>37</v>
      </c>
      <c r="C179" s="5" t="s">
        <v>2712</v>
      </c>
      <c r="D179" s="11" t="s">
        <v>2713</v>
      </c>
      <c r="E179" s="7" t="str">
        <f>IFERROR(__xludf.DUMMYFUNCTION("REGEXEXTRACT(C179, """"""([^""""]+)"""""")"),"Items.Pants_19_rich_04")</f>
        <v>Items.Pants_19_rich_04</v>
      </c>
    </row>
    <row r="180">
      <c r="A180" s="16" t="s">
        <v>139</v>
      </c>
      <c r="B180" s="3" t="s">
        <v>37</v>
      </c>
      <c r="C180" s="5" t="s">
        <v>2714</v>
      </c>
      <c r="D180" s="11" t="s">
        <v>2715</v>
      </c>
      <c r="E180" s="7" t="str">
        <f>IFERROR(__xludf.DUMMYFUNCTION("REGEXEXTRACT(C180, """"""([^""""]+)"""""")"),"Items.Pants_17_rich_01")</f>
        <v>Items.Pants_17_rich_01</v>
      </c>
    </row>
    <row r="181">
      <c r="A181" s="16" t="s">
        <v>139</v>
      </c>
      <c r="B181" s="3" t="s">
        <v>37</v>
      </c>
      <c r="C181" s="5" t="s">
        <v>2716</v>
      </c>
      <c r="D181" s="11" t="s">
        <v>2717</v>
      </c>
      <c r="E181" s="7" t="str">
        <f>IFERROR(__xludf.DUMMYFUNCTION("REGEXEXTRACT(C181, """"""([^""""]+)"""""")"),"Items.Pants_20_basic_01")</f>
        <v>Items.Pants_20_basic_01</v>
      </c>
    </row>
    <row r="182">
      <c r="A182" s="16" t="s">
        <v>139</v>
      </c>
      <c r="B182" s="3" t="s">
        <v>37</v>
      </c>
      <c r="C182" s="5" t="s">
        <v>2718</v>
      </c>
      <c r="D182" s="11" t="s">
        <v>2719</v>
      </c>
      <c r="E182" s="7" t="str">
        <f>IFERROR(__xludf.DUMMYFUNCTION("REGEXEXTRACT(C182, """"""([^""""]+)"""""")"),"Items.Pants_17_basic_08")</f>
        <v>Items.Pants_17_basic_08</v>
      </c>
    </row>
    <row r="183">
      <c r="A183" s="16" t="s">
        <v>139</v>
      </c>
      <c r="B183" s="3" t="s">
        <v>37</v>
      </c>
      <c r="C183" s="5" t="s">
        <v>2720</v>
      </c>
      <c r="D183" s="11" t="s">
        <v>2721</v>
      </c>
      <c r="E183" s="7" t="str">
        <f>IFERROR(__xludf.DUMMYFUNCTION("REGEXEXTRACT(C183, """"""([^""""]+)"""""")"),"Items.Pants_20_rich_03")</f>
        <v>Items.Pants_20_rich_03</v>
      </c>
    </row>
    <row r="184">
      <c r="A184" s="16" t="s">
        <v>139</v>
      </c>
      <c r="B184" s="3" t="s">
        <v>37</v>
      </c>
      <c r="C184" s="5" t="s">
        <v>2722</v>
      </c>
      <c r="D184" s="11" t="s">
        <v>2723</v>
      </c>
      <c r="E184" s="7" t="str">
        <f>IFERROR(__xludf.DUMMYFUNCTION("REGEXEXTRACT(C184, """"""([^""""]+)"""""")"),"Items.Pants_18_old_02")</f>
        <v>Items.Pants_18_old_02</v>
      </c>
    </row>
    <row r="185">
      <c r="A185" s="16" t="s">
        <v>139</v>
      </c>
      <c r="B185" s="3" t="s">
        <v>37</v>
      </c>
      <c r="C185" s="5" t="s">
        <v>2724</v>
      </c>
      <c r="D185" s="11" t="s">
        <v>2725</v>
      </c>
      <c r="E185" s="7" t="str">
        <f>IFERROR(__xludf.DUMMYFUNCTION("REGEXEXTRACT(C185, """"""([^""""]+)"""""")"),"Items.Pants_20_basic_03")</f>
        <v>Items.Pants_20_basic_03</v>
      </c>
    </row>
    <row r="186">
      <c r="A186" s="16" t="s">
        <v>139</v>
      </c>
      <c r="B186" s="3" t="s">
        <v>37</v>
      </c>
      <c r="C186" s="5" t="s">
        <v>2726</v>
      </c>
      <c r="D186" s="11" t="s">
        <v>2727</v>
      </c>
      <c r="E186" s="7" t="str">
        <f>IFERROR(__xludf.DUMMYFUNCTION("REGEXEXTRACT(C186, """"""([^""""]+)"""""")"),"Items.Pants_19_basic_04")</f>
        <v>Items.Pants_19_basic_04</v>
      </c>
    </row>
    <row r="187">
      <c r="A187" s="16" t="s">
        <v>139</v>
      </c>
      <c r="B187" s="3" t="s">
        <v>37</v>
      </c>
      <c r="C187" s="5" t="s">
        <v>2728</v>
      </c>
      <c r="D187" s="11" t="s">
        <v>2729</v>
      </c>
      <c r="E187" s="7" t="str">
        <f>IFERROR(__xludf.DUMMYFUNCTION("REGEXEXTRACT(C187, """"""([^""""]+)"""""")"),"Items.Pants_19_rich_02")</f>
        <v>Items.Pants_19_rich_02</v>
      </c>
    </row>
    <row r="188">
      <c r="A188" s="16" t="s">
        <v>139</v>
      </c>
      <c r="B188" s="3" t="s">
        <v>37</v>
      </c>
      <c r="C188" s="5" t="s">
        <v>2730</v>
      </c>
      <c r="D188" s="11" t="s">
        <v>2731</v>
      </c>
      <c r="E188" s="7" t="str">
        <f>IFERROR(__xludf.DUMMYFUNCTION("REGEXEXTRACT(C188, """"""([^""""]+)"""""")"),"Items.Pants_19_basic_02")</f>
        <v>Items.Pants_19_basic_02</v>
      </c>
    </row>
    <row r="189">
      <c r="A189" s="16" t="s">
        <v>139</v>
      </c>
      <c r="B189" s="3" t="s">
        <v>37</v>
      </c>
      <c r="C189" s="5" t="s">
        <v>2732</v>
      </c>
      <c r="D189" s="11" t="s">
        <v>2733</v>
      </c>
      <c r="E189" s="7" t="str">
        <f>IFERROR(__xludf.DUMMYFUNCTION("REGEXEXTRACT(C189, """"""([^""""]+)"""""")"),"Items.Pants_20_basic_06")</f>
        <v>Items.Pants_20_basic_06</v>
      </c>
    </row>
    <row r="190">
      <c r="A190" s="16" t="s">
        <v>139</v>
      </c>
      <c r="B190" s="3" t="s">
        <v>37</v>
      </c>
      <c r="C190" s="5" t="s">
        <v>2734</v>
      </c>
      <c r="D190" s="11" t="s">
        <v>2735</v>
      </c>
      <c r="E190" s="7" t="str">
        <f>IFERROR(__xludf.DUMMYFUNCTION("REGEXEXTRACT(C190, """"""([^""""]+)"""""")"),"Items.Pants_17_basic_03")</f>
        <v>Items.Pants_17_basic_03</v>
      </c>
    </row>
    <row r="191">
      <c r="A191" s="16" t="s">
        <v>139</v>
      </c>
      <c r="B191" s="3" t="s">
        <v>37</v>
      </c>
      <c r="C191" s="5" t="s">
        <v>2736</v>
      </c>
      <c r="D191" s="11" t="s">
        <v>2737</v>
      </c>
      <c r="E191" s="7" t="str">
        <f>IFERROR(__xludf.DUMMYFUNCTION("REGEXEXTRACT(C191, """"""([^""""]+)"""""")"),"Items.Pants_18_rich_03")</f>
        <v>Items.Pants_18_rich_03</v>
      </c>
    </row>
    <row r="192">
      <c r="A192" s="16" t="s">
        <v>139</v>
      </c>
      <c r="B192" s="3" t="s">
        <v>37</v>
      </c>
      <c r="C192" s="5" t="s">
        <v>2738</v>
      </c>
      <c r="D192" s="11" t="s">
        <v>2739</v>
      </c>
      <c r="E192" s="7" t="str">
        <f>IFERROR(__xludf.DUMMYFUNCTION("REGEXEXTRACT(C192, """"""([^""""]+)"""""")"),"Items.Pants_19_old_01")</f>
        <v>Items.Pants_19_old_01</v>
      </c>
    </row>
    <row r="193">
      <c r="A193" s="16" t="s">
        <v>139</v>
      </c>
      <c r="B193" s="3" t="s">
        <v>37</v>
      </c>
      <c r="C193" s="5" t="s">
        <v>2740</v>
      </c>
      <c r="D193" s="11" t="s">
        <v>2741</v>
      </c>
      <c r="E193" s="7" t="str">
        <f>IFERROR(__xludf.DUMMYFUNCTION("REGEXEXTRACT(C193, """"""([^""""]+)"""""")"),"Items.Pants_18_rich_06")</f>
        <v>Items.Pants_18_rich_06</v>
      </c>
    </row>
    <row r="194">
      <c r="A194" s="16" t="s">
        <v>139</v>
      </c>
      <c r="B194" s="3" t="s">
        <v>37</v>
      </c>
      <c r="C194" s="5" t="s">
        <v>2742</v>
      </c>
      <c r="D194" s="11" t="s">
        <v>2743</v>
      </c>
      <c r="E194" s="7" t="str">
        <f>IFERROR(__xludf.DUMMYFUNCTION("REGEXEXTRACT(C194, """"""([^""""]+)"""""")"),"Items.Pants_17_basic_01")</f>
        <v>Items.Pants_17_basic_01</v>
      </c>
    </row>
    <row r="195">
      <c r="A195" s="16" t="s">
        <v>139</v>
      </c>
      <c r="B195" s="3" t="s">
        <v>37</v>
      </c>
      <c r="C195" s="5" t="s">
        <v>2744</v>
      </c>
      <c r="D195" s="11" t="s">
        <v>2745</v>
      </c>
      <c r="E195" s="7" t="str">
        <f>IFERROR(__xludf.DUMMYFUNCTION("REGEXEXTRACT(C195, """"""([^""""]+)"""""")"),"Items.Pants_20_rich_02")</f>
        <v>Items.Pants_20_rich_02</v>
      </c>
    </row>
    <row r="196">
      <c r="A196" s="16" t="s">
        <v>139</v>
      </c>
      <c r="B196" s="3" t="s">
        <v>37</v>
      </c>
      <c r="C196" s="5" t="s">
        <v>2746</v>
      </c>
      <c r="D196" s="11" t="s">
        <v>2747</v>
      </c>
      <c r="E196" s="7" t="str">
        <f>IFERROR(__xludf.DUMMYFUNCTION("REGEXEXTRACT(C196, """"""([^""""]+)"""""")"),"Items.Pants_18_basic_02")</f>
        <v>Items.Pants_18_basic_02</v>
      </c>
    </row>
    <row r="197">
      <c r="A197" s="16" t="s">
        <v>139</v>
      </c>
      <c r="B197" s="3" t="s">
        <v>37</v>
      </c>
      <c r="C197" s="5" t="s">
        <v>2748</v>
      </c>
      <c r="D197" s="11" t="s">
        <v>2749</v>
      </c>
      <c r="E197" s="7" t="str">
        <f>IFERROR(__xludf.DUMMYFUNCTION("REGEXEXTRACT(C197, """"""([^""""]+)"""""")"),"Items.Pants_18_rich_01")</f>
        <v>Items.Pants_18_rich_01</v>
      </c>
    </row>
    <row r="198">
      <c r="A198" s="16" t="s">
        <v>139</v>
      </c>
      <c r="B198" s="3" t="s">
        <v>37</v>
      </c>
      <c r="C198" s="5" t="s">
        <v>2750</v>
      </c>
      <c r="D198" s="11" t="s">
        <v>2751</v>
      </c>
      <c r="E198" s="7" t="str">
        <f>IFERROR(__xludf.DUMMYFUNCTION("REGEXEXTRACT(C198, """"""([^""""]+)"""""")"),"Items.Pants_17_old_03")</f>
        <v>Items.Pants_17_old_03</v>
      </c>
    </row>
    <row r="199">
      <c r="A199" s="16" t="s">
        <v>139</v>
      </c>
      <c r="B199" s="3" t="s">
        <v>37</v>
      </c>
      <c r="C199" s="5" t="s">
        <v>2752</v>
      </c>
      <c r="D199" s="11" t="s">
        <v>2753</v>
      </c>
      <c r="E199" s="7" t="str">
        <f>IFERROR(__xludf.DUMMYFUNCTION("REGEXEXTRACT(C199, """"""([^""""]+)"""""")"),"Items.Pants_17_rich_04")</f>
        <v>Items.Pants_17_rich_04</v>
      </c>
    </row>
    <row r="200">
      <c r="A200" s="16" t="s">
        <v>139</v>
      </c>
      <c r="B200" s="3" t="s">
        <v>37</v>
      </c>
      <c r="C200" s="5" t="s">
        <v>2754</v>
      </c>
      <c r="D200" s="11" t="s">
        <v>2755</v>
      </c>
      <c r="E200" s="7" t="str">
        <f>IFERROR(__xludf.DUMMYFUNCTION("REGEXEXTRACT(C200, """"""([^""""]+)"""""")"),"Items.Pants_20_old_02")</f>
        <v>Items.Pants_20_old_02</v>
      </c>
    </row>
    <row r="201">
      <c r="A201" s="16" t="s">
        <v>139</v>
      </c>
      <c r="B201" s="3" t="s">
        <v>37</v>
      </c>
      <c r="C201" s="5" t="s">
        <v>2756</v>
      </c>
      <c r="D201" s="11" t="s">
        <v>2757</v>
      </c>
      <c r="E201" s="7" t="str">
        <f>IFERROR(__xludf.DUMMYFUNCTION("REGEXEXTRACT(C201, """"""([^""""]+)"""""")"),"Items.Pants_19_rich_05")</f>
        <v>Items.Pants_19_rich_05</v>
      </c>
    </row>
    <row r="202">
      <c r="A202" s="16" t="s">
        <v>139</v>
      </c>
      <c r="B202" s="3" t="s">
        <v>37</v>
      </c>
      <c r="C202" s="5" t="s">
        <v>2758</v>
      </c>
      <c r="D202" s="11" t="s">
        <v>2759</v>
      </c>
      <c r="E202" s="7" t="str">
        <f>IFERROR(__xludf.DUMMYFUNCTION("REGEXEXTRACT(C202, """"""([^""""]+)"""""")"),"Items.Pants_17_basic_02")</f>
        <v>Items.Pants_17_basic_02</v>
      </c>
    </row>
    <row r="203">
      <c r="A203" s="16" t="s">
        <v>139</v>
      </c>
      <c r="B203" s="3" t="s">
        <v>37</v>
      </c>
      <c r="C203" s="5" t="s">
        <v>2760</v>
      </c>
      <c r="D203" s="11" t="s">
        <v>2761</v>
      </c>
      <c r="E203" s="7" t="str">
        <f>IFERROR(__xludf.DUMMYFUNCTION("REGEXEXTRACT(C203, """"""([^""""]+)"""""")"),"Items.Pants_18_old_03")</f>
        <v>Items.Pants_18_old_03</v>
      </c>
    </row>
    <row r="204">
      <c r="A204" s="16" t="s">
        <v>139</v>
      </c>
      <c r="B204" s="3" t="s">
        <v>37</v>
      </c>
      <c r="C204" s="5" t="s">
        <v>2762</v>
      </c>
      <c r="D204" s="11" t="s">
        <v>2763</v>
      </c>
      <c r="E204" s="7" t="str">
        <f>IFERROR(__xludf.DUMMYFUNCTION("REGEXEXTRACT(C204, """"""([^""""]+)"""""")"),"Items.Pants_20_basic_05")</f>
        <v>Items.Pants_20_basic_05</v>
      </c>
    </row>
    <row r="205">
      <c r="A205" s="16" t="s">
        <v>139</v>
      </c>
      <c r="B205" s="3" t="s">
        <v>37</v>
      </c>
      <c r="C205" s="5" t="s">
        <v>2764</v>
      </c>
      <c r="D205" s="11" t="s">
        <v>2765</v>
      </c>
      <c r="E205" s="7" t="str">
        <f>IFERROR(__xludf.DUMMYFUNCTION("REGEXEXTRACT(C205, """"""([^""""]+)"""""")"),"Items.Pants_18_basic_03")</f>
        <v>Items.Pants_18_basic_03</v>
      </c>
    </row>
    <row r="206">
      <c r="A206" s="16" t="s">
        <v>139</v>
      </c>
      <c r="B206" s="3" t="s">
        <v>37</v>
      </c>
      <c r="C206" s="5" t="s">
        <v>2766</v>
      </c>
      <c r="D206" s="11" t="s">
        <v>2767</v>
      </c>
      <c r="E206" s="7" t="str">
        <f>IFERROR(__xludf.DUMMYFUNCTION("REGEXEXTRACT(C206, """"""([^""""]+)"""""")"),"Items.Pants_17_old_04")</f>
        <v>Items.Pants_17_old_04</v>
      </c>
    </row>
    <row r="207">
      <c r="A207" s="16" t="s">
        <v>139</v>
      </c>
      <c r="B207" s="3" t="s">
        <v>37</v>
      </c>
      <c r="C207" s="5" t="s">
        <v>2768</v>
      </c>
      <c r="D207" s="11" t="s">
        <v>2769</v>
      </c>
      <c r="E207" s="7" t="str">
        <f>IFERROR(__xludf.DUMMYFUNCTION("REGEXEXTRACT(C207, """"""([^""""]+)"""""")"),"Items.Pants_19_rich_01")</f>
        <v>Items.Pants_19_rich_01</v>
      </c>
    </row>
    <row r="208">
      <c r="A208" s="16" t="s">
        <v>139</v>
      </c>
      <c r="B208" s="3" t="s">
        <v>37</v>
      </c>
      <c r="C208" s="5" t="s">
        <v>2770</v>
      </c>
      <c r="D208" s="11" t="s">
        <v>2771</v>
      </c>
      <c r="E208" s="7" t="str">
        <f>IFERROR(__xludf.DUMMYFUNCTION("REGEXEXTRACT(C208, """"""([^""""]+)"""""")"),"Items.Pants_20_basic_02")</f>
        <v>Items.Pants_20_basic_02</v>
      </c>
    </row>
    <row r="209">
      <c r="A209" s="16" t="s">
        <v>139</v>
      </c>
      <c r="B209" s="3" t="s">
        <v>37</v>
      </c>
      <c r="C209" s="5" t="s">
        <v>2772</v>
      </c>
      <c r="D209" s="11" t="s">
        <v>2773</v>
      </c>
      <c r="E209" s="7" t="str">
        <f>IFERROR(__xludf.DUMMYFUNCTION("REGEXEXTRACT(C209, """"""([^""""]+)"""""")"),"Items.Pants_17_basic_06")</f>
        <v>Items.Pants_17_basic_06</v>
      </c>
    </row>
    <row r="210">
      <c r="A210" s="16" t="s">
        <v>139</v>
      </c>
      <c r="B210" s="3" t="s">
        <v>37</v>
      </c>
      <c r="C210" s="5" t="s">
        <v>2774</v>
      </c>
      <c r="D210" s="11" t="s">
        <v>2775</v>
      </c>
      <c r="E210" s="7" t="str">
        <f>IFERROR(__xludf.DUMMYFUNCTION("REGEXEXTRACT(C210, """"""([^""""]+)"""""")"),"Items.Pants_20_old_01")</f>
        <v>Items.Pants_20_old_01</v>
      </c>
    </row>
    <row r="211">
      <c r="A211" s="16" t="s">
        <v>139</v>
      </c>
      <c r="B211" s="3" t="s">
        <v>37</v>
      </c>
      <c r="C211" s="5" t="s">
        <v>2776</v>
      </c>
      <c r="D211" s="11" t="s">
        <v>2777</v>
      </c>
      <c r="E211" s="7" t="str">
        <f>IFERROR(__xludf.DUMMYFUNCTION("REGEXEXTRACT(C211, """"""([^""""]+)"""""")"),"Items.Pants_20_basic_04")</f>
        <v>Items.Pants_20_basic_04</v>
      </c>
    </row>
    <row r="212">
      <c r="A212" s="16" t="s">
        <v>139</v>
      </c>
      <c r="B212" s="3" t="s">
        <v>37</v>
      </c>
      <c r="C212" s="5" t="s">
        <v>2778</v>
      </c>
      <c r="D212" s="11" t="s">
        <v>2779</v>
      </c>
      <c r="E212" s="7" t="str">
        <f>IFERROR(__xludf.DUMMYFUNCTION("REGEXEXTRACT(C212, """"""([^""""]+)"""""")"),"Items.Pants_17_rich_03")</f>
        <v>Items.Pants_17_rich_03</v>
      </c>
    </row>
    <row r="213">
      <c r="A213" s="16" t="s">
        <v>139</v>
      </c>
      <c r="B213" s="3" t="s">
        <v>37</v>
      </c>
      <c r="C213" s="5" t="s">
        <v>2780</v>
      </c>
      <c r="D213" s="11" t="s">
        <v>2781</v>
      </c>
      <c r="E213" s="7" t="str">
        <f>IFERROR(__xludf.DUMMYFUNCTION("REGEXEXTRACT(C213, """"""([^""""]+)"""""")"),"Items.Pants_19_basic_03")</f>
        <v>Items.Pants_19_basic_03</v>
      </c>
    </row>
    <row r="214">
      <c r="A214" s="16" t="s">
        <v>139</v>
      </c>
      <c r="B214" s="3" t="s">
        <v>37</v>
      </c>
      <c r="C214" s="5" t="s">
        <v>2782</v>
      </c>
      <c r="D214" s="11" t="s">
        <v>2783</v>
      </c>
      <c r="E214" s="7" t="str">
        <f>IFERROR(__xludf.DUMMYFUNCTION("REGEXEXTRACT(C214, """"""([^""""]+)"""""")"),"Items.Pants_18_rich_02")</f>
        <v>Items.Pants_18_rich_02</v>
      </c>
    </row>
    <row r="215">
      <c r="A215" s="16" t="s">
        <v>139</v>
      </c>
      <c r="B215" s="3" t="s">
        <v>37</v>
      </c>
      <c r="C215" s="5" t="s">
        <v>2784</v>
      </c>
      <c r="D215" s="11" t="s">
        <v>2785</v>
      </c>
      <c r="E215" s="7" t="str">
        <f>IFERROR(__xludf.DUMMYFUNCTION("REGEXEXTRACT(C215, """"""([^""""]+)"""""")"),"Items.Pants_17_basic_04")</f>
        <v>Items.Pants_17_basic_04</v>
      </c>
    </row>
    <row r="216">
      <c r="A216" s="16" t="s">
        <v>139</v>
      </c>
      <c r="B216" s="3" t="s">
        <v>37</v>
      </c>
      <c r="C216" s="5" t="s">
        <v>2786</v>
      </c>
      <c r="D216" s="11" t="s">
        <v>2787</v>
      </c>
      <c r="E216" s="7" t="str">
        <f>IFERROR(__xludf.DUMMYFUNCTION("REGEXEXTRACT(C216, """"""([^""""]+)"""""")"),"Items.Pants_18_basic_05")</f>
        <v>Items.Pants_18_basic_05</v>
      </c>
    </row>
    <row r="217">
      <c r="A217" s="16" t="s">
        <v>139</v>
      </c>
      <c r="B217" s="3" t="s">
        <v>37</v>
      </c>
      <c r="C217" s="5" t="s">
        <v>2788</v>
      </c>
      <c r="D217" s="11" t="s">
        <v>2789</v>
      </c>
      <c r="E217" s="7" t="str">
        <f>IFERROR(__xludf.DUMMYFUNCTION("REGEXEXTRACT(C217, """"""([^""""]+)"""""")"),"Items.Pants_19_basic_01")</f>
        <v>Items.Pants_19_basic_01</v>
      </c>
    </row>
    <row r="218">
      <c r="A218" s="16" t="s">
        <v>139</v>
      </c>
      <c r="B218" s="3" t="s">
        <v>37</v>
      </c>
      <c r="C218" s="5" t="s">
        <v>2790</v>
      </c>
      <c r="D218" s="11" t="s">
        <v>2791</v>
      </c>
      <c r="E218" s="7" t="str">
        <f>IFERROR(__xludf.DUMMYFUNCTION("REGEXEXTRACT(C218, """"""([^""""]+)"""""")"),"Items.Pants_20_old_03")</f>
        <v>Items.Pants_20_old_03</v>
      </c>
    </row>
    <row r="219">
      <c r="A219" s="16" t="s">
        <v>139</v>
      </c>
      <c r="B219" s="3" t="s">
        <v>37</v>
      </c>
      <c r="C219" s="5" t="s">
        <v>2792</v>
      </c>
      <c r="D219" s="11" t="s">
        <v>2793</v>
      </c>
      <c r="E219" s="7" t="str">
        <f>IFERROR(__xludf.DUMMYFUNCTION("REGEXEXTRACT(C219, """"""([^""""]+)"""""")"),"Items.Pants_18_basic_01")</f>
        <v>Items.Pants_18_basic_01</v>
      </c>
    </row>
    <row r="220">
      <c r="A220" s="16" t="s">
        <v>139</v>
      </c>
      <c r="B220" s="3" t="s">
        <v>37</v>
      </c>
      <c r="C220" s="5" t="s">
        <v>2794</v>
      </c>
      <c r="D220" s="11" t="s">
        <v>2795</v>
      </c>
      <c r="E220" s="7" t="str">
        <f>IFERROR(__xludf.DUMMYFUNCTION("REGEXEXTRACT(C220, """"""([^""""]+)"""""")"),"Items.Pants_18_basic_04")</f>
        <v>Items.Pants_18_basic_04</v>
      </c>
    </row>
    <row r="221">
      <c r="A221" s="16" t="s">
        <v>139</v>
      </c>
      <c r="B221" s="3" t="s">
        <v>37</v>
      </c>
      <c r="C221" s="5" t="s">
        <v>2796</v>
      </c>
      <c r="D221" s="11" t="s">
        <v>2797</v>
      </c>
      <c r="E221" s="7" t="str">
        <f>IFERROR(__xludf.DUMMYFUNCTION("REGEXEXTRACT(C221, """"""([^""""]+)"""""")"),"Items.Pants_18_old_01")</f>
        <v>Items.Pants_18_old_01</v>
      </c>
    </row>
    <row r="222">
      <c r="A222" s="16" t="s">
        <v>139</v>
      </c>
      <c r="B222" s="3" t="s">
        <v>37</v>
      </c>
      <c r="C222" s="5" t="s">
        <v>2798</v>
      </c>
      <c r="D222" s="11" t="s">
        <v>2799</v>
      </c>
      <c r="E222" s="7" t="str">
        <f>IFERROR(__xludf.DUMMYFUNCTION("REGEXEXTRACT(C222, """"""([^""""]+)"""""")"),"Items.Pants_20_old_04")</f>
        <v>Items.Pants_20_old_04</v>
      </c>
    </row>
    <row r="223">
      <c r="A223" s="16" t="s">
        <v>139</v>
      </c>
      <c r="B223" s="3" t="s">
        <v>37</v>
      </c>
      <c r="C223" s="5" t="s">
        <v>2800</v>
      </c>
      <c r="D223" s="11" t="s">
        <v>2801</v>
      </c>
      <c r="E223" s="7" t="str">
        <f>IFERROR(__xludf.DUMMYFUNCTION("REGEXEXTRACT(C223, """"""([^""""]+)"""""")"),"Items.Pants_19_rich_03")</f>
        <v>Items.Pants_19_rich_03</v>
      </c>
    </row>
    <row r="224">
      <c r="A224" s="16" t="s">
        <v>139</v>
      </c>
      <c r="B224" s="3" t="s">
        <v>37</v>
      </c>
      <c r="C224" s="5" t="s">
        <v>2802</v>
      </c>
      <c r="D224" s="11" t="s">
        <v>2803</v>
      </c>
      <c r="E224" s="7" t="str">
        <f>IFERROR(__xludf.DUMMYFUNCTION("REGEXEXTRACT(C224, """"""([^""""]+)"""""")"),"Items.Pants_18_rich_05")</f>
        <v>Items.Pants_18_rich_05</v>
      </c>
    </row>
    <row r="225">
      <c r="A225" s="16" t="s">
        <v>139</v>
      </c>
      <c r="B225" s="3" t="s">
        <v>37</v>
      </c>
      <c r="C225" s="5" t="s">
        <v>2804</v>
      </c>
      <c r="D225" s="11" t="s">
        <v>2805</v>
      </c>
      <c r="E225" s="7" t="str">
        <f>IFERROR(__xludf.DUMMYFUNCTION("REGEXEXTRACT(C225, """"""([^""""]+)"""""")"),"Items.Pants_19_old_02")</f>
        <v>Items.Pants_19_old_02</v>
      </c>
    </row>
    <row r="226">
      <c r="A226" s="16" t="s">
        <v>139</v>
      </c>
      <c r="B226" s="3" t="s">
        <v>37</v>
      </c>
      <c r="C226" s="5" t="s">
        <v>2806</v>
      </c>
      <c r="D226" s="11" t="s">
        <v>2807</v>
      </c>
      <c r="E226" s="7" t="str">
        <f>IFERROR(__xludf.DUMMYFUNCTION("REGEXEXTRACT(C226, """"""([^""""]+)"""""")"),"Items.Pants_17_basic_07")</f>
        <v>Items.Pants_17_basic_07</v>
      </c>
    </row>
    <row r="227">
      <c r="A227" s="16" t="s">
        <v>139</v>
      </c>
      <c r="B227" s="3" t="s">
        <v>37</v>
      </c>
      <c r="C227" s="5" t="s">
        <v>2808</v>
      </c>
      <c r="D227" s="11" t="s">
        <v>2809</v>
      </c>
      <c r="E227" s="7" t="str">
        <f>IFERROR(__xludf.DUMMYFUNCTION("REGEXEXTRACT(C227, """"""([^""""]+)"""""")"),"Items.Pants_17_rich_02")</f>
        <v>Items.Pants_17_rich_02</v>
      </c>
    </row>
    <row r="228">
      <c r="A228" s="16" t="s">
        <v>139</v>
      </c>
      <c r="B228" s="3" t="s">
        <v>37</v>
      </c>
      <c r="C228" s="5" t="s">
        <v>2810</v>
      </c>
      <c r="D228" s="11" t="s">
        <v>2811</v>
      </c>
      <c r="E228" s="7" t="str">
        <f>IFERROR(__xludf.DUMMYFUNCTION("REGEXEXTRACT(C228, """"""([^""""]+)"""""")"),"Items.Pants_17_old_02")</f>
        <v>Items.Pants_17_old_02</v>
      </c>
    </row>
    <row r="229">
      <c r="A229" s="16" t="s">
        <v>139</v>
      </c>
      <c r="B229" s="3" t="s">
        <v>37</v>
      </c>
      <c r="C229" s="5" t="s">
        <v>2812</v>
      </c>
      <c r="D229" s="11" t="s">
        <v>2813</v>
      </c>
      <c r="E229" s="7" t="str">
        <f>IFERROR(__xludf.DUMMYFUNCTION("REGEXEXTRACT(C229, """"""([^""""]+)"""""")"),"Items.Pants_17_old_01")</f>
        <v>Items.Pants_17_old_01</v>
      </c>
    </row>
    <row r="230">
      <c r="A230" s="16" t="s">
        <v>139</v>
      </c>
      <c r="B230" s="3" t="s">
        <v>37</v>
      </c>
      <c r="C230" s="5" t="s">
        <v>2814</v>
      </c>
      <c r="D230" s="11" t="s">
        <v>2815</v>
      </c>
      <c r="E230" s="7" t="str">
        <f>IFERROR(__xludf.DUMMYFUNCTION("REGEXEXTRACT(C230, """"""([^""""]+)"""""")"),"Items.Pants_17_basic_05")</f>
        <v>Items.Pants_17_basic_05</v>
      </c>
    </row>
    <row r="231">
      <c r="A231" s="16" t="s">
        <v>139</v>
      </c>
      <c r="B231" s="3" t="s">
        <v>37</v>
      </c>
      <c r="C231" s="5" t="s">
        <v>2816</v>
      </c>
      <c r="D231" s="11" t="s">
        <v>2817</v>
      </c>
      <c r="E231" s="7" t="str">
        <f>IFERROR(__xludf.DUMMYFUNCTION("REGEXEXTRACT(C231, """"""([^""""]+)"""""")"),"Items.Pants_19_old_03")</f>
        <v>Items.Pants_19_old_03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63"/>
    <col customWidth="1" min="3" max="3" width="49.88"/>
    <col customWidth="1" min="4" max="4" width="57.75"/>
    <col customWidth="1" min="5" max="5" width="49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8" t="s">
        <v>36</v>
      </c>
      <c r="B2" s="13" t="s">
        <v>82</v>
      </c>
      <c r="C2" s="5" t="s">
        <v>2818</v>
      </c>
      <c r="D2" s="11" t="s">
        <v>2819</v>
      </c>
      <c r="E2" s="7" t="str">
        <f>IFERROR(__xludf.DUMMYFUNCTION("REGEXEXTRACT(C2, """"""([^""""]+)"""""")"),"Items.FormalShoes_03_rich_01")</f>
        <v>Items.FormalShoes_03_rich_01</v>
      </c>
    </row>
    <row r="3">
      <c r="A3" s="8" t="s">
        <v>36</v>
      </c>
      <c r="B3" s="13" t="s">
        <v>82</v>
      </c>
      <c r="C3" s="5" t="s">
        <v>2820</v>
      </c>
      <c r="D3" s="11" t="s">
        <v>2821</v>
      </c>
      <c r="E3" s="7" t="str">
        <f>IFERROR(__xludf.DUMMYFUNCTION("REGEXEXTRACT(C3, """"""([^""""]+)"""""")"),"Items.Boots_11_old_01")</f>
        <v>Items.Boots_11_old_01</v>
      </c>
    </row>
    <row r="4">
      <c r="A4" s="8" t="s">
        <v>36</v>
      </c>
      <c r="B4" s="13" t="s">
        <v>82</v>
      </c>
      <c r="C4" s="5" t="s">
        <v>2822</v>
      </c>
      <c r="D4" s="11" t="s">
        <v>2823</v>
      </c>
      <c r="E4" s="7" t="str">
        <f>IFERROR(__xludf.DUMMYFUNCTION("REGEXEXTRACT(C4, """"""([^""""]+)"""""")"),"Items.CasualShoes_02_old_02")</f>
        <v>Items.CasualShoes_02_old_02</v>
      </c>
    </row>
    <row r="5">
      <c r="A5" s="8" t="s">
        <v>36</v>
      </c>
      <c r="B5" s="13" t="s">
        <v>82</v>
      </c>
      <c r="C5" s="5" t="s">
        <v>2824</v>
      </c>
      <c r="D5" s="11" t="s">
        <v>2825</v>
      </c>
      <c r="E5" s="7" t="str">
        <f>IFERROR(__xludf.DUMMYFUNCTION("REGEXEXTRACT(C5, """"""([^""""]+)"""""")"),"Items.CasualShoes_06_old_01")</f>
        <v>Items.CasualShoes_06_old_01</v>
      </c>
    </row>
    <row r="6">
      <c r="A6" s="8" t="s">
        <v>36</v>
      </c>
      <c r="B6" s="13" t="s">
        <v>82</v>
      </c>
      <c r="C6" s="5" t="s">
        <v>2826</v>
      </c>
      <c r="D6" s="11" t="s">
        <v>2827</v>
      </c>
      <c r="E6" s="7" t="str">
        <f>IFERROR(__xludf.DUMMYFUNCTION("REGEXEXTRACT(C6, """"""([^""""]+)"""""")"),"Items.Boots_05_rich_01")</f>
        <v>Items.Boots_05_rich_01</v>
      </c>
    </row>
    <row r="7">
      <c r="A7" s="8" t="s">
        <v>36</v>
      </c>
      <c r="B7" s="13" t="s">
        <v>82</v>
      </c>
      <c r="C7" s="5" t="s">
        <v>2828</v>
      </c>
      <c r="D7" s="11" t="s">
        <v>2829</v>
      </c>
      <c r="E7" s="7" t="str">
        <f>IFERROR(__xludf.DUMMYFUNCTION("REGEXEXTRACT(C7, """"""([^""""]+)"""""")"),"Items.CasualShoes_07_basic_03")</f>
        <v>Items.CasualShoes_07_basic_03</v>
      </c>
    </row>
    <row r="8">
      <c r="A8" s="8" t="s">
        <v>36</v>
      </c>
      <c r="B8" s="13" t="s">
        <v>82</v>
      </c>
      <c r="C8" s="5" t="s">
        <v>2830</v>
      </c>
      <c r="D8" s="11" t="s">
        <v>2831</v>
      </c>
      <c r="E8" s="7" t="str">
        <f>IFERROR(__xludf.DUMMYFUNCTION("REGEXEXTRACT(C8, """"""([^""""]+)"""""")"),"Items.CasualShoes_07_rich_02")</f>
        <v>Items.CasualShoes_07_rich_02</v>
      </c>
    </row>
    <row r="9">
      <c r="A9" s="8" t="s">
        <v>36</v>
      </c>
      <c r="B9" s="13" t="s">
        <v>82</v>
      </c>
      <c r="C9" s="5" t="s">
        <v>2832</v>
      </c>
      <c r="D9" s="11" t="s">
        <v>2833</v>
      </c>
      <c r="E9" s="7" t="str">
        <f>IFERROR(__xludf.DUMMYFUNCTION("REGEXEXTRACT(C9, """"""([^""""]+)"""""")"),"Items.CasualShoes_01_basic_02")</f>
        <v>Items.CasualShoes_01_basic_02</v>
      </c>
    </row>
    <row r="10">
      <c r="A10" s="8" t="s">
        <v>36</v>
      </c>
      <c r="B10" s="13" t="s">
        <v>82</v>
      </c>
      <c r="C10" s="5" t="s">
        <v>2834</v>
      </c>
      <c r="D10" s="11" t="s">
        <v>2835</v>
      </c>
      <c r="E10" s="7" t="str">
        <f>IFERROR(__xludf.DUMMYFUNCTION("REGEXEXTRACT(C10, """"""([^""""]+)"""""")"),"Items.Boots_08_old_02")</f>
        <v>Items.Boots_08_old_02</v>
      </c>
    </row>
    <row r="11">
      <c r="A11" s="8" t="s">
        <v>36</v>
      </c>
      <c r="B11" s="13" t="s">
        <v>82</v>
      </c>
      <c r="C11" s="5" t="s">
        <v>2836</v>
      </c>
      <c r="D11" s="11" t="s">
        <v>2837</v>
      </c>
      <c r="E11" s="7" t="str">
        <f>IFERROR(__xludf.DUMMYFUNCTION("REGEXEXTRACT(C11, """"""([^""""]+)"""""")"),"Items.Boots_05_basic_01")</f>
        <v>Items.Boots_05_basic_01</v>
      </c>
    </row>
    <row r="12">
      <c r="A12" s="8" t="s">
        <v>36</v>
      </c>
      <c r="B12" s="13" t="s">
        <v>82</v>
      </c>
      <c r="C12" s="5" t="s">
        <v>2838</v>
      </c>
      <c r="D12" s="11" t="s">
        <v>2839</v>
      </c>
      <c r="E12" s="7" t="str">
        <f>IFERROR(__xludf.DUMMYFUNCTION("REGEXEXTRACT(C12, """"""([^""""]+)"""""")"),"Items.Boots_02_rich_001")</f>
        <v>Items.Boots_02_rich_001</v>
      </c>
    </row>
    <row r="13">
      <c r="A13" s="8" t="s">
        <v>36</v>
      </c>
      <c r="B13" s="13" t="s">
        <v>82</v>
      </c>
      <c r="C13" s="5" t="s">
        <v>2840</v>
      </c>
      <c r="D13" s="11" t="s">
        <v>2841</v>
      </c>
      <c r="E13" s="7" t="str">
        <f>IFERROR(__xludf.DUMMYFUNCTION("REGEXEXTRACT(C13, """"""([^""""]+)"""""")"),"Items.Boots_07_basic_02")</f>
        <v>Items.Boots_07_basic_02</v>
      </c>
    </row>
    <row r="14">
      <c r="A14" s="8" t="s">
        <v>36</v>
      </c>
      <c r="B14" s="13" t="s">
        <v>82</v>
      </c>
      <c r="C14" s="5" t="s">
        <v>2842</v>
      </c>
      <c r="D14" s="11" t="s">
        <v>2843</v>
      </c>
      <c r="E14" s="7" t="str">
        <f>IFERROR(__xludf.DUMMYFUNCTION("REGEXEXTRACT(C14, """"""([^""""]+)"""""")"),"Items.CasualShoes_02_old_01")</f>
        <v>Items.CasualShoes_02_old_01</v>
      </c>
    </row>
    <row r="15">
      <c r="A15" s="8" t="s">
        <v>36</v>
      </c>
      <c r="B15" s="13" t="s">
        <v>82</v>
      </c>
      <c r="C15" s="5" t="s">
        <v>2844</v>
      </c>
      <c r="D15" s="11" t="s">
        <v>2845</v>
      </c>
      <c r="E15" s="7" t="str">
        <f>IFERROR(__xludf.DUMMYFUNCTION("REGEXEXTRACT(C15, """"""([^""""]+)"""""")"),"Items.Boots_08_rich_01")</f>
        <v>Items.Boots_08_rich_01</v>
      </c>
    </row>
    <row r="16">
      <c r="A16" s="8" t="s">
        <v>36</v>
      </c>
      <c r="B16" s="13" t="s">
        <v>82</v>
      </c>
      <c r="C16" s="5" t="s">
        <v>2846</v>
      </c>
      <c r="D16" s="11" t="s">
        <v>2847</v>
      </c>
      <c r="E16" s="7" t="str">
        <f>IFERROR(__xludf.DUMMYFUNCTION("REGEXEXTRACT(C16, """"""([^""""]+)"""""")"),"Items.CasualShoes_06_rich_01")</f>
        <v>Items.CasualShoes_06_rich_01</v>
      </c>
    </row>
    <row r="17">
      <c r="A17" s="8" t="s">
        <v>36</v>
      </c>
      <c r="B17" s="13" t="s">
        <v>82</v>
      </c>
      <c r="C17" s="5" t="s">
        <v>2848</v>
      </c>
      <c r="D17" s="11" t="s">
        <v>2849</v>
      </c>
      <c r="E17" s="7" t="str">
        <f>IFERROR(__xludf.DUMMYFUNCTION("REGEXEXTRACT(C17, """"""([^""""]+)"""""")"),"Items.Boots_07_rich_01")</f>
        <v>Items.Boots_07_rich_01</v>
      </c>
    </row>
    <row r="18">
      <c r="A18" s="8" t="s">
        <v>36</v>
      </c>
      <c r="B18" s="13" t="s">
        <v>82</v>
      </c>
      <c r="C18" s="5" t="s">
        <v>2850</v>
      </c>
      <c r="D18" s="11" t="s">
        <v>2851</v>
      </c>
      <c r="E18" s="7" t="str">
        <f>IFERROR(__xludf.DUMMYFUNCTION("REGEXEXTRACT(C18, """"""([^""""]+)"""""")"),"Items.FormalShoes_02_basic_02")</f>
        <v>Items.FormalShoes_02_basic_02</v>
      </c>
    </row>
    <row r="19">
      <c r="A19" s="8" t="s">
        <v>36</v>
      </c>
      <c r="B19" s="13" t="s">
        <v>82</v>
      </c>
      <c r="C19" s="5" t="s">
        <v>2852</v>
      </c>
      <c r="D19" s="11" t="s">
        <v>2853</v>
      </c>
      <c r="E19" s="7" t="str">
        <f>IFERROR(__xludf.DUMMYFUNCTION("REGEXEXTRACT(C19, """"""([^""""]+)"""""")"),"Items.Boots_04_basic_02")</f>
        <v>Items.Boots_04_basic_02</v>
      </c>
    </row>
    <row r="20">
      <c r="A20" s="8" t="s">
        <v>36</v>
      </c>
      <c r="B20" s="13" t="s">
        <v>82</v>
      </c>
      <c r="C20" s="5" t="s">
        <v>2854</v>
      </c>
      <c r="D20" s="11" t="s">
        <v>2855</v>
      </c>
      <c r="E20" s="7" t="str">
        <f>IFERROR(__xludf.DUMMYFUNCTION("REGEXEXTRACT(C20, """"""([^""""]+)"""""")"),"Items.FormalShoes_01_basic_02")</f>
        <v>Items.FormalShoes_01_basic_02</v>
      </c>
    </row>
    <row r="21">
      <c r="A21" s="8" t="s">
        <v>36</v>
      </c>
      <c r="B21" s="13" t="s">
        <v>82</v>
      </c>
      <c r="C21" s="5" t="s">
        <v>2856</v>
      </c>
      <c r="D21" s="11" t="s">
        <v>2857</v>
      </c>
      <c r="E21" s="7" t="str">
        <f>IFERROR(__xludf.DUMMYFUNCTION("REGEXEXTRACT(C21, """"""([^""""]+)"""""")"),"Items.Boots_02_basic_01")</f>
        <v>Items.Boots_02_basic_01</v>
      </c>
    </row>
    <row r="22">
      <c r="A22" s="8" t="s">
        <v>36</v>
      </c>
      <c r="B22" s="13" t="s">
        <v>82</v>
      </c>
      <c r="C22" s="5" t="s">
        <v>2858</v>
      </c>
      <c r="D22" s="11" t="s">
        <v>2859</v>
      </c>
      <c r="E22" s="7" t="str">
        <f>IFERROR(__xludf.DUMMYFUNCTION("REGEXEXTRACT(C22, """"""([^""""]+)"""""")"),"Items.Boots_09_old_01")</f>
        <v>Items.Boots_09_old_01</v>
      </c>
    </row>
    <row r="23">
      <c r="A23" s="8" t="s">
        <v>36</v>
      </c>
      <c r="B23" s="13" t="s">
        <v>82</v>
      </c>
      <c r="C23" s="5" t="s">
        <v>2860</v>
      </c>
      <c r="D23" s="11" t="s">
        <v>2861</v>
      </c>
      <c r="E23" s="7" t="str">
        <f>IFERROR(__xludf.DUMMYFUNCTION("REGEXEXTRACT(C23, """"""([^""""]+)"""""")"),"Items.FormalShoes_03_rich_02")</f>
        <v>Items.FormalShoes_03_rich_02</v>
      </c>
    </row>
    <row r="24">
      <c r="A24" s="8" t="s">
        <v>36</v>
      </c>
      <c r="B24" s="13" t="s">
        <v>82</v>
      </c>
      <c r="C24" s="5" t="s">
        <v>2862</v>
      </c>
      <c r="D24" s="11" t="s">
        <v>2863</v>
      </c>
      <c r="E24" s="7" t="str">
        <f>IFERROR(__xludf.DUMMYFUNCTION("REGEXEXTRACT(C24, """"""([^""""]+)"""""")"),"Items.FormalShoes_02_rich_03")</f>
        <v>Items.FormalShoes_02_rich_03</v>
      </c>
    </row>
    <row r="25">
      <c r="A25" s="8" t="s">
        <v>36</v>
      </c>
      <c r="B25" s="13" t="s">
        <v>82</v>
      </c>
      <c r="C25" s="5" t="s">
        <v>2864</v>
      </c>
      <c r="D25" s="11" t="s">
        <v>2865</v>
      </c>
      <c r="E25" s="7" t="str">
        <f>IFERROR(__xludf.DUMMYFUNCTION("REGEXEXTRACT(C25, """"""([^""""]+)"""""")"),"Items.CasualShoes_04_basic_01")</f>
        <v>Items.CasualShoes_04_basic_01</v>
      </c>
    </row>
    <row r="26">
      <c r="A26" s="8" t="s">
        <v>36</v>
      </c>
      <c r="B26" s="13" t="s">
        <v>82</v>
      </c>
      <c r="C26" s="5" t="s">
        <v>2866</v>
      </c>
      <c r="D26" s="11" t="s">
        <v>2867</v>
      </c>
      <c r="E26" s="7" t="str">
        <f>IFERROR(__xludf.DUMMYFUNCTION("REGEXEXTRACT(C26, """"""([^""""]+)"""""")"),"Items.CasualShoes_04_basic_02")</f>
        <v>Items.CasualShoes_04_basic_02</v>
      </c>
    </row>
    <row r="27">
      <c r="A27" s="8" t="s">
        <v>36</v>
      </c>
      <c r="B27" s="13" t="s">
        <v>82</v>
      </c>
      <c r="C27" s="5" t="s">
        <v>2868</v>
      </c>
      <c r="D27" s="11" t="s">
        <v>2869</v>
      </c>
      <c r="E27" s="7" t="str">
        <f>IFERROR(__xludf.DUMMYFUNCTION("REGEXEXTRACT(C27, """"""([^""""]+)"""""")"),"Items.FormalShoes_02_basic_03")</f>
        <v>Items.FormalShoes_02_basic_03</v>
      </c>
    </row>
    <row r="28">
      <c r="A28" s="8" t="s">
        <v>36</v>
      </c>
      <c r="B28" s="13" t="s">
        <v>82</v>
      </c>
      <c r="C28" s="5" t="s">
        <v>2870</v>
      </c>
      <c r="D28" s="11" t="s">
        <v>2871</v>
      </c>
      <c r="E28" s="7" t="str">
        <f>IFERROR(__xludf.DUMMYFUNCTION("REGEXEXTRACT(C28, """"""([^""""]+)"""""")"),"Items.CasualShoes_05_basic_01")</f>
        <v>Items.CasualShoes_05_basic_01</v>
      </c>
    </row>
    <row r="29">
      <c r="A29" s="8" t="s">
        <v>36</v>
      </c>
      <c r="B29" s="13" t="s">
        <v>82</v>
      </c>
      <c r="C29" s="5" t="s">
        <v>2872</v>
      </c>
      <c r="D29" s="11" t="s">
        <v>2873</v>
      </c>
      <c r="E29" s="7" t="str">
        <f>IFERROR(__xludf.DUMMYFUNCTION("REGEXEXTRACT(C29, """"""([^""""]+)"""""")"),"Items.CasualShoes_02_basic_01")</f>
        <v>Items.CasualShoes_02_basic_01</v>
      </c>
    </row>
    <row r="30">
      <c r="A30" s="8" t="s">
        <v>36</v>
      </c>
      <c r="B30" s="13" t="s">
        <v>82</v>
      </c>
      <c r="C30" s="5" t="s">
        <v>2874</v>
      </c>
      <c r="D30" s="11" t="s">
        <v>2875</v>
      </c>
      <c r="E30" s="7" t="str">
        <f>IFERROR(__xludf.DUMMYFUNCTION("REGEXEXTRACT(C30, """"""([^""""]+)"""""")"),"Items.Boots_07_old_02")</f>
        <v>Items.Boots_07_old_02</v>
      </c>
    </row>
    <row r="31">
      <c r="A31" s="8" t="s">
        <v>36</v>
      </c>
      <c r="B31" s="13" t="s">
        <v>82</v>
      </c>
      <c r="C31" s="5" t="s">
        <v>2876</v>
      </c>
      <c r="D31" s="11" t="s">
        <v>2877</v>
      </c>
      <c r="E31" s="7" t="str">
        <f>IFERROR(__xludf.DUMMYFUNCTION("REGEXEXTRACT(C31, """"""([^""""]+)"""""")"),"Items.FormalShoes_01_basic_03")</f>
        <v>Items.FormalShoes_01_basic_03</v>
      </c>
    </row>
    <row r="32">
      <c r="A32" s="8" t="s">
        <v>36</v>
      </c>
      <c r="B32" s="13" t="s">
        <v>82</v>
      </c>
      <c r="C32" s="5" t="s">
        <v>2878</v>
      </c>
      <c r="D32" s="11" t="s">
        <v>2879</v>
      </c>
      <c r="E32" s="7" t="str">
        <f>IFERROR(__xludf.DUMMYFUNCTION("REGEXEXTRACT(C32, """"""([^""""]+)"""""")"),"Items.CasualShoes_05_old_03")</f>
        <v>Items.CasualShoes_05_old_03</v>
      </c>
    </row>
    <row r="33">
      <c r="A33" s="8" t="s">
        <v>36</v>
      </c>
      <c r="B33" s="13" t="s">
        <v>82</v>
      </c>
      <c r="C33" s="5" t="s">
        <v>2880</v>
      </c>
      <c r="D33" s="11" t="s">
        <v>2881</v>
      </c>
      <c r="E33" s="7" t="str">
        <f>IFERROR(__xludf.DUMMYFUNCTION("REGEXEXTRACT(C33, """"""([^""""]+)"""""")"),"Items.Boots_06_old_02")</f>
        <v>Items.Boots_06_old_02</v>
      </c>
    </row>
    <row r="34">
      <c r="A34" s="8" t="s">
        <v>36</v>
      </c>
      <c r="B34" s="13" t="s">
        <v>82</v>
      </c>
      <c r="C34" s="5" t="s">
        <v>2882</v>
      </c>
      <c r="D34" s="11" t="s">
        <v>2883</v>
      </c>
      <c r="E34" s="7" t="str">
        <f>IFERROR(__xludf.DUMMYFUNCTION("REGEXEXTRACT(C34, """"""([^""""]+)"""""")"),"Items.Boots_10_rich_01")</f>
        <v>Items.Boots_10_rich_01</v>
      </c>
    </row>
    <row r="35">
      <c r="A35" s="8" t="s">
        <v>36</v>
      </c>
      <c r="B35" s="13" t="s">
        <v>82</v>
      </c>
      <c r="C35" s="5" t="s">
        <v>2884</v>
      </c>
      <c r="D35" s="11" t="s">
        <v>2885</v>
      </c>
      <c r="E35" s="7" t="str">
        <f>IFERROR(__xludf.DUMMYFUNCTION("REGEXEXTRACT(C35, """"""([^""""]+)"""""")"),"Items.CasualShoes_06_rich_02")</f>
        <v>Items.CasualShoes_06_rich_02</v>
      </c>
    </row>
    <row r="36">
      <c r="A36" s="8" t="s">
        <v>36</v>
      </c>
      <c r="B36" s="13" t="s">
        <v>82</v>
      </c>
      <c r="C36" s="5" t="s">
        <v>2886</v>
      </c>
      <c r="D36" s="11" t="s">
        <v>2887</v>
      </c>
      <c r="E36" s="7" t="str">
        <f>IFERROR(__xludf.DUMMYFUNCTION("REGEXEXTRACT(C36, """"""([^""""]+)"""""")"),"Items.Boots_07_basic_01")</f>
        <v>Items.Boots_07_basic_01</v>
      </c>
    </row>
    <row r="37">
      <c r="A37" s="8" t="s">
        <v>36</v>
      </c>
      <c r="B37" s="13" t="s">
        <v>82</v>
      </c>
      <c r="C37" s="5" t="s">
        <v>2888</v>
      </c>
      <c r="D37" s="11" t="s">
        <v>2889</v>
      </c>
      <c r="E37" s="7" t="str">
        <f>IFERROR(__xludf.DUMMYFUNCTION("REGEXEXTRACT(C37, """"""([^""""]+)"""""")"),"Items.CasualShoes_05_basic_03")</f>
        <v>Items.CasualShoes_05_basic_03</v>
      </c>
    </row>
    <row r="38">
      <c r="A38" s="8" t="s">
        <v>36</v>
      </c>
      <c r="B38" s="13" t="s">
        <v>82</v>
      </c>
      <c r="C38" s="5" t="s">
        <v>2890</v>
      </c>
      <c r="D38" s="11" t="s">
        <v>2891</v>
      </c>
      <c r="E38" s="7" t="str">
        <f>IFERROR(__xludf.DUMMYFUNCTION("REGEXEXTRACT(C38, """"""([^""""]+)"""""")"),"Items.Boots_02_rich_02")</f>
        <v>Items.Boots_02_rich_02</v>
      </c>
    </row>
    <row r="39">
      <c r="A39" s="8" t="s">
        <v>36</v>
      </c>
      <c r="B39" s="13" t="s">
        <v>82</v>
      </c>
      <c r="C39" s="5" t="s">
        <v>2892</v>
      </c>
      <c r="D39" s="11" t="s">
        <v>2893</v>
      </c>
      <c r="E39" s="7" t="str">
        <f>IFERROR(__xludf.DUMMYFUNCTION("REGEXEXTRACT(C39, """"""([^""""]+)"""""")"),"Items.Boots_04_old_03")</f>
        <v>Items.Boots_04_old_03</v>
      </c>
    </row>
    <row r="40">
      <c r="A40" s="8" t="s">
        <v>36</v>
      </c>
      <c r="B40" s="13" t="s">
        <v>82</v>
      </c>
      <c r="C40" s="5" t="s">
        <v>2894</v>
      </c>
      <c r="D40" s="11" t="s">
        <v>2895</v>
      </c>
      <c r="E40" s="7" t="str">
        <f>IFERROR(__xludf.DUMMYFUNCTION("REGEXEXTRACT(C40, """"""([^""""]+)"""""")"),"Items.Boots_07_old_03")</f>
        <v>Items.Boots_07_old_03</v>
      </c>
    </row>
    <row r="41">
      <c r="A41" s="8" t="s">
        <v>36</v>
      </c>
      <c r="B41" s="13" t="s">
        <v>82</v>
      </c>
      <c r="C41" s="5" t="s">
        <v>2896</v>
      </c>
      <c r="D41" s="11" t="s">
        <v>2897</v>
      </c>
      <c r="E41" s="7" t="str">
        <f>IFERROR(__xludf.DUMMYFUNCTION("REGEXEXTRACT(C41, """"""([^""""]+)"""""")"),"Items.Boots_06_basic_01")</f>
        <v>Items.Boots_06_basic_01</v>
      </c>
    </row>
    <row r="42">
      <c r="A42" s="8" t="s">
        <v>36</v>
      </c>
      <c r="B42" s="13" t="s">
        <v>82</v>
      </c>
      <c r="C42" s="5" t="s">
        <v>2898</v>
      </c>
      <c r="D42" s="11" t="s">
        <v>2899</v>
      </c>
      <c r="E42" s="7" t="str">
        <f>IFERROR(__xludf.DUMMYFUNCTION("REGEXEXTRACT(C42, """"""([^""""]+)"""""")"),"Items.Boots_03_basic_01")</f>
        <v>Items.Boots_03_basic_01</v>
      </c>
    </row>
    <row r="43">
      <c r="A43" s="8" t="s">
        <v>36</v>
      </c>
      <c r="B43" s="13" t="s">
        <v>82</v>
      </c>
      <c r="C43" s="5" t="s">
        <v>2900</v>
      </c>
      <c r="D43" s="11" t="s">
        <v>2901</v>
      </c>
      <c r="E43" s="7" t="str">
        <f>IFERROR(__xludf.DUMMYFUNCTION("REGEXEXTRACT(C43, """"""([^""""]+)"""""")"),"Items.Boots_09_basic_01")</f>
        <v>Items.Boots_09_basic_01</v>
      </c>
    </row>
    <row r="44">
      <c r="A44" s="8" t="s">
        <v>36</v>
      </c>
      <c r="B44" s="13" t="s">
        <v>82</v>
      </c>
      <c r="C44" s="5" t="s">
        <v>2902</v>
      </c>
      <c r="D44" s="11" t="s">
        <v>2903</v>
      </c>
      <c r="E44" s="7" t="str">
        <f>IFERROR(__xludf.DUMMYFUNCTION("REGEXEXTRACT(C44, """"""([^""""]+)"""""")"),"Items.Boots_04_basic_03")</f>
        <v>Items.Boots_04_basic_03</v>
      </c>
    </row>
    <row r="45">
      <c r="A45" s="8" t="s">
        <v>36</v>
      </c>
      <c r="B45" s="13" t="s">
        <v>82</v>
      </c>
      <c r="C45" s="5" t="s">
        <v>2904</v>
      </c>
      <c r="D45" s="11" t="s">
        <v>2905</v>
      </c>
      <c r="E45" s="7" t="str">
        <f>IFERROR(__xludf.DUMMYFUNCTION("REGEXEXTRACT(C45, """"""([^""""]+)"""""")"),"Items.Boots_05_basic_03")</f>
        <v>Items.Boots_05_basic_03</v>
      </c>
    </row>
    <row r="46">
      <c r="A46" s="8" t="s">
        <v>36</v>
      </c>
      <c r="B46" s="13" t="s">
        <v>82</v>
      </c>
      <c r="C46" s="5" t="s">
        <v>2906</v>
      </c>
      <c r="D46" s="11" t="s">
        <v>2907</v>
      </c>
      <c r="E46" s="7" t="str">
        <f>IFERROR(__xludf.DUMMYFUNCTION("REGEXEXTRACT(C46, """"""([^""""]+)"""""")"),"Items.CasualShoes_07_old_01")</f>
        <v>Items.CasualShoes_07_old_01</v>
      </c>
    </row>
    <row r="47">
      <c r="A47" s="8" t="s">
        <v>36</v>
      </c>
      <c r="B47" s="13" t="s">
        <v>82</v>
      </c>
      <c r="C47" s="5" t="s">
        <v>2908</v>
      </c>
      <c r="D47" s="11" t="s">
        <v>2909</v>
      </c>
      <c r="E47" s="7" t="str">
        <f>IFERROR(__xludf.DUMMYFUNCTION("REGEXEXTRACT(C47, """"""([^""""]+)"""""")"),"Items.CasualShoes_07_rich_01")</f>
        <v>Items.CasualShoes_07_rich_01</v>
      </c>
    </row>
    <row r="48">
      <c r="A48" s="8" t="s">
        <v>36</v>
      </c>
      <c r="B48" s="13" t="s">
        <v>82</v>
      </c>
      <c r="C48" s="5" t="s">
        <v>2910</v>
      </c>
      <c r="D48" s="11" t="s">
        <v>2911</v>
      </c>
      <c r="E48" s="7" t="str">
        <f>IFERROR(__xludf.DUMMYFUNCTION("REGEXEXTRACT(C48, """"""([^""""]+)"""""")"),"Items.FormalShoes_02_rich_02")</f>
        <v>Items.FormalShoes_02_rich_02</v>
      </c>
    </row>
    <row r="49">
      <c r="A49" s="8" t="s">
        <v>36</v>
      </c>
      <c r="B49" s="13" t="s">
        <v>82</v>
      </c>
      <c r="C49" s="5" t="s">
        <v>2912</v>
      </c>
      <c r="D49" s="11" t="s">
        <v>2913</v>
      </c>
      <c r="E49" s="7" t="str">
        <f>IFERROR(__xludf.DUMMYFUNCTION("REGEXEXTRACT(C49, """"""([^""""]+)"""""")"),"Items.CasualShoes_07_basic_02")</f>
        <v>Items.CasualShoes_07_basic_02</v>
      </c>
    </row>
    <row r="50">
      <c r="A50" s="8" t="s">
        <v>36</v>
      </c>
      <c r="B50" s="13" t="s">
        <v>82</v>
      </c>
      <c r="C50" s="5" t="s">
        <v>2914</v>
      </c>
      <c r="D50" s="11" t="s">
        <v>2915</v>
      </c>
      <c r="E50" s="7" t="str">
        <f>IFERROR(__xludf.DUMMYFUNCTION("REGEXEXTRACT(C50, """"""([^""""]+)"""""")"),"Items.Boots_11_basic_01")</f>
        <v>Items.Boots_11_basic_01</v>
      </c>
    </row>
    <row r="51">
      <c r="A51" s="8" t="s">
        <v>36</v>
      </c>
      <c r="B51" s="13" t="s">
        <v>82</v>
      </c>
      <c r="C51" s="5" t="s">
        <v>2916</v>
      </c>
      <c r="D51" s="11" t="s">
        <v>2917</v>
      </c>
      <c r="E51" s="7" t="str">
        <f>IFERROR(__xludf.DUMMYFUNCTION("REGEXEXTRACT(C51, """"""([^""""]+)"""""")"),"Items.Boots_03_rich_01")</f>
        <v>Items.Boots_03_rich_01</v>
      </c>
    </row>
    <row r="52">
      <c r="A52" s="8" t="s">
        <v>36</v>
      </c>
      <c r="B52" s="13" t="s">
        <v>82</v>
      </c>
      <c r="C52" s="5" t="s">
        <v>2918</v>
      </c>
      <c r="D52" s="11" t="s">
        <v>2919</v>
      </c>
      <c r="E52" s="7" t="str">
        <f>IFERROR(__xludf.DUMMYFUNCTION("REGEXEXTRACT(C52, """"""([^""""]+)"""""")"),"Items.Boots_06_rich_02")</f>
        <v>Items.Boots_06_rich_02</v>
      </c>
    </row>
    <row r="53">
      <c r="A53" s="8" t="s">
        <v>36</v>
      </c>
      <c r="B53" s="13" t="s">
        <v>82</v>
      </c>
      <c r="C53" s="5" t="s">
        <v>2920</v>
      </c>
      <c r="D53" s="11" t="s">
        <v>2921</v>
      </c>
      <c r="E53" s="7" t="str">
        <f>IFERROR(__xludf.DUMMYFUNCTION("REGEXEXTRACT(C53, """"""([^""""]+)"""""")"),"Items.CasualShoes_07_basic_04")</f>
        <v>Items.CasualShoes_07_basic_04</v>
      </c>
    </row>
    <row r="54">
      <c r="A54" s="8" t="s">
        <v>36</v>
      </c>
      <c r="B54" s="13" t="s">
        <v>82</v>
      </c>
      <c r="C54" s="5" t="s">
        <v>2922</v>
      </c>
      <c r="D54" s="11" t="s">
        <v>2923</v>
      </c>
      <c r="E54" s="7" t="str">
        <f>IFERROR(__xludf.DUMMYFUNCTION("REGEXEXTRACT(C54, """"""([^""""]+)"""""")"),"Items.FormalShoes_01_rich_02")</f>
        <v>Items.FormalShoes_01_rich_02</v>
      </c>
    </row>
    <row r="55">
      <c r="A55" s="8" t="s">
        <v>36</v>
      </c>
      <c r="B55" s="13" t="s">
        <v>82</v>
      </c>
      <c r="C55" s="5" t="s">
        <v>2924</v>
      </c>
      <c r="D55" s="11" t="s">
        <v>2925</v>
      </c>
      <c r="E55" s="7" t="str">
        <f>IFERROR(__xludf.DUMMYFUNCTION("REGEXEXTRACT(C55, """"""([^""""]+)"""""")"),"Items.Boots_09_rich_01")</f>
        <v>Items.Boots_09_rich_01</v>
      </c>
    </row>
    <row r="56">
      <c r="A56" s="8" t="s">
        <v>36</v>
      </c>
      <c r="B56" s="13" t="s">
        <v>82</v>
      </c>
      <c r="C56" s="5" t="s">
        <v>2926</v>
      </c>
      <c r="D56" s="11" t="s">
        <v>2927</v>
      </c>
      <c r="E56" s="7" t="str">
        <f>IFERROR(__xludf.DUMMYFUNCTION("REGEXEXTRACT(C56, """"""([^""""]+)"""""")"),"Items.CasualShoes_02_basic_02")</f>
        <v>Items.CasualShoes_02_basic_02</v>
      </c>
    </row>
    <row r="57">
      <c r="A57" s="8" t="s">
        <v>36</v>
      </c>
      <c r="B57" s="13" t="s">
        <v>82</v>
      </c>
      <c r="C57" s="5" t="s">
        <v>2928</v>
      </c>
      <c r="D57" s="11" t="s">
        <v>2929</v>
      </c>
      <c r="E57" s="7" t="str">
        <f>IFERROR(__xludf.DUMMYFUNCTION("REGEXEXTRACT(C57, """"""([^""""]+)"""""")"),"Items.Boots_05_old_01")</f>
        <v>Items.Boots_05_old_01</v>
      </c>
    </row>
    <row r="58">
      <c r="A58" s="8" t="s">
        <v>36</v>
      </c>
      <c r="B58" s="13" t="s">
        <v>82</v>
      </c>
      <c r="C58" s="5" t="s">
        <v>2930</v>
      </c>
      <c r="D58" s="11" t="s">
        <v>2931</v>
      </c>
      <c r="E58" s="7" t="str">
        <f>IFERROR(__xludf.DUMMYFUNCTION("REGEXEXTRACT(C58, """"""([^""""]+)"""""")"),"Items.Boots_09_rich_02")</f>
        <v>Items.Boots_09_rich_02</v>
      </c>
    </row>
    <row r="59">
      <c r="A59" s="8" t="s">
        <v>36</v>
      </c>
      <c r="B59" s="13" t="s">
        <v>82</v>
      </c>
      <c r="C59" s="5" t="s">
        <v>2932</v>
      </c>
      <c r="D59" s="11" t="s">
        <v>2933</v>
      </c>
      <c r="E59" s="7" t="str">
        <f>IFERROR(__xludf.DUMMYFUNCTION("REGEXEXTRACT(C59, """"""([^""""]+)"""""")"),"Items.CasualShoes_07_old_02")</f>
        <v>Items.CasualShoes_07_old_02</v>
      </c>
    </row>
    <row r="60">
      <c r="A60" s="8" t="s">
        <v>36</v>
      </c>
      <c r="B60" s="13" t="s">
        <v>82</v>
      </c>
      <c r="C60" s="5" t="s">
        <v>2934</v>
      </c>
      <c r="D60" s="11" t="s">
        <v>2935</v>
      </c>
      <c r="E60" s="7" t="str">
        <f>IFERROR(__xludf.DUMMYFUNCTION("REGEXEXTRACT(C60, """"""([^""""]+)"""""")"),"Items.Boots_08_basic_01")</f>
        <v>Items.Boots_08_basic_01</v>
      </c>
    </row>
    <row r="61">
      <c r="A61" s="8" t="s">
        <v>36</v>
      </c>
      <c r="B61" s="13" t="s">
        <v>82</v>
      </c>
      <c r="C61" s="5" t="s">
        <v>2936</v>
      </c>
      <c r="D61" s="11" t="s">
        <v>2937</v>
      </c>
      <c r="E61" s="7" t="str">
        <f>IFERROR(__xludf.DUMMYFUNCTION("REGEXEXTRACT(C61, """"""([^""""]+)"""""")"),"Items.CasualShoes_05_rich_01")</f>
        <v>Items.CasualShoes_05_rich_01</v>
      </c>
    </row>
    <row r="62">
      <c r="A62" s="8" t="s">
        <v>36</v>
      </c>
      <c r="B62" s="13" t="s">
        <v>82</v>
      </c>
      <c r="C62" s="5" t="s">
        <v>2938</v>
      </c>
      <c r="D62" s="11" t="s">
        <v>2939</v>
      </c>
      <c r="E62" s="7" t="str">
        <f>IFERROR(__xludf.DUMMYFUNCTION("REGEXEXTRACT(C62, """"""([^""""]+)"""""")"),"Items.Boots_11_rich_02")</f>
        <v>Items.Boots_11_rich_02</v>
      </c>
    </row>
    <row r="63">
      <c r="A63" s="8" t="s">
        <v>36</v>
      </c>
      <c r="B63" s="13" t="s">
        <v>82</v>
      </c>
      <c r="C63" s="5" t="s">
        <v>2940</v>
      </c>
      <c r="D63" s="11" t="s">
        <v>2941</v>
      </c>
      <c r="E63" s="7" t="str">
        <f>IFERROR(__xludf.DUMMYFUNCTION("REGEXEXTRACT(C63, """"""([^""""]+)"""""")"),"Items.Boots_11_rich_01")</f>
        <v>Items.Boots_11_rich_01</v>
      </c>
    </row>
    <row r="64">
      <c r="A64" s="8" t="s">
        <v>36</v>
      </c>
      <c r="B64" s="13" t="s">
        <v>82</v>
      </c>
      <c r="C64" s="5" t="s">
        <v>2942</v>
      </c>
      <c r="D64" s="11" t="s">
        <v>2943</v>
      </c>
      <c r="E64" s="7" t="str">
        <f>IFERROR(__xludf.DUMMYFUNCTION("REGEXEXTRACT(C64, """"""([^""""]+)"""""")"),"Items.Boots_06_old_01")</f>
        <v>Items.Boots_06_old_01</v>
      </c>
    </row>
    <row r="65">
      <c r="A65" s="8" t="s">
        <v>36</v>
      </c>
      <c r="B65" s="13" t="s">
        <v>82</v>
      </c>
      <c r="C65" s="5" t="s">
        <v>2944</v>
      </c>
      <c r="D65" s="11" t="s">
        <v>2945</v>
      </c>
      <c r="E65" s="7" t="str">
        <f>IFERROR(__xludf.DUMMYFUNCTION("REGEXEXTRACT(C65, """"""([^""""]+)"""""")"),"Items.CasualShoes_01_basic_04")</f>
        <v>Items.CasualShoes_01_basic_04</v>
      </c>
    </row>
    <row r="66">
      <c r="A66" s="8" t="s">
        <v>36</v>
      </c>
      <c r="B66" s="13" t="s">
        <v>82</v>
      </c>
      <c r="C66" s="5" t="s">
        <v>2946</v>
      </c>
      <c r="D66" s="11" t="s">
        <v>2947</v>
      </c>
      <c r="E66" s="7" t="str">
        <f>IFERROR(__xludf.DUMMYFUNCTION("REGEXEXTRACT(C66, """"""([^""""]+)"""""")"),"Items.CasualShoes_05_rich_03")</f>
        <v>Items.CasualShoes_05_rich_03</v>
      </c>
    </row>
    <row r="67">
      <c r="A67" s="8" t="s">
        <v>36</v>
      </c>
      <c r="B67" s="13" t="s">
        <v>82</v>
      </c>
      <c r="C67" s="5" t="s">
        <v>2948</v>
      </c>
      <c r="D67" s="11" t="s">
        <v>2949</v>
      </c>
      <c r="E67" s="7" t="str">
        <f>IFERROR(__xludf.DUMMYFUNCTION("REGEXEXTRACT(C67, """"""([^""""]+)"""""")"),"Items.Boots_03_basic_02")</f>
        <v>Items.Boots_03_basic_02</v>
      </c>
    </row>
    <row r="68">
      <c r="A68" s="8" t="s">
        <v>36</v>
      </c>
      <c r="B68" s="13" t="s">
        <v>82</v>
      </c>
      <c r="C68" s="5" t="s">
        <v>2950</v>
      </c>
      <c r="D68" s="11" t="s">
        <v>2951</v>
      </c>
      <c r="E68" s="7" t="str">
        <f>IFERROR(__xludf.DUMMYFUNCTION("REGEXEXTRACT(C68, """"""([^""""]+)"""""")"),"Items.FormalShoes_03_basic_01")</f>
        <v>Items.FormalShoes_03_basic_01</v>
      </c>
    </row>
    <row r="69">
      <c r="A69" s="8" t="s">
        <v>36</v>
      </c>
      <c r="B69" s="13" t="s">
        <v>82</v>
      </c>
      <c r="C69" s="5" t="s">
        <v>2952</v>
      </c>
      <c r="D69" s="11" t="s">
        <v>2953</v>
      </c>
      <c r="E69" s="7" t="str">
        <f>IFERROR(__xludf.DUMMYFUNCTION("REGEXEXTRACT(C69, """"""([^""""]+)"""""")"),"Items.Boots_05_old_03")</f>
        <v>Items.Boots_05_old_03</v>
      </c>
    </row>
    <row r="70">
      <c r="A70" s="8" t="s">
        <v>36</v>
      </c>
      <c r="B70" s="13" t="s">
        <v>82</v>
      </c>
      <c r="C70" s="5" t="s">
        <v>2954</v>
      </c>
      <c r="D70" s="11" t="s">
        <v>2955</v>
      </c>
      <c r="E70" s="7" t="str">
        <f>IFERROR(__xludf.DUMMYFUNCTION("REGEXEXTRACT(C70, """"""([^""""]+)"""""")"),"Items.Boots_09_rich_03")</f>
        <v>Items.Boots_09_rich_03</v>
      </c>
    </row>
    <row r="71">
      <c r="A71" s="8" t="s">
        <v>36</v>
      </c>
      <c r="B71" s="13" t="s">
        <v>82</v>
      </c>
      <c r="C71" s="5" t="s">
        <v>2956</v>
      </c>
      <c r="D71" s="11" t="s">
        <v>2957</v>
      </c>
      <c r="E71" s="7" t="str">
        <f>IFERROR(__xludf.DUMMYFUNCTION("REGEXEXTRACT(C71, """"""([^""""]+)"""""")"),"Items.Boots_10_old_02")</f>
        <v>Items.Boots_10_old_02</v>
      </c>
    </row>
    <row r="72">
      <c r="A72" s="8" t="s">
        <v>36</v>
      </c>
      <c r="B72" s="13" t="s">
        <v>82</v>
      </c>
      <c r="C72" s="5" t="s">
        <v>2958</v>
      </c>
      <c r="D72" s="11" t="s">
        <v>2959</v>
      </c>
      <c r="E72" s="7" t="str">
        <f>IFERROR(__xludf.DUMMYFUNCTION("REGEXEXTRACT(C72, """"""([^""""]+)"""""")"),"Items.Boots_08_basic_02")</f>
        <v>Items.Boots_08_basic_02</v>
      </c>
    </row>
    <row r="73">
      <c r="A73" s="8" t="s">
        <v>36</v>
      </c>
      <c r="B73" s="13" t="s">
        <v>82</v>
      </c>
      <c r="C73" s="5" t="s">
        <v>2960</v>
      </c>
      <c r="D73" s="11" t="s">
        <v>2961</v>
      </c>
      <c r="E73" s="7" t="str">
        <f>IFERROR(__xludf.DUMMYFUNCTION("REGEXEXTRACT(C73, """"""([^""""]+)"""""")"),"Items.Boots_01_basic_01")</f>
        <v>Items.Boots_01_basic_01</v>
      </c>
    </row>
    <row r="74">
      <c r="A74" s="8" t="s">
        <v>36</v>
      </c>
      <c r="B74" s="13" t="s">
        <v>82</v>
      </c>
      <c r="C74" s="5" t="s">
        <v>2962</v>
      </c>
      <c r="D74" s="11" t="s">
        <v>2963</v>
      </c>
      <c r="E74" s="7" t="str">
        <f>IFERROR(__xludf.DUMMYFUNCTION("REGEXEXTRACT(C74, """"""([^""""]+)"""""")"),"Items.FormalShoes_02_basic_01")</f>
        <v>Items.FormalShoes_02_basic_01</v>
      </c>
    </row>
    <row r="75">
      <c r="A75" s="8" t="s">
        <v>36</v>
      </c>
      <c r="B75" s="13" t="s">
        <v>82</v>
      </c>
      <c r="C75" s="5" t="s">
        <v>2964</v>
      </c>
      <c r="D75" s="11" t="s">
        <v>2965</v>
      </c>
      <c r="E75" s="7" t="str">
        <f>IFERROR(__xludf.DUMMYFUNCTION("REGEXEXTRACT(C75, """"""([^""""]+)"""""")"),"Items.Boots_11_old_02")</f>
        <v>Items.Boots_11_old_02</v>
      </c>
    </row>
    <row r="76">
      <c r="A76" s="8" t="s">
        <v>36</v>
      </c>
      <c r="B76" s="13" t="s">
        <v>82</v>
      </c>
      <c r="C76" s="5" t="s">
        <v>2966</v>
      </c>
      <c r="D76" s="11" t="s">
        <v>2967</v>
      </c>
      <c r="E76" s="7" t="str">
        <f>IFERROR(__xludf.DUMMYFUNCTION("REGEXEXTRACT(C76, """"""([^""""]+)"""""")"),"Items.Boots_08_old_01")</f>
        <v>Items.Boots_08_old_01</v>
      </c>
    </row>
    <row r="77">
      <c r="A77" s="8" t="s">
        <v>36</v>
      </c>
      <c r="B77" s="13" t="s">
        <v>82</v>
      </c>
      <c r="C77" s="5" t="s">
        <v>2968</v>
      </c>
      <c r="D77" s="11" t="s">
        <v>2969</v>
      </c>
      <c r="E77" s="7" t="str">
        <f>IFERROR(__xludf.DUMMYFUNCTION("REGEXEXTRACT(C77, """"""([^""""]+)"""""")"),"Items.CasualShoes_06_basic_02")</f>
        <v>Items.CasualShoes_06_basic_02</v>
      </c>
    </row>
    <row r="78">
      <c r="A78" s="8" t="s">
        <v>36</v>
      </c>
      <c r="B78" s="13" t="s">
        <v>82</v>
      </c>
      <c r="C78" s="5" t="s">
        <v>2970</v>
      </c>
      <c r="D78" s="11" t="s">
        <v>2971</v>
      </c>
      <c r="E78" s="7" t="str">
        <f>IFERROR(__xludf.DUMMYFUNCTION("REGEXEXTRACT(C78, """"""([^""""]+)"""""")"),"Items.CasualShoes_07_basic_01")</f>
        <v>Items.CasualShoes_07_basic_01</v>
      </c>
    </row>
    <row r="79">
      <c r="A79" s="8" t="s">
        <v>36</v>
      </c>
      <c r="B79" s="13" t="s">
        <v>82</v>
      </c>
      <c r="C79" s="5" t="s">
        <v>2972</v>
      </c>
      <c r="D79" s="11" t="s">
        <v>2973</v>
      </c>
      <c r="E79" s="7" t="str">
        <f>IFERROR(__xludf.DUMMYFUNCTION("REGEXEXTRACT(C79, """"""([^""""]+)"""""")"),"Items.Boots_06_rich_01")</f>
        <v>Items.Boots_06_rich_01</v>
      </c>
    </row>
    <row r="80">
      <c r="A80" s="8" t="s">
        <v>36</v>
      </c>
      <c r="B80" s="13" t="s">
        <v>82</v>
      </c>
      <c r="C80" s="5" t="s">
        <v>2974</v>
      </c>
      <c r="D80" s="11" t="s">
        <v>2975</v>
      </c>
      <c r="E80" s="7" t="str">
        <f>IFERROR(__xludf.DUMMYFUNCTION("REGEXEXTRACT(C80, """"""([^""""]+)"""""")"),"Items.CasualShoes_05_old_02")</f>
        <v>Items.CasualShoes_05_old_02</v>
      </c>
    </row>
    <row r="81">
      <c r="A81" s="8" t="s">
        <v>36</v>
      </c>
      <c r="B81" s="13" t="s">
        <v>82</v>
      </c>
      <c r="C81" s="5" t="s">
        <v>2976</v>
      </c>
      <c r="D81" s="11" t="s">
        <v>2977</v>
      </c>
      <c r="E81" s="7" t="str">
        <f>IFERROR(__xludf.DUMMYFUNCTION("REGEXEXTRACT(C81, """"""([^""""]+)"""""")"),"Items.Boots_10_old_01")</f>
        <v>Items.Boots_10_old_01</v>
      </c>
    </row>
    <row r="82">
      <c r="A82" s="8" t="s">
        <v>36</v>
      </c>
      <c r="B82" s="13" t="s">
        <v>82</v>
      </c>
      <c r="C82" s="5" t="s">
        <v>2978</v>
      </c>
      <c r="D82" s="11" t="s">
        <v>2979</v>
      </c>
      <c r="E82" s="7" t="str">
        <f>IFERROR(__xludf.DUMMYFUNCTION("REGEXEXTRACT(C82, """"""([^""""]+)"""""")"),"Items.Boots_03_old_02")</f>
        <v>Items.Boots_03_old_02</v>
      </c>
    </row>
    <row r="83">
      <c r="A83" s="8" t="s">
        <v>36</v>
      </c>
      <c r="B83" s="13" t="s">
        <v>82</v>
      </c>
      <c r="C83" s="5" t="s">
        <v>2980</v>
      </c>
      <c r="D83" s="11" t="s">
        <v>2981</v>
      </c>
      <c r="E83" s="7" t="str">
        <f>IFERROR(__xludf.DUMMYFUNCTION("REGEXEXTRACT(C83, """"""([^""""]+)"""""")"),"Items.CasualShoes_01_old_02")</f>
        <v>Items.CasualShoes_01_old_02</v>
      </c>
    </row>
    <row r="84">
      <c r="A84" s="8" t="s">
        <v>36</v>
      </c>
      <c r="B84" s="13" t="s">
        <v>82</v>
      </c>
      <c r="C84" s="5" t="s">
        <v>2982</v>
      </c>
      <c r="D84" s="11" t="s">
        <v>2983</v>
      </c>
      <c r="E84" s="7" t="str">
        <f>IFERROR(__xludf.DUMMYFUNCTION("REGEXEXTRACT(C84, """"""([^""""]+)"""""")"),"Items.CasualShoes_06_old_02")</f>
        <v>Items.CasualShoes_06_old_02</v>
      </c>
    </row>
    <row r="85">
      <c r="A85" s="8" t="s">
        <v>36</v>
      </c>
      <c r="B85" s="13" t="s">
        <v>82</v>
      </c>
      <c r="C85" s="5" t="s">
        <v>2984</v>
      </c>
      <c r="D85" s="11" t="s">
        <v>2985</v>
      </c>
      <c r="E85" s="7" t="str">
        <f>IFERROR(__xludf.DUMMYFUNCTION("REGEXEXTRACT(C85, """"""([^""""]+)"""""")"),"Items.FormalShoes_01_rich_01")</f>
        <v>Items.FormalShoes_01_rich_01</v>
      </c>
    </row>
    <row r="86">
      <c r="A86" s="8" t="s">
        <v>36</v>
      </c>
      <c r="B86" s="13" t="s">
        <v>82</v>
      </c>
      <c r="C86" s="5" t="s">
        <v>2986</v>
      </c>
      <c r="D86" s="11" t="s">
        <v>2987</v>
      </c>
      <c r="E86" s="7" t="str">
        <f>IFERROR(__xludf.DUMMYFUNCTION("REGEXEXTRACT(C86, """"""([^""""]+)"""""")"),"Items.FormalShoes_02_rich_01")</f>
        <v>Items.FormalShoes_02_rich_01</v>
      </c>
    </row>
    <row r="87">
      <c r="A87" s="8" t="s">
        <v>36</v>
      </c>
      <c r="B87" s="13" t="s">
        <v>82</v>
      </c>
      <c r="C87" s="5" t="s">
        <v>2988</v>
      </c>
      <c r="D87" s="11" t="s">
        <v>2989</v>
      </c>
      <c r="E87" s="7" t="str">
        <f>IFERROR(__xludf.DUMMYFUNCTION("REGEXEXTRACT(C87, """"""([^""""]+)"""""")"),"Items.FormalShoes_01_basic_01")</f>
        <v>Items.FormalShoes_01_basic_01</v>
      </c>
    </row>
    <row r="88">
      <c r="A88" s="8" t="s">
        <v>36</v>
      </c>
      <c r="B88" s="13" t="s">
        <v>82</v>
      </c>
      <c r="C88" s="5" t="s">
        <v>2990</v>
      </c>
      <c r="D88" s="11" t="s">
        <v>2991</v>
      </c>
      <c r="E88" s="7" t="str">
        <f>IFERROR(__xludf.DUMMYFUNCTION("REGEXEXTRACT(C88, """"""([^""""]+)"""""")"),"Items.CasualShoes_04_old_01")</f>
        <v>Items.CasualShoes_04_old_01</v>
      </c>
    </row>
    <row r="89">
      <c r="A89" s="8" t="s">
        <v>36</v>
      </c>
      <c r="B89" s="13" t="s">
        <v>82</v>
      </c>
      <c r="C89" s="5" t="s">
        <v>2992</v>
      </c>
      <c r="D89" s="11" t="s">
        <v>2993</v>
      </c>
      <c r="E89" s="7" t="str">
        <f>IFERROR(__xludf.DUMMYFUNCTION("REGEXEXTRACT(C89, """"""([^""""]+)"""""")"),"Items.Boots_06_basic_02")</f>
        <v>Items.Boots_06_basic_02</v>
      </c>
    </row>
    <row r="90">
      <c r="A90" s="8" t="s">
        <v>36</v>
      </c>
      <c r="B90" s="13" t="s">
        <v>82</v>
      </c>
      <c r="C90" s="5" t="s">
        <v>2994</v>
      </c>
      <c r="D90" s="11" t="s">
        <v>2995</v>
      </c>
      <c r="E90" s="7" t="str">
        <f>IFERROR(__xludf.DUMMYFUNCTION("REGEXEXTRACT(C90, """"""([^""""]+)"""""")"),"Items.Boots_04_basic_01")</f>
        <v>Items.Boots_04_basic_01</v>
      </c>
    </row>
    <row r="91">
      <c r="A91" s="8" t="s">
        <v>36</v>
      </c>
      <c r="B91" s="13" t="s">
        <v>82</v>
      </c>
      <c r="C91" s="5" t="s">
        <v>2996</v>
      </c>
      <c r="D91" s="11" t="s">
        <v>2997</v>
      </c>
      <c r="E91" s="7" t="str">
        <f>IFERROR(__xludf.DUMMYFUNCTION("REGEXEXTRACT(C91, """"""([^""""]+)"""""")"),"Items.Boots_01_rich_01")</f>
        <v>Items.Boots_01_rich_01</v>
      </c>
    </row>
    <row r="92">
      <c r="A92" s="8" t="s">
        <v>36</v>
      </c>
      <c r="B92" s="13" t="s">
        <v>82</v>
      </c>
      <c r="C92" s="5" t="s">
        <v>2998</v>
      </c>
      <c r="D92" s="11" t="s">
        <v>2999</v>
      </c>
      <c r="E92" s="7" t="str">
        <f>IFERROR(__xludf.DUMMYFUNCTION("REGEXEXTRACT(C92, """"""([^""""]+)"""""")"),"Items.CasualShoes_06_basic_01")</f>
        <v>Items.CasualShoes_06_basic_01</v>
      </c>
    </row>
    <row r="93">
      <c r="A93" s="8" t="s">
        <v>36</v>
      </c>
      <c r="B93" s="13" t="s">
        <v>82</v>
      </c>
      <c r="C93" s="5" t="s">
        <v>3000</v>
      </c>
      <c r="D93" s="11" t="s">
        <v>3001</v>
      </c>
      <c r="E93" s="7" t="str">
        <f>IFERROR(__xludf.DUMMYFUNCTION("REGEXEXTRACT(C93, """"""([^""""]+)"""""")"),"Items.CasualShoes_01_basic_05")</f>
        <v>Items.CasualShoes_01_basic_05</v>
      </c>
    </row>
    <row r="94">
      <c r="A94" s="8" t="s">
        <v>36</v>
      </c>
      <c r="B94" s="13" t="s">
        <v>82</v>
      </c>
      <c r="C94" s="5" t="s">
        <v>3002</v>
      </c>
      <c r="D94" s="11" t="s">
        <v>3003</v>
      </c>
      <c r="E94" s="7" t="str">
        <f>IFERROR(__xludf.DUMMYFUNCTION("REGEXEXTRACT(C94, """"""([^""""]+)"""""")"),"Items.Boots_07_old_01")</f>
        <v>Items.Boots_07_old_01</v>
      </c>
    </row>
    <row r="95">
      <c r="A95" s="8" t="s">
        <v>36</v>
      </c>
      <c r="B95" s="13" t="s">
        <v>82</v>
      </c>
      <c r="C95" s="5" t="s">
        <v>3004</v>
      </c>
      <c r="D95" s="11" t="s">
        <v>3005</v>
      </c>
      <c r="E95" s="7" t="str">
        <f>IFERROR(__xludf.DUMMYFUNCTION("REGEXEXTRACT(C95, """"""([^""""]+)"""""")"),"Items.Boots_03_rich_02")</f>
        <v>Items.Boots_03_rich_02</v>
      </c>
    </row>
    <row r="96">
      <c r="A96" s="8" t="s">
        <v>36</v>
      </c>
      <c r="B96" s="13" t="s">
        <v>82</v>
      </c>
      <c r="C96" s="5" t="s">
        <v>3006</v>
      </c>
      <c r="D96" s="11" t="s">
        <v>3007</v>
      </c>
      <c r="E96" s="7" t="str">
        <f>IFERROR(__xludf.DUMMYFUNCTION("REGEXEXTRACT(C96, """"""([^""""]+)"""""")"),"Items.Boots_07_rich_02")</f>
        <v>Items.Boots_07_rich_02</v>
      </c>
    </row>
    <row r="97">
      <c r="A97" s="8" t="s">
        <v>36</v>
      </c>
      <c r="B97" s="13" t="s">
        <v>82</v>
      </c>
      <c r="C97" s="5" t="s">
        <v>3008</v>
      </c>
      <c r="D97" s="11" t="s">
        <v>3009</v>
      </c>
      <c r="E97" s="7" t="str">
        <f>IFERROR(__xludf.DUMMYFUNCTION("REGEXEXTRACT(C97, """"""([^""""]+)"""""")"),"Items.CasualShoes_01_basic_01")</f>
        <v>Items.CasualShoes_01_basic_01</v>
      </c>
    </row>
    <row r="98">
      <c r="A98" s="8" t="s">
        <v>36</v>
      </c>
      <c r="B98" s="13" t="s">
        <v>82</v>
      </c>
      <c r="C98" s="5" t="s">
        <v>3010</v>
      </c>
      <c r="D98" s="11" t="s">
        <v>3011</v>
      </c>
      <c r="E98" s="7" t="str">
        <f>IFERROR(__xludf.DUMMYFUNCTION("REGEXEXTRACT(C98, """"""([^""""]+)"""""")"),"Items.CasualShoes_05_rich_02")</f>
        <v>Items.CasualShoes_05_rich_02</v>
      </c>
    </row>
    <row r="99">
      <c r="A99" s="8" t="s">
        <v>36</v>
      </c>
      <c r="B99" s="13" t="s">
        <v>82</v>
      </c>
      <c r="C99" s="5" t="s">
        <v>3012</v>
      </c>
      <c r="D99" s="11" t="s">
        <v>3013</v>
      </c>
      <c r="E99" s="7" t="str">
        <f>IFERROR(__xludf.DUMMYFUNCTION("REGEXEXTRACT(C99, """"""([^""""]+)"""""")"),"Items.CasualShoes_04_old_02")</f>
        <v>Items.CasualShoes_04_old_02</v>
      </c>
    </row>
    <row r="100">
      <c r="A100" s="8" t="s">
        <v>36</v>
      </c>
      <c r="B100" s="13" t="s">
        <v>82</v>
      </c>
      <c r="C100" s="5" t="s">
        <v>3014</v>
      </c>
      <c r="D100" s="11" t="s">
        <v>3015</v>
      </c>
      <c r="E100" s="7" t="str">
        <f>IFERROR(__xludf.DUMMYFUNCTION("REGEXEXTRACT(C100, """"""([^""""]+)"""""")"),"Items.Boots_04_old_02")</f>
        <v>Items.Boots_04_old_02</v>
      </c>
    </row>
    <row r="101">
      <c r="A101" s="8" t="s">
        <v>36</v>
      </c>
      <c r="B101" s="13" t="s">
        <v>82</v>
      </c>
      <c r="C101" s="5" t="s">
        <v>3016</v>
      </c>
      <c r="D101" s="11" t="s">
        <v>3017</v>
      </c>
      <c r="E101" s="7" t="str">
        <f>IFERROR(__xludf.DUMMYFUNCTION("REGEXEXTRACT(C101, """"""([^""""]+)"""""")"),"Items.Boots_01_old_01")</f>
        <v>Items.Boots_01_old_01</v>
      </c>
    </row>
    <row r="102">
      <c r="A102" s="8" t="s">
        <v>36</v>
      </c>
      <c r="B102" s="13" t="s">
        <v>82</v>
      </c>
      <c r="C102" s="5" t="s">
        <v>3018</v>
      </c>
      <c r="D102" s="11" t="s">
        <v>3019</v>
      </c>
      <c r="E102" s="7" t="str">
        <f>IFERROR(__xludf.DUMMYFUNCTION("REGEXEXTRACT(C102, """"""([^""""]+)"""""")"),"Items.Boots_10_rich_02")</f>
        <v>Items.Boots_10_rich_02</v>
      </c>
    </row>
    <row r="103">
      <c r="A103" s="8" t="s">
        <v>36</v>
      </c>
      <c r="B103" s="13" t="s">
        <v>82</v>
      </c>
      <c r="C103" s="5" t="s">
        <v>3020</v>
      </c>
      <c r="D103" s="11" t="s">
        <v>3021</v>
      </c>
      <c r="E103" s="7" t="str">
        <f>IFERROR(__xludf.DUMMYFUNCTION("REGEXEXTRACT(C103, """"""([^""""]+)"""""")"),"Items.Boots_09_basic_02")</f>
        <v>Items.Boots_09_basic_02</v>
      </c>
    </row>
    <row r="104">
      <c r="A104" s="8" t="s">
        <v>36</v>
      </c>
      <c r="B104" s="13" t="s">
        <v>82</v>
      </c>
      <c r="C104" s="5" t="s">
        <v>3022</v>
      </c>
      <c r="D104" s="11" t="s">
        <v>3023</v>
      </c>
      <c r="E104" s="7" t="str">
        <f>IFERROR(__xludf.DUMMYFUNCTION("REGEXEXTRACT(C104, """"""([^""""]+)"""""")"),"Items.CasualShoes_01_basic_03")</f>
        <v>Items.CasualShoes_01_basic_03</v>
      </c>
    </row>
    <row r="105">
      <c r="A105" s="8" t="s">
        <v>36</v>
      </c>
      <c r="B105" s="13" t="s">
        <v>82</v>
      </c>
      <c r="C105" s="5" t="s">
        <v>3024</v>
      </c>
      <c r="D105" s="11" t="s">
        <v>3025</v>
      </c>
      <c r="E105" s="7" t="str">
        <f>IFERROR(__xludf.DUMMYFUNCTION("REGEXEXTRACT(C105, """"""([^""""]+)"""""")"),"Items.Boots_05_basic_02")</f>
        <v>Items.Boots_05_basic_02</v>
      </c>
    </row>
    <row r="106">
      <c r="A106" s="8" t="s">
        <v>36</v>
      </c>
      <c r="B106" s="13" t="s">
        <v>82</v>
      </c>
      <c r="C106" s="5" t="s">
        <v>3026</v>
      </c>
      <c r="D106" s="11" t="s">
        <v>3027</v>
      </c>
      <c r="E106" s="7" t="str">
        <f>IFERROR(__xludf.DUMMYFUNCTION("REGEXEXTRACT(C106, """"""([^""""]+)"""""")"),"Items.Boots_04_old_01")</f>
        <v>Items.Boots_04_old_01</v>
      </c>
    </row>
    <row r="107">
      <c r="A107" s="8" t="s">
        <v>36</v>
      </c>
      <c r="B107" s="13" t="s">
        <v>82</v>
      </c>
      <c r="C107" s="5" t="s">
        <v>3028</v>
      </c>
      <c r="D107" s="11" t="s">
        <v>3029</v>
      </c>
      <c r="E107" s="7" t="str">
        <f>IFERROR(__xludf.DUMMYFUNCTION("REGEXEXTRACT(C107, """"""([^""""]+)"""""")"),"Items.CasualShoes_05_old_01")</f>
        <v>Items.CasualShoes_05_old_01</v>
      </c>
    </row>
    <row r="108">
      <c r="A108" s="8" t="s">
        <v>36</v>
      </c>
      <c r="B108" s="13" t="s">
        <v>82</v>
      </c>
      <c r="C108" s="5" t="s">
        <v>3030</v>
      </c>
      <c r="D108" s="11" t="s">
        <v>3031</v>
      </c>
      <c r="E108" s="7" t="str">
        <f>IFERROR(__xludf.DUMMYFUNCTION("REGEXEXTRACT(C108, """"""([^""""]+)"""""")"),"Items.Boots_05_old_02")</f>
        <v>Items.Boots_05_old_02</v>
      </c>
    </row>
    <row r="109">
      <c r="A109" s="8" t="s">
        <v>36</v>
      </c>
      <c r="B109" s="13" t="s">
        <v>82</v>
      </c>
      <c r="C109" s="5" t="s">
        <v>3032</v>
      </c>
      <c r="D109" s="11" t="s">
        <v>3033</v>
      </c>
      <c r="E109" s="7" t="str">
        <f>IFERROR(__xludf.DUMMYFUNCTION("REGEXEXTRACT(C109, """"""([^""""]+)"""""")"),"Items.Boots_02_basic_02")</f>
        <v>Items.Boots_02_basic_02</v>
      </c>
    </row>
    <row r="110">
      <c r="A110" s="8" t="s">
        <v>36</v>
      </c>
      <c r="B110" s="13" t="s">
        <v>82</v>
      </c>
      <c r="C110" s="5" t="s">
        <v>3034</v>
      </c>
      <c r="D110" s="11" t="s">
        <v>3035</v>
      </c>
      <c r="E110" s="7" t="str">
        <f>IFERROR(__xludf.DUMMYFUNCTION("REGEXEXTRACT(C110, """"""([^""""]+)"""""")"),"Items.Boots_03_old_01")</f>
        <v>Items.Boots_03_old_01</v>
      </c>
    </row>
    <row r="111">
      <c r="A111" s="8" t="s">
        <v>36</v>
      </c>
      <c r="B111" s="13" t="s">
        <v>82</v>
      </c>
      <c r="C111" s="5" t="s">
        <v>3036</v>
      </c>
      <c r="D111" s="11" t="s">
        <v>3037</v>
      </c>
      <c r="E111" s="7" t="str">
        <f>IFERROR(__xludf.DUMMYFUNCTION("REGEXEXTRACT(C111, """"""([^""""]+)"""""")"),"Items.Boots_10_basic_01")</f>
        <v>Items.Boots_10_basic_01</v>
      </c>
    </row>
    <row r="112">
      <c r="A112" s="8" t="s">
        <v>36</v>
      </c>
      <c r="B112" s="13" t="s">
        <v>82</v>
      </c>
      <c r="C112" s="5" t="s">
        <v>3038</v>
      </c>
      <c r="D112" s="11" t="s">
        <v>3039</v>
      </c>
      <c r="E112" s="7" t="str">
        <f>IFERROR(__xludf.DUMMYFUNCTION("REGEXEXTRACT(C112, """"""([^""""]+)"""""")"),"Items.FormalShoes_03_basic_02")</f>
        <v>Items.FormalShoes_03_basic_02</v>
      </c>
    </row>
    <row r="113">
      <c r="A113" s="8" t="s">
        <v>36</v>
      </c>
      <c r="B113" s="13" t="s">
        <v>82</v>
      </c>
      <c r="C113" s="5" t="s">
        <v>3040</v>
      </c>
      <c r="D113" s="11" t="s">
        <v>3041</v>
      </c>
      <c r="E113" s="7" t="str">
        <f>IFERROR(__xludf.DUMMYFUNCTION("REGEXEXTRACT(C113, """"""([^""""]+)"""""")"),"Items.CasualShoes_01_old_01")</f>
        <v>Items.CasualShoes_01_old_01</v>
      </c>
    </row>
    <row r="114">
      <c r="A114" s="8" t="s">
        <v>36</v>
      </c>
      <c r="B114" s="13" t="s">
        <v>82</v>
      </c>
      <c r="C114" s="5" t="s">
        <v>3042</v>
      </c>
      <c r="D114" s="11" t="s">
        <v>3043</v>
      </c>
      <c r="E114" s="7" t="str">
        <f>IFERROR(__xludf.DUMMYFUNCTION("REGEXEXTRACT(C114, """"""([^""""]+)"""""")"),"Items.Boots_02_old_02")</f>
        <v>Items.Boots_02_old_02</v>
      </c>
    </row>
    <row r="115">
      <c r="A115" s="8" t="s">
        <v>36</v>
      </c>
      <c r="B115" s="13" t="s">
        <v>82</v>
      </c>
      <c r="C115" s="5" t="s">
        <v>3044</v>
      </c>
      <c r="D115" s="11" t="s">
        <v>3045</v>
      </c>
      <c r="E115" s="7" t="str">
        <f>IFERROR(__xludf.DUMMYFUNCTION("REGEXEXTRACT(C115, """"""([^""""]+)"""""")"),"Items.Boots_09_old_02")</f>
        <v>Items.Boots_09_old_02</v>
      </c>
    </row>
    <row r="116">
      <c r="A116" s="8" t="s">
        <v>36</v>
      </c>
      <c r="B116" s="13" t="s">
        <v>82</v>
      </c>
      <c r="C116" s="5" t="s">
        <v>3046</v>
      </c>
      <c r="D116" s="11" t="s">
        <v>3047</v>
      </c>
      <c r="E116" s="7" t="str">
        <f>IFERROR(__xludf.DUMMYFUNCTION("REGEXEXTRACT(C116, """"""([^""""]+)"""""")"),"Items.CasualShoes_07_old_03")</f>
        <v>Items.CasualShoes_07_old_03</v>
      </c>
    </row>
    <row r="117">
      <c r="A117" s="8" t="s">
        <v>36</v>
      </c>
      <c r="B117" s="13" t="s">
        <v>82</v>
      </c>
      <c r="C117" s="5" t="s">
        <v>3048</v>
      </c>
      <c r="D117" s="11" t="s">
        <v>3049</v>
      </c>
      <c r="E117" s="7" t="str">
        <f>IFERROR(__xludf.DUMMYFUNCTION("REGEXEXTRACT(C117, """"""([^""""]+)"""""")"),"Items.Boots_10_basic_02")</f>
        <v>Items.Boots_10_basic_02</v>
      </c>
    </row>
    <row r="118">
      <c r="A118" s="8" t="s">
        <v>36</v>
      </c>
      <c r="B118" s="13" t="s">
        <v>82</v>
      </c>
      <c r="C118" s="5" t="s">
        <v>3050</v>
      </c>
      <c r="D118" s="11" t="s">
        <v>3051</v>
      </c>
      <c r="E118" s="7" t="str">
        <f>IFERROR(__xludf.DUMMYFUNCTION("REGEXEXTRACT(C118, """"""([^""""]+)"""""")"),"Items.Boots_02_old_01")</f>
        <v>Items.Boots_02_old_01</v>
      </c>
    </row>
    <row r="119">
      <c r="A119" s="8" t="s">
        <v>36</v>
      </c>
      <c r="B119" s="13" t="s">
        <v>82</v>
      </c>
      <c r="C119" s="5" t="s">
        <v>3052</v>
      </c>
      <c r="D119" s="11" t="s">
        <v>3053</v>
      </c>
      <c r="E119" s="7" t="str">
        <f>IFERROR(__xludf.DUMMYFUNCTION("REGEXEXTRACT(C119, """"""([^""""]+)"""""")"),"Items.CasualShoes_07_rich_03")</f>
        <v>Items.CasualShoes_07_rich_03</v>
      </c>
    </row>
    <row r="120">
      <c r="A120" s="8" t="s">
        <v>36</v>
      </c>
      <c r="B120" s="13" t="s">
        <v>82</v>
      </c>
      <c r="C120" s="5" t="s">
        <v>3054</v>
      </c>
      <c r="D120" s="11" t="s">
        <v>3055</v>
      </c>
      <c r="E120" s="7" t="str">
        <f>IFERROR(__xludf.DUMMYFUNCTION("REGEXEXTRACT(C120, """"""([^""""]+)"""""")"),"Items.Boots_11_basic_02")</f>
        <v>Items.Boots_11_basic_02</v>
      </c>
    </row>
    <row r="121">
      <c r="A121" s="8" t="s">
        <v>36</v>
      </c>
      <c r="B121" s="13" t="s">
        <v>82</v>
      </c>
      <c r="C121" s="5" t="s">
        <v>3056</v>
      </c>
      <c r="D121" s="11" t="s">
        <v>3057</v>
      </c>
      <c r="E121" s="7" t="str">
        <f>IFERROR(__xludf.DUMMYFUNCTION("REGEXEXTRACT(C121, """"""([^""""]+)"""""")"),"Items.CasualShoes_05_basic_02")</f>
        <v>Items.CasualShoes_05_basic_02</v>
      </c>
    </row>
    <row r="122">
      <c r="A122" s="8" t="s">
        <v>36</v>
      </c>
      <c r="B122" s="3" t="s">
        <v>37</v>
      </c>
      <c r="C122" s="5" t="s">
        <v>3058</v>
      </c>
      <c r="D122" s="11" t="s">
        <v>3059</v>
      </c>
      <c r="E122" s="7" t="str">
        <f>IFERROR(__xludf.DUMMYFUNCTION("REGEXEXTRACT(C122, """"""([^""""]+)"""""")"),"Items.Boots_12_old_03")</f>
        <v>Items.Boots_12_old_03</v>
      </c>
    </row>
    <row r="123">
      <c r="A123" s="8" t="s">
        <v>36</v>
      </c>
      <c r="B123" s="3" t="s">
        <v>37</v>
      </c>
      <c r="C123" s="5" t="s">
        <v>3060</v>
      </c>
      <c r="D123" s="11" t="s">
        <v>3061</v>
      </c>
      <c r="E123" s="7" t="str">
        <f>IFERROR(__xludf.DUMMYFUNCTION("REGEXEXTRACT(C123, """"""([^""""]+)"""""")"),"Items.Boots_12_rich_01")</f>
        <v>Items.Boots_12_rich_01</v>
      </c>
    </row>
    <row r="124">
      <c r="A124" s="8" t="s">
        <v>36</v>
      </c>
      <c r="B124" s="3" t="s">
        <v>37</v>
      </c>
      <c r="C124" s="5" t="s">
        <v>3062</v>
      </c>
      <c r="D124" s="11" t="s">
        <v>3063</v>
      </c>
      <c r="E124" s="7" t="str">
        <f>IFERROR(__xludf.DUMMYFUNCTION("REGEXEXTRACT(C124, """"""([^""""]+)"""""")"),"Items.Boots_12_basic_02")</f>
        <v>Items.Boots_12_basic_02</v>
      </c>
    </row>
    <row r="125">
      <c r="A125" s="8" t="s">
        <v>36</v>
      </c>
      <c r="B125" s="3" t="s">
        <v>37</v>
      </c>
      <c r="C125" s="5" t="s">
        <v>3064</v>
      </c>
      <c r="D125" s="11" t="s">
        <v>3065</v>
      </c>
      <c r="E125" s="7" t="str">
        <f>IFERROR(__xludf.DUMMYFUNCTION("REGEXEXTRACT(C125, """"""([^""""]+)"""""")"),"Items.Boots_12_basic_03")</f>
        <v>Items.Boots_12_basic_03</v>
      </c>
    </row>
    <row r="126">
      <c r="A126" s="8" t="s">
        <v>36</v>
      </c>
      <c r="B126" s="3" t="s">
        <v>37</v>
      </c>
      <c r="C126" s="5" t="s">
        <v>3066</v>
      </c>
      <c r="D126" s="11" t="s">
        <v>3067</v>
      </c>
      <c r="E126" s="7" t="str">
        <f>IFERROR(__xludf.DUMMYFUNCTION("REGEXEXTRACT(C126, """"""([^""""]+)"""""")"),"Items.Boots_12_rich_02")</f>
        <v>Items.Boots_12_rich_02</v>
      </c>
    </row>
    <row r="127">
      <c r="A127" s="8" t="s">
        <v>36</v>
      </c>
      <c r="B127" s="3" t="s">
        <v>37</v>
      </c>
      <c r="C127" s="5" t="s">
        <v>3068</v>
      </c>
      <c r="D127" s="11" t="s">
        <v>3069</v>
      </c>
      <c r="E127" s="7" t="str">
        <f>IFERROR(__xludf.DUMMYFUNCTION("REGEXEXTRACT(C127, """"""([^""""]+)"""""")"),"Items.Boots_12_basic_05")</f>
        <v>Items.Boots_12_basic_05</v>
      </c>
    </row>
    <row r="128">
      <c r="A128" s="8" t="s">
        <v>36</v>
      </c>
      <c r="B128" s="3" t="s">
        <v>37</v>
      </c>
      <c r="C128" s="5" t="s">
        <v>3070</v>
      </c>
      <c r="D128" s="11" t="s">
        <v>3071</v>
      </c>
      <c r="E128" s="7" t="str">
        <f>IFERROR(__xludf.DUMMYFUNCTION("REGEXEXTRACT(C128, """"""([^""""]+)"""""")"),"Items.Boots_12_basic_06")</f>
        <v>Items.Boots_12_basic_06</v>
      </c>
    </row>
    <row r="129">
      <c r="A129" s="8" t="s">
        <v>36</v>
      </c>
      <c r="B129" s="3" t="s">
        <v>37</v>
      </c>
      <c r="C129" s="5" t="s">
        <v>3072</v>
      </c>
      <c r="D129" s="11" t="s">
        <v>3073</v>
      </c>
      <c r="E129" s="7" t="str">
        <f>IFERROR(__xludf.DUMMYFUNCTION("REGEXEXTRACT(C129, """"""([^""""]+)"""""")"),"Items.Boots_12_basic_04")</f>
        <v>Items.Boots_12_basic_04</v>
      </c>
    </row>
    <row r="130">
      <c r="A130" s="8" t="s">
        <v>36</v>
      </c>
      <c r="B130" s="3" t="s">
        <v>37</v>
      </c>
      <c r="C130" s="5" t="s">
        <v>3074</v>
      </c>
      <c r="D130" s="11" t="s">
        <v>3075</v>
      </c>
      <c r="E130" s="7" t="str">
        <f>IFERROR(__xludf.DUMMYFUNCTION("REGEXEXTRACT(C130, """"""([^""""]+)"""""")"),"Items.Boots_12_rich_05")</f>
        <v>Items.Boots_12_rich_05</v>
      </c>
    </row>
    <row r="131">
      <c r="A131" s="8" t="s">
        <v>36</v>
      </c>
      <c r="B131" s="3" t="s">
        <v>37</v>
      </c>
      <c r="C131" s="5" t="s">
        <v>3076</v>
      </c>
      <c r="D131" s="11" t="s">
        <v>3077</v>
      </c>
      <c r="E131" s="7" t="str">
        <f>IFERROR(__xludf.DUMMYFUNCTION("REGEXEXTRACT(C131, """"""([^""""]+)"""""")"),"Items.Boots_12_old_01")</f>
        <v>Items.Boots_12_old_01</v>
      </c>
    </row>
    <row r="132">
      <c r="A132" s="8" t="s">
        <v>36</v>
      </c>
      <c r="B132" s="3" t="s">
        <v>37</v>
      </c>
      <c r="C132" s="5" t="s">
        <v>3078</v>
      </c>
      <c r="D132" s="11" t="s">
        <v>3079</v>
      </c>
      <c r="E132" s="7" t="str">
        <f>IFERROR(__xludf.DUMMYFUNCTION("REGEXEXTRACT(C132, """"""([^""""]+)"""""")"),"Items.Boots_12_rich_003")</f>
        <v>Items.Boots_12_rich_003</v>
      </c>
    </row>
    <row r="133">
      <c r="A133" s="8" t="s">
        <v>36</v>
      </c>
      <c r="B133" s="3" t="s">
        <v>37</v>
      </c>
      <c r="C133" s="5" t="s">
        <v>3080</v>
      </c>
      <c r="D133" s="11" t="s">
        <v>3081</v>
      </c>
      <c r="E133" s="7" t="str">
        <f>IFERROR(__xludf.DUMMYFUNCTION("REGEXEXTRACT(C133, """"""([^""""]+)"""""")"),"Items.Boots_12_basic_01")</f>
        <v>Items.Boots_12_basic_01</v>
      </c>
    </row>
    <row r="134">
      <c r="A134" s="8" t="s">
        <v>36</v>
      </c>
      <c r="B134" s="3" t="s">
        <v>37</v>
      </c>
      <c r="C134" s="5" t="s">
        <v>3082</v>
      </c>
      <c r="D134" s="11" t="s">
        <v>3083</v>
      </c>
      <c r="E134" s="7" t="str">
        <f>IFERROR(__xludf.DUMMYFUNCTION("REGEXEXTRACT(C134, """"""([^""""]+)"""""")"),"Items.Boots_12_rich_04")</f>
        <v>Items.Boots_12_rich_04</v>
      </c>
    </row>
    <row r="135">
      <c r="A135" s="8" t="s">
        <v>36</v>
      </c>
      <c r="B135" s="3" t="s">
        <v>37</v>
      </c>
      <c r="C135" s="5" t="s">
        <v>3084</v>
      </c>
      <c r="D135" s="11" t="s">
        <v>3085</v>
      </c>
      <c r="E135" s="7" t="str">
        <f>IFERROR(__xludf.DUMMYFUNCTION("REGEXEXTRACT(C135, """"""([^""""]+)"""""")"),"Items.Boots_12_old_02")</f>
        <v>Items.Boots_12_old_02</v>
      </c>
    </row>
    <row r="136">
      <c r="A136" s="23"/>
      <c r="B136" s="23"/>
      <c r="C136" s="24"/>
      <c r="D136" s="23"/>
      <c r="E136" s="25" t="str">
        <f>IFERROR(__xludf.DUMMYFUNCTION("REGEXEXTRACT(C136, """"""([^""""]+)"""""")"),"#N/A")</f>
        <v>#N/A</v>
      </c>
    </row>
    <row r="137">
      <c r="A137" s="23"/>
      <c r="B137" s="23"/>
      <c r="C137" s="24"/>
      <c r="D137" s="23"/>
      <c r="E137" s="25" t="str">
        <f>IFERROR(__xludf.DUMMYFUNCTION("REGEXEXTRACT(C137, """"""([^""""]+)"""""")"),"#N/A")</f>
        <v>#N/A</v>
      </c>
    </row>
    <row r="138">
      <c r="A138" s="23"/>
      <c r="B138" s="23"/>
      <c r="C138" s="24"/>
      <c r="D138" s="23"/>
      <c r="E138" s="25" t="str">
        <f>IFERROR(__xludf.DUMMYFUNCTION("REGEXEXTRACT(C138, """"""([^""""]+)"""""")"),"#N/A")</f>
        <v>#N/A</v>
      </c>
    </row>
    <row r="139">
      <c r="A139" s="23"/>
      <c r="B139" s="23"/>
      <c r="C139" s="24"/>
      <c r="D139" s="23"/>
      <c r="E139" s="25" t="str">
        <f>IFERROR(__xludf.DUMMYFUNCTION("REGEXEXTRACT(C139, """"""([^""""]+)"""""")"),"#N/A")</f>
        <v>#N/A</v>
      </c>
    </row>
    <row r="140">
      <c r="A140" s="23"/>
      <c r="B140" s="23"/>
      <c r="C140" s="24"/>
      <c r="D140" s="23"/>
      <c r="E140" s="25" t="str">
        <f>IFERROR(__xludf.DUMMYFUNCTION("REGEXEXTRACT(C140, """"""([^""""]+)"""""")"),"#N/A")</f>
        <v>#N/A</v>
      </c>
    </row>
    <row r="141">
      <c r="A141" s="23"/>
      <c r="B141" s="23"/>
      <c r="C141" s="24"/>
      <c r="D141" s="23"/>
      <c r="E141" s="25" t="str">
        <f>IFERROR(__xludf.DUMMYFUNCTION("REGEXEXTRACT(C141, """"""([^""""]+)"""""")"),"#N/A")</f>
        <v>#N/A</v>
      </c>
    </row>
    <row r="142">
      <c r="A142" s="23"/>
      <c r="B142" s="23"/>
      <c r="C142" s="24"/>
      <c r="D142" s="23"/>
      <c r="E142" s="25" t="str">
        <f>IFERROR(__xludf.DUMMYFUNCTION("REGEXEXTRACT(C142, """"""([^""""]+)"""""")"),"#N/A")</f>
        <v>#N/A</v>
      </c>
    </row>
    <row r="143">
      <c r="A143" s="23"/>
      <c r="B143" s="23"/>
      <c r="C143" s="24"/>
      <c r="D143" s="23"/>
      <c r="E143" s="25" t="str">
        <f>IFERROR(__xludf.DUMMYFUNCTION("REGEXEXTRACT(C143, """"""([^""""]+)"""""")"),"#N/A")</f>
        <v>#N/A</v>
      </c>
    </row>
    <row r="144">
      <c r="A144" s="23"/>
      <c r="B144" s="23"/>
      <c r="C144" s="24"/>
      <c r="D144" s="23"/>
      <c r="E144" s="25" t="str">
        <f>IFERROR(__xludf.DUMMYFUNCTION("REGEXEXTRACT(C144, """"""([^""""]+)"""""")"),"#N/A")</f>
        <v>#N/A</v>
      </c>
    </row>
    <row r="145">
      <c r="A145" s="23"/>
      <c r="B145" s="23"/>
      <c r="C145" s="24"/>
      <c r="D145" s="23"/>
      <c r="E145" s="25" t="str">
        <f>IFERROR(__xludf.DUMMYFUNCTION("REGEXEXTRACT(C145, """"""([^""""]+)"""""")"),"#N/A")</f>
        <v>#N/A</v>
      </c>
    </row>
    <row r="146">
      <c r="A146" s="23"/>
      <c r="B146" s="23"/>
      <c r="C146" s="24"/>
      <c r="D146" s="23"/>
      <c r="E146" s="25" t="str">
        <f>IFERROR(__xludf.DUMMYFUNCTION("REGEXEXTRACT(C146, """"""([^""""]+)"""""")"),"#N/A")</f>
        <v>#N/A</v>
      </c>
    </row>
    <row r="147">
      <c r="A147" s="23"/>
      <c r="B147" s="23"/>
      <c r="C147" s="24"/>
      <c r="D147" s="23"/>
      <c r="E147" s="25" t="str">
        <f>IFERROR(__xludf.DUMMYFUNCTION("REGEXEXTRACT(C147, """"""([^""""]+)"""""")"),"#N/A")</f>
        <v>#N/A</v>
      </c>
    </row>
    <row r="148">
      <c r="A148" s="23"/>
      <c r="B148" s="23"/>
      <c r="C148" s="24"/>
      <c r="D148" s="23"/>
      <c r="E148" s="25" t="str">
        <f>IFERROR(__xludf.DUMMYFUNCTION("REGEXEXTRACT(C148, """"""([^""""]+)"""""")"),"#N/A")</f>
        <v>#N/A</v>
      </c>
    </row>
    <row r="149">
      <c r="A149" s="23"/>
      <c r="B149" s="23"/>
      <c r="C149" s="24"/>
      <c r="D149" s="23"/>
      <c r="E149" s="25" t="str">
        <f>IFERROR(__xludf.DUMMYFUNCTION("REGEXEXTRACT(C149, """"""([^""""]+)"""""")"),"#N/A")</f>
        <v>#N/A</v>
      </c>
    </row>
    <row r="150">
      <c r="A150" s="23"/>
      <c r="B150" s="23"/>
      <c r="C150" s="24"/>
      <c r="D150" s="23"/>
      <c r="E150" s="25" t="str">
        <f>IFERROR(__xludf.DUMMYFUNCTION("REGEXEXTRACT(C150, """"""([^""""]+)"""""")"),"#N/A")</f>
        <v>#N/A</v>
      </c>
    </row>
    <row r="151">
      <c r="A151" s="23"/>
      <c r="B151" s="23"/>
      <c r="C151" s="24"/>
      <c r="D151" s="23"/>
      <c r="E151" s="25" t="str">
        <f>IFERROR(__xludf.DUMMYFUNCTION("REGEXEXTRACT(C151, """"""([^""""]+)"""""")"),"#N/A")</f>
        <v>#N/A</v>
      </c>
    </row>
    <row r="152">
      <c r="A152" s="23"/>
      <c r="B152" s="23"/>
      <c r="C152" s="24"/>
      <c r="D152" s="23"/>
      <c r="E152" s="25" t="str">
        <f>IFERROR(__xludf.DUMMYFUNCTION("REGEXEXTRACT(C152, """"""([^""""]+)"""""")"),"#N/A")</f>
        <v>#N/A</v>
      </c>
    </row>
    <row r="153">
      <c r="A153" s="23"/>
      <c r="B153" s="23"/>
      <c r="C153" s="24"/>
      <c r="D153" s="23"/>
      <c r="E153" s="25" t="str">
        <f>IFERROR(__xludf.DUMMYFUNCTION("REGEXEXTRACT(C153, """"""([^""""]+)"""""")"),"#N/A")</f>
        <v>#N/A</v>
      </c>
    </row>
    <row r="154">
      <c r="A154" s="23"/>
      <c r="B154" s="23"/>
      <c r="C154" s="24"/>
      <c r="D154" s="23"/>
      <c r="E154" s="25" t="str">
        <f>IFERROR(__xludf.DUMMYFUNCTION("REGEXEXTRACT(C154, """"""([^""""]+)"""""")"),"#N/A")</f>
        <v>#N/A</v>
      </c>
    </row>
    <row r="155">
      <c r="A155" s="23"/>
      <c r="B155" s="23"/>
      <c r="C155" s="24"/>
      <c r="D155" s="23"/>
      <c r="E155" s="25" t="str">
        <f>IFERROR(__xludf.DUMMYFUNCTION("REGEXEXTRACT(C155, """"""([^""""]+)"""""")"),"#N/A")</f>
        <v>#N/A</v>
      </c>
    </row>
    <row r="156">
      <c r="A156" s="23"/>
      <c r="B156" s="23"/>
      <c r="C156" s="24"/>
      <c r="D156" s="23"/>
      <c r="E156" s="25" t="str">
        <f>IFERROR(__xludf.DUMMYFUNCTION("REGEXEXTRACT(C156, """"""([^""""]+)"""""")"),"#N/A")</f>
        <v>#N/A</v>
      </c>
    </row>
    <row r="157">
      <c r="A157" s="23"/>
      <c r="B157" s="23"/>
      <c r="C157" s="24"/>
      <c r="D157" s="23"/>
      <c r="E157" s="25" t="str">
        <f>IFERROR(__xludf.DUMMYFUNCTION("REGEXEXTRACT(C157, """"""([^""""]+)"""""")"),"#N/A")</f>
        <v>#N/A</v>
      </c>
    </row>
    <row r="158">
      <c r="A158" s="23"/>
      <c r="B158" s="23"/>
      <c r="C158" s="24"/>
      <c r="D158" s="23"/>
      <c r="E158" s="25" t="str">
        <f>IFERROR(__xludf.DUMMYFUNCTION("REGEXEXTRACT(C158, """"""([^""""]+)"""""")"),"#N/A")</f>
        <v>#N/A</v>
      </c>
    </row>
    <row r="159">
      <c r="A159" s="23"/>
      <c r="B159" s="23"/>
      <c r="C159" s="24"/>
      <c r="D159" s="23"/>
      <c r="E159" s="25" t="str">
        <f>IFERROR(__xludf.DUMMYFUNCTION("REGEXEXTRACT(C159, """"""([^""""]+)"""""")"),"#N/A")</f>
        <v>#N/A</v>
      </c>
    </row>
    <row r="160">
      <c r="A160" s="23"/>
      <c r="B160" s="23"/>
      <c r="C160" s="24"/>
      <c r="D160" s="23"/>
      <c r="E160" s="25" t="str">
        <f>IFERROR(__xludf.DUMMYFUNCTION("REGEXEXTRACT(C160, """"""([^""""]+)"""""")"),"#N/A")</f>
        <v>#N/A</v>
      </c>
    </row>
    <row r="161">
      <c r="A161" s="23"/>
      <c r="B161" s="23"/>
      <c r="C161" s="24"/>
      <c r="D161" s="23"/>
      <c r="E161" s="25" t="str">
        <f>IFERROR(__xludf.DUMMYFUNCTION("REGEXEXTRACT(C161, """"""([^""""]+)"""""")"),"#N/A")</f>
        <v>#N/A</v>
      </c>
    </row>
    <row r="162">
      <c r="A162" s="23"/>
      <c r="B162" s="23"/>
      <c r="C162" s="24"/>
      <c r="D162" s="23"/>
      <c r="E162" s="25" t="str">
        <f>IFERROR(__xludf.DUMMYFUNCTION("REGEXEXTRACT(C162, """"""([^""""]+)"""""")"),"#N/A")</f>
        <v>#N/A</v>
      </c>
    </row>
    <row r="163">
      <c r="A163" s="23"/>
      <c r="B163" s="23"/>
      <c r="C163" s="24"/>
      <c r="D163" s="23"/>
      <c r="E163" s="25" t="str">
        <f>IFERROR(__xludf.DUMMYFUNCTION("REGEXEXTRACT(C163, """"""([^""""]+)"""""")"),"#N/A")</f>
        <v>#N/A</v>
      </c>
    </row>
    <row r="164">
      <c r="A164" s="23"/>
      <c r="B164" s="23"/>
      <c r="C164" s="24"/>
      <c r="D164" s="23"/>
      <c r="E164" s="25" t="str">
        <f>IFERROR(__xludf.DUMMYFUNCTION("REGEXEXTRACT(C164, """"""([^""""]+)"""""")"),"#N/A")</f>
        <v>#N/A</v>
      </c>
    </row>
    <row r="165">
      <c r="A165" s="23"/>
      <c r="B165" s="23"/>
      <c r="C165" s="24"/>
      <c r="D165" s="23"/>
      <c r="E165" s="25" t="str">
        <f>IFERROR(__xludf.DUMMYFUNCTION("REGEXEXTRACT(C165, """"""([^""""]+)"""""")"),"#N/A")</f>
        <v>#N/A</v>
      </c>
    </row>
    <row r="166">
      <c r="A166" s="23"/>
      <c r="B166" s="23"/>
      <c r="C166" s="24"/>
      <c r="D166" s="23"/>
      <c r="E166" s="25" t="str">
        <f>IFERROR(__xludf.DUMMYFUNCTION("REGEXEXTRACT(C166, """"""([^""""]+)"""""")"),"#N/A")</f>
        <v>#N/A</v>
      </c>
    </row>
    <row r="167">
      <c r="A167" s="23"/>
      <c r="B167" s="23"/>
      <c r="C167" s="24"/>
      <c r="D167" s="23"/>
      <c r="E167" s="25" t="str">
        <f>IFERROR(__xludf.DUMMYFUNCTION("REGEXEXTRACT(C167, """"""([^""""]+)"""""")"),"#N/A")</f>
        <v>#N/A</v>
      </c>
    </row>
    <row r="168">
      <c r="A168" s="23"/>
      <c r="B168" s="23"/>
      <c r="C168" s="24"/>
      <c r="D168" s="23"/>
      <c r="E168" s="25" t="str">
        <f>IFERROR(__xludf.DUMMYFUNCTION("REGEXEXTRACT(C168, """"""([^""""]+)"""""")"),"#N/A")</f>
        <v>#N/A</v>
      </c>
    </row>
    <row r="169">
      <c r="A169" s="23"/>
      <c r="B169" s="23"/>
      <c r="C169" s="24"/>
      <c r="D169" s="23"/>
      <c r="E169" s="25" t="str">
        <f>IFERROR(__xludf.DUMMYFUNCTION("REGEXEXTRACT(C169, """"""([^""""]+)"""""")"),"#N/A")</f>
        <v>#N/A</v>
      </c>
    </row>
    <row r="170">
      <c r="A170" s="23"/>
      <c r="B170" s="23"/>
      <c r="C170" s="24"/>
      <c r="D170" s="23"/>
      <c r="E170" s="25" t="str">
        <f>IFERROR(__xludf.DUMMYFUNCTION("REGEXEXTRACT(C170, """"""([^""""]+)"""""")"),"#N/A")</f>
        <v>#N/A</v>
      </c>
    </row>
    <row r="171">
      <c r="A171" s="23"/>
      <c r="B171" s="23"/>
      <c r="C171" s="24"/>
      <c r="D171" s="23"/>
      <c r="E171" s="25" t="str">
        <f>IFERROR(__xludf.DUMMYFUNCTION("REGEXEXTRACT(C171, """"""([^""""]+)"""""")"),"#N/A")</f>
        <v>#N/A</v>
      </c>
    </row>
    <row r="172">
      <c r="A172" s="23"/>
      <c r="B172" s="23"/>
      <c r="C172" s="24"/>
      <c r="D172" s="23"/>
      <c r="E172" s="25" t="str">
        <f>IFERROR(__xludf.DUMMYFUNCTION("REGEXEXTRACT(C172, """"""([^""""]+)"""""")"),"#N/A")</f>
        <v>#N/A</v>
      </c>
    </row>
    <row r="173">
      <c r="A173" s="23"/>
      <c r="B173" s="23"/>
      <c r="C173" s="24"/>
      <c r="D173" s="23"/>
      <c r="E173" s="25" t="str">
        <f>IFERROR(__xludf.DUMMYFUNCTION("REGEXEXTRACT(C173, """"""([^""""]+)"""""")"),"#N/A")</f>
        <v>#N/A</v>
      </c>
    </row>
    <row r="174">
      <c r="A174" s="23"/>
      <c r="B174" s="23"/>
      <c r="C174" s="24"/>
      <c r="D174" s="23"/>
      <c r="E174" s="25" t="str">
        <f>IFERROR(__xludf.DUMMYFUNCTION("REGEXEXTRACT(C174, """"""([^""""]+)"""""")"),"#N/A")</f>
        <v>#N/A</v>
      </c>
    </row>
    <row r="175">
      <c r="A175" s="23"/>
      <c r="B175" s="23"/>
      <c r="C175" s="24"/>
      <c r="D175" s="23"/>
      <c r="E175" s="25" t="str">
        <f>IFERROR(__xludf.DUMMYFUNCTION("REGEXEXTRACT(C175, """"""([^""""]+)"""""")"),"#N/A")</f>
        <v>#N/A</v>
      </c>
    </row>
    <row r="176">
      <c r="A176" s="23"/>
      <c r="B176" s="23"/>
      <c r="C176" s="24"/>
      <c r="D176" s="23"/>
      <c r="E176" s="25" t="str">
        <f>IFERROR(__xludf.DUMMYFUNCTION("REGEXEXTRACT(C176, """"""([^""""]+)"""""")"),"#N/A")</f>
        <v>#N/A</v>
      </c>
    </row>
    <row r="177">
      <c r="A177" s="23"/>
      <c r="B177" s="23"/>
      <c r="C177" s="24"/>
      <c r="D177" s="23"/>
      <c r="E177" s="25" t="str">
        <f>IFERROR(__xludf.DUMMYFUNCTION("REGEXEXTRACT(C177, """"""([^""""]+)"""""")"),"#N/A")</f>
        <v>#N/A</v>
      </c>
    </row>
    <row r="178">
      <c r="A178" s="23"/>
      <c r="B178" s="23"/>
      <c r="C178" s="24"/>
      <c r="D178" s="23"/>
      <c r="E178" s="25" t="str">
        <f>IFERROR(__xludf.DUMMYFUNCTION("REGEXEXTRACT(C178, """"""([^""""]+)"""""")"),"#N/A")</f>
        <v>#N/A</v>
      </c>
    </row>
    <row r="179">
      <c r="A179" s="23"/>
      <c r="B179" s="23"/>
      <c r="C179" s="24"/>
      <c r="D179" s="23"/>
      <c r="E179" s="25" t="str">
        <f>IFERROR(__xludf.DUMMYFUNCTION("REGEXEXTRACT(C179, """"""([^""""]+)"""""")"),"#N/A")</f>
        <v>#N/A</v>
      </c>
    </row>
    <row r="180">
      <c r="A180" s="23"/>
      <c r="B180" s="23"/>
      <c r="C180" s="24"/>
      <c r="D180" s="23"/>
      <c r="E180" s="25" t="str">
        <f>IFERROR(__xludf.DUMMYFUNCTION("REGEXEXTRACT(C180, """"""([^""""]+)"""""")"),"#N/A")</f>
        <v>#N/A</v>
      </c>
    </row>
    <row r="181">
      <c r="A181" s="23"/>
      <c r="B181" s="23"/>
      <c r="C181" s="24"/>
      <c r="D181" s="23"/>
      <c r="E181" s="25" t="str">
        <f>IFERROR(__xludf.DUMMYFUNCTION("REGEXEXTRACT(C181, """"""([^""""]+)"""""")"),"#N/A")</f>
        <v>#N/A</v>
      </c>
    </row>
    <row r="182">
      <c r="A182" s="23"/>
      <c r="B182" s="23"/>
      <c r="C182" s="24"/>
      <c r="D182" s="23"/>
      <c r="E182" s="25" t="str">
        <f>IFERROR(__xludf.DUMMYFUNCTION("REGEXEXTRACT(C182, """"""([^""""]+)"""""")"),"#N/A")</f>
        <v>#N/A</v>
      </c>
    </row>
    <row r="183">
      <c r="A183" s="23"/>
      <c r="B183" s="23"/>
      <c r="C183" s="24"/>
      <c r="D183" s="23"/>
      <c r="E183" s="25" t="str">
        <f>IFERROR(__xludf.DUMMYFUNCTION("REGEXEXTRACT(C183, """"""([^""""]+)"""""")"),"#N/A")</f>
        <v>#N/A</v>
      </c>
    </row>
    <row r="184">
      <c r="A184" s="23"/>
      <c r="B184" s="23"/>
      <c r="C184" s="24"/>
      <c r="D184" s="23"/>
      <c r="E184" s="25" t="str">
        <f>IFERROR(__xludf.DUMMYFUNCTION("REGEXEXTRACT(C184, """"""([^""""]+)"""""")"),"#N/A")</f>
        <v>#N/A</v>
      </c>
    </row>
    <row r="185">
      <c r="A185" s="23"/>
      <c r="B185" s="23"/>
      <c r="C185" s="24"/>
      <c r="D185" s="23"/>
      <c r="E185" s="25" t="str">
        <f>IFERROR(__xludf.DUMMYFUNCTION("REGEXEXTRACT(C185, """"""([^""""]+)"""""")"),"#N/A")</f>
        <v>#N/A</v>
      </c>
    </row>
    <row r="186">
      <c r="A186" s="23"/>
      <c r="B186" s="23"/>
      <c r="C186" s="24"/>
      <c r="D186" s="23"/>
      <c r="E186" s="25" t="str">
        <f>IFERROR(__xludf.DUMMYFUNCTION("REGEXEXTRACT(C186, """"""([^""""]+)"""""")"),"#N/A")</f>
        <v>#N/A</v>
      </c>
    </row>
    <row r="187">
      <c r="A187" s="23"/>
      <c r="B187" s="23"/>
      <c r="C187" s="24"/>
      <c r="D187" s="23"/>
      <c r="E187" s="25" t="str">
        <f>IFERROR(__xludf.DUMMYFUNCTION("REGEXEXTRACT(C187, """"""([^""""]+)"""""")"),"#N/A")</f>
        <v>#N/A</v>
      </c>
    </row>
    <row r="188">
      <c r="A188" s="23"/>
      <c r="B188" s="23"/>
      <c r="C188" s="24"/>
      <c r="D188" s="23"/>
      <c r="E188" s="25" t="str">
        <f>IFERROR(__xludf.DUMMYFUNCTION("REGEXEXTRACT(C188, """"""([^""""]+)"""""")"),"#N/A")</f>
        <v>#N/A</v>
      </c>
    </row>
    <row r="189">
      <c r="A189" s="23"/>
      <c r="B189" s="23"/>
      <c r="C189" s="24"/>
      <c r="D189" s="23"/>
      <c r="E189" s="25" t="str">
        <f>IFERROR(__xludf.DUMMYFUNCTION("REGEXEXTRACT(C189, """"""([^""""]+)"""""")"),"#N/A")</f>
        <v>#N/A</v>
      </c>
    </row>
    <row r="190">
      <c r="A190" s="23"/>
      <c r="B190" s="23"/>
      <c r="C190" s="24"/>
      <c r="D190" s="23"/>
      <c r="E190" s="25" t="str">
        <f>IFERROR(__xludf.DUMMYFUNCTION("REGEXEXTRACT(C190, """"""([^""""]+)"""""")"),"#N/A")</f>
        <v>#N/A</v>
      </c>
    </row>
    <row r="191">
      <c r="A191" s="23"/>
      <c r="B191" s="23"/>
      <c r="C191" s="24"/>
      <c r="D191" s="23"/>
      <c r="E191" s="25" t="str">
        <f>IFERROR(__xludf.DUMMYFUNCTION("REGEXEXTRACT(C191, """"""([^""""]+)"""""")"),"#N/A")</f>
        <v>#N/A</v>
      </c>
    </row>
    <row r="192">
      <c r="A192" s="23"/>
      <c r="B192" s="23"/>
      <c r="C192" s="24"/>
      <c r="D192" s="23"/>
      <c r="E192" s="25" t="str">
        <f>IFERROR(__xludf.DUMMYFUNCTION("REGEXEXTRACT(C192, """"""([^""""]+)"""""")"),"#N/A")</f>
        <v>#N/A</v>
      </c>
    </row>
    <row r="193">
      <c r="A193" s="23"/>
      <c r="B193" s="23"/>
      <c r="C193" s="24"/>
      <c r="D193" s="23"/>
      <c r="E193" s="25" t="str">
        <f>IFERROR(__xludf.DUMMYFUNCTION("REGEXEXTRACT(C193, """"""([^""""]+)"""""")"),"#N/A")</f>
        <v>#N/A</v>
      </c>
    </row>
    <row r="194">
      <c r="A194" s="23"/>
      <c r="B194" s="23"/>
      <c r="C194" s="24"/>
      <c r="D194" s="23"/>
      <c r="E194" s="25" t="str">
        <f>IFERROR(__xludf.DUMMYFUNCTION("REGEXEXTRACT(C194, """"""([^""""]+)"""""")"),"#N/A")</f>
        <v>#N/A</v>
      </c>
    </row>
    <row r="195">
      <c r="A195" s="23"/>
      <c r="B195" s="23"/>
      <c r="C195" s="24"/>
      <c r="D195" s="23"/>
      <c r="E195" s="25" t="str">
        <f>IFERROR(__xludf.DUMMYFUNCTION("REGEXEXTRACT(C195, """"""([^""""]+)"""""")"),"#N/A")</f>
        <v>#N/A</v>
      </c>
    </row>
    <row r="196">
      <c r="A196" s="23"/>
      <c r="B196" s="23"/>
      <c r="C196" s="24"/>
      <c r="D196" s="23"/>
      <c r="E196" s="25" t="str">
        <f>IFERROR(__xludf.DUMMYFUNCTION("REGEXEXTRACT(C196, """"""([^""""]+)"""""")"),"#N/A")</f>
        <v>#N/A</v>
      </c>
    </row>
    <row r="197">
      <c r="A197" s="23"/>
      <c r="B197" s="23"/>
      <c r="C197" s="24"/>
      <c r="D197" s="23"/>
      <c r="E197" s="25" t="str">
        <f>IFERROR(__xludf.DUMMYFUNCTION("REGEXEXTRACT(C197, """"""([^""""]+)"""""")"),"#N/A")</f>
        <v>#N/A</v>
      </c>
    </row>
    <row r="198">
      <c r="A198" s="23"/>
      <c r="B198" s="23"/>
      <c r="C198" s="24"/>
      <c r="D198" s="23"/>
      <c r="E198" s="25" t="str">
        <f>IFERROR(__xludf.DUMMYFUNCTION("REGEXEXTRACT(C198, """"""([^""""]+)"""""")"),"#N/A")</f>
        <v>#N/A</v>
      </c>
    </row>
    <row r="199">
      <c r="A199" s="23"/>
      <c r="B199" s="23"/>
      <c r="C199" s="24"/>
      <c r="D199" s="23"/>
      <c r="E199" s="25" t="str">
        <f>IFERROR(__xludf.DUMMYFUNCTION("REGEXEXTRACT(C199, """"""([^""""]+)"""""")"),"#N/A")</f>
        <v>#N/A</v>
      </c>
    </row>
    <row r="200">
      <c r="A200" s="23"/>
      <c r="B200" s="23"/>
      <c r="C200" s="24"/>
      <c r="D200" s="23"/>
      <c r="E200" s="25" t="str">
        <f>IFERROR(__xludf.DUMMYFUNCTION("REGEXEXTRACT(C200, """"""([^""""]+)"""""")"),"#N/A")</f>
        <v>#N/A</v>
      </c>
    </row>
    <row r="201">
      <c r="A201" s="23"/>
      <c r="B201" s="23"/>
      <c r="C201" s="24"/>
      <c r="D201" s="23"/>
      <c r="E201" s="25" t="str">
        <f>IFERROR(__xludf.DUMMYFUNCTION("REGEXEXTRACT(C201, """"""([^""""]+)"""""")"),"#N/A")</f>
        <v>#N/A</v>
      </c>
    </row>
    <row r="202">
      <c r="A202" s="23"/>
      <c r="B202" s="23"/>
      <c r="C202" s="24"/>
      <c r="D202" s="23"/>
      <c r="E202" s="25" t="str">
        <f>IFERROR(__xludf.DUMMYFUNCTION("REGEXEXTRACT(C202, """"""([^""""]+)"""""")"),"#N/A")</f>
        <v>#N/A</v>
      </c>
    </row>
    <row r="203">
      <c r="A203" s="23"/>
      <c r="B203" s="23"/>
      <c r="C203" s="24"/>
      <c r="D203" s="23"/>
      <c r="E203" s="25" t="str">
        <f>IFERROR(__xludf.DUMMYFUNCTION("REGEXEXTRACT(C203, """"""([^""""]+)"""""")"),"#N/A")</f>
        <v>#N/A</v>
      </c>
    </row>
    <row r="204">
      <c r="A204" s="23"/>
      <c r="B204" s="23"/>
      <c r="C204" s="24"/>
      <c r="D204" s="23"/>
      <c r="E204" s="25" t="str">
        <f>IFERROR(__xludf.DUMMYFUNCTION("REGEXEXTRACT(C204, """"""([^""""]+)"""""")"),"#N/A")</f>
        <v>#N/A</v>
      </c>
    </row>
    <row r="205">
      <c r="A205" s="23"/>
      <c r="B205" s="23"/>
      <c r="C205" s="24"/>
      <c r="D205" s="23"/>
      <c r="E205" s="25" t="str">
        <f>IFERROR(__xludf.DUMMYFUNCTION("REGEXEXTRACT(C205, """"""([^""""]+)"""""")"),"#N/A")</f>
        <v>#N/A</v>
      </c>
    </row>
    <row r="206">
      <c r="A206" s="23"/>
      <c r="B206" s="23"/>
      <c r="C206" s="24"/>
      <c r="D206" s="23"/>
      <c r="E206" s="25" t="str">
        <f>IFERROR(__xludf.DUMMYFUNCTION("REGEXEXTRACT(C206, """"""([^""""]+)"""""")"),"#N/A")</f>
        <v>#N/A</v>
      </c>
    </row>
    <row r="207">
      <c r="A207" s="23"/>
      <c r="B207" s="23"/>
      <c r="C207" s="24"/>
      <c r="D207" s="23"/>
      <c r="E207" s="25" t="str">
        <f>IFERROR(__xludf.DUMMYFUNCTION("REGEXEXTRACT(C207, """"""([^""""]+)"""""")"),"#N/A")</f>
        <v>#N/A</v>
      </c>
    </row>
    <row r="208">
      <c r="A208" s="23"/>
      <c r="B208" s="23"/>
      <c r="C208" s="24"/>
      <c r="D208" s="23"/>
      <c r="E208" s="25" t="str">
        <f>IFERROR(__xludf.DUMMYFUNCTION("REGEXEXTRACT(C208, """"""([^""""]+)"""""")"),"#N/A")</f>
        <v>#N/A</v>
      </c>
    </row>
    <row r="209">
      <c r="A209" s="23"/>
      <c r="B209" s="23"/>
      <c r="C209" s="24"/>
      <c r="D209" s="23"/>
      <c r="E209" s="25" t="str">
        <f>IFERROR(__xludf.DUMMYFUNCTION("REGEXEXTRACT(C209, """"""([^""""]+)"""""")"),"#N/A")</f>
        <v>#N/A</v>
      </c>
    </row>
    <row r="210">
      <c r="A210" s="23"/>
      <c r="B210" s="23"/>
      <c r="C210" s="24"/>
      <c r="D210" s="23"/>
      <c r="E210" s="25" t="str">
        <f>IFERROR(__xludf.DUMMYFUNCTION("REGEXEXTRACT(C210, """"""([^""""]+)"""""")"),"#N/A")</f>
        <v>#N/A</v>
      </c>
    </row>
    <row r="211">
      <c r="A211" s="23"/>
      <c r="B211" s="23"/>
      <c r="C211" s="24"/>
      <c r="D211" s="23"/>
      <c r="E211" s="25" t="str">
        <f>IFERROR(__xludf.DUMMYFUNCTION("REGEXEXTRACT(C211, """"""([^""""]+)"""""")"),"#N/A")</f>
        <v>#N/A</v>
      </c>
    </row>
    <row r="212">
      <c r="A212" s="23"/>
      <c r="B212" s="23"/>
      <c r="C212" s="24"/>
      <c r="D212" s="23"/>
      <c r="E212" s="25" t="str">
        <f>IFERROR(__xludf.DUMMYFUNCTION("REGEXEXTRACT(C212, """"""([^""""]+)"""""")"),"#N/A")</f>
        <v>#N/A</v>
      </c>
    </row>
    <row r="213">
      <c r="A213" s="23"/>
      <c r="B213" s="23"/>
      <c r="C213" s="24"/>
      <c r="D213" s="23"/>
      <c r="E213" s="25" t="str">
        <f>IFERROR(__xludf.DUMMYFUNCTION("REGEXEXTRACT(C213, """"""([^""""]+)"""""")"),"#N/A")</f>
        <v>#N/A</v>
      </c>
    </row>
    <row r="214">
      <c r="A214" s="23"/>
      <c r="B214" s="23"/>
      <c r="C214" s="24"/>
      <c r="D214" s="23"/>
      <c r="E214" s="25" t="str">
        <f>IFERROR(__xludf.DUMMYFUNCTION("REGEXEXTRACT(C214, """"""([^""""]+)"""""")"),"#N/A")</f>
        <v>#N/A</v>
      </c>
    </row>
    <row r="215">
      <c r="A215" s="23"/>
      <c r="B215" s="23"/>
      <c r="C215" s="24"/>
      <c r="D215" s="23"/>
      <c r="E215" s="25" t="str">
        <f>IFERROR(__xludf.DUMMYFUNCTION("REGEXEXTRACT(C215, """"""([^""""]+)"""""")"),"#N/A")</f>
        <v>#N/A</v>
      </c>
    </row>
    <row r="216">
      <c r="A216" s="23"/>
      <c r="B216" s="23"/>
      <c r="C216" s="24"/>
      <c r="D216" s="23"/>
      <c r="E216" s="25" t="str">
        <f>IFERROR(__xludf.DUMMYFUNCTION("REGEXEXTRACT(C216, """"""([^""""]+)"""""")"),"#N/A")</f>
        <v>#N/A</v>
      </c>
    </row>
    <row r="217">
      <c r="A217" s="23"/>
      <c r="B217" s="23"/>
      <c r="C217" s="24"/>
      <c r="D217" s="23"/>
      <c r="E217" s="25" t="str">
        <f>IFERROR(__xludf.DUMMYFUNCTION("REGEXEXTRACT(C217, """"""([^""""]+)"""""")"),"#N/A")</f>
        <v>#N/A</v>
      </c>
    </row>
    <row r="218">
      <c r="A218" s="23"/>
      <c r="B218" s="23"/>
      <c r="C218" s="24"/>
      <c r="D218" s="23"/>
      <c r="E218" s="25" t="str">
        <f>IFERROR(__xludf.DUMMYFUNCTION("REGEXEXTRACT(C218, """"""([^""""]+)"""""")"),"#N/A")</f>
        <v>#N/A</v>
      </c>
    </row>
    <row r="219">
      <c r="A219" s="23"/>
      <c r="B219" s="23"/>
      <c r="C219" s="24"/>
      <c r="D219" s="23"/>
      <c r="E219" s="25" t="str">
        <f>IFERROR(__xludf.DUMMYFUNCTION("REGEXEXTRACT(C219, """"""([^""""]+)"""""")"),"#N/A")</f>
        <v>#N/A</v>
      </c>
    </row>
    <row r="220">
      <c r="A220" s="23"/>
      <c r="B220" s="23"/>
      <c r="C220" s="24"/>
      <c r="D220" s="23"/>
      <c r="E220" s="25" t="str">
        <f>IFERROR(__xludf.DUMMYFUNCTION("REGEXEXTRACT(C220, """"""([^""""]+)"""""")"),"#N/A")</f>
        <v>#N/A</v>
      </c>
    </row>
    <row r="221">
      <c r="A221" s="23"/>
      <c r="B221" s="23"/>
      <c r="C221" s="24"/>
      <c r="D221" s="23"/>
      <c r="E221" s="25" t="str">
        <f>IFERROR(__xludf.DUMMYFUNCTION("REGEXEXTRACT(C221, """"""([^""""]+)"""""")"),"#N/A")</f>
        <v>#N/A</v>
      </c>
    </row>
    <row r="222">
      <c r="A222" s="23"/>
      <c r="B222" s="23"/>
      <c r="C222" s="24"/>
      <c r="D222" s="23"/>
      <c r="E222" s="25" t="str">
        <f>IFERROR(__xludf.DUMMYFUNCTION("REGEXEXTRACT(C222, """"""([^""""]+)"""""")"),"#N/A")</f>
        <v>#N/A</v>
      </c>
    </row>
    <row r="223">
      <c r="A223" s="23"/>
      <c r="B223" s="23"/>
      <c r="C223" s="24"/>
      <c r="D223" s="23"/>
      <c r="E223" s="25" t="str">
        <f>IFERROR(__xludf.DUMMYFUNCTION("REGEXEXTRACT(C223, """"""([^""""]+)"""""")"),"#N/A")</f>
        <v>#N/A</v>
      </c>
    </row>
    <row r="224">
      <c r="A224" s="23"/>
      <c r="B224" s="23"/>
      <c r="C224" s="24"/>
      <c r="D224" s="23"/>
      <c r="E224" s="25" t="str">
        <f>IFERROR(__xludf.DUMMYFUNCTION("REGEXEXTRACT(C224, """"""([^""""]+)"""""")"),"#N/A")</f>
        <v>#N/A</v>
      </c>
    </row>
    <row r="225">
      <c r="A225" s="23"/>
      <c r="B225" s="23"/>
      <c r="C225" s="24"/>
      <c r="D225" s="23"/>
      <c r="E225" s="25" t="str">
        <f>IFERROR(__xludf.DUMMYFUNCTION("REGEXEXTRACT(C225, """"""([^""""]+)"""""")"),"#N/A")</f>
        <v>#N/A</v>
      </c>
    </row>
    <row r="226">
      <c r="A226" s="23"/>
      <c r="B226" s="23"/>
      <c r="C226" s="24"/>
      <c r="D226" s="23"/>
      <c r="E226" s="25" t="str">
        <f>IFERROR(__xludf.DUMMYFUNCTION("REGEXEXTRACT(C226, """"""([^""""]+)"""""")"),"#N/A")</f>
        <v>#N/A</v>
      </c>
    </row>
    <row r="227">
      <c r="A227" s="23"/>
      <c r="B227" s="23"/>
      <c r="C227" s="24"/>
      <c r="D227" s="23"/>
      <c r="E227" s="25" t="str">
        <f>IFERROR(__xludf.DUMMYFUNCTION("REGEXEXTRACT(C227, """"""([^""""]+)"""""")"),"#N/A")</f>
        <v>#N/A</v>
      </c>
    </row>
    <row r="228">
      <c r="A228" s="23"/>
      <c r="B228" s="23"/>
      <c r="C228" s="24"/>
      <c r="D228" s="23"/>
      <c r="E228" s="25" t="str">
        <f>IFERROR(__xludf.DUMMYFUNCTION("REGEXEXTRACT(C228, """"""([^""""]+)"""""")"),"#N/A")</f>
        <v>#N/A</v>
      </c>
    </row>
    <row r="229">
      <c r="A229" s="23"/>
      <c r="B229" s="23"/>
      <c r="C229" s="24"/>
      <c r="D229" s="23"/>
      <c r="E229" s="25" t="str">
        <f>IFERROR(__xludf.DUMMYFUNCTION("REGEXEXTRACT(C229, """"""([^""""]+)"""""")"),"#N/A")</f>
        <v>#N/A</v>
      </c>
    </row>
    <row r="230">
      <c r="A230" s="23"/>
      <c r="B230" s="23"/>
      <c r="C230" s="24"/>
      <c r="D230" s="23"/>
      <c r="E230" s="25" t="str">
        <f>IFERROR(__xludf.DUMMYFUNCTION("REGEXEXTRACT(C230, """"""([^""""]+)"""""")"),"#N/A")</f>
        <v>#N/A</v>
      </c>
    </row>
    <row r="231">
      <c r="A231" s="23"/>
      <c r="B231" s="23"/>
      <c r="C231" s="24"/>
      <c r="D231" s="23"/>
      <c r="E231" s="25" t="str">
        <f>IFERROR(__xludf.DUMMYFUNCTION("REGEXEXTRACT(C231, """"""([^""""]+)"""""")"),"#N/A")</f>
        <v>#N/A</v>
      </c>
    </row>
    <row r="232">
      <c r="A232" s="23"/>
      <c r="B232" s="23"/>
      <c r="C232" s="24"/>
      <c r="D232" s="23"/>
      <c r="E232" s="25" t="str">
        <f>IFERROR(__xludf.DUMMYFUNCTION("REGEXEXTRACT(C232, """"""([^""""]+)"""""")"),"#N/A")</f>
        <v>#N/A</v>
      </c>
    </row>
    <row r="233">
      <c r="A233" s="23"/>
      <c r="B233" s="23"/>
      <c r="C233" s="24"/>
      <c r="D233" s="23"/>
      <c r="E233" s="25" t="str">
        <f>IFERROR(__xludf.DUMMYFUNCTION("REGEXEXTRACT(C233, """"""([^""""]+)"""""")"),"#N/A")</f>
        <v>#N/A</v>
      </c>
    </row>
    <row r="234">
      <c r="A234" s="23"/>
      <c r="B234" s="23"/>
      <c r="C234" s="24"/>
      <c r="D234" s="23"/>
      <c r="E234" s="25" t="str">
        <f>IFERROR(__xludf.DUMMYFUNCTION("REGEXEXTRACT(C234, """"""([^""""]+)"""""")"),"#N/A")</f>
        <v>#N/A</v>
      </c>
    </row>
    <row r="235">
      <c r="A235" s="23"/>
      <c r="B235" s="23"/>
      <c r="C235" s="24"/>
      <c r="D235" s="23"/>
      <c r="E235" s="25" t="str">
        <f>IFERROR(__xludf.DUMMYFUNCTION("REGEXEXTRACT(C235, """"""([^""""]+)"""""")"),"#N/A")</f>
        <v>#N/A</v>
      </c>
    </row>
    <row r="236">
      <c r="A236" s="23"/>
      <c r="B236" s="23"/>
      <c r="C236" s="24"/>
      <c r="D236" s="23"/>
      <c r="E236" s="25" t="str">
        <f>IFERROR(__xludf.DUMMYFUNCTION("REGEXEXTRACT(C236, """"""([^""""]+)"""""")"),"#N/A")</f>
        <v>#N/A</v>
      </c>
    </row>
    <row r="237">
      <c r="A237" s="23"/>
      <c r="B237" s="23"/>
      <c r="C237" s="24"/>
      <c r="D237" s="23"/>
      <c r="E237" s="25" t="str">
        <f>IFERROR(__xludf.DUMMYFUNCTION("REGEXEXTRACT(C237, """"""([^""""]+)"""""")"),"#N/A")</f>
        <v>#N/A</v>
      </c>
    </row>
    <row r="238">
      <c r="A238" s="23"/>
      <c r="B238" s="23"/>
      <c r="C238" s="24"/>
      <c r="D238" s="23"/>
      <c r="E238" s="25" t="str">
        <f>IFERROR(__xludf.DUMMYFUNCTION("REGEXEXTRACT(C238, """"""([^""""]+)"""""")"),"#N/A")</f>
        <v>#N/A</v>
      </c>
    </row>
    <row r="239">
      <c r="A239" s="23"/>
      <c r="B239" s="23"/>
      <c r="C239" s="24"/>
      <c r="D239" s="23"/>
      <c r="E239" s="25" t="str">
        <f>IFERROR(__xludf.DUMMYFUNCTION("REGEXEXTRACT(C239, """"""([^""""]+)"""""")"),"#N/A")</f>
        <v>#N/A</v>
      </c>
    </row>
    <row r="240">
      <c r="A240" s="23"/>
      <c r="B240" s="23"/>
      <c r="C240" s="24"/>
      <c r="D240" s="23"/>
      <c r="E240" s="25" t="str">
        <f>IFERROR(__xludf.DUMMYFUNCTION("REGEXEXTRACT(C240, """"""([^""""]+)"""""")"),"#N/A")</f>
        <v>#N/A</v>
      </c>
    </row>
    <row r="241">
      <c r="A241" s="23"/>
      <c r="B241" s="23"/>
      <c r="C241" s="24"/>
      <c r="D241" s="23"/>
      <c r="E241" s="25" t="str">
        <f>IFERROR(__xludf.DUMMYFUNCTION("REGEXEXTRACT(C241, """"""([^""""]+)"""""")"),"#N/A")</f>
        <v>#N/A</v>
      </c>
    </row>
    <row r="242">
      <c r="A242" s="23"/>
      <c r="B242" s="23"/>
      <c r="C242" s="24"/>
      <c r="D242" s="23"/>
      <c r="E242" s="25" t="str">
        <f>IFERROR(__xludf.DUMMYFUNCTION("REGEXEXTRACT(C242, """"""([^""""]+)"""""")"),"#N/A")</f>
        <v>#N/A</v>
      </c>
    </row>
    <row r="243">
      <c r="A243" s="23"/>
      <c r="B243" s="23"/>
      <c r="C243" s="24"/>
      <c r="D243" s="23"/>
      <c r="E243" s="25" t="str">
        <f>IFERROR(__xludf.DUMMYFUNCTION("REGEXEXTRACT(C243, """"""([^""""]+)"""""")"),"#N/A")</f>
        <v>#N/A</v>
      </c>
    </row>
    <row r="244">
      <c r="A244" s="23"/>
      <c r="B244" s="23"/>
      <c r="C244" s="24"/>
      <c r="D244" s="23"/>
      <c r="E244" s="25" t="str">
        <f>IFERROR(__xludf.DUMMYFUNCTION("REGEXEXTRACT(C244, """"""([^""""]+)"""""")"),"#N/A")</f>
        <v>#N/A</v>
      </c>
    </row>
    <row r="245">
      <c r="A245" s="23"/>
      <c r="B245" s="23"/>
      <c r="C245" s="24"/>
      <c r="D245" s="23"/>
      <c r="E245" s="25" t="str">
        <f>IFERROR(__xludf.DUMMYFUNCTION("REGEXEXTRACT(C245, """"""([^""""]+)"""""")"),"#N/A")</f>
        <v>#N/A</v>
      </c>
    </row>
    <row r="246">
      <c r="A246" s="23"/>
      <c r="B246" s="23"/>
      <c r="C246" s="24"/>
      <c r="D246" s="23"/>
      <c r="E246" s="25" t="str">
        <f>IFERROR(__xludf.DUMMYFUNCTION("REGEXEXTRACT(C246, """"""([^""""]+)"""""")"),"#N/A")</f>
        <v>#N/A</v>
      </c>
    </row>
    <row r="247">
      <c r="A247" s="23"/>
      <c r="B247" s="23"/>
      <c r="C247" s="24"/>
      <c r="D247" s="23"/>
      <c r="E247" s="25" t="str">
        <f>IFERROR(__xludf.DUMMYFUNCTION("REGEXEXTRACT(C247, """"""([^""""]+)"""""")"),"#N/A")</f>
        <v>#N/A</v>
      </c>
    </row>
    <row r="248">
      <c r="A248" s="23"/>
      <c r="B248" s="23"/>
      <c r="C248" s="24"/>
      <c r="D248" s="23"/>
      <c r="E248" s="25" t="str">
        <f>IFERROR(__xludf.DUMMYFUNCTION("REGEXEXTRACT(C248, """"""([^""""]+)"""""")"),"#N/A")</f>
        <v>#N/A</v>
      </c>
    </row>
    <row r="249">
      <c r="A249" s="23"/>
      <c r="B249" s="23"/>
      <c r="C249" s="24"/>
      <c r="D249" s="23"/>
      <c r="E249" s="25" t="str">
        <f>IFERROR(__xludf.DUMMYFUNCTION("REGEXEXTRACT(C249, """"""([^""""]+)"""""")"),"#N/A")</f>
        <v>#N/A</v>
      </c>
    </row>
    <row r="250">
      <c r="A250" s="23"/>
      <c r="B250" s="23"/>
      <c r="C250" s="24"/>
      <c r="D250" s="23"/>
      <c r="E250" s="25" t="str">
        <f>IFERROR(__xludf.DUMMYFUNCTION("REGEXEXTRACT(C250, """"""([^""""]+)"""""")"),"#N/A")</f>
        <v>#N/A</v>
      </c>
    </row>
    <row r="251">
      <c r="A251" s="23"/>
      <c r="B251" s="23"/>
      <c r="C251" s="24"/>
      <c r="D251" s="23"/>
      <c r="E251" s="25" t="str">
        <f>IFERROR(__xludf.DUMMYFUNCTION("REGEXEXTRACT(C251, """"""([^""""]+)"""""")"),"#N/A")</f>
        <v>#N/A</v>
      </c>
    </row>
    <row r="252">
      <c r="A252" s="23"/>
      <c r="B252" s="23"/>
      <c r="C252" s="24"/>
      <c r="D252" s="23"/>
      <c r="E252" s="25" t="str">
        <f>IFERROR(__xludf.DUMMYFUNCTION("REGEXEXTRACT(C252, """"""([^""""]+)"""""")"),"#N/A")</f>
        <v>#N/A</v>
      </c>
    </row>
    <row r="253">
      <c r="A253" s="23"/>
      <c r="B253" s="23"/>
      <c r="C253" s="24"/>
      <c r="D253" s="23"/>
      <c r="E253" s="25" t="str">
        <f>IFERROR(__xludf.DUMMYFUNCTION("REGEXEXTRACT(C253, """"""([^""""]+)"""""")"),"#N/A")</f>
        <v>#N/A</v>
      </c>
    </row>
    <row r="254">
      <c r="A254" s="23"/>
      <c r="B254" s="23"/>
      <c r="C254" s="24"/>
      <c r="D254" s="23"/>
      <c r="E254" s="25" t="str">
        <f>IFERROR(__xludf.DUMMYFUNCTION("REGEXEXTRACT(C254, """"""([^""""]+)"""""")"),"#N/A")</f>
        <v>#N/A</v>
      </c>
    </row>
    <row r="255">
      <c r="A255" s="23"/>
      <c r="B255" s="23"/>
      <c r="C255" s="24"/>
      <c r="D255" s="23"/>
      <c r="E255" s="25" t="str">
        <f>IFERROR(__xludf.DUMMYFUNCTION("REGEXEXTRACT(C255, """"""([^""""]+)"""""")"),"#N/A")</f>
        <v>#N/A</v>
      </c>
    </row>
    <row r="256">
      <c r="A256" s="23"/>
      <c r="B256" s="23"/>
      <c r="C256" s="24"/>
      <c r="D256" s="23"/>
      <c r="E256" s="25" t="str">
        <f>IFERROR(__xludf.DUMMYFUNCTION("REGEXEXTRACT(C256, """"""([^""""]+)"""""")"),"#N/A")</f>
        <v>#N/A</v>
      </c>
    </row>
    <row r="257">
      <c r="A257" s="23"/>
      <c r="B257" s="23"/>
      <c r="C257" s="24"/>
      <c r="D257" s="23"/>
      <c r="E257" s="25" t="str">
        <f>IFERROR(__xludf.DUMMYFUNCTION("REGEXEXTRACT(C257, """"""([^""""]+)"""""")"),"#N/A")</f>
        <v>#N/A</v>
      </c>
    </row>
    <row r="258">
      <c r="A258" s="23"/>
      <c r="B258" s="23"/>
      <c r="C258" s="24"/>
      <c r="D258" s="23"/>
      <c r="E258" s="25" t="str">
        <f>IFERROR(__xludf.DUMMYFUNCTION("REGEXEXTRACT(C258, """"""([^""""]+)"""""")"),"#N/A")</f>
        <v>#N/A</v>
      </c>
    </row>
    <row r="259">
      <c r="A259" s="23"/>
      <c r="B259" s="23"/>
      <c r="C259" s="24"/>
      <c r="D259" s="23"/>
      <c r="E259" s="25" t="str">
        <f>IFERROR(__xludf.DUMMYFUNCTION("REGEXEXTRACT(C259, """"""([^""""]+)"""""")"),"#N/A")</f>
        <v>#N/A</v>
      </c>
    </row>
    <row r="260">
      <c r="A260" s="23"/>
      <c r="B260" s="23"/>
      <c r="C260" s="24"/>
      <c r="D260" s="23"/>
      <c r="E260" s="25" t="str">
        <f>IFERROR(__xludf.DUMMYFUNCTION("REGEXEXTRACT(C260, """"""([^""""]+)"""""")"),"#N/A")</f>
        <v>#N/A</v>
      </c>
    </row>
    <row r="261">
      <c r="A261" s="23"/>
      <c r="B261" s="23"/>
      <c r="C261" s="24"/>
      <c r="D261" s="23"/>
      <c r="E261" s="25" t="str">
        <f>IFERROR(__xludf.DUMMYFUNCTION("REGEXEXTRACT(C261, """"""([^""""]+)"""""")"),"#N/A")</f>
        <v>#N/A</v>
      </c>
    </row>
    <row r="262">
      <c r="A262" s="23"/>
      <c r="B262" s="23"/>
      <c r="C262" s="24"/>
      <c r="D262" s="23"/>
      <c r="E262" s="25" t="str">
        <f>IFERROR(__xludf.DUMMYFUNCTION("REGEXEXTRACT(C262, """"""([^""""]+)"""""")"),"#N/A")</f>
        <v>#N/A</v>
      </c>
    </row>
    <row r="263">
      <c r="A263" s="23"/>
      <c r="B263" s="23"/>
      <c r="C263" s="24"/>
      <c r="D263" s="23"/>
      <c r="E263" s="25" t="str">
        <f>IFERROR(__xludf.DUMMYFUNCTION("REGEXEXTRACT(C263, """"""([^""""]+)"""""")"),"#N/A")</f>
        <v>#N/A</v>
      </c>
    </row>
    <row r="264">
      <c r="A264" s="23"/>
      <c r="B264" s="23"/>
      <c r="C264" s="24"/>
      <c r="D264" s="23"/>
      <c r="E264" s="25" t="str">
        <f>IFERROR(__xludf.DUMMYFUNCTION("REGEXEXTRACT(C264, """"""([^""""]+)"""""")"),"#N/A")</f>
        <v>#N/A</v>
      </c>
    </row>
    <row r="265">
      <c r="A265" s="23"/>
      <c r="B265" s="23"/>
      <c r="C265" s="24"/>
      <c r="D265" s="23"/>
      <c r="E265" s="25" t="str">
        <f>IFERROR(__xludf.DUMMYFUNCTION("REGEXEXTRACT(C265, """"""([^""""]+)"""""")"),"#N/A")</f>
        <v>#N/A</v>
      </c>
    </row>
    <row r="266">
      <c r="A266" s="23"/>
      <c r="B266" s="23"/>
      <c r="C266" s="24"/>
      <c r="D266" s="23"/>
      <c r="E266" s="25" t="str">
        <f>IFERROR(__xludf.DUMMYFUNCTION("REGEXEXTRACT(C266, """"""([^""""]+)"""""")"),"#N/A")</f>
        <v>#N/A</v>
      </c>
    </row>
    <row r="267">
      <c r="A267" s="23"/>
      <c r="B267" s="23"/>
      <c r="C267" s="24"/>
      <c r="D267" s="23"/>
      <c r="E267" s="25" t="str">
        <f>IFERROR(__xludf.DUMMYFUNCTION("REGEXEXTRACT(C267, """"""([^""""]+)"""""")"),"#N/A")</f>
        <v>#N/A</v>
      </c>
    </row>
    <row r="268">
      <c r="A268" s="23"/>
      <c r="B268" s="23"/>
      <c r="C268" s="24"/>
      <c r="D268" s="23"/>
      <c r="E268" s="25" t="str">
        <f>IFERROR(__xludf.DUMMYFUNCTION("REGEXEXTRACT(C268, """"""([^""""]+)"""""")"),"#N/A")</f>
        <v>#N/A</v>
      </c>
    </row>
    <row r="269">
      <c r="A269" s="23"/>
      <c r="B269" s="23"/>
      <c r="C269" s="24"/>
      <c r="D269" s="23"/>
      <c r="E269" s="25" t="str">
        <f>IFERROR(__xludf.DUMMYFUNCTION("REGEXEXTRACT(C269, """"""([^""""]+)"""""")"),"#N/A")</f>
        <v>#N/A</v>
      </c>
    </row>
    <row r="270">
      <c r="A270" s="23"/>
      <c r="B270" s="23"/>
      <c r="C270" s="24"/>
      <c r="D270" s="23"/>
      <c r="E270" s="25" t="str">
        <f>IFERROR(__xludf.DUMMYFUNCTION("REGEXEXTRACT(C270, """"""([^""""]+)"""""")"),"#N/A")</f>
        <v>#N/A</v>
      </c>
    </row>
    <row r="271">
      <c r="A271" s="23"/>
      <c r="B271" s="23"/>
      <c r="C271" s="24"/>
      <c r="D271" s="23"/>
      <c r="E271" s="25" t="str">
        <f>IFERROR(__xludf.DUMMYFUNCTION("REGEXEXTRACT(C271, """"""([^""""]+)"""""")"),"#N/A")</f>
        <v>#N/A</v>
      </c>
    </row>
    <row r="272">
      <c r="A272" s="23"/>
      <c r="B272" s="23"/>
      <c r="C272" s="24"/>
      <c r="D272" s="23"/>
      <c r="E272" s="25" t="str">
        <f>IFERROR(__xludf.DUMMYFUNCTION("REGEXEXTRACT(C272, """"""([^""""]+)"""""")"),"#N/A")</f>
        <v>#N/A</v>
      </c>
    </row>
    <row r="273">
      <c r="A273" s="23"/>
      <c r="B273" s="23"/>
      <c r="C273" s="24"/>
      <c r="D273" s="23"/>
      <c r="E273" s="25" t="str">
        <f>IFERROR(__xludf.DUMMYFUNCTION("REGEXEXTRACT(C273, """"""([^""""]+)"""""")"),"#N/A")</f>
        <v>#N/A</v>
      </c>
    </row>
    <row r="274">
      <c r="A274" s="23"/>
      <c r="B274" s="23"/>
      <c r="C274" s="24"/>
      <c r="D274" s="23"/>
      <c r="E274" s="25" t="str">
        <f>IFERROR(__xludf.DUMMYFUNCTION("REGEXEXTRACT(C274, """"""([^""""]+)"""""")"),"#N/A")</f>
        <v>#N/A</v>
      </c>
    </row>
    <row r="275">
      <c r="A275" s="23"/>
      <c r="B275" s="23"/>
      <c r="C275" s="24"/>
      <c r="D275" s="23"/>
      <c r="E275" s="25" t="str">
        <f>IFERROR(__xludf.DUMMYFUNCTION("REGEXEXTRACT(C275, """"""([^""""]+)"""""")"),"#N/A")</f>
        <v>#N/A</v>
      </c>
    </row>
    <row r="276">
      <c r="A276" s="23"/>
      <c r="B276" s="23"/>
      <c r="C276" s="24"/>
      <c r="D276" s="23"/>
      <c r="E276" s="25" t="str">
        <f>IFERROR(__xludf.DUMMYFUNCTION("REGEXEXTRACT(C276, """"""([^""""]+)"""""")"),"#N/A")</f>
        <v>#N/A</v>
      </c>
    </row>
    <row r="277">
      <c r="A277" s="23"/>
      <c r="B277" s="23"/>
      <c r="C277" s="24"/>
      <c r="D277" s="23"/>
      <c r="E277" s="25" t="str">
        <f>IFERROR(__xludf.DUMMYFUNCTION("REGEXEXTRACT(C277, """"""([^""""]+)"""""")"),"#N/A")</f>
        <v>#N/A</v>
      </c>
    </row>
    <row r="278">
      <c r="A278" s="23"/>
      <c r="B278" s="23"/>
      <c r="C278" s="24"/>
      <c r="D278" s="23"/>
      <c r="E278" s="25" t="str">
        <f>IFERROR(__xludf.DUMMYFUNCTION("REGEXEXTRACT(C278, """"""([^""""]+)"""""")"),"#N/A")</f>
        <v>#N/A</v>
      </c>
    </row>
    <row r="279">
      <c r="A279" s="23"/>
      <c r="B279" s="23"/>
      <c r="C279" s="24"/>
      <c r="D279" s="23"/>
      <c r="E279" s="25" t="str">
        <f>IFERROR(__xludf.DUMMYFUNCTION("REGEXEXTRACT(C279, """"""([^""""]+)"""""")"),"#N/A")</f>
        <v>#N/A</v>
      </c>
    </row>
    <row r="280">
      <c r="A280" s="23"/>
      <c r="B280" s="23"/>
      <c r="C280" s="24"/>
      <c r="D280" s="23"/>
      <c r="E280" s="25" t="str">
        <f>IFERROR(__xludf.DUMMYFUNCTION("REGEXEXTRACT(C280, """"""([^""""]+)"""""")"),"#N/A")</f>
        <v>#N/A</v>
      </c>
    </row>
    <row r="281">
      <c r="A281" s="23"/>
      <c r="B281" s="23"/>
      <c r="C281" s="24"/>
      <c r="D281" s="23"/>
      <c r="E281" s="25" t="str">
        <f>IFERROR(__xludf.DUMMYFUNCTION("REGEXEXTRACT(C281, """"""([^""""]+)"""""")"),"#N/A")</f>
        <v>#N/A</v>
      </c>
    </row>
    <row r="282">
      <c r="A282" s="23"/>
      <c r="B282" s="23"/>
      <c r="C282" s="24"/>
      <c r="D282" s="23"/>
      <c r="E282" s="25" t="str">
        <f>IFERROR(__xludf.DUMMYFUNCTION("REGEXEXTRACT(C282, """"""([^""""]+)"""""")"),"#N/A")</f>
        <v>#N/A</v>
      </c>
    </row>
    <row r="283">
      <c r="A283" s="23"/>
      <c r="B283" s="23"/>
      <c r="C283" s="24"/>
      <c r="D283" s="23"/>
      <c r="E283" s="25" t="str">
        <f>IFERROR(__xludf.DUMMYFUNCTION("REGEXEXTRACT(C283, """"""([^""""]+)"""""")"),"#N/A")</f>
        <v>#N/A</v>
      </c>
    </row>
    <row r="284">
      <c r="A284" s="23"/>
      <c r="B284" s="23"/>
      <c r="C284" s="24"/>
      <c r="D284" s="23"/>
      <c r="E284" s="25" t="str">
        <f>IFERROR(__xludf.DUMMYFUNCTION("REGEXEXTRACT(C284, """"""([^""""]+)"""""")"),"#N/A")</f>
        <v>#N/A</v>
      </c>
    </row>
    <row r="285">
      <c r="A285" s="23"/>
      <c r="B285" s="23"/>
      <c r="C285" s="24"/>
      <c r="D285" s="23"/>
      <c r="E285" s="25" t="str">
        <f>IFERROR(__xludf.DUMMYFUNCTION("REGEXEXTRACT(C285, """"""([^""""]+)"""""")"),"#N/A")</f>
        <v>#N/A</v>
      </c>
    </row>
    <row r="286">
      <c r="A286" s="23"/>
      <c r="B286" s="23"/>
      <c r="C286" s="24"/>
      <c r="D286" s="23"/>
      <c r="E286" s="25" t="str">
        <f>IFERROR(__xludf.DUMMYFUNCTION("REGEXEXTRACT(C286, """"""([^""""]+)"""""")"),"#N/A")</f>
        <v>#N/A</v>
      </c>
    </row>
    <row r="287">
      <c r="A287" s="23"/>
      <c r="B287" s="23"/>
      <c r="C287" s="24"/>
      <c r="D287" s="23"/>
      <c r="E287" s="25" t="str">
        <f>IFERROR(__xludf.DUMMYFUNCTION("REGEXEXTRACT(C287, """"""([^""""]+)"""""")"),"#N/A")</f>
        <v>#N/A</v>
      </c>
    </row>
    <row r="288">
      <c r="A288" s="23"/>
      <c r="B288" s="23"/>
      <c r="C288" s="24"/>
      <c r="D288" s="23"/>
      <c r="E288" s="25" t="str">
        <f>IFERROR(__xludf.DUMMYFUNCTION("REGEXEXTRACT(C288, """"""([^""""]+)"""""")"),"#N/A")</f>
        <v>#N/A</v>
      </c>
    </row>
    <row r="289">
      <c r="A289" s="23"/>
      <c r="B289" s="23"/>
      <c r="C289" s="24"/>
      <c r="D289" s="23"/>
      <c r="E289" s="25" t="str">
        <f>IFERROR(__xludf.DUMMYFUNCTION("REGEXEXTRACT(C289, """"""([^""""]+)"""""")"),"#N/A")</f>
        <v>#N/A</v>
      </c>
    </row>
    <row r="290">
      <c r="A290" s="23"/>
      <c r="B290" s="23"/>
      <c r="C290" s="24"/>
      <c r="D290" s="23"/>
      <c r="E290" s="25" t="str">
        <f>IFERROR(__xludf.DUMMYFUNCTION("REGEXEXTRACT(C290, """"""([^""""]+)"""""")"),"#N/A")</f>
        <v>#N/A</v>
      </c>
    </row>
    <row r="291">
      <c r="A291" s="23"/>
      <c r="B291" s="23"/>
      <c r="C291" s="24"/>
      <c r="D291" s="23"/>
      <c r="E291" s="25" t="str">
        <f>IFERROR(__xludf.DUMMYFUNCTION("REGEXEXTRACT(C291, """"""([^""""]+)"""""")"),"#N/A")</f>
        <v>#N/A</v>
      </c>
    </row>
    <row r="292">
      <c r="A292" s="23"/>
      <c r="B292" s="23"/>
      <c r="C292" s="24"/>
      <c r="D292" s="23"/>
      <c r="E292" s="25" t="str">
        <f>IFERROR(__xludf.DUMMYFUNCTION("REGEXEXTRACT(C292, """"""([^""""]+)"""""")"),"#N/A")</f>
        <v>#N/A</v>
      </c>
    </row>
    <row r="293">
      <c r="A293" s="23"/>
      <c r="B293" s="23"/>
      <c r="C293" s="24"/>
      <c r="D293" s="23"/>
      <c r="E293" s="25" t="str">
        <f>IFERROR(__xludf.DUMMYFUNCTION("REGEXEXTRACT(C293, """"""([^""""]+)"""""")"),"#N/A")</f>
        <v>#N/A</v>
      </c>
    </row>
    <row r="294">
      <c r="A294" s="23"/>
      <c r="B294" s="23"/>
      <c r="C294" s="24"/>
      <c r="D294" s="23"/>
      <c r="E294" s="25" t="str">
        <f>IFERROR(__xludf.DUMMYFUNCTION("REGEXEXTRACT(C294, """"""([^""""]+)"""""")"),"#N/A")</f>
        <v>#N/A</v>
      </c>
    </row>
    <row r="295">
      <c r="A295" s="23"/>
      <c r="B295" s="23"/>
      <c r="C295" s="24"/>
      <c r="D295" s="23"/>
      <c r="E295" s="25" t="str">
        <f>IFERROR(__xludf.DUMMYFUNCTION("REGEXEXTRACT(C295, """"""([^""""]+)"""""")"),"#N/A")</f>
        <v>#N/A</v>
      </c>
    </row>
    <row r="296">
      <c r="A296" s="23"/>
      <c r="B296" s="23"/>
      <c r="C296" s="24"/>
      <c r="D296" s="23"/>
      <c r="E296" s="25" t="str">
        <f>IFERROR(__xludf.DUMMYFUNCTION("REGEXEXTRACT(C296, """"""([^""""]+)"""""")"),"#N/A")</f>
        <v>#N/A</v>
      </c>
    </row>
    <row r="297">
      <c r="A297" s="23"/>
      <c r="B297" s="23"/>
      <c r="C297" s="24"/>
      <c r="D297" s="23"/>
      <c r="E297" s="25" t="str">
        <f>IFERROR(__xludf.DUMMYFUNCTION("REGEXEXTRACT(C297, """"""([^""""]+)"""""")"),"#N/A")</f>
        <v>#N/A</v>
      </c>
    </row>
    <row r="298">
      <c r="A298" s="23"/>
      <c r="B298" s="23"/>
      <c r="C298" s="24"/>
      <c r="D298" s="23"/>
      <c r="E298" s="25" t="str">
        <f>IFERROR(__xludf.DUMMYFUNCTION("REGEXEXTRACT(C298, """"""([^""""]+)"""""")"),"#N/A")</f>
        <v>#N/A</v>
      </c>
    </row>
    <row r="299">
      <c r="A299" s="23"/>
      <c r="B299" s="23"/>
      <c r="C299" s="24"/>
      <c r="D299" s="23"/>
      <c r="E299" s="25" t="str">
        <f>IFERROR(__xludf.DUMMYFUNCTION("REGEXEXTRACT(C299, """"""([^""""]+)"""""")"),"#N/A")</f>
        <v>#N/A</v>
      </c>
    </row>
    <row r="300">
      <c r="A300" s="23"/>
      <c r="B300" s="23"/>
      <c r="C300" s="24"/>
      <c r="D300" s="23"/>
      <c r="E300" s="25" t="str">
        <f>IFERROR(__xludf.DUMMYFUNCTION("REGEXEXTRACT(C300, """"""([^""""]+)"""""")"),"#N/A")</f>
        <v>#N/A</v>
      </c>
    </row>
    <row r="301">
      <c r="A301" s="23"/>
      <c r="B301" s="23"/>
      <c r="C301" s="24"/>
      <c r="D301" s="23"/>
      <c r="E301" s="25" t="str">
        <f>IFERROR(__xludf.DUMMYFUNCTION("REGEXEXTRACT(C301, """"""([^""""]+)"""""")"),"#N/A")</f>
        <v>#N/A</v>
      </c>
    </row>
    <row r="302">
      <c r="A302" s="23"/>
      <c r="B302" s="23"/>
      <c r="C302" s="24"/>
      <c r="D302" s="23"/>
      <c r="E302" s="25" t="str">
        <f>IFERROR(__xludf.DUMMYFUNCTION("REGEXEXTRACT(C302, """"""([^""""]+)"""""")"),"#N/A")</f>
        <v>#N/A</v>
      </c>
    </row>
    <row r="303">
      <c r="A303" s="23"/>
      <c r="B303" s="23"/>
      <c r="C303" s="24"/>
      <c r="D303" s="23"/>
      <c r="E303" s="25" t="str">
        <f>IFERROR(__xludf.DUMMYFUNCTION("REGEXEXTRACT(C303, """"""([^""""]+)"""""")"),"#N/A")</f>
        <v>#N/A</v>
      </c>
    </row>
    <row r="304">
      <c r="A304" s="23"/>
      <c r="B304" s="23"/>
      <c r="C304" s="24"/>
      <c r="D304" s="23"/>
      <c r="E304" s="25" t="str">
        <f>IFERROR(__xludf.DUMMYFUNCTION("REGEXEXTRACT(C304, """"""([^""""]+)"""""")"),"#N/A")</f>
        <v>#N/A</v>
      </c>
    </row>
    <row r="305">
      <c r="A305" s="23"/>
      <c r="B305" s="23"/>
      <c r="C305" s="24"/>
      <c r="D305" s="23"/>
      <c r="E305" s="25" t="str">
        <f>IFERROR(__xludf.DUMMYFUNCTION("REGEXEXTRACT(C305, """"""([^""""]+)"""""")"),"#N/A")</f>
        <v>#N/A</v>
      </c>
    </row>
    <row r="306">
      <c r="A306" s="23"/>
      <c r="B306" s="23"/>
      <c r="C306" s="24"/>
      <c r="D306" s="23"/>
      <c r="E306" s="25" t="str">
        <f>IFERROR(__xludf.DUMMYFUNCTION("REGEXEXTRACT(C306, """"""([^""""]+)"""""")"),"#N/A")</f>
        <v>#N/A</v>
      </c>
    </row>
    <row r="307">
      <c r="A307" s="23"/>
      <c r="B307" s="23"/>
      <c r="C307" s="24"/>
      <c r="D307" s="23"/>
      <c r="E307" s="25" t="str">
        <f>IFERROR(__xludf.DUMMYFUNCTION("REGEXEXTRACT(C307, """"""([^""""]+)"""""")"),"#N/A")</f>
        <v>#N/A</v>
      </c>
    </row>
    <row r="308">
      <c r="A308" s="23"/>
      <c r="B308" s="23"/>
      <c r="C308" s="24"/>
      <c r="D308" s="23"/>
      <c r="E308" s="25" t="str">
        <f>IFERROR(__xludf.DUMMYFUNCTION("REGEXEXTRACT(C308, """"""([^""""]+)"""""")"),"#N/A")</f>
        <v>#N/A</v>
      </c>
    </row>
    <row r="309">
      <c r="A309" s="23"/>
      <c r="B309" s="23"/>
      <c r="C309" s="24"/>
      <c r="D309" s="23"/>
      <c r="E309" s="25" t="str">
        <f>IFERROR(__xludf.DUMMYFUNCTION("REGEXEXTRACT(C309, """"""([^""""]+)"""""")"),"#N/A")</f>
        <v>#N/A</v>
      </c>
    </row>
    <row r="310">
      <c r="A310" s="23"/>
      <c r="B310" s="23"/>
      <c r="C310" s="24"/>
      <c r="D310" s="23"/>
      <c r="E310" s="25" t="str">
        <f>IFERROR(__xludf.DUMMYFUNCTION("REGEXEXTRACT(C310, """"""([^""""]+)"""""")"),"#N/A")</f>
        <v>#N/A</v>
      </c>
    </row>
    <row r="311">
      <c r="A311" s="23"/>
      <c r="B311" s="23"/>
      <c r="C311" s="24"/>
      <c r="D311" s="23"/>
      <c r="E311" s="25" t="str">
        <f>IFERROR(__xludf.DUMMYFUNCTION("REGEXEXTRACT(C311, """"""([^""""]+)"""""")"),"#N/A")</f>
        <v>#N/A</v>
      </c>
    </row>
    <row r="312">
      <c r="A312" s="23"/>
      <c r="B312" s="23"/>
      <c r="C312" s="24"/>
      <c r="D312" s="23"/>
      <c r="E312" s="25" t="str">
        <f>IFERROR(__xludf.DUMMYFUNCTION("REGEXEXTRACT(C312, """"""([^""""]+)"""""")"),"#N/A")</f>
        <v>#N/A</v>
      </c>
    </row>
    <row r="313">
      <c r="A313" s="23"/>
      <c r="B313" s="23"/>
      <c r="C313" s="24"/>
      <c r="D313" s="23"/>
      <c r="E313" s="25" t="str">
        <f>IFERROR(__xludf.DUMMYFUNCTION("REGEXEXTRACT(C313, """"""([^""""]+)"""""")"),"#N/A")</f>
        <v>#N/A</v>
      </c>
    </row>
    <row r="314">
      <c r="A314" s="23"/>
      <c r="B314" s="23"/>
      <c r="C314" s="24"/>
      <c r="D314" s="23"/>
      <c r="E314" s="25" t="str">
        <f>IFERROR(__xludf.DUMMYFUNCTION("REGEXEXTRACT(C314, """"""([^""""]+)"""""")"),"#N/A")</f>
        <v>#N/A</v>
      </c>
    </row>
    <row r="315">
      <c r="A315" s="23"/>
      <c r="B315" s="23"/>
      <c r="C315" s="24"/>
      <c r="D315" s="23"/>
      <c r="E315" s="25" t="str">
        <f>IFERROR(__xludf.DUMMYFUNCTION("REGEXEXTRACT(C315, """"""([^""""]+)"""""")"),"#N/A")</f>
        <v>#N/A</v>
      </c>
    </row>
    <row r="316">
      <c r="A316" s="23"/>
      <c r="B316" s="23"/>
      <c r="C316" s="24"/>
      <c r="D316" s="23"/>
      <c r="E316" s="25" t="str">
        <f>IFERROR(__xludf.DUMMYFUNCTION("REGEXEXTRACT(C316, """"""([^""""]+)"""""")"),"#N/A")</f>
        <v>#N/A</v>
      </c>
    </row>
    <row r="317">
      <c r="A317" s="23"/>
      <c r="B317" s="23"/>
      <c r="C317" s="24"/>
      <c r="D317" s="23"/>
      <c r="E317" s="25" t="str">
        <f>IFERROR(__xludf.DUMMYFUNCTION("REGEXEXTRACT(C317, """"""([^""""]+)"""""")"),"#N/A")</f>
        <v>#N/A</v>
      </c>
    </row>
    <row r="318">
      <c r="A318" s="23"/>
      <c r="B318" s="23"/>
      <c r="C318" s="24"/>
      <c r="D318" s="23"/>
      <c r="E318" s="25" t="str">
        <f>IFERROR(__xludf.DUMMYFUNCTION("REGEXEXTRACT(C318, """"""([^""""]+)"""""")"),"#N/A")</f>
        <v>#N/A</v>
      </c>
    </row>
    <row r="319">
      <c r="A319" s="23"/>
      <c r="B319" s="23"/>
      <c r="C319" s="24"/>
      <c r="D319" s="23"/>
      <c r="E319" s="25" t="str">
        <f>IFERROR(__xludf.DUMMYFUNCTION("REGEXEXTRACT(C319, """"""([^""""]+)"""""")"),"#N/A")</f>
        <v>#N/A</v>
      </c>
    </row>
    <row r="320">
      <c r="A320" s="23"/>
      <c r="B320" s="23"/>
      <c r="C320" s="24"/>
      <c r="D320" s="23"/>
      <c r="E320" s="25" t="str">
        <f>IFERROR(__xludf.DUMMYFUNCTION("REGEXEXTRACT(C320, """"""([^""""]+)"""""")"),"#N/A")</f>
        <v>#N/A</v>
      </c>
    </row>
    <row r="321">
      <c r="A321" s="23"/>
      <c r="B321" s="23"/>
      <c r="C321" s="24"/>
      <c r="D321" s="23"/>
      <c r="E321" s="25" t="str">
        <f>IFERROR(__xludf.DUMMYFUNCTION("REGEXEXTRACT(C321, """"""([^""""]+)"""""")"),"#N/A")</f>
        <v>#N/A</v>
      </c>
    </row>
    <row r="322">
      <c r="A322" s="23"/>
      <c r="B322" s="23"/>
      <c r="C322" s="24"/>
      <c r="D322" s="23"/>
      <c r="E322" s="25" t="str">
        <f>IFERROR(__xludf.DUMMYFUNCTION("REGEXEXTRACT(C322, """"""([^""""]+)"""""")"),"#N/A")</f>
        <v>#N/A</v>
      </c>
    </row>
    <row r="323">
      <c r="A323" s="23"/>
      <c r="B323" s="23"/>
      <c r="C323" s="24"/>
      <c r="D323" s="23"/>
      <c r="E323" s="25" t="str">
        <f>IFERROR(__xludf.DUMMYFUNCTION("REGEXEXTRACT(C323, """"""([^""""]+)"""""")"),"#N/A")</f>
        <v>#N/A</v>
      </c>
    </row>
    <row r="324">
      <c r="A324" s="23"/>
      <c r="B324" s="23"/>
      <c r="C324" s="24"/>
      <c r="D324" s="23"/>
      <c r="E324" s="25" t="str">
        <f>IFERROR(__xludf.DUMMYFUNCTION("REGEXEXTRACT(C324, """"""([^""""]+)"""""")"),"#N/A")</f>
        <v>#N/A</v>
      </c>
    </row>
    <row r="325">
      <c r="A325" s="23"/>
      <c r="B325" s="23"/>
      <c r="C325" s="24"/>
      <c r="D325" s="23"/>
      <c r="E325" s="25" t="str">
        <f>IFERROR(__xludf.DUMMYFUNCTION("REGEXEXTRACT(C325, """"""([^""""]+)"""""")"),"#N/A")</f>
        <v>#N/A</v>
      </c>
    </row>
    <row r="326">
      <c r="A326" s="23"/>
      <c r="B326" s="23"/>
      <c r="C326" s="24"/>
      <c r="D326" s="23"/>
      <c r="E326" s="25" t="str">
        <f>IFERROR(__xludf.DUMMYFUNCTION("REGEXEXTRACT(C326, """"""([^""""]+)"""""")"),"#N/A")</f>
        <v>#N/A</v>
      </c>
    </row>
    <row r="327">
      <c r="A327" s="23"/>
      <c r="B327" s="23"/>
      <c r="C327" s="24"/>
      <c r="D327" s="23"/>
      <c r="E327" s="25" t="str">
        <f>IFERROR(__xludf.DUMMYFUNCTION("REGEXEXTRACT(C327, """"""([^""""]+)"""""")"),"#N/A")</f>
        <v>#N/A</v>
      </c>
    </row>
    <row r="328">
      <c r="A328" s="23"/>
      <c r="B328" s="23"/>
      <c r="C328" s="24"/>
      <c r="D328" s="23"/>
      <c r="E328" s="25" t="str">
        <f>IFERROR(__xludf.DUMMYFUNCTION("REGEXEXTRACT(C328, """"""([^""""]+)"""""")"),"#N/A")</f>
        <v>#N/A</v>
      </c>
    </row>
    <row r="329">
      <c r="A329" s="23"/>
      <c r="B329" s="23"/>
      <c r="C329" s="24"/>
      <c r="D329" s="23"/>
      <c r="E329" s="25" t="str">
        <f>IFERROR(__xludf.DUMMYFUNCTION("REGEXEXTRACT(C329, """"""([^""""]+)"""""")"),"#N/A")</f>
        <v>#N/A</v>
      </c>
    </row>
    <row r="330">
      <c r="A330" s="23"/>
      <c r="B330" s="23"/>
      <c r="C330" s="24"/>
      <c r="D330" s="23"/>
      <c r="E330" s="25" t="str">
        <f>IFERROR(__xludf.DUMMYFUNCTION("REGEXEXTRACT(C330, """"""([^""""]+)"""""")"),"#N/A")</f>
        <v>#N/A</v>
      </c>
    </row>
    <row r="331">
      <c r="A331" s="23"/>
      <c r="B331" s="23"/>
      <c r="C331" s="24"/>
      <c r="D331" s="23"/>
      <c r="E331" s="25" t="str">
        <f>IFERROR(__xludf.DUMMYFUNCTION("REGEXEXTRACT(C331, """"""([^""""]+)"""""")"),"#N/A")</f>
        <v>#N/A</v>
      </c>
    </row>
    <row r="332">
      <c r="A332" s="23"/>
      <c r="B332" s="23"/>
      <c r="C332" s="24"/>
      <c r="D332" s="23"/>
      <c r="E332" s="25" t="str">
        <f>IFERROR(__xludf.DUMMYFUNCTION("REGEXEXTRACT(C332, """"""([^""""]+)"""""")"),"#N/A")</f>
        <v>#N/A</v>
      </c>
    </row>
    <row r="333">
      <c r="A333" s="23"/>
      <c r="B333" s="23"/>
      <c r="C333" s="24"/>
      <c r="D333" s="23"/>
      <c r="E333" s="25" t="str">
        <f>IFERROR(__xludf.DUMMYFUNCTION("REGEXEXTRACT(C333, """"""([^""""]+)"""""")"),"#N/A")</f>
        <v>#N/A</v>
      </c>
    </row>
    <row r="334">
      <c r="A334" s="23"/>
      <c r="B334" s="23"/>
      <c r="C334" s="24"/>
      <c r="D334" s="23"/>
      <c r="E334" s="25" t="str">
        <f>IFERROR(__xludf.DUMMYFUNCTION("REGEXEXTRACT(C334, """"""([^""""]+)"""""")"),"#N/A")</f>
        <v>#N/A</v>
      </c>
    </row>
    <row r="335">
      <c r="A335" s="23"/>
      <c r="B335" s="23"/>
      <c r="C335" s="24"/>
      <c r="D335" s="23"/>
      <c r="E335" s="25" t="str">
        <f>IFERROR(__xludf.DUMMYFUNCTION("REGEXEXTRACT(C335, """"""([^""""]+)"""""")"),"#N/A")</f>
        <v>#N/A</v>
      </c>
    </row>
    <row r="336">
      <c r="A336" s="23"/>
      <c r="B336" s="23"/>
      <c r="C336" s="24"/>
      <c r="D336" s="23"/>
      <c r="E336" s="25" t="str">
        <f>IFERROR(__xludf.DUMMYFUNCTION("REGEXEXTRACT(C336, """"""([^""""]+)"""""")"),"#N/A")</f>
        <v>#N/A</v>
      </c>
    </row>
    <row r="337">
      <c r="A337" s="23"/>
      <c r="B337" s="23"/>
      <c r="C337" s="24"/>
      <c r="D337" s="23"/>
      <c r="E337" s="25" t="str">
        <f>IFERROR(__xludf.DUMMYFUNCTION("REGEXEXTRACT(C337, """"""([^""""]+)"""""")"),"#N/A")</f>
        <v>#N/A</v>
      </c>
    </row>
    <row r="338">
      <c r="A338" s="23"/>
      <c r="B338" s="23"/>
      <c r="C338" s="24"/>
      <c r="D338" s="23"/>
      <c r="E338" s="25" t="str">
        <f>IFERROR(__xludf.DUMMYFUNCTION("REGEXEXTRACT(C338, """"""([^""""]+)"""""")"),"#N/A")</f>
        <v>#N/A</v>
      </c>
    </row>
    <row r="339">
      <c r="A339" s="23"/>
      <c r="B339" s="23"/>
      <c r="C339" s="24"/>
      <c r="D339" s="23"/>
      <c r="E339" s="25" t="str">
        <f>IFERROR(__xludf.DUMMYFUNCTION("REGEXEXTRACT(C339, """"""([^""""]+)"""""")"),"#N/A")</f>
        <v>#N/A</v>
      </c>
    </row>
    <row r="340">
      <c r="A340" s="23"/>
      <c r="B340" s="23"/>
      <c r="C340" s="24"/>
      <c r="D340" s="23"/>
      <c r="E340" s="25" t="str">
        <f>IFERROR(__xludf.DUMMYFUNCTION("REGEXEXTRACT(C340, """"""([^""""]+)"""""")"),"#N/A")</f>
        <v>#N/A</v>
      </c>
    </row>
    <row r="341">
      <c r="A341" s="23"/>
      <c r="B341" s="23"/>
      <c r="C341" s="24"/>
      <c r="D341" s="23"/>
      <c r="E341" s="25" t="str">
        <f>IFERROR(__xludf.DUMMYFUNCTION("REGEXEXTRACT(C341, """"""([^""""]+)"""""")"),"#N/A")</f>
        <v>#N/A</v>
      </c>
    </row>
    <row r="342">
      <c r="A342" s="23"/>
      <c r="B342" s="23"/>
      <c r="C342" s="24"/>
      <c r="D342" s="23"/>
      <c r="E342" s="25" t="str">
        <f>IFERROR(__xludf.DUMMYFUNCTION("REGEXEXTRACT(C342, """"""([^""""]+)"""""")"),"#N/A")</f>
        <v>#N/A</v>
      </c>
    </row>
    <row r="343">
      <c r="A343" s="23"/>
      <c r="B343" s="23"/>
      <c r="C343" s="24"/>
      <c r="D343" s="23"/>
      <c r="E343" s="25" t="str">
        <f>IFERROR(__xludf.DUMMYFUNCTION("REGEXEXTRACT(C343, """"""([^""""]+)"""""")"),"#N/A")</f>
        <v>#N/A</v>
      </c>
    </row>
    <row r="344">
      <c r="A344" s="23"/>
      <c r="B344" s="23"/>
      <c r="C344" s="24"/>
      <c r="D344" s="23"/>
      <c r="E344" s="25" t="str">
        <f>IFERROR(__xludf.DUMMYFUNCTION("REGEXEXTRACT(C344, """"""([^""""]+)"""""")"),"#N/A")</f>
        <v>#N/A</v>
      </c>
    </row>
    <row r="345">
      <c r="A345" s="23"/>
      <c r="B345" s="23"/>
      <c r="C345" s="24"/>
      <c r="D345" s="23"/>
      <c r="E345" s="25" t="str">
        <f>IFERROR(__xludf.DUMMYFUNCTION("REGEXEXTRACT(C345, """"""([^""""]+)"""""")"),"#N/A")</f>
        <v>#N/A</v>
      </c>
    </row>
    <row r="346">
      <c r="A346" s="23"/>
      <c r="B346" s="23"/>
      <c r="C346" s="24"/>
      <c r="D346" s="23"/>
      <c r="E346" s="25" t="str">
        <f>IFERROR(__xludf.DUMMYFUNCTION("REGEXEXTRACT(C346, """"""([^""""]+)"""""")"),"#N/A")</f>
        <v>#N/A</v>
      </c>
    </row>
    <row r="347">
      <c r="A347" s="23"/>
      <c r="B347" s="23"/>
      <c r="C347" s="24"/>
      <c r="D347" s="23"/>
      <c r="E347" s="25" t="str">
        <f>IFERROR(__xludf.DUMMYFUNCTION("REGEXEXTRACT(C347, """"""([^""""]+)"""""")"),"#N/A")</f>
        <v>#N/A</v>
      </c>
    </row>
    <row r="348">
      <c r="A348" s="23"/>
      <c r="B348" s="23"/>
      <c r="C348" s="24"/>
      <c r="D348" s="23"/>
      <c r="E348" s="25" t="str">
        <f>IFERROR(__xludf.DUMMYFUNCTION("REGEXEXTRACT(C348, """"""([^""""]+)"""""")"),"#N/A")</f>
        <v>#N/A</v>
      </c>
    </row>
    <row r="349">
      <c r="A349" s="23"/>
      <c r="B349" s="23"/>
      <c r="C349" s="24"/>
      <c r="D349" s="23"/>
      <c r="E349" s="25" t="str">
        <f>IFERROR(__xludf.DUMMYFUNCTION("REGEXEXTRACT(C349, """"""([^""""]+)"""""")"),"#N/A")</f>
        <v>#N/A</v>
      </c>
    </row>
    <row r="350">
      <c r="A350" s="23"/>
      <c r="B350" s="23"/>
      <c r="C350" s="24"/>
      <c r="D350" s="23"/>
      <c r="E350" s="25" t="str">
        <f>IFERROR(__xludf.DUMMYFUNCTION("REGEXEXTRACT(C350, """"""([^""""]+)"""""")"),"#N/A")</f>
        <v>#N/A</v>
      </c>
    </row>
    <row r="351">
      <c r="A351" s="23"/>
      <c r="B351" s="23"/>
      <c r="C351" s="24"/>
      <c r="D351" s="23"/>
      <c r="E351" s="25" t="str">
        <f>IFERROR(__xludf.DUMMYFUNCTION("REGEXEXTRACT(C351, """"""([^""""]+)"""""")"),"#N/A")</f>
        <v>#N/A</v>
      </c>
    </row>
    <row r="352">
      <c r="A352" s="23"/>
      <c r="B352" s="23"/>
      <c r="C352" s="24"/>
      <c r="D352" s="23"/>
      <c r="E352" s="25" t="str">
        <f>IFERROR(__xludf.DUMMYFUNCTION("REGEXEXTRACT(C352, """"""([^""""]+)"""""")"),"#N/A")</f>
        <v>#N/A</v>
      </c>
    </row>
    <row r="353">
      <c r="A353" s="23"/>
      <c r="B353" s="23"/>
      <c r="C353" s="24"/>
      <c r="D353" s="23"/>
      <c r="E353" s="25" t="str">
        <f>IFERROR(__xludf.DUMMYFUNCTION("REGEXEXTRACT(C353, """"""([^""""]+)"""""")"),"#N/A")</f>
        <v>#N/A</v>
      </c>
    </row>
    <row r="354">
      <c r="A354" s="23"/>
      <c r="B354" s="23"/>
      <c r="C354" s="24"/>
      <c r="D354" s="23"/>
      <c r="E354" s="25" t="str">
        <f>IFERROR(__xludf.DUMMYFUNCTION("REGEXEXTRACT(C354, """"""([^""""]+)"""""")"),"#N/A")</f>
        <v>#N/A</v>
      </c>
    </row>
    <row r="355">
      <c r="A355" s="23"/>
      <c r="B355" s="23"/>
      <c r="C355" s="24"/>
      <c r="D355" s="23"/>
      <c r="E355" s="25" t="str">
        <f>IFERROR(__xludf.DUMMYFUNCTION("REGEXEXTRACT(C355, """"""([^""""]+)"""""")"),"#N/A")</f>
        <v>#N/A</v>
      </c>
    </row>
    <row r="356">
      <c r="A356" s="23"/>
      <c r="B356" s="23"/>
      <c r="C356" s="24"/>
      <c r="D356" s="23"/>
      <c r="E356" s="25" t="str">
        <f>IFERROR(__xludf.DUMMYFUNCTION("REGEXEXTRACT(C356, """"""([^""""]+)"""""")"),"#N/A")</f>
        <v>#N/A</v>
      </c>
    </row>
    <row r="357">
      <c r="A357" s="23"/>
      <c r="B357" s="23"/>
      <c r="C357" s="24"/>
      <c r="D357" s="23"/>
      <c r="E357" s="25" t="str">
        <f>IFERROR(__xludf.DUMMYFUNCTION("REGEXEXTRACT(C357, """"""([^""""]+)"""""")"),"#N/A")</f>
        <v>#N/A</v>
      </c>
    </row>
    <row r="358">
      <c r="A358" s="23"/>
      <c r="B358" s="23"/>
      <c r="C358" s="24"/>
      <c r="D358" s="23"/>
      <c r="E358" s="25" t="str">
        <f>IFERROR(__xludf.DUMMYFUNCTION("REGEXEXTRACT(C358, """"""([^""""]+)"""""")"),"#N/A")</f>
        <v>#N/A</v>
      </c>
    </row>
    <row r="359">
      <c r="A359" s="23"/>
      <c r="B359" s="23"/>
      <c r="C359" s="24"/>
      <c r="D359" s="23"/>
      <c r="E359" s="25" t="str">
        <f>IFERROR(__xludf.DUMMYFUNCTION("REGEXEXTRACT(C359, """"""([^""""]+)"""""")"),"#N/A")</f>
        <v>#N/A</v>
      </c>
    </row>
    <row r="360">
      <c r="A360" s="23"/>
      <c r="B360" s="23"/>
      <c r="C360" s="24"/>
      <c r="D360" s="23"/>
      <c r="E360" s="25" t="str">
        <f>IFERROR(__xludf.DUMMYFUNCTION("REGEXEXTRACT(C360, """"""([^""""]+)"""""")"),"#N/A")</f>
        <v>#N/A</v>
      </c>
    </row>
    <row r="361">
      <c r="A361" s="23"/>
      <c r="B361" s="23"/>
      <c r="C361" s="24"/>
      <c r="D361" s="23"/>
      <c r="E361" s="25" t="str">
        <f>IFERROR(__xludf.DUMMYFUNCTION("REGEXEXTRACT(C361, """"""([^""""]+)"""""")"),"#N/A")</f>
        <v>#N/A</v>
      </c>
    </row>
    <row r="362">
      <c r="A362" s="23"/>
      <c r="B362" s="23"/>
      <c r="C362" s="24"/>
      <c r="D362" s="23"/>
      <c r="E362" s="25" t="str">
        <f>IFERROR(__xludf.DUMMYFUNCTION("REGEXEXTRACT(C362, """"""([^""""]+)"""""")"),"#N/A")</f>
        <v>#N/A</v>
      </c>
    </row>
    <row r="363">
      <c r="A363" s="23"/>
      <c r="B363" s="23"/>
      <c r="C363" s="24"/>
      <c r="D363" s="23"/>
      <c r="E363" s="25" t="str">
        <f>IFERROR(__xludf.DUMMYFUNCTION("REGEXEXTRACT(C363, """"""([^""""]+)"""""")"),"#N/A")</f>
        <v>#N/A</v>
      </c>
    </row>
    <row r="364">
      <c r="A364" s="23"/>
      <c r="B364" s="23"/>
      <c r="C364" s="24"/>
      <c r="D364" s="23"/>
      <c r="E364" s="25" t="str">
        <f>IFERROR(__xludf.DUMMYFUNCTION("REGEXEXTRACT(C364, """"""([^""""]+)"""""")"),"#N/A")</f>
        <v>#N/A</v>
      </c>
    </row>
    <row r="365">
      <c r="A365" s="23"/>
      <c r="B365" s="23"/>
      <c r="C365" s="24"/>
      <c r="D365" s="23"/>
      <c r="E365" s="25" t="str">
        <f>IFERROR(__xludf.DUMMYFUNCTION("REGEXEXTRACT(C365, """"""([^""""]+)"""""")"),"#N/A")</f>
        <v>#N/A</v>
      </c>
    </row>
    <row r="366">
      <c r="A366" s="23"/>
      <c r="B366" s="23"/>
      <c r="C366" s="24"/>
      <c r="D366" s="23"/>
      <c r="E366" s="25" t="str">
        <f>IFERROR(__xludf.DUMMYFUNCTION("REGEXEXTRACT(C366, """"""([^""""]+)"""""")"),"#N/A")</f>
        <v>#N/A</v>
      </c>
    </row>
    <row r="367">
      <c r="A367" s="23"/>
      <c r="B367" s="23"/>
      <c r="C367" s="24"/>
      <c r="D367" s="23"/>
      <c r="E367" s="25" t="str">
        <f>IFERROR(__xludf.DUMMYFUNCTION("REGEXEXTRACT(C367, """"""([^""""]+)"""""")"),"#N/A")</f>
        <v>#N/A</v>
      </c>
    </row>
    <row r="368">
      <c r="A368" s="23"/>
      <c r="B368" s="23"/>
      <c r="C368" s="24"/>
      <c r="D368" s="23"/>
      <c r="E368" s="25" t="str">
        <f>IFERROR(__xludf.DUMMYFUNCTION("REGEXEXTRACT(C368, """"""([^""""]+)"""""")"),"#N/A")</f>
        <v>#N/A</v>
      </c>
    </row>
    <row r="369">
      <c r="A369" s="23"/>
      <c r="B369" s="23"/>
      <c r="C369" s="24"/>
      <c r="D369" s="23"/>
      <c r="E369" s="25" t="str">
        <f>IFERROR(__xludf.DUMMYFUNCTION("REGEXEXTRACT(C369, """"""([^""""]+)"""""")"),"#N/A")</f>
        <v>#N/A</v>
      </c>
    </row>
    <row r="370">
      <c r="A370" s="23"/>
      <c r="B370" s="23"/>
      <c r="C370" s="24"/>
      <c r="D370" s="23"/>
      <c r="E370" s="25" t="str">
        <f>IFERROR(__xludf.DUMMYFUNCTION("REGEXEXTRACT(C370, """"""([^""""]+)"""""")"),"#N/A")</f>
        <v>#N/A</v>
      </c>
    </row>
    <row r="371">
      <c r="A371" s="23"/>
      <c r="B371" s="23"/>
      <c r="C371" s="24"/>
      <c r="D371" s="23"/>
      <c r="E371" s="25" t="str">
        <f>IFERROR(__xludf.DUMMYFUNCTION("REGEXEXTRACT(C371, """"""([^""""]+)"""""")"),"#N/A")</f>
        <v>#N/A</v>
      </c>
    </row>
    <row r="372">
      <c r="A372" s="23"/>
      <c r="B372" s="23"/>
      <c r="C372" s="24"/>
      <c r="D372" s="23"/>
      <c r="E372" s="25" t="str">
        <f>IFERROR(__xludf.DUMMYFUNCTION("REGEXEXTRACT(C372, """"""([^""""]+)"""""")"),"#N/A")</f>
        <v>#N/A</v>
      </c>
    </row>
    <row r="373">
      <c r="A373" s="23"/>
      <c r="B373" s="23"/>
      <c r="C373" s="24"/>
      <c r="D373" s="23"/>
      <c r="E373" s="25" t="str">
        <f>IFERROR(__xludf.DUMMYFUNCTION("REGEXEXTRACT(C373, """"""([^""""]+)"""""")"),"#N/A")</f>
        <v>#N/A</v>
      </c>
    </row>
    <row r="374">
      <c r="A374" s="23"/>
      <c r="B374" s="23"/>
      <c r="C374" s="24"/>
      <c r="D374" s="23"/>
      <c r="E374" s="25" t="str">
        <f>IFERROR(__xludf.DUMMYFUNCTION("REGEXEXTRACT(C374, """"""([^""""]+)"""""")"),"#N/A")</f>
        <v>#N/A</v>
      </c>
    </row>
    <row r="375">
      <c r="A375" s="23"/>
      <c r="B375" s="23"/>
      <c r="C375" s="24"/>
      <c r="D375" s="23"/>
      <c r="E375" s="25" t="str">
        <f>IFERROR(__xludf.DUMMYFUNCTION("REGEXEXTRACT(C375, """"""([^""""]+)"""""")"),"#N/A")</f>
        <v>#N/A</v>
      </c>
    </row>
    <row r="376">
      <c r="A376" s="23"/>
      <c r="B376" s="23"/>
      <c r="C376" s="24"/>
      <c r="D376" s="23"/>
      <c r="E376" s="25" t="str">
        <f>IFERROR(__xludf.DUMMYFUNCTION("REGEXEXTRACT(C376, """"""([^""""]+)"""""")"),"#N/A")</f>
        <v>#N/A</v>
      </c>
    </row>
    <row r="377">
      <c r="A377" s="23"/>
      <c r="B377" s="23"/>
      <c r="C377" s="24"/>
      <c r="D377" s="23"/>
      <c r="E377" s="25" t="str">
        <f>IFERROR(__xludf.DUMMYFUNCTION("REGEXEXTRACT(C377, """"""([^""""]+)"""""")"),"#N/A")</f>
        <v>#N/A</v>
      </c>
    </row>
    <row r="378">
      <c r="A378" s="23"/>
      <c r="B378" s="23"/>
      <c r="C378" s="24"/>
      <c r="D378" s="23"/>
      <c r="E378" s="25" t="str">
        <f>IFERROR(__xludf.DUMMYFUNCTION("REGEXEXTRACT(C378, """"""([^""""]+)"""""")"),"#N/A")</f>
        <v>#N/A</v>
      </c>
    </row>
    <row r="379">
      <c r="A379" s="23"/>
      <c r="B379" s="23"/>
      <c r="C379" s="24"/>
      <c r="D379" s="23"/>
      <c r="E379" s="25" t="str">
        <f>IFERROR(__xludf.DUMMYFUNCTION("REGEXEXTRACT(C379, """"""([^""""]+)"""""")"),"#N/A")</f>
        <v>#N/A</v>
      </c>
    </row>
    <row r="380">
      <c r="A380" s="23"/>
      <c r="B380" s="23"/>
      <c r="C380" s="24"/>
      <c r="D380" s="23"/>
      <c r="E380" s="25" t="str">
        <f>IFERROR(__xludf.DUMMYFUNCTION("REGEXEXTRACT(C380, """"""([^""""]+)"""""")"),"#N/A")</f>
        <v>#N/A</v>
      </c>
    </row>
    <row r="381">
      <c r="A381" s="23"/>
      <c r="B381" s="23"/>
      <c r="C381" s="24"/>
      <c r="D381" s="23"/>
      <c r="E381" s="25" t="str">
        <f>IFERROR(__xludf.DUMMYFUNCTION("REGEXEXTRACT(C381, """"""([^""""]+)"""""")"),"#N/A")</f>
        <v>#N/A</v>
      </c>
    </row>
    <row r="382">
      <c r="A382" s="23"/>
      <c r="B382" s="23"/>
      <c r="C382" s="24"/>
      <c r="D382" s="23"/>
      <c r="E382" s="25" t="str">
        <f>IFERROR(__xludf.DUMMYFUNCTION("REGEXEXTRACT(C382, """"""([^""""]+)"""""")"),"#N/A")</f>
        <v>#N/A</v>
      </c>
    </row>
    <row r="383">
      <c r="A383" s="23"/>
      <c r="B383" s="23"/>
      <c r="C383" s="24"/>
      <c r="D383" s="23"/>
      <c r="E383" s="25" t="str">
        <f>IFERROR(__xludf.DUMMYFUNCTION("REGEXEXTRACT(C383, """"""([^""""]+)"""""")"),"#N/A")</f>
        <v>#N/A</v>
      </c>
    </row>
    <row r="384">
      <c r="A384" s="23"/>
      <c r="B384" s="23"/>
      <c r="C384" s="24"/>
      <c r="D384" s="23"/>
      <c r="E384" s="25" t="str">
        <f>IFERROR(__xludf.DUMMYFUNCTION("REGEXEXTRACT(C384, """"""([^""""]+)"""""")"),"#N/A")</f>
        <v>#N/A</v>
      </c>
    </row>
    <row r="385">
      <c r="A385" s="23"/>
      <c r="B385" s="23"/>
      <c r="C385" s="24"/>
      <c r="D385" s="23"/>
      <c r="E385" s="25" t="str">
        <f>IFERROR(__xludf.DUMMYFUNCTION("REGEXEXTRACT(C385, """"""([^""""]+)"""""")"),"#N/A")</f>
        <v>#N/A</v>
      </c>
    </row>
    <row r="386">
      <c r="A386" s="23"/>
      <c r="B386" s="23"/>
      <c r="C386" s="24"/>
      <c r="D386" s="23"/>
      <c r="E386" s="25" t="str">
        <f>IFERROR(__xludf.DUMMYFUNCTION("REGEXEXTRACT(C386, """"""([^""""]+)"""""")"),"#N/A")</f>
        <v>#N/A</v>
      </c>
    </row>
    <row r="387">
      <c r="A387" s="23"/>
      <c r="B387" s="23"/>
      <c r="C387" s="24"/>
      <c r="D387" s="23"/>
      <c r="E387" s="25" t="str">
        <f>IFERROR(__xludf.DUMMYFUNCTION("REGEXEXTRACT(C387, """"""([^""""]+)"""""")"),"#N/A")</f>
        <v>#N/A</v>
      </c>
    </row>
    <row r="388">
      <c r="A388" s="23"/>
      <c r="B388" s="23"/>
      <c r="C388" s="24"/>
      <c r="D388" s="23"/>
      <c r="E388" s="25" t="str">
        <f>IFERROR(__xludf.DUMMYFUNCTION("REGEXEXTRACT(C388, """"""([^""""]+)"""""")"),"#N/A")</f>
        <v>#N/A</v>
      </c>
    </row>
    <row r="389">
      <c r="A389" s="23"/>
      <c r="B389" s="23"/>
      <c r="C389" s="24"/>
      <c r="D389" s="23"/>
      <c r="E389" s="25" t="str">
        <f>IFERROR(__xludf.DUMMYFUNCTION("REGEXEXTRACT(C389, """"""([^""""]+)"""""")"),"#N/A")</f>
        <v>#N/A</v>
      </c>
    </row>
    <row r="390">
      <c r="A390" s="23"/>
      <c r="B390" s="23"/>
      <c r="C390" s="24"/>
      <c r="D390" s="23"/>
      <c r="E390" s="25" t="str">
        <f>IFERROR(__xludf.DUMMYFUNCTION("REGEXEXTRACT(C390, """"""([^""""]+)"""""")"),"#N/A")</f>
        <v>#N/A</v>
      </c>
    </row>
    <row r="391">
      <c r="A391" s="23"/>
      <c r="B391" s="23"/>
      <c r="C391" s="24"/>
      <c r="D391" s="23"/>
      <c r="E391" s="25" t="str">
        <f>IFERROR(__xludf.DUMMYFUNCTION("REGEXEXTRACT(C391, """"""([^""""]+)"""""")"),"#N/A")</f>
        <v>#N/A</v>
      </c>
    </row>
    <row r="392">
      <c r="A392" s="23"/>
      <c r="B392" s="23"/>
      <c r="C392" s="24"/>
      <c r="D392" s="23"/>
      <c r="E392" s="25" t="str">
        <f>IFERROR(__xludf.DUMMYFUNCTION("REGEXEXTRACT(C392, """"""([^""""]+)"""""")"),"#N/A")</f>
        <v>#N/A</v>
      </c>
    </row>
    <row r="393">
      <c r="A393" s="23"/>
      <c r="B393" s="23"/>
      <c r="C393" s="24"/>
      <c r="D393" s="23"/>
      <c r="E393" s="25" t="str">
        <f>IFERROR(__xludf.DUMMYFUNCTION("REGEXEXTRACT(C393, """"""([^""""]+)"""""")"),"#N/A")</f>
        <v>#N/A</v>
      </c>
    </row>
    <row r="394">
      <c r="A394" s="23"/>
      <c r="B394" s="23"/>
      <c r="C394" s="24"/>
      <c r="D394" s="23"/>
      <c r="E394" s="25" t="str">
        <f>IFERROR(__xludf.DUMMYFUNCTION("REGEXEXTRACT(C394, """"""([^""""]+)"""""")"),"#N/A")</f>
        <v>#N/A</v>
      </c>
    </row>
    <row r="395">
      <c r="A395" s="23"/>
      <c r="B395" s="23"/>
      <c r="C395" s="24"/>
      <c r="D395" s="23"/>
      <c r="E395" s="25" t="str">
        <f>IFERROR(__xludf.DUMMYFUNCTION("REGEXEXTRACT(C395, """"""([^""""]+)"""""")"),"#N/A")</f>
        <v>#N/A</v>
      </c>
    </row>
    <row r="396">
      <c r="A396" s="23"/>
      <c r="B396" s="23"/>
      <c r="C396" s="24"/>
      <c r="D396" s="23"/>
      <c r="E396" s="25" t="str">
        <f>IFERROR(__xludf.DUMMYFUNCTION("REGEXEXTRACT(C396, """"""([^""""]+)"""""")"),"#N/A")</f>
        <v>#N/A</v>
      </c>
    </row>
    <row r="397">
      <c r="A397" s="23"/>
      <c r="B397" s="23"/>
      <c r="C397" s="24"/>
      <c r="D397" s="23"/>
      <c r="E397" s="25" t="str">
        <f>IFERROR(__xludf.DUMMYFUNCTION("REGEXEXTRACT(C397, """"""([^""""]+)"""""")"),"#N/A")</f>
        <v>#N/A</v>
      </c>
    </row>
    <row r="398">
      <c r="A398" s="23"/>
      <c r="B398" s="23"/>
      <c r="C398" s="24"/>
      <c r="D398" s="23"/>
      <c r="E398" s="25" t="str">
        <f>IFERROR(__xludf.DUMMYFUNCTION("REGEXEXTRACT(C398, """"""([^""""]+)"""""")"),"#N/A")</f>
        <v>#N/A</v>
      </c>
    </row>
    <row r="399">
      <c r="A399" s="23"/>
      <c r="B399" s="23"/>
      <c r="C399" s="24"/>
      <c r="D399" s="23"/>
      <c r="E399" s="25" t="str">
        <f>IFERROR(__xludf.DUMMYFUNCTION("REGEXEXTRACT(C399, """"""([^""""]+)"""""")"),"#N/A")</f>
        <v>#N/A</v>
      </c>
    </row>
    <row r="400">
      <c r="A400" s="23"/>
      <c r="B400" s="23"/>
      <c r="C400" s="24"/>
      <c r="D400" s="23"/>
      <c r="E400" s="25" t="str">
        <f>IFERROR(__xludf.DUMMYFUNCTION("REGEXEXTRACT(C400, """"""([^""""]+)"""""")"),"#N/A")</f>
        <v>#N/A</v>
      </c>
    </row>
    <row r="401">
      <c r="A401" s="23"/>
      <c r="B401" s="23"/>
      <c r="C401" s="24"/>
      <c r="D401" s="23"/>
      <c r="E401" s="25" t="str">
        <f>IFERROR(__xludf.DUMMYFUNCTION("REGEXEXTRACT(C401, """"""([^""""]+)"""""")"),"#N/A")</f>
        <v>#N/A</v>
      </c>
    </row>
    <row r="402">
      <c r="A402" s="23"/>
      <c r="B402" s="23"/>
      <c r="C402" s="24"/>
      <c r="D402" s="23"/>
      <c r="E402" s="25" t="str">
        <f>IFERROR(__xludf.DUMMYFUNCTION("REGEXEXTRACT(C402, """"""([^""""]+)"""""")"),"#N/A")</f>
        <v>#N/A</v>
      </c>
    </row>
    <row r="403">
      <c r="A403" s="23"/>
      <c r="B403" s="23"/>
      <c r="C403" s="24"/>
      <c r="D403" s="23"/>
      <c r="E403" s="25" t="str">
        <f>IFERROR(__xludf.DUMMYFUNCTION("REGEXEXTRACT(C403, """"""([^""""]+)"""""")"),"#N/A")</f>
        <v>#N/A</v>
      </c>
    </row>
    <row r="404">
      <c r="A404" s="23"/>
      <c r="B404" s="23"/>
      <c r="C404" s="24"/>
      <c r="D404" s="23"/>
      <c r="E404" s="25" t="str">
        <f>IFERROR(__xludf.DUMMYFUNCTION("REGEXEXTRACT(C404, """"""([^""""]+)"""""")"),"#N/A")</f>
        <v>#N/A</v>
      </c>
    </row>
    <row r="405">
      <c r="A405" s="23"/>
      <c r="B405" s="23"/>
      <c r="C405" s="24"/>
      <c r="D405" s="23"/>
      <c r="E405" s="25" t="str">
        <f>IFERROR(__xludf.DUMMYFUNCTION("REGEXEXTRACT(C405, """"""([^""""]+)"""""")"),"#N/A")</f>
        <v>#N/A</v>
      </c>
    </row>
    <row r="406">
      <c r="A406" s="23"/>
      <c r="B406" s="23"/>
      <c r="C406" s="24"/>
      <c r="D406" s="23"/>
      <c r="E406" s="25" t="str">
        <f>IFERROR(__xludf.DUMMYFUNCTION("REGEXEXTRACT(C406, """"""([^""""]+)"""""")"),"#N/A")</f>
        <v>#N/A</v>
      </c>
    </row>
    <row r="407">
      <c r="A407" s="23"/>
      <c r="B407" s="23"/>
      <c r="C407" s="24"/>
      <c r="D407" s="23"/>
      <c r="E407" s="25" t="str">
        <f>IFERROR(__xludf.DUMMYFUNCTION("REGEXEXTRACT(C407, """"""([^""""]+)"""""")"),"#N/A")</f>
        <v>#N/A</v>
      </c>
    </row>
    <row r="408">
      <c r="A408" s="23"/>
      <c r="B408" s="23"/>
      <c r="C408" s="24"/>
      <c r="D408" s="23"/>
      <c r="E408" s="25" t="str">
        <f>IFERROR(__xludf.DUMMYFUNCTION("REGEXEXTRACT(C408, """"""([^""""]+)"""""")"),"#N/A")</f>
        <v>#N/A</v>
      </c>
    </row>
    <row r="409">
      <c r="A409" s="23"/>
      <c r="B409" s="23"/>
      <c r="C409" s="24"/>
      <c r="D409" s="23"/>
      <c r="E409" s="25" t="str">
        <f>IFERROR(__xludf.DUMMYFUNCTION("REGEXEXTRACT(C409, """"""([^""""]+)"""""")"),"#N/A")</f>
        <v>#N/A</v>
      </c>
    </row>
    <row r="410">
      <c r="A410" s="23"/>
      <c r="B410" s="23"/>
      <c r="C410" s="24"/>
      <c r="D410" s="23"/>
      <c r="E410" s="25" t="str">
        <f>IFERROR(__xludf.DUMMYFUNCTION("REGEXEXTRACT(C410, """"""([^""""]+)"""""")"),"#N/A")</f>
        <v>#N/A</v>
      </c>
    </row>
    <row r="411">
      <c r="A411" s="23"/>
      <c r="B411" s="23"/>
      <c r="C411" s="24"/>
      <c r="D411" s="23"/>
      <c r="E411" s="25" t="str">
        <f>IFERROR(__xludf.DUMMYFUNCTION("REGEXEXTRACT(C411, """"""([^""""]+)"""""")"),"#N/A")</f>
        <v>#N/A</v>
      </c>
    </row>
    <row r="412">
      <c r="A412" s="23"/>
      <c r="B412" s="23"/>
      <c r="C412" s="24"/>
      <c r="D412" s="23"/>
      <c r="E412" s="25" t="str">
        <f>IFERROR(__xludf.DUMMYFUNCTION("REGEXEXTRACT(C412, """"""([^""""]+)"""""")"),"#N/A")</f>
        <v>#N/A</v>
      </c>
    </row>
    <row r="413">
      <c r="A413" s="23"/>
      <c r="B413" s="23"/>
      <c r="C413" s="24"/>
      <c r="D413" s="23"/>
      <c r="E413" s="25" t="str">
        <f>IFERROR(__xludf.DUMMYFUNCTION("REGEXEXTRACT(C413, """"""([^""""]+)"""""")"),"#N/A")</f>
        <v>#N/A</v>
      </c>
    </row>
    <row r="414">
      <c r="A414" s="23"/>
      <c r="B414" s="23"/>
      <c r="C414" s="24"/>
      <c r="D414" s="23"/>
      <c r="E414" s="25" t="str">
        <f>IFERROR(__xludf.DUMMYFUNCTION("REGEXEXTRACT(C414, """"""([^""""]+)"""""")"),"#N/A")</f>
        <v>#N/A</v>
      </c>
    </row>
    <row r="415">
      <c r="A415" s="23"/>
      <c r="B415" s="23"/>
      <c r="C415" s="24"/>
      <c r="D415" s="23"/>
      <c r="E415" s="25" t="str">
        <f>IFERROR(__xludf.DUMMYFUNCTION("REGEXEXTRACT(C415, """"""([^""""]+)"""""")"),"#N/A")</f>
        <v>#N/A</v>
      </c>
    </row>
    <row r="416">
      <c r="A416" s="23"/>
      <c r="B416" s="23"/>
      <c r="C416" s="24"/>
      <c r="D416" s="23"/>
      <c r="E416" s="25" t="str">
        <f>IFERROR(__xludf.DUMMYFUNCTION("REGEXEXTRACT(C416, """"""([^""""]+)"""""")"),"#N/A")</f>
        <v>#N/A</v>
      </c>
    </row>
    <row r="417">
      <c r="A417" s="23"/>
      <c r="B417" s="23"/>
      <c r="C417" s="24"/>
      <c r="D417" s="23"/>
      <c r="E417" s="25" t="str">
        <f>IFERROR(__xludf.DUMMYFUNCTION("REGEXEXTRACT(C417, """"""([^""""]+)"""""")"),"#N/A")</f>
        <v>#N/A</v>
      </c>
    </row>
    <row r="418">
      <c r="A418" s="23"/>
      <c r="B418" s="23"/>
      <c r="C418" s="24"/>
      <c r="D418" s="23"/>
      <c r="E418" s="25" t="str">
        <f>IFERROR(__xludf.DUMMYFUNCTION("REGEXEXTRACT(C418, """"""([^""""]+)"""""")"),"#N/A")</f>
        <v>#N/A</v>
      </c>
    </row>
    <row r="419">
      <c r="A419" s="23"/>
      <c r="B419" s="23"/>
      <c r="C419" s="24"/>
      <c r="D419" s="23"/>
      <c r="E419" s="25" t="str">
        <f>IFERROR(__xludf.DUMMYFUNCTION("REGEXEXTRACT(C419, """"""([^""""]+)"""""")"),"#N/A")</f>
        <v>#N/A</v>
      </c>
    </row>
    <row r="420">
      <c r="A420" s="23"/>
      <c r="B420" s="23"/>
      <c r="C420" s="24"/>
      <c r="D420" s="23"/>
      <c r="E420" s="25" t="str">
        <f>IFERROR(__xludf.DUMMYFUNCTION("REGEXEXTRACT(C420, """"""([^""""]+)"""""")"),"#N/A")</f>
        <v>#N/A</v>
      </c>
    </row>
    <row r="421">
      <c r="A421" s="23"/>
      <c r="B421" s="23"/>
      <c r="C421" s="24"/>
      <c r="D421" s="23"/>
      <c r="E421" s="25" t="str">
        <f>IFERROR(__xludf.DUMMYFUNCTION("REGEXEXTRACT(C421, """"""([^""""]+)"""""")"),"#N/A")</f>
        <v>#N/A</v>
      </c>
    </row>
    <row r="422">
      <c r="A422" s="23"/>
      <c r="B422" s="23"/>
      <c r="C422" s="24"/>
      <c r="D422" s="23"/>
      <c r="E422" s="25" t="str">
        <f>IFERROR(__xludf.DUMMYFUNCTION("REGEXEXTRACT(C422, """"""([^""""]+)"""""")"),"#N/A")</f>
        <v>#N/A</v>
      </c>
    </row>
    <row r="423">
      <c r="A423" s="23"/>
      <c r="B423" s="23"/>
      <c r="C423" s="24"/>
      <c r="D423" s="23"/>
      <c r="E423" s="25" t="str">
        <f>IFERROR(__xludf.DUMMYFUNCTION("REGEXEXTRACT(C423, """"""([^""""]+)"""""")"),"#N/A")</f>
        <v>#N/A</v>
      </c>
    </row>
    <row r="424">
      <c r="A424" s="23"/>
      <c r="B424" s="23"/>
      <c r="C424" s="24"/>
      <c r="D424" s="23"/>
      <c r="E424" s="25" t="str">
        <f>IFERROR(__xludf.DUMMYFUNCTION("REGEXEXTRACT(C424, """"""([^""""]+)"""""")"),"#N/A")</f>
        <v>#N/A</v>
      </c>
    </row>
    <row r="425">
      <c r="A425" s="23"/>
      <c r="B425" s="23"/>
      <c r="C425" s="24"/>
      <c r="D425" s="23"/>
      <c r="E425" s="25" t="str">
        <f>IFERROR(__xludf.DUMMYFUNCTION("REGEXEXTRACT(C425, """"""([^""""]+)"""""")"),"#N/A")</f>
        <v>#N/A</v>
      </c>
    </row>
    <row r="426">
      <c r="A426" s="23"/>
      <c r="B426" s="23"/>
      <c r="C426" s="24"/>
      <c r="D426" s="23"/>
      <c r="E426" s="25" t="str">
        <f>IFERROR(__xludf.DUMMYFUNCTION("REGEXEXTRACT(C426, """"""([^""""]+)"""""")"),"#N/A")</f>
        <v>#N/A</v>
      </c>
    </row>
    <row r="427">
      <c r="A427" s="23"/>
      <c r="B427" s="23"/>
      <c r="C427" s="24"/>
      <c r="D427" s="23"/>
      <c r="E427" s="25" t="str">
        <f>IFERROR(__xludf.DUMMYFUNCTION("REGEXEXTRACT(C427, """"""([^""""]+)"""""")"),"#N/A")</f>
        <v>#N/A</v>
      </c>
    </row>
    <row r="428">
      <c r="A428" s="23"/>
      <c r="B428" s="23"/>
      <c r="C428" s="24"/>
      <c r="D428" s="23"/>
      <c r="E428" s="25" t="str">
        <f>IFERROR(__xludf.DUMMYFUNCTION("REGEXEXTRACT(C428, """"""([^""""]+)"""""")"),"#N/A")</f>
        <v>#N/A</v>
      </c>
    </row>
    <row r="429">
      <c r="A429" s="23"/>
      <c r="B429" s="23"/>
      <c r="C429" s="24"/>
      <c r="D429" s="23"/>
      <c r="E429" s="25" t="str">
        <f>IFERROR(__xludf.DUMMYFUNCTION("REGEXEXTRACT(C429, """"""([^""""]+)"""""")"),"#N/A")</f>
        <v>#N/A</v>
      </c>
    </row>
    <row r="430">
      <c r="A430" s="23"/>
      <c r="B430" s="23"/>
      <c r="C430" s="24"/>
      <c r="D430" s="23"/>
      <c r="E430" s="25" t="str">
        <f>IFERROR(__xludf.DUMMYFUNCTION("REGEXEXTRACT(C430, """"""([^""""]+)"""""")"),"#N/A")</f>
        <v>#N/A</v>
      </c>
    </row>
    <row r="431">
      <c r="A431" s="23"/>
      <c r="B431" s="23"/>
      <c r="C431" s="24"/>
      <c r="D431" s="23"/>
      <c r="E431" s="25" t="str">
        <f>IFERROR(__xludf.DUMMYFUNCTION("REGEXEXTRACT(C431, """"""([^""""]+)"""""")"),"#N/A")</f>
        <v>#N/A</v>
      </c>
    </row>
    <row r="432">
      <c r="A432" s="23"/>
      <c r="B432" s="23"/>
      <c r="C432" s="24"/>
      <c r="D432" s="23"/>
      <c r="E432" s="25" t="str">
        <f>IFERROR(__xludf.DUMMYFUNCTION("REGEXEXTRACT(C432, """"""([^""""]+)"""""")"),"#N/A")</f>
        <v>#N/A</v>
      </c>
    </row>
    <row r="433">
      <c r="A433" s="23"/>
      <c r="B433" s="23"/>
      <c r="C433" s="24"/>
      <c r="D433" s="23"/>
      <c r="E433" s="25" t="str">
        <f>IFERROR(__xludf.DUMMYFUNCTION("REGEXEXTRACT(C433, """"""([^""""]+)"""""")"),"#N/A")</f>
        <v>#N/A</v>
      </c>
    </row>
    <row r="434">
      <c r="A434" s="23"/>
      <c r="B434" s="23"/>
      <c r="C434" s="24"/>
      <c r="D434" s="23"/>
      <c r="E434" s="25" t="str">
        <f>IFERROR(__xludf.DUMMYFUNCTION("REGEXEXTRACT(C434, """"""([^""""]+)"""""")"),"#N/A")</f>
        <v>#N/A</v>
      </c>
    </row>
    <row r="435">
      <c r="A435" s="23"/>
      <c r="B435" s="23"/>
      <c r="C435" s="24"/>
      <c r="D435" s="23"/>
      <c r="E435" s="25" t="str">
        <f>IFERROR(__xludf.DUMMYFUNCTION("REGEXEXTRACT(C435, """"""([^""""]+)"""""")"),"#N/A")</f>
        <v>#N/A</v>
      </c>
    </row>
    <row r="436">
      <c r="A436" s="23"/>
      <c r="B436" s="23"/>
      <c r="C436" s="24"/>
      <c r="D436" s="23"/>
      <c r="E436" s="25" t="str">
        <f>IFERROR(__xludf.DUMMYFUNCTION("REGEXEXTRACT(C436, """"""([^""""]+)"""""")"),"#N/A")</f>
        <v>#N/A</v>
      </c>
    </row>
    <row r="437">
      <c r="A437" s="23"/>
      <c r="B437" s="23"/>
      <c r="C437" s="24"/>
      <c r="D437" s="23"/>
      <c r="E437" s="25" t="str">
        <f>IFERROR(__xludf.DUMMYFUNCTION("REGEXEXTRACT(C437, """"""([^""""]+)"""""")"),"#N/A")</f>
        <v>#N/A</v>
      </c>
    </row>
    <row r="438">
      <c r="A438" s="23"/>
      <c r="B438" s="23"/>
      <c r="C438" s="24"/>
      <c r="D438" s="23"/>
      <c r="E438" s="25" t="str">
        <f>IFERROR(__xludf.DUMMYFUNCTION("REGEXEXTRACT(C438, """"""([^""""]+)"""""")"),"#N/A")</f>
        <v>#N/A</v>
      </c>
    </row>
    <row r="439">
      <c r="A439" s="23"/>
      <c r="B439" s="23"/>
      <c r="C439" s="24"/>
      <c r="D439" s="23"/>
      <c r="E439" s="25" t="str">
        <f>IFERROR(__xludf.DUMMYFUNCTION("REGEXEXTRACT(C439, """"""([^""""]+)"""""")"),"#N/A")</f>
        <v>#N/A</v>
      </c>
    </row>
    <row r="440">
      <c r="A440" s="23"/>
      <c r="B440" s="23"/>
      <c r="C440" s="24"/>
      <c r="D440" s="23"/>
      <c r="E440" s="25" t="str">
        <f>IFERROR(__xludf.DUMMYFUNCTION("REGEXEXTRACT(C440, """"""([^""""]+)"""""")"),"#N/A")</f>
        <v>#N/A</v>
      </c>
    </row>
    <row r="441">
      <c r="A441" s="23"/>
      <c r="B441" s="23"/>
      <c r="C441" s="24"/>
      <c r="D441" s="23"/>
      <c r="E441" s="25" t="str">
        <f>IFERROR(__xludf.DUMMYFUNCTION("REGEXEXTRACT(C441, """"""([^""""]+)"""""")"),"#N/A")</f>
        <v>#N/A</v>
      </c>
    </row>
    <row r="442">
      <c r="A442" s="23"/>
      <c r="B442" s="23"/>
      <c r="C442" s="24"/>
      <c r="D442" s="23"/>
      <c r="E442" s="25" t="str">
        <f>IFERROR(__xludf.DUMMYFUNCTION("REGEXEXTRACT(C442, """"""([^""""]+)"""""")"),"#N/A")</f>
        <v>#N/A</v>
      </c>
    </row>
    <row r="443">
      <c r="A443" s="23"/>
      <c r="B443" s="23"/>
      <c r="C443" s="24"/>
      <c r="D443" s="23"/>
      <c r="E443" s="25" t="str">
        <f>IFERROR(__xludf.DUMMYFUNCTION("REGEXEXTRACT(C443, """"""([^""""]+)"""""")"),"#N/A")</f>
        <v>#N/A</v>
      </c>
    </row>
    <row r="444">
      <c r="A444" s="23"/>
      <c r="B444" s="23"/>
      <c r="C444" s="24"/>
      <c r="D444" s="23"/>
      <c r="E444" s="25" t="str">
        <f>IFERROR(__xludf.DUMMYFUNCTION("REGEXEXTRACT(C444, """"""([^""""]+)"""""")"),"#N/A")</f>
        <v>#N/A</v>
      </c>
    </row>
    <row r="445">
      <c r="A445" s="23"/>
      <c r="B445" s="23"/>
      <c r="C445" s="24"/>
      <c r="D445" s="23"/>
      <c r="E445" s="25" t="str">
        <f>IFERROR(__xludf.DUMMYFUNCTION("REGEXEXTRACT(C445, """"""([^""""]+)"""""")"),"#N/A")</f>
        <v>#N/A</v>
      </c>
    </row>
    <row r="446">
      <c r="A446" s="23"/>
      <c r="B446" s="23"/>
      <c r="C446" s="24"/>
      <c r="D446" s="23"/>
      <c r="E446" s="25" t="str">
        <f>IFERROR(__xludf.DUMMYFUNCTION("REGEXEXTRACT(C446, """"""([^""""]+)"""""")"),"#N/A")</f>
        <v>#N/A</v>
      </c>
    </row>
    <row r="447">
      <c r="A447" s="23"/>
      <c r="B447" s="23"/>
      <c r="C447" s="24"/>
      <c r="D447" s="23"/>
      <c r="E447" s="25" t="str">
        <f>IFERROR(__xludf.DUMMYFUNCTION("REGEXEXTRACT(C447, """"""([^""""]+)"""""")"),"#N/A")</f>
        <v>#N/A</v>
      </c>
    </row>
    <row r="448">
      <c r="A448" s="23"/>
      <c r="B448" s="23"/>
      <c r="C448" s="24"/>
      <c r="D448" s="23"/>
      <c r="E448" s="25" t="str">
        <f>IFERROR(__xludf.DUMMYFUNCTION("REGEXEXTRACT(C448, """"""([^""""]+)"""""")"),"#N/A")</f>
        <v>#N/A</v>
      </c>
    </row>
    <row r="449">
      <c r="A449" s="23"/>
      <c r="B449" s="23"/>
      <c r="C449" s="24"/>
      <c r="D449" s="23"/>
      <c r="E449" s="25" t="str">
        <f>IFERROR(__xludf.DUMMYFUNCTION("REGEXEXTRACT(C449, """"""([^""""]+)"""""")"),"#N/A")</f>
        <v>#N/A</v>
      </c>
    </row>
    <row r="450">
      <c r="A450" s="23"/>
      <c r="B450" s="23"/>
      <c r="C450" s="24"/>
      <c r="D450" s="23"/>
      <c r="E450" s="25" t="str">
        <f>IFERROR(__xludf.DUMMYFUNCTION("REGEXEXTRACT(C450, """"""([^""""]+)"""""")"),"#N/A")</f>
        <v>#N/A</v>
      </c>
    </row>
    <row r="451">
      <c r="A451" s="23"/>
      <c r="B451" s="23"/>
      <c r="C451" s="24"/>
      <c r="D451" s="23"/>
      <c r="E451" s="25" t="str">
        <f>IFERROR(__xludf.DUMMYFUNCTION("REGEXEXTRACT(C451, """"""([^""""]+)"""""")"),"#N/A")</f>
        <v>#N/A</v>
      </c>
    </row>
    <row r="452">
      <c r="A452" s="23"/>
      <c r="B452" s="23"/>
      <c r="C452" s="24"/>
      <c r="D452" s="23"/>
      <c r="E452" s="25" t="str">
        <f>IFERROR(__xludf.DUMMYFUNCTION("REGEXEXTRACT(C452, """"""([^""""]+)"""""")"),"#N/A")</f>
        <v>#N/A</v>
      </c>
    </row>
    <row r="453">
      <c r="A453" s="23"/>
      <c r="B453" s="23"/>
      <c r="C453" s="24"/>
      <c r="D453" s="23"/>
      <c r="E453" s="25" t="str">
        <f>IFERROR(__xludf.DUMMYFUNCTION("REGEXEXTRACT(C453, """"""([^""""]+)"""""")"),"#N/A")</f>
        <v>#N/A</v>
      </c>
    </row>
    <row r="454">
      <c r="A454" s="23"/>
      <c r="B454" s="23"/>
      <c r="C454" s="24"/>
      <c r="D454" s="23"/>
      <c r="E454" s="25" t="str">
        <f>IFERROR(__xludf.DUMMYFUNCTION("REGEXEXTRACT(C454, """"""([^""""]+)"""""")"),"#N/A")</f>
        <v>#N/A</v>
      </c>
    </row>
    <row r="455">
      <c r="A455" s="23"/>
      <c r="B455" s="23"/>
      <c r="C455" s="24"/>
      <c r="D455" s="23"/>
      <c r="E455" s="25" t="str">
        <f>IFERROR(__xludf.DUMMYFUNCTION("REGEXEXTRACT(C455, """"""([^""""]+)"""""")"),"#N/A")</f>
        <v>#N/A</v>
      </c>
    </row>
    <row r="456">
      <c r="A456" s="23"/>
      <c r="B456" s="23"/>
      <c r="C456" s="24"/>
      <c r="D456" s="23"/>
      <c r="E456" s="25" t="str">
        <f>IFERROR(__xludf.DUMMYFUNCTION("REGEXEXTRACT(C456, """"""([^""""]+)"""""")"),"#N/A")</f>
        <v>#N/A</v>
      </c>
    </row>
    <row r="457">
      <c r="A457" s="23"/>
      <c r="B457" s="23"/>
      <c r="C457" s="24"/>
      <c r="D457" s="23"/>
      <c r="E457" s="25" t="str">
        <f>IFERROR(__xludf.DUMMYFUNCTION("REGEXEXTRACT(C457, """"""([^""""]+)"""""")"),"#N/A")</f>
        <v>#N/A</v>
      </c>
    </row>
    <row r="458">
      <c r="A458" s="23"/>
      <c r="B458" s="23"/>
      <c r="C458" s="24"/>
      <c r="D458" s="23"/>
      <c r="E458" s="25" t="str">
        <f>IFERROR(__xludf.DUMMYFUNCTION("REGEXEXTRACT(C458, """"""([^""""]+)"""""")"),"#N/A")</f>
        <v>#N/A</v>
      </c>
    </row>
    <row r="459">
      <c r="A459" s="23"/>
      <c r="B459" s="23"/>
      <c r="C459" s="24"/>
      <c r="D459" s="23"/>
      <c r="E459" s="25" t="str">
        <f>IFERROR(__xludf.DUMMYFUNCTION("REGEXEXTRACT(C459, """"""([^""""]+)"""""")"),"#N/A")</f>
        <v>#N/A</v>
      </c>
    </row>
    <row r="460">
      <c r="A460" s="23"/>
      <c r="B460" s="23"/>
      <c r="C460" s="24"/>
      <c r="D460" s="23"/>
      <c r="E460" s="25" t="str">
        <f>IFERROR(__xludf.DUMMYFUNCTION("REGEXEXTRACT(C460, """"""([^""""]+)"""""")"),"#N/A")</f>
        <v>#N/A</v>
      </c>
    </row>
    <row r="461">
      <c r="A461" s="23"/>
      <c r="B461" s="23"/>
      <c r="C461" s="24"/>
      <c r="D461" s="23"/>
      <c r="E461" s="25" t="str">
        <f>IFERROR(__xludf.DUMMYFUNCTION("REGEXEXTRACT(C461, """"""([^""""]+)"""""")"),"#N/A")</f>
        <v>#N/A</v>
      </c>
    </row>
    <row r="462">
      <c r="A462" s="23"/>
      <c r="B462" s="23"/>
      <c r="C462" s="24"/>
      <c r="D462" s="23"/>
      <c r="E462" s="25" t="str">
        <f>IFERROR(__xludf.DUMMYFUNCTION("REGEXEXTRACT(C462, """"""([^""""]+)"""""")"),"#N/A")</f>
        <v>#N/A</v>
      </c>
    </row>
    <row r="463">
      <c r="A463" s="23"/>
      <c r="B463" s="23"/>
      <c r="C463" s="24"/>
      <c r="D463" s="23"/>
      <c r="E463" s="25" t="str">
        <f>IFERROR(__xludf.DUMMYFUNCTION("REGEXEXTRACT(C463, """"""([^""""]+)"""""")"),"#N/A")</f>
        <v>#N/A</v>
      </c>
    </row>
    <row r="464">
      <c r="A464" s="23"/>
      <c r="B464" s="23"/>
      <c r="C464" s="24"/>
      <c r="D464" s="23"/>
      <c r="E464" s="25" t="str">
        <f>IFERROR(__xludf.DUMMYFUNCTION("REGEXEXTRACT(C464, """"""([^""""]+)"""""")"),"#N/A")</f>
        <v>#N/A</v>
      </c>
    </row>
    <row r="465">
      <c r="A465" s="23"/>
      <c r="B465" s="23"/>
      <c r="C465" s="24"/>
      <c r="D465" s="23"/>
      <c r="E465" s="25" t="str">
        <f>IFERROR(__xludf.DUMMYFUNCTION("REGEXEXTRACT(C465, """"""([^""""]+)"""""")"),"#N/A")</f>
        <v>#N/A</v>
      </c>
    </row>
    <row r="466">
      <c r="A466" s="23"/>
      <c r="B466" s="23"/>
      <c r="C466" s="24"/>
      <c r="D466" s="23"/>
      <c r="E466" s="25" t="str">
        <f>IFERROR(__xludf.DUMMYFUNCTION("REGEXEXTRACT(C466, """"""([^""""]+)"""""")"),"#N/A")</f>
        <v>#N/A</v>
      </c>
    </row>
    <row r="467">
      <c r="A467" s="23"/>
      <c r="B467" s="23"/>
      <c r="C467" s="24"/>
      <c r="D467" s="23"/>
      <c r="E467" s="25" t="str">
        <f>IFERROR(__xludf.DUMMYFUNCTION("REGEXEXTRACT(C467, """"""([^""""]+)"""""")"),"#N/A")</f>
        <v>#N/A</v>
      </c>
    </row>
    <row r="468">
      <c r="A468" s="23"/>
      <c r="B468" s="23"/>
      <c r="C468" s="24"/>
      <c r="D468" s="23"/>
      <c r="E468" s="25" t="str">
        <f>IFERROR(__xludf.DUMMYFUNCTION("REGEXEXTRACT(C468, """"""([^""""]+)"""""")"),"#N/A")</f>
        <v>#N/A</v>
      </c>
    </row>
    <row r="469">
      <c r="A469" s="23"/>
      <c r="B469" s="23"/>
      <c r="C469" s="24"/>
      <c r="D469" s="23"/>
      <c r="E469" s="25" t="str">
        <f>IFERROR(__xludf.DUMMYFUNCTION("REGEXEXTRACT(C469, """"""([^""""]+)"""""")"),"#N/A")</f>
        <v>#N/A</v>
      </c>
    </row>
    <row r="470">
      <c r="A470" s="23"/>
      <c r="B470" s="23"/>
      <c r="C470" s="24"/>
      <c r="D470" s="23"/>
      <c r="E470" s="25" t="str">
        <f>IFERROR(__xludf.DUMMYFUNCTION("REGEXEXTRACT(C470, """"""([^""""]+)"""""")"),"#N/A")</f>
        <v>#N/A</v>
      </c>
    </row>
    <row r="471">
      <c r="A471" s="23"/>
      <c r="B471" s="23"/>
      <c r="C471" s="24"/>
      <c r="D471" s="23"/>
      <c r="E471" s="25" t="str">
        <f>IFERROR(__xludf.DUMMYFUNCTION("REGEXEXTRACT(C471, """"""([^""""]+)"""""")"),"#N/A")</f>
        <v>#N/A</v>
      </c>
    </row>
    <row r="472">
      <c r="A472" s="23"/>
      <c r="B472" s="23"/>
      <c r="C472" s="24"/>
      <c r="D472" s="23"/>
      <c r="E472" s="25" t="str">
        <f>IFERROR(__xludf.DUMMYFUNCTION("REGEXEXTRACT(C472, """"""([^""""]+)"""""")"),"#N/A")</f>
        <v>#N/A</v>
      </c>
    </row>
    <row r="473">
      <c r="A473" s="23"/>
      <c r="B473" s="23"/>
      <c r="C473" s="24"/>
      <c r="D473" s="23"/>
      <c r="E473" s="25" t="str">
        <f>IFERROR(__xludf.DUMMYFUNCTION("REGEXEXTRACT(C473, """"""([^""""]+)"""""")"),"#N/A")</f>
        <v>#N/A</v>
      </c>
    </row>
    <row r="474">
      <c r="A474" s="23"/>
      <c r="B474" s="23"/>
      <c r="C474" s="24"/>
      <c r="D474" s="23"/>
      <c r="E474" s="25" t="str">
        <f>IFERROR(__xludf.DUMMYFUNCTION("REGEXEXTRACT(C474, """"""([^""""]+)"""""")"),"#N/A")</f>
        <v>#N/A</v>
      </c>
    </row>
    <row r="475">
      <c r="A475" s="23"/>
      <c r="B475" s="23"/>
      <c r="C475" s="24"/>
      <c r="D475" s="23"/>
      <c r="E475" s="25" t="str">
        <f>IFERROR(__xludf.DUMMYFUNCTION("REGEXEXTRACT(C475, """"""([^""""]+)"""""")"),"#N/A")</f>
        <v>#N/A</v>
      </c>
    </row>
    <row r="476">
      <c r="A476" s="23"/>
      <c r="B476" s="23"/>
      <c r="C476" s="24"/>
      <c r="D476" s="23"/>
      <c r="E476" s="25" t="str">
        <f>IFERROR(__xludf.DUMMYFUNCTION("REGEXEXTRACT(C476, """"""([^""""]+)"""""")"),"#N/A")</f>
        <v>#N/A</v>
      </c>
    </row>
    <row r="477">
      <c r="A477" s="23"/>
      <c r="B477" s="23"/>
      <c r="C477" s="24"/>
      <c r="D477" s="23"/>
      <c r="E477" s="25" t="str">
        <f>IFERROR(__xludf.DUMMYFUNCTION("REGEXEXTRACT(C477, """"""([^""""]+)"""""")"),"#N/A")</f>
        <v>#N/A</v>
      </c>
    </row>
    <row r="478">
      <c r="A478" s="23"/>
      <c r="B478" s="23"/>
      <c r="C478" s="24"/>
      <c r="D478" s="23"/>
      <c r="E478" s="25" t="str">
        <f>IFERROR(__xludf.DUMMYFUNCTION("REGEXEXTRACT(C478, """"""([^""""]+)"""""")"),"#N/A")</f>
        <v>#N/A</v>
      </c>
    </row>
    <row r="479">
      <c r="A479" s="23"/>
      <c r="B479" s="23"/>
      <c r="C479" s="24"/>
      <c r="D479" s="23"/>
      <c r="E479" s="25" t="str">
        <f>IFERROR(__xludf.DUMMYFUNCTION("REGEXEXTRACT(C479, """"""([^""""]+)"""""")"),"#N/A")</f>
        <v>#N/A</v>
      </c>
    </row>
    <row r="480">
      <c r="A480" s="23"/>
      <c r="B480" s="23"/>
      <c r="C480" s="24"/>
      <c r="D480" s="23"/>
      <c r="E480" s="25" t="str">
        <f>IFERROR(__xludf.DUMMYFUNCTION("REGEXEXTRACT(C480, """"""([^""""]+)"""""")"),"#N/A")</f>
        <v>#N/A</v>
      </c>
    </row>
    <row r="481">
      <c r="A481" s="23"/>
      <c r="B481" s="23"/>
      <c r="C481" s="24"/>
      <c r="D481" s="23"/>
      <c r="E481" s="25" t="str">
        <f>IFERROR(__xludf.DUMMYFUNCTION("REGEXEXTRACT(C481, """"""([^""""]+)"""""")"),"#N/A")</f>
        <v>#N/A</v>
      </c>
    </row>
    <row r="482">
      <c r="A482" s="23"/>
      <c r="B482" s="23"/>
      <c r="C482" s="24"/>
      <c r="D482" s="23"/>
      <c r="E482" s="25" t="str">
        <f>IFERROR(__xludf.DUMMYFUNCTION("REGEXEXTRACT(C482, """"""([^""""]+)"""""")"),"#N/A")</f>
        <v>#N/A</v>
      </c>
    </row>
    <row r="483">
      <c r="A483" s="23"/>
      <c r="B483" s="23"/>
      <c r="C483" s="24"/>
      <c r="D483" s="23"/>
      <c r="E483" s="25" t="str">
        <f>IFERROR(__xludf.DUMMYFUNCTION("REGEXEXTRACT(C483, """"""([^""""]+)"""""")"),"#N/A")</f>
        <v>#N/A</v>
      </c>
    </row>
    <row r="484">
      <c r="A484" s="23"/>
      <c r="B484" s="23"/>
      <c r="C484" s="24"/>
      <c r="D484" s="23"/>
      <c r="E484" s="25" t="str">
        <f>IFERROR(__xludf.DUMMYFUNCTION("REGEXEXTRACT(C484, """"""([^""""]+)"""""")"),"#N/A")</f>
        <v>#N/A</v>
      </c>
    </row>
    <row r="485">
      <c r="A485" s="23"/>
      <c r="B485" s="23"/>
      <c r="C485" s="24"/>
      <c r="D485" s="23"/>
      <c r="E485" s="25" t="str">
        <f>IFERROR(__xludf.DUMMYFUNCTION("REGEXEXTRACT(C485, """"""([^""""]+)"""""")"),"#N/A")</f>
        <v>#N/A</v>
      </c>
    </row>
    <row r="486">
      <c r="A486" s="23"/>
      <c r="B486" s="23"/>
      <c r="C486" s="24"/>
      <c r="D486" s="23"/>
      <c r="E486" s="25" t="str">
        <f>IFERROR(__xludf.DUMMYFUNCTION("REGEXEXTRACT(C486, """"""([^""""]+)"""""")"),"#N/A")</f>
        <v>#N/A</v>
      </c>
    </row>
    <row r="487">
      <c r="A487" s="23"/>
      <c r="B487" s="23"/>
      <c r="C487" s="24"/>
      <c r="D487" s="23"/>
      <c r="E487" s="25" t="str">
        <f>IFERROR(__xludf.DUMMYFUNCTION("REGEXEXTRACT(C487, """"""([^""""]+)"""""")"),"#N/A")</f>
        <v>#N/A</v>
      </c>
    </row>
    <row r="488">
      <c r="A488" s="23"/>
      <c r="B488" s="23"/>
      <c r="C488" s="24"/>
      <c r="D488" s="23"/>
      <c r="E488" s="25" t="str">
        <f>IFERROR(__xludf.DUMMYFUNCTION("REGEXEXTRACT(C488, """"""([^""""]+)"""""")"),"#N/A")</f>
        <v>#N/A</v>
      </c>
    </row>
    <row r="489">
      <c r="A489" s="23"/>
      <c r="B489" s="23"/>
      <c r="C489" s="24"/>
      <c r="D489" s="23"/>
      <c r="E489" s="25" t="str">
        <f>IFERROR(__xludf.DUMMYFUNCTION("REGEXEXTRACT(C489, """"""([^""""]+)"""""")"),"#N/A")</f>
        <v>#N/A</v>
      </c>
    </row>
    <row r="490">
      <c r="A490" s="23"/>
      <c r="B490" s="23"/>
      <c r="C490" s="24"/>
      <c r="D490" s="23"/>
      <c r="E490" s="25" t="str">
        <f>IFERROR(__xludf.DUMMYFUNCTION("REGEXEXTRACT(C490, """"""([^""""]+)"""""")"),"#N/A")</f>
        <v>#N/A</v>
      </c>
    </row>
    <row r="491">
      <c r="A491" s="23"/>
      <c r="B491" s="23"/>
      <c r="C491" s="24"/>
      <c r="D491" s="23"/>
      <c r="E491" s="25" t="str">
        <f>IFERROR(__xludf.DUMMYFUNCTION("REGEXEXTRACT(C491, """"""([^""""]+)"""""")"),"#N/A")</f>
        <v>#N/A</v>
      </c>
    </row>
    <row r="492">
      <c r="A492" s="23"/>
      <c r="B492" s="23"/>
      <c r="C492" s="24"/>
      <c r="D492" s="23"/>
      <c r="E492" s="25" t="str">
        <f>IFERROR(__xludf.DUMMYFUNCTION("REGEXEXTRACT(C492, """"""([^""""]+)"""""")"),"#N/A")</f>
        <v>#N/A</v>
      </c>
    </row>
    <row r="493">
      <c r="A493" s="23"/>
      <c r="B493" s="23"/>
      <c r="C493" s="24"/>
      <c r="D493" s="23"/>
      <c r="E493" s="25" t="str">
        <f>IFERROR(__xludf.DUMMYFUNCTION("REGEXEXTRACT(C493, """"""([^""""]+)"""""")"),"#N/A")</f>
        <v>#N/A</v>
      </c>
    </row>
    <row r="494">
      <c r="A494" s="23"/>
      <c r="B494" s="23"/>
      <c r="C494" s="24"/>
      <c r="D494" s="23"/>
      <c r="E494" s="25" t="str">
        <f>IFERROR(__xludf.DUMMYFUNCTION("REGEXEXTRACT(C494, """"""([^""""]+)"""""")"),"#N/A")</f>
        <v>#N/A</v>
      </c>
    </row>
    <row r="495">
      <c r="A495" s="23"/>
      <c r="B495" s="23"/>
      <c r="C495" s="24"/>
      <c r="D495" s="23"/>
      <c r="E495" s="25" t="str">
        <f>IFERROR(__xludf.DUMMYFUNCTION("REGEXEXTRACT(C495, """"""([^""""]+)"""""")"),"#N/A")</f>
        <v>#N/A</v>
      </c>
    </row>
    <row r="496">
      <c r="A496" s="23"/>
      <c r="B496" s="23"/>
      <c r="C496" s="24"/>
      <c r="D496" s="23"/>
      <c r="E496" s="25" t="str">
        <f>IFERROR(__xludf.DUMMYFUNCTION("REGEXEXTRACT(C496, """"""([^""""]+)"""""")"),"#N/A")</f>
        <v>#N/A</v>
      </c>
    </row>
    <row r="497">
      <c r="A497" s="23"/>
      <c r="B497" s="23"/>
      <c r="C497" s="24"/>
      <c r="D497" s="23"/>
      <c r="E497" s="25" t="str">
        <f>IFERROR(__xludf.DUMMYFUNCTION("REGEXEXTRACT(C497, """"""([^""""]+)"""""")"),"#N/A")</f>
        <v>#N/A</v>
      </c>
    </row>
    <row r="498">
      <c r="A498" s="23"/>
      <c r="B498" s="23"/>
      <c r="C498" s="24"/>
      <c r="D498" s="23"/>
      <c r="E498" s="25" t="str">
        <f>IFERROR(__xludf.DUMMYFUNCTION("REGEXEXTRACT(C498, """"""([^""""]+)"""""")"),"#N/A")</f>
        <v>#N/A</v>
      </c>
    </row>
    <row r="499">
      <c r="A499" s="23"/>
      <c r="B499" s="23"/>
      <c r="C499" s="24"/>
      <c r="D499" s="23"/>
      <c r="E499" s="25" t="str">
        <f>IFERROR(__xludf.DUMMYFUNCTION("REGEXEXTRACT(C499, """"""([^""""]+)"""""")"),"#N/A")</f>
        <v>#N/A</v>
      </c>
    </row>
    <row r="500">
      <c r="A500" s="23"/>
      <c r="B500" s="23"/>
      <c r="C500" s="24"/>
      <c r="D500" s="23"/>
      <c r="E500" s="25" t="str">
        <f>IFERROR(__xludf.DUMMYFUNCTION("REGEXEXTRACT(C500, """"""([^""""]+)"""""")"),"#N/A")</f>
        <v>#N/A</v>
      </c>
    </row>
    <row r="501">
      <c r="A501" s="23"/>
      <c r="B501" s="23"/>
      <c r="C501" s="24"/>
      <c r="D501" s="23"/>
      <c r="E501" s="25" t="str">
        <f>IFERROR(__xludf.DUMMYFUNCTION("REGEXEXTRACT(C501, """"""([^""""]+)"""""")"),"#N/A")</f>
        <v>#N/A</v>
      </c>
    </row>
    <row r="502">
      <c r="A502" s="23"/>
      <c r="B502" s="23"/>
      <c r="C502" s="24"/>
      <c r="D502" s="23"/>
      <c r="E502" s="25" t="str">
        <f>IFERROR(__xludf.DUMMYFUNCTION("REGEXEXTRACT(C502, """"""([^""""]+)"""""")"),"#N/A")</f>
        <v>#N/A</v>
      </c>
    </row>
    <row r="503">
      <c r="A503" s="23"/>
      <c r="B503" s="23"/>
      <c r="C503" s="24"/>
      <c r="D503" s="23"/>
      <c r="E503" s="25" t="str">
        <f>IFERROR(__xludf.DUMMYFUNCTION("REGEXEXTRACT(C503, """"""([^""""]+)"""""")"),"#N/A")</f>
        <v>#N/A</v>
      </c>
    </row>
    <row r="504">
      <c r="A504" s="23"/>
      <c r="B504" s="23"/>
      <c r="C504" s="24"/>
      <c r="D504" s="23"/>
      <c r="E504" s="25" t="str">
        <f>IFERROR(__xludf.DUMMYFUNCTION("REGEXEXTRACT(C504, """"""([^""""]+)"""""")"),"#N/A")</f>
        <v>#N/A</v>
      </c>
    </row>
    <row r="505">
      <c r="A505" s="23"/>
      <c r="B505" s="23"/>
      <c r="C505" s="24"/>
      <c r="D505" s="23"/>
      <c r="E505" s="25" t="str">
        <f>IFERROR(__xludf.DUMMYFUNCTION("REGEXEXTRACT(C505, """"""([^""""]+)"""""")"),"#N/A")</f>
        <v>#N/A</v>
      </c>
    </row>
    <row r="506">
      <c r="A506" s="23"/>
      <c r="B506" s="23"/>
      <c r="C506" s="24"/>
      <c r="D506" s="23"/>
      <c r="E506" s="25" t="str">
        <f>IFERROR(__xludf.DUMMYFUNCTION("REGEXEXTRACT(C506, """"""([^""""]+)"""""")"),"#N/A")</f>
        <v>#N/A</v>
      </c>
    </row>
    <row r="507">
      <c r="A507" s="23"/>
      <c r="B507" s="23"/>
      <c r="C507" s="24"/>
      <c r="D507" s="23"/>
      <c r="E507" s="25" t="str">
        <f>IFERROR(__xludf.DUMMYFUNCTION("REGEXEXTRACT(C507, """"""([^""""]+)"""""")"),"#N/A")</f>
        <v>#N/A</v>
      </c>
    </row>
    <row r="508">
      <c r="A508" s="23"/>
      <c r="B508" s="23"/>
      <c r="C508" s="24"/>
      <c r="D508" s="23"/>
      <c r="E508" s="25" t="str">
        <f>IFERROR(__xludf.DUMMYFUNCTION("REGEXEXTRACT(C508, """"""([^""""]+)"""""")"),"#N/A")</f>
        <v>#N/A</v>
      </c>
    </row>
    <row r="509">
      <c r="A509" s="23"/>
      <c r="B509" s="23"/>
      <c r="C509" s="24"/>
      <c r="D509" s="23"/>
      <c r="E509" s="25" t="str">
        <f>IFERROR(__xludf.DUMMYFUNCTION("REGEXEXTRACT(C509, """"""([^""""]+)"""""")"),"#N/A")</f>
        <v>#N/A</v>
      </c>
    </row>
    <row r="510">
      <c r="A510" s="23"/>
      <c r="B510" s="23"/>
      <c r="C510" s="24"/>
      <c r="D510" s="23"/>
      <c r="E510" s="25" t="str">
        <f>IFERROR(__xludf.DUMMYFUNCTION("REGEXEXTRACT(C510, """"""([^""""]+)"""""")"),"#N/A")</f>
        <v>#N/A</v>
      </c>
    </row>
    <row r="511">
      <c r="A511" s="23"/>
      <c r="B511" s="23"/>
      <c r="C511" s="24"/>
      <c r="D511" s="23"/>
      <c r="E511" s="25" t="str">
        <f>IFERROR(__xludf.DUMMYFUNCTION("REGEXEXTRACT(C511, """"""([^""""]+)"""""")"),"#N/A")</f>
        <v>#N/A</v>
      </c>
    </row>
    <row r="512">
      <c r="A512" s="23"/>
      <c r="B512" s="23"/>
      <c r="C512" s="24"/>
      <c r="D512" s="23"/>
      <c r="E512" s="25" t="str">
        <f>IFERROR(__xludf.DUMMYFUNCTION("REGEXEXTRACT(C512, """"""([^""""]+)"""""")"),"#N/A")</f>
        <v>#N/A</v>
      </c>
    </row>
    <row r="513">
      <c r="A513" s="23"/>
      <c r="B513" s="23"/>
      <c r="C513" s="24"/>
      <c r="D513" s="23"/>
      <c r="E513" s="25" t="str">
        <f>IFERROR(__xludf.DUMMYFUNCTION("REGEXEXTRACT(C513, """"""([^""""]+)"""""")"),"#N/A")</f>
        <v>#N/A</v>
      </c>
    </row>
    <row r="514">
      <c r="A514" s="23"/>
      <c r="B514" s="23"/>
      <c r="C514" s="24"/>
      <c r="D514" s="23"/>
      <c r="E514" s="25" t="str">
        <f>IFERROR(__xludf.DUMMYFUNCTION("REGEXEXTRACT(C514, """"""([^""""]+)"""""")"),"#N/A")</f>
        <v>#N/A</v>
      </c>
    </row>
    <row r="515">
      <c r="A515" s="23"/>
      <c r="B515" s="23"/>
      <c r="C515" s="24"/>
      <c r="D515" s="23"/>
      <c r="E515" s="25" t="str">
        <f>IFERROR(__xludf.DUMMYFUNCTION("REGEXEXTRACT(C515, """"""([^""""]+)"""""")"),"#N/A")</f>
        <v>#N/A</v>
      </c>
    </row>
    <row r="516">
      <c r="A516" s="23"/>
      <c r="B516" s="23"/>
      <c r="C516" s="24"/>
      <c r="D516" s="23"/>
      <c r="E516" s="25" t="str">
        <f>IFERROR(__xludf.DUMMYFUNCTION("REGEXEXTRACT(C516, """"""([^""""]+)"""""")"),"#N/A")</f>
        <v>#N/A</v>
      </c>
    </row>
    <row r="517">
      <c r="A517" s="23"/>
      <c r="B517" s="23"/>
      <c r="C517" s="24"/>
      <c r="D517" s="23"/>
      <c r="E517" s="25" t="str">
        <f>IFERROR(__xludf.DUMMYFUNCTION("REGEXEXTRACT(C517, """"""([^""""]+)"""""")"),"#N/A")</f>
        <v>#N/A</v>
      </c>
    </row>
    <row r="518">
      <c r="A518" s="23"/>
      <c r="B518" s="23"/>
      <c r="C518" s="24"/>
      <c r="D518" s="23"/>
      <c r="E518" s="25" t="str">
        <f>IFERROR(__xludf.DUMMYFUNCTION("REGEXEXTRACT(C518, """"""([^""""]+)"""""")"),"#N/A")</f>
        <v>#N/A</v>
      </c>
    </row>
    <row r="519">
      <c r="A519" s="23"/>
      <c r="B519" s="23"/>
      <c r="C519" s="24"/>
      <c r="D519" s="23"/>
      <c r="E519" s="25" t="str">
        <f>IFERROR(__xludf.DUMMYFUNCTION("REGEXEXTRACT(C519, """"""([^""""]+)"""""")"),"#N/A")</f>
        <v>#N/A</v>
      </c>
    </row>
    <row r="520">
      <c r="A520" s="23"/>
      <c r="B520" s="23"/>
      <c r="C520" s="24"/>
      <c r="D520" s="23"/>
      <c r="E520" s="25" t="str">
        <f>IFERROR(__xludf.DUMMYFUNCTION("REGEXEXTRACT(C520, """"""([^""""]+)"""""")"),"#N/A")</f>
        <v>#N/A</v>
      </c>
    </row>
    <row r="521">
      <c r="A521" s="23"/>
      <c r="B521" s="23"/>
      <c r="C521" s="24"/>
      <c r="D521" s="23"/>
      <c r="E521" s="25" t="str">
        <f>IFERROR(__xludf.DUMMYFUNCTION("REGEXEXTRACT(C521, """"""([^""""]+)"""""")"),"#N/A")</f>
        <v>#N/A</v>
      </c>
    </row>
    <row r="522">
      <c r="A522" s="23"/>
      <c r="B522" s="23"/>
      <c r="C522" s="24"/>
      <c r="D522" s="23"/>
      <c r="E522" s="25" t="str">
        <f>IFERROR(__xludf.DUMMYFUNCTION("REGEXEXTRACT(C522, """"""([^""""]+)"""""")"),"#N/A")</f>
        <v>#N/A</v>
      </c>
    </row>
    <row r="523">
      <c r="A523" s="23"/>
      <c r="B523" s="23"/>
      <c r="C523" s="24"/>
      <c r="D523" s="23"/>
      <c r="E523" s="25" t="str">
        <f>IFERROR(__xludf.DUMMYFUNCTION("REGEXEXTRACT(C523, """"""([^""""]+)"""""")"),"#N/A")</f>
        <v>#N/A</v>
      </c>
    </row>
    <row r="524">
      <c r="A524" s="23"/>
      <c r="B524" s="23"/>
      <c r="C524" s="24"/>
      <c r="D524" s="23"/>
      <c r="E524" s="25" t="str">
        <f>IFERROR(__xludf.DUMMYFUNCTION("REGEXEXTRACT(C524, """"""([^""""]+)"""""")"),"#N/A")</f>
        <v>#N/A</v>
      </c>
    </row>
    <row r="525">
      <c r="A525" s="23"/>
      <c r="B525" s="23"/>
      <c r="C525" s="24"/>
      <c r="D525" s="23"/>
      <c r="E525" s="25" t="str">
        <f>IFERROR(__xludf.DUMMYFUNCTION("REGEXEXTRACT(C525, """"""([^""""]+)"""""")"),"#N/A")</f>
        <v>#N/A</v>
      </c>
    </row>
    <row r="526">
      <c r="A526" s="23"/>
      <c r="B526" s="23"/>
      <c r="C526" s="24"/>
      <c r="D526" s="23"/>
      <c r="E526" s="25" t="str">
        <f>IFERROR(__xludf.DUMMYFUNCTION("REGEXEXTRACT(C526, """"""([^""""]+)"""""")"),"#N/A")</f>
        <v>#N/A</v>
      </c>
    </row>
    <row r="527">
      <c r="A527" s="23"/>
      <c r="B527" s="23"/>
      <c r="C527" s="24"/>
      <c r="D527" s="23"/>
      <c r="E527" s="25" t="str">
        <f>IFERROR(__xludf.DUMMYFUNCTION("REGEXEXTRACT(C527, """"""([^""""]+)"""""")"),"#N/A")</f>
        <v>#N/A</v>
      </c>
    </row>
    <row r="528">
      <c r="A528" s="23"/>
      <c r="B528" s="23"/>
      <c r="C528" s="24"/>
      <c r="D528" s="23"/>
      <c r="E528" s="25" t="str">
        <f>IFERROR(__xludf.DUMMYFUNCTION("REGEXEXTRACT(C528, """"""([^""""]+)"""""")"),"#N/A")</f>
        <v>#N/A</v>
      </c>
    </row>
    <row r="529">
      <c r="A529" s="23"/>
      <c r="B529" s="23"/>
      <c r="C529" s="24"/>
      <c r="D529" s="23"/>
      <c r="E529" s="25" t="str">
        <f>IFERROR(__xludf.DUMMYFUNCTION("REGEXEXTRACT(C529, """"""([^""""]+)"""""")"),"#N/A")</f>
        <v>#N/A</v>
      </c>
    </row>
    <row r="530">
      <c r="A530" s="23"/>
      <c r="B530" s="23"/>
      <c r="C530" s="24"/>
      <c r="D530" s="23"/>
      <c r="E530" s="25" t="str">
        <f>IFERROR(__xludf.DUMMYFUNCTION("REGEXEXTRACT(C530, """"""([^""""]+)"""""")"),"#N/A")</f>
        <v>#N/A</v>
      </c>
    </row>
    <row r="531">
      <c r="A531" s="23"/>
      <c r="B531" s="23"/>
      <c r="C531" s="24"/>
      <c r="D531" s="23"/>
      <c r="E531" s="25" t="str">
        <f>IFERROR(__xludf.DUMMYFUNCTION("REGEXEXTRACT(C531, """"""([^""""]+)"""""")"),"#N/A")</f>
        <v>#N/A</v>
      </c>
    </row>
    <row r="532">
      <c r="A532" s="23"/>
      <c r="B532" s="23"/>
      <c r="C532" s="24"/>
      <c r="D532" s="23"/>
      <c r="E532" s="25" t="str">
        <f>IFERROR(__xludf.DUMMYFUNCTION("REGEXEXTRACT(C532, """"""([^""""]+)"""""")"),"#N/A")</f>
        <v>#N/A</v>
      </c>
    </row>
    <row r="533">
      <c r="A533" s="23"/>
      <c r="B533" s="23"/>
      <c r="C533" s="24"/>
      <c r="D533" s="23"/>
      <c r="E533" s="25" t="str">
        <f>IFERROR(__xludf.DUMMYFUNCTION("REGEXEXTRACT(C533, """"""([^""""]+)"""""")"),"#N/A")</f>
        <v>#N/A</v>
      </c>
    </row>
    <row r="534">
      <c r="A534" s="23"/>
      <c r="B534" s="23"/>
      <c r="C534" s="24"/>
      <c r="D534" s="23"/>
      <c r="E534" s="25" t="str">
        <f>IFERROR(__xludf.DUMMYFUNCTION("REGEXEXTRACT(C534, """"""([^""""]+)"""""")"),"#N/A")</f>
        <v>#N/A</v>
      </c>
    </row>
    <row r="535">
      <c r="A535" s="23"/>
      <c r="B535" s="23"/>
      <c r="C535" s="24"/>
      <c r="D535" s="23"/>
      <c r="E535" s="25" t="str">
        <f>IFERROR(__xludf.DUMMYFUNCTION("REGEXEXTRACT(C535, """"""([^""""]+)"""""")"),"#N/A")</f>
        <v>#N/A</v>
      </c>
    </row>
    <row r="536">
      <c r="A536" s="23"/>
      <c r="B536" s="23"/>
      <c r="C536" s="24"/>
      <c r="D536" s="23"/>
      <c r="E536" s="25" t="str">
        <f>IFERROR(__xludf.DUMMYFUNCTION("REGEXEXTRACT(C536, """"""([^""""]+)"""""")"),"#N/A")</f>
        <v>#N/A</v>
      </c>
    </row>
    <row r="537">
      <c r="A537" s="23"/>
      <c r="B537" s="23"/>
      <c r="C537" s="24"/>
      <c r="D537" s="23"/>
      <c r="E537" s="25" t="str">
        <f>IFERROR(__xludf.DUMMYFUNCTION("REGEXEXTRACT(C537, """"""([^""""]+)"""""")"),"#N/A")</f>
        <v>#N/A</v>
      </c>
    </row>
    <row r="538">
      <c r="A538" s="23"/>
      <c r="B538" s="23"/>
      <c r="C538" s="24"/>
      <c r="D538" s="23"/>
      <c r="E538" s="25" t="str">
        <f>IFERROR(__xludf.DUMMYFUNCTION("REGEXEXTRACT(C538, """"""([^""""]+)"""""")"),"#N/A")</f>
        <v>#N/A</v>
      </c>
    </row>
    <row r="539">
      <c r="A539" s="23"/>
      <c r="B539" s="23"/>
      <c r="C539" s="24"/>
      <c r="D539" s="23"/>
      <c r="E539" s="25" t="str">
        <f>IFERROR(__xludf.DUMMYFUNCTION("REGEXEXTRACT(C539, """"""([^""""]+)"""""")"),"#N/A")</f>
        <v>#N/A</v>
      </c>
    </row>
    <row r="540">
      <c r="A540" s="23"/>
      <c r="B540" s="23"/>
      <c r="C540" s="24"/>
      <c r="D540" s="23"/>
      <c r="E540" s="25" t="str">
        <f>IFERROR(__xludf.DUMMYFUNCTION("REGEXEXTRACT(C540, """"""([^""""]+)"""""")"),"#N/A")</f>
        <v>#N/A</v>
      </c>
    </row>
    <row r="541">
      <c r="A541" s="23"/>
      <c r="B541" s="23"/>
      <c r="C541" s="24"/>
      <c r="D541" s="23"/>
      <c r="E541" s="25" t="str">
        <f>IFERROR(__xludf.DUMMYFUNCTION("REGEXEXTRACT(C541, """"""([^""""]+)"""""")"),"#N/A")</f>
        <v>#N/A</v>
      </c>
    </row>
    <row r="542">
      <c r="A542" s="23"/>
      <c r="B542" s="23"/>
      <c r="C542" s="24"/>
      <c r="D542" s="23"/>
      <c r="E542" s="25" t="str">
        <f>IFERROR(__xludf.DUMMYFUNCTION("REGEXEXTRACT(C542, """"""([^""""]+)"""""")"),"#N/A")</f>
        <v>#N/A</v>
      </c>
    </row>
    <row r="543">
      <c r="A543" s="23"/>
      <c r="B543" s="23"/>
      <c r="C543" s="24"/>
      <c r="D543" s="23"/>
      <c r="E543" s="25" t="str">
        <f>IFERROR(__xludf.DUMMYFUNCTION("REGEXEXTRACT(C543, """"""([^""""]+)"""""")"),"#N/A")</f>
        <v>#N/A</v>
      </c>
    </row>
    <row r="544">
      <c r="A544" s="23"/>
      <c r="B544" s="23"/>
      <c r="C544" s="24"/>
      <c r="D544" s="23"/>
      <c r="E544" s="25" t="str">
        <f>IFERROR(__xludf.DUMMYFUNCTION("REGEXEXTRACT(C544, """"""([^""""]+)"""""")"),"#N/A")</f>
        <v>#N/A</v>
      </c>
    </row>
    <row r="545">
      <c r="A545" s="23"/>
      <c r="B545" s="23"/>
      <c r="C545" s="24"/>
      <c r="D545" s="23"/>
      <c r="E545" s="25" t="str">
        <f>IFERROR(__xludf.DUMMYFUNCTION("REGEXEXTRACT(C545, """"""([^""""]+)"""""")"),"#N/A")</f>
        <v>#N/A</v>
      </c>
    </row>
    <row r="546">
      <c r="A546" s="23"/>
      <c r="B546" s="23"/>
      <c r="C546" s="24"/>
      <c r="D546" s="23"/>
      <c r="E546" s="25" t="str">
        <f>IFERROR(__xludf.DUMMYFUNCTION("REGEXEXTRACT(C546, """"""([^""""]+)"""""")"),"#N/A")</f>
        <v>#N/A</v>
      </c>
    </row>
    <row r="547">
      <c r="A547" s="23"/>
      <c r="B547" s="23"/>
      <c r="C547" s="24"/>
      <c r="D547" s="23"/>
      <c r="E547" s="25" t="str">
        <f>IFERROR(__xludf.DUMMYFUNCTION("REGEXEXTRACT(C547, """"""([^""""]+)"""""")"),"#N/A")</f>
        <v>#N/A</v>
      </c>
    </row>
    <row r="548">
      <c r="A548" s="23"/>
      <c r="B548" s="23"/>
      <c r="C548" s="24"/>
      <c r="D548" s="23"/>
      <c r="E548" s="25" t="str">
        <f>IFERROR(__xludf.DUMMYFUNCTION("REGEXEXTRACT(C548, """"""([^""""]+)"""""")"),"#N/A")</f>
        <v>#N/A</v>
      </c>
    </row>
    <row r="549">
      <c r="A549" s="23"/>
      <c r="B549" s="23"/>
      <c r="C549" s="24"/>
      <c r="D549" s="23"/>
      <c r="E549" s="25" t="str">
        <f>IFERROR(__xludf.DUMMYFUNCTION("REGEXEXTRACT(C549, """"""([^""""]+)"""""")"),"#N/A")</f>
        <v>#N/A</v>
      </c>
    </row>
    <row r="550">
      <c r="A550" s="23"/>
      <c r="B550" s="23"/>
      <c r="C550" s="24"/>
      <c r="D550" s="23"/>
      <c r="E550" s="25" t="str">
        <f>IFERROR(__xludf.DUMMYFUNCTION("REGEXEXTRACT(C550, """"""([^""""]+)"""""")"),"#N/A")</f>
        <v>#N/A</v>
      </c>
    </row>
    <row r="551">
      <c r="A551" s="23"/>
      <c r="B551" s="23"/>
      <c r="C551" s="24"/>
      <c r="D551" s="23"/>
      <c r="E551" s="25" t="str">
        <f>IFERROR(__xludf.DUMMYFUNCTION("REGEXEXTRACT(C551, """"""([^""""]+)"""""")"),"#N/A")</f>
        <v>#N/A</v>
      </c>
    </row>
    <row r="552">
      <c r="A552" s="23"/>
      <c r="B552" s="23"/>
      <c r="C552" s="24"/>
      <c r="D552" s="23"/>
      <c r="E552" s="25" t="str">
        <f>IFERROR(__xludf.DUMMYFUNCTION("REGEXEXTRACT(C552, """"""([^""""]+)"""""")"),"#N/A")</f>
        <v>#N/A</v>
      </c>
    </row>
    <row r="553">
      <c r="A553" s="23"/>
      <c r="B553" s="23"/>
      <c r="C553" s="24"/>
      <c r="D553" s="23"/>
      <c r="E553" s="25" t="str">
        <f>IFERROR(__xludf.DUMMYFUNCTION("REGEXEXTRACT(C553, """"""([^""""]+)"""""")"),"#N/A")</f>
        <v>#N/A</v>
      </c>
    </row>
    <row r="554">
      <c r="A554" s="23"/>
      <c r="B554" s="23"/>
      <c r="C554" s="24"/>
      <c r="D554" s="23"/>
      <c r="E554" s="25" t="str">
        <f>IFERROR(__xludf.DUMMYFUNCTION("REGEXEXTRACT(C554, """"""([^""""]+)"""""")"),"#N/A")</f>
        <v>#N/A</v>
      </c>
    </row>
    <row r="555">
      <c r="A555" s="23"/>
      <c r="B555" s="23"/>
      <c r="C555" s="24"/>
      <c r="D555" s="23"/>
      <c r="E555" s="25" t="str">
        <f>IFERROR(__xludf.DUMMYFUNCTION("REGEXEXTRACT(C555, """"""([^""""]+)"""""")"),"#N/A")</f>
        <v>#N/A</v>
      </c>
    </row>
    <row r="556">
      <c r="A556" s="23"/>
      <c r="B556" s="23"/>
      <c r="C556" s="24"/>
      <c r="D556" s="23"/>
      <c r="E556" s="25" t="str">
        <f>IFERROR(__xludf.DUMMYFUNCTION("REGEXEXTRACT(C556, """"""([^""""]+)"""""")"),"#N/A")</f>
        <v>#N/A</v>
      </c>
    </row>
    <row r="557">
      <c r="A557" s="23"/>
      <c r="B557" s="23"/>
      <c r="C557" s="24"/>
      <c r="D557" s="23"/>
      <c r="E557" s="25" t="str">
        <f>IFERROR(__xludf.DUMMYFUNCTION("REGEXEXTRACT(C557, """"""([^""""]+)"""""")"),"#N/A")</f>
        <v>#N/A</v>
      </c>
    </row>
    <row r="558">
      <c r="A558" s="23"/>
      <c r="B558" s="23"/>
      <c r="C558" s="24"/>
      <c r="D558" s="23"/>
      <c r="E558" s="25" t="str">
        <f>IFERROR(__xludf.DUMMYFUNCTION("REGEXEXTRACT(C558, """"""([^""""]+)"""""")"),"#N/A")</f>
        <v>#N/A</v>
      </c>
    </row>
    <row r="559">
      <c r="A559" s="23"/>
      <c r="B559" s="23"/>
      <c r="C559" s="24"/>
      <c r="D559" s="23"/>
      <c r="E559" s="25" t="str">
        <f>IFERROR(__xludf.DUMMYFUNCTION("REGEXEXTRACT(C559, """"""([^""""]+)"""""")"),"#N/A")</f>
        <v>#N/A</v>
      </c>
    </row>
    <row r="560">
      <c r="A560" s="23"/>
      <c r="B560" s="23"/>
      <c r="C560" s="24"/>
      <c r="D560" s="23"/>
      <c r="E560" s="25" t="str">
        <f>IFERROR(__xludf.DUMMYFUNCTION("REGEXEXTRACT(C560, """"""([^""""]+)"""""")"),"#N/A")</f>
        <v>#N/A</v>
      </c>
    </row>
    <row r="561">
      <c r="A561" s="23"/>
      <c r="B561" s="23"/>
      <c r="C561" s="24"/>
      <c r="D561" s="23"/>
      <c r="E561" s="25" t="str">
        <f>IFERROR(__xludf.DUMMYFUNCTION("REGEXEXTRACT(C561, """"""([^""""]+)"""""")"),"#N/A")</f>
        <v>#N/A</v>
      </c>
    </row>
    <row r="562">
      <c r="A562" s="23"/>
      <c r="B562" s="23"/>
      <c r="C562" s="24"/>
      <c r="D562" s="23"/>
      <c r="E562" s="25" t="str">
        <f>IFERROR(__xludf.DUMMYFUNCTION("REGEXEXTRACT(C562, """"""([^""""]+)"""""")"),"#N/A")</f>
        <v>#N/A</v>
      </c>
    </row>
    <row r="563">
      <c r="A563" s="23"/>
      <c r="B563" s="23"/>
      <c r="C563" s="24"/>
      <c r="D563" s="23"/>
      <c r="E563" s="25" t="str">
        <f>IFERROR(__xludf.DUMMYFUNCTION("REGEXEXTRACT(C563, """"""([^""""]+)"""""")"),"#N/A")</f>
        <v>#N/A</v>
      </c>
    </row>
    <row r="564">
      <c r="A564" s="23"/>
      <c r="B564" s="23"/>
      <c r="C564" s="24"/>
      <c r="D564" s="23"/>
      <c r="E564" s="25" t="str">
        <f>IFERROR(__xludf.DUMMYFUNCTION("REGEXEXTRACT(C564, """"""([^""""]+)"""""")"),"#N/A")</f>
        <v>#N/A</v>
      </c>
    </row>
    <row r="565">
      <c r="A565" s="23"/>
      <c r="B565" s="23"/>
      <c r="C565" s="24"/>
      <c r="D565" s="23"/>
      <c r="E565" s="25" t="str">
        <f>IFERROR(__xludf.DUMMYFUNCTION("REGEXEXTRACT(C565, """"""([^""""]+)"""""")"),"#N/A")</f>
        <v>#N/A</v>
      </c>
    </row>
    <row r="566">
      <c r="A566" s="23"/>
      <c r="B566" s="23"/>
      <c r="C566" s="24"/>
      <c r="D566" s="23"/>
      <c r="E566" s="25" t="str">
        <f>IFERROR(__xludf.DUMMYFUNCTION("REGEXEXTRACT(C566, """"""([^""""]+)"""""")"),"#N/A")</f>
        <v>#N/A</v>
      </c>
    </row>
    <row r="567">
      <c r="A567" s="23"/>
      <c r="B567" s="23"/>
      <c r="C567" s="24"/>
      <c r="D567" s="23"/>
      <c r="E567" s="25" t="str">
        <f>IFERROR(__xludf.DUMMYFUNCTION("REGEXEXTRACT(C567, """"""([^""""]+)"""""")"),"#N/A")</f>
        <v>#N/A</v>
      </c>
    </row>
    <row r="568">
      <c r="A568" s="23"/>
      <c r="B568" s="23"/>
      <c r="C568" s="24"/>
      <c r="D568" s="23"/>
      <c r="E568" s="25" t="str">
        <f>IFERROR(__xludf.DUMMYFUNCTION("REGEXEXTRACT(C568, """"""([^""""]+)"""""")"),"#N/A")</f>
        <v>#N/A</v>
      </c>
    </row>
    <row r="569">
      <c r="A569" s="23"/>
      <c r="B569" s="23"/>
      <c r="C569" s="24"/>
      <c r="D569" s="23"/>
      <c r="E569" s="25" t="str">
        <f>IFERROR(__xludf.DUMMYFUNCTION("REGEXEXTRACT(C569, """"""([^""""]+)"""""")"),"#N/A")</f>
        <v>#N/A</v>
      </c>
    </row>
    <row r="570">
      <c r="A570" s="23"/>
      <c r="B570" s="23"/>
      <c r="C570" s="24"/>
      <c r="D570" s="23"/>
      <c r="E570" s="25" t="str">
        <f>IFERROR(__xludf.DUMMYFUNCTION("REGEXEXTRACT(C570, """"""([^""""]+)"""""")"),"#N/A")</f>
        <v>#N/A</v>
      </c>
    </row>
    <row r="571">
      <c r="A571" s="23"/>
      <c r="B571" s="23"/>
      <c r="C571" s="24"/>
      <c r="D571" s="23"/>
      <c r="E571" s="25" t="str">
        <f>IFERROR(__xludf.DUMMYFUNCTION("REGEXEXTRACT(C571, """"""([^""""]+)"""""")"),"#N/A")</f>
        <v>#N/A</v>
      </c>
    </row>
    <row r="572">
      <c r="A572" s="23"/>
      <c r="B572" s="23"/>
      <c r="C572" s="24"/>
      <c r="D572" s="23"/>
      <c r="E572" s="25" t="str">
        <f>IFERROR(__xludf.DUMMYFUNCTION("REGEXEXTRACT(C572, """"""([^""""]+)"""""")"),"#N/A")</f>
        <v>#N/A</v>
      </c>
    </row>
    <row r="573">
      <c r="A573" s="23"/>
      <c r="B573" s="23"/>
      <c r="C573" s="24"/>
      <c r="D573" s="23"/>
      <c r="E573" s="25" t="str">
        <f>IFERROR(__xludf.DUMMYFUNCTION("REGEXEXTRACT(C573, """"""([^""""]+)"""""")"),"#N/A")</f>
        <v>#N/A</v>
      </c>
    </row>
    <row r="574">
      <c r="A574" s="23"/>
      <c r="B574" s="23"/>
      <c r="C574" s="24"/>
      <c r="D574" s="23"/>
      <c r="E574" s="25" t="str">
        <f>IFERROR(__xludf.DUMMYFUNCTION("REGEXEXTRACT(C574, """"""([^""""]+)"""""")"),"#N/A")</f>
        <v>#N/A</v>
      </c>
    </row>
    <row r="575">
      <c r="A575" s="23"/>
      <c r="B575" s="23"/>
      <c r="C575" s="24"/>
      <c r="D575" s="23"/>
      <c r="E575" s="25" t="str">
        <f>IFERROR(__xludf.DUMMYFUNCTION("REGEXEXTRACT(C575, """"""([^""""]+)"""""")"),"#N/A")</f>
        <v>#N/A</v>
      </c>
    </row>
    <row r="576">
      <c r="A576" s="23"/>
      <c r="B576" s="23"/>
      <c r="C576" s="24"/>
      <c r="D576" s="23"/>
      <c r="E576" s="25" t="str">
        <f>IFERROR(__xludf.DUMMYFUNCTION("REGEXEXTRACT(C576, """"""([^""""]+)"""""")"),"#N/A")</f>
        <v>#N/A</v>
      </c>
    </row>
    <row r="577">
      <c r="A577" s="23"/>
      <c r="B577" s="23"/>
      <c r="C577" s="24"/>
      <c r="D577" s="23"/>
      <c r="E577" s="25" t="str">
        <f>IFERROR(__xludf.DUMMYFUNCTION("REGEXEXTRACT(C577, """"""([^""""]+)"""""")"),"#N/A")</f>
        <v>#N/A</v>
      </c>
    </row>
    <row r="578">
      <c r="A578" s="23"/>
      <c r="B578" s="23"/>
      <c r="C578" s="24"/>
      <c r="D578" s="23"/>
      <c r="E578" s="25" t="str">
        <f>IFERROR(__xludf.DUMMYFUNCTION("REGEXEXTRACT(C578, """"""([^""""]+)"""""")"),"#N/A")</f>
        <v>#N/A</v>
      </c>
    </row>
    <row r="579">
      <c r="A579" s="23"/>
      <c r="B579" s="23"/>
      <c r="C579" s="24"/>
      <c r="D579" s="23"/>
      <c r="E579" s="25" t="str">
        <f>IFERROR(__xludf.DUMMYFUNCTION("REGEXEXTRACT(C579, """"""([^""""]+)"""""")"),"#N/A")</f>
        <v>#N/A</v>
      </c>
    </row>
    <row r="580">
      <c r="A580" s="23"/>
      <c r="B580" s="23"/>
      <c r="C580" s="24"/>
      <c r="D580" s="23"/>
      <c r="E580" s="25" t="str">
        <f>IFERROR(__xludf.DUMMYFUNCTION("REGEXEXTRACT(C580, """"""([^""""]+)"""""")"),"#N/A")</f>
        <v>#N/A</v>
      </c>
    </row>
    <row r="581">
      <c r="A581" s="23"/>
      <c r="B581" s="23"/>
      <c r="C581" s="24"/>
      <c r="D581" s="23"/>
      <c r="E581" s="25" t="str">
        <f>IFERROR(__xludf.DUMMYFUNCTION("REGEXEXTRACT(C581, """"""([^""""]+)"""""")"),"#N/A")</f>
        <v>#N/A</v>
      </c>
    </row>
    <row r="582">
      <c r="A582" s="23"/>
      <c r="B582" s="23"/>
      <c r="C582" s="24"/>
      <c r="D582" s="23"/>
      <c r="E582" s="25" t="str">
        <f>IFERROR(__xludf.DUMMYFUNCTION("REGEXEXTRACT(C582, """"""([^""""]+)"""""")"),"#N/A")</f>
        <v>#N/A</v>
      </c>
    </row>
    <row r="583">
      <c r="A583" s="23"/>
      <c r="B583" s="23"/>
      <c r="C583" s="24"/>
      <c r="D583" s="23"/>
      <c r="E583" s="25" t="str">
        <f>IFERROR(__xludf.DUMMYFUNCTION("REGEXEXTRACT(C583, """"""([^""""]+)"""""")"),"#N/A")</f>
        <v>#N/A</v>
      </c>
    </row>
    <row r="584">
      <c r="A584" s="23"/>
      <c r="B584" s="23"/>
      <c r="C584" s="24"/>
      <c r="D584" s="23"/>
      <c r="E584" s="25" t="str">
        <f>IFERROR(__xludf.DUMMYFUNCTION("REGEXEXTRACT(C584, """"""([^""""]+)"""""")"),"#N/A")</f>
        <v>#N/A</v>
      </c>
    </row>
    <row r="585">
      <c r="A585" s="23"/>
      <c r="B585" s="23"/>
      <c r="C585" s="24"/>
      <c r="D585" s="23"/>
      <c r="E585" s="25" t="str">
        <f>IFERROR(__xludf.DUMMYFUNCTION("REGEXEXTRACT(C585, """"""([^""""]+)"""""")"),"#N/A")</f>
        <v>#N/A</v>
      </c>
    </row>
    <row r="586">
      <c r="A586" s="23"/>
      <c r="B586" s="23"/>
      <c r="C586" s="24"/>
      <c r="D586" s="23"/>
      <c r="E586" s="25" t="str">
        <f>IFERROR(__xludf.DUMMYFUNCTION("REGEXEXTRACT(C586, """"""([^""""]+)"""""")"),"#N/A")</f>
        <v>#N/A</v>
      </c>
    </row>
    <row r="587">
      <c r="A587" s="23"/>
      <c r="B587" s="23"/>
      <c r="C587" s="24"/>
      <c r="D587" s="23"/>
      <c r="E587" s="25" t="str">
        <f>IFERROR(__xludf.DUMMYFUNCTION("REGEXEXTRACT(C587, """"""([^""""]+)"""""")"),"#N/A")</f>
        <v>#N/A</v>
      </c>
    </row>
    <row r="588">
      <c r="A588" s="23"/>
      <c r="B588" s="23"/>
      <c r="C588" s="24"/>
      <c r="D588" s="23"/>
      <c r="E588" s="25" t="str">
        <f>IFERROR(__xludf.DUMMYFUNCTION("REGEXEXTRACT(C588, """"""([^""""]+)"""""")"),"#N/A")</f>
        <v>#N/A</v>
      </c>
    </row>
    <row r="589">
      <c r="A589" s="23"/>
      <c r="B589" s="23"/>
      <c r="C589" s="24"/>
      <c r="D589" s="23"/>
      <c r="E589" s="25" t="str">
        <f>IFERROR(__xludf.DUMMYFUNCTION("REGEXEXTRACT(C589, """"""([^""""]+)"""""")"),"#N/A")</f>
        <v>#N/A</v>
      </c>
    </row>
    <row r="590">
      <c r="A590" s="23"/>
      <c r="B590" s="23"/>
      <c r="C590" s="24"/>
      <c r="D590" s="23"/>
      <c r="E590" s="25" t="str">
        <f>IFERROR(__xludf.DUMMYFUNCTION("REGEXEXTRACT(C590, """"""([^""""]+)"""""")"),"#N/A")</f>
        <v>#N/A</v>
      </c>
    </row>
    <row r="591">
      <c r="A591" s="23"/>
      <c r="B591" s="23"/>
      <c r="C591" s="24"/>
      <c r="D591" s="23"/>
      <c r="E591" s="25" t="str">
        <f>IFERROR(__xludf.DUMMYFUNCTION("REGEXEXTRACT(C591, """"""([^""""]+)"""""")"),"#N/A")</f>
        <v>#N/A</v>
      </c>
    </row>
    <row r="592">
      <c r="A592" s="23"/>
      <c r="B592" s="23"/>
      <c r="C592" s="24"/>
      <c r="D592" s="23"/>
      <c r="E592" s="25" t="str">
        <f>IFERROR(__xludf.DUMMYFUNCTION("REGEXEXTRACT(C592, """"""([^""""]+)"""""")"),"#N/A")</f>
        <v>#N/A</v>
      </c>
    </row>
    <row r="593">
      <c r="A593" s="23"/>
      <c r="B593" s="23"/>
      <c r="C593" s="24"/>
      <c r="D593" s="23"/>
      <c r="E593" s="25" t="str">
        <f>IFERROR(__xludf.DUMMYFUNCTION("REGEXEXTRACT(C593, """"""([^""""]+)"""""")"),"#N/A")</f>
        <v>#N/A</v>
      </c>
    </row>
    <row r="594">
      <c r="A594" s="23"/>
      <c r="B594" s="23"/>
      <c r="C594" s="24"/>
      <c r="D594" s="23"/>
      <c r="E594" s="25" t="str">
        <f>IFERROR(__xludf.DUMMYFUNCTION("REGEXEXTRACT(C594, """"""([^""""]+)"""""")"),"#N/A")</f>
        <v>#N/A</v>
      </c>
    </row>
    <row r="595">
      <c r="A595" s="23"/>
      <c r="B595" s="23"/>
      <c r="C595" s="24"/>
      <c r="D595" s="23"/>
      <c r="E595" s="25" t="str">
        <f>IFERROR(__xludf.DUMMYFUNCTION("REGEXEXTRACT(C595, """"""([^""""]+)"""""")"),"#N/A")</f>
        <v>#N/A</v>
      </c>
    </row>
    <row r="596">
      <c r="A596" s="23"/>
      <c r="B596" s="23"/>
      <c r="C596" s="24"/>
      <c r="D596" s="23"/>
      <c r="E596" s="25" t="str">
        <f>IFERROR(__xludf.DUMMYFUNCTION("REGEXEXTRACT(C596, """"""([^""""]+)"""""")"),"#N/A")</f>
        <v>#N/A</v>
      </c>
    </row>
    <row r="597">
      <c r="A597" s="23"/>
      <c r="B597" s="23"/>
      <c r="C597" s="24"/>
      <c r="D597" s="23"/>
      <c r="E597" s="25" t="str">
        <f>IFERROR(__xludf.DUMMYFUNCTION("REGEXEXTRACT(C597, """"""([^""""]+)"""""")"),"#N/A")</f>
        <v>#N/A</v>
      </c>
    </row>
    <row r="598">
      <c r="A598" s="23"/>
      <c r="B598" s="23"/>
      <c r="C598" s="24"/>
      <c r="D598" s="23"/>
      <c r="E598" s="25" t="str">
        <f>IFERROR(__xludf.DUMMYFUNCTION("REGEXEXTRACT(C598, """"""([^""""]+)"""""")"),"#N/A")</f>
        <v>#N/A</v>
      </c>
    </row>
    <row r="599">
      <c r="A599" s="23"/>
      <c r="B599" s="23"/>
      <c r="C599" s="24"/>
      <c r="D599" s="23"/>
      <c r="E599" s="25" t="str">
        <f>IFERROR(__xludf.DUMMYFUNCTION("REGEXEXTRACT(C599, """"""([^""""]+)"""""")"),"#N/A")</f>
        <v>#N/A</v>
      </c>
    </row>
    <row r="600">
      <c r="A600" s="23"/>
      <c r="B600" s="23"/>
      <c r="C600" s="24"/>
      <c r="D600" s="23"/>
      <c r="E600" s="25" t="str">
        <f>IFERROR(__xludf.DUMMYFUNCTION("REGEXEXTRACT(C600, """"""([^""""]+)"""""")"),"#N/A")</f>
        <v>#N/A</v>
      </c>
    </row>
    <row r="601">
      <c r="A601" s="23"/>
      <c r="B601" s="23"/>
      <c r="C601" s="24"/>
      <c r="D601" s="23"/>
      <c r="E601" s="25" t="str">
        <f>IFERROR(__xludf.DUMMYFUNCTION("REGEXEXTRACT(C601, """"""([^""""]+)"""""")"),"#N/A")</f>
        <v>#N/A</v>
      </c>
    </row>
    <row r="602">
      <c r="A602" s="23"/>
      <c r="B602" s="23"/>
      <c r="C602" s="24"/>
      <c r="D602" s="23"/>
      <c r="E602" s="25" t="str">
        <f>IFERROR(__xludf.DUMMYFUNCTION("REGEXEXTRACT(C602, """"""([^""""]+)"""""")"),"#N/A")</f>
        <v>#N/A</v>
      </c>
    </row>
    <row r="603">
      <c r="A603" s="23"/>
      <c r="B603" s="23"/>
      <c r="C603" s="24"/>
      <c r="D603" s="23"/>
      <c r="E603" s="25" t="str">
        <f>IFERROR(__xludf.DUMMYFUNCTION("REGEXEXTRACT(C603, """"""([^""""]+)"""""")"),"#N/A")</f>
        <v>#N/A</v>
      </c>
    </row>
    <row r="604">
      <c r="A604" s="23"/>
      <c r="B604" s="23"/>
      <c r="C604" s="24"/>
      <c r="D604" s="23"/>
      <c r="E604" s="25" t="str">
        <f>IFERROR(__xludf.DUMMYFUNCTION("REGEXEXTRACT(C604, """"""([^""""]+)"""""")"),"#N/A")</f>
        <v>#N/A</v>
      </c>
    </row>
    <row r="605">
      <c r="A605" s="23"/>
      <c r="B605" s="23"/>
      <c r="C605" s="24"/>
      <c r="D605" s="23"/>
      <c r="E605" s="25" t="str">
        <f>IFERROR(__xludf.DUMMYFUNCTION("REGEXEXTRACT(C605, """"""([^""""]+)"""""")"),"#N/A")</f>
        <v>#N/A</v>
      </c>
    </row>
    <row r="606">
      <c r="A606" s="23"/>
      <c r="B606" s="23"/>
      <c r="C606" s="24"/>
      <c r="D606" s="23"/>
      <c r="E606" s="25" t="str">
        <f>IFERROR(__xludf.DUMMYFUNCTION("REGEXEXTRACT(C606, """"""([^""""]+)"""""")"),"#N/A")</f>
        <v>#N/A</v>
      </c>
    </row>
    <row r="607">
      <c r="A607" s="23"/>
      <c r="B607" s="23"/>
      <c r="C607" s="24"/>
      <c r="D607" s="23"/>
      <c r="E607" s="25" t="str">
        <f>IFERROR(__xludf.DUMMYFUNCTION("REGEXEXTRACT(C607, """"""([^""""]+)"""""")"),"#N/A")</f>
        <v>#N/A</v>
      </c>
    </row>
    <row r="608">
      <c r="A608" s="23"/>
      <c r="B608" s="23"/>
      <c r="C608" s="24"/>
      <c r="D608" s="23"/>
      <c r="E608" s="25" t="str">
        <f>IFERROR(__xludf.DUMMYFUNCTION("REGEXEXTRACT(C608, """"""([^""""]+)"""""")"),"#N/A")</f>
        <v>#N/A</v>
      </c>
    </row>
    <row r="609">
      <c r="A609" s="23"/>
      <c r="B609" s="23"/>
      <c r="C609" s="24"/>
      <c r="D609" s="23"/>
      <c r="E609" s="25" t="str">
        <f>IFERROR(__xludf.DUMMYFUNCTION("REGEXEXTRACT(C609, """"""([^""""]+)"""""")"),"#N/A")</f>
        <v>#N/A</v>
      </c>
    </row>
    <row r="610">
      <c r="A610" s="23"/>
      <c r="B610" s="23"/>
      <c r="C610" s="24"/>
      <c r="D610" s="23"/>
      <c r="E610" s="25" t="str">
        <f>IFERROR(__xludf.DUMMYFUNCTION("REGEXEXTRACT(C610, """"""([^""""]+)"""""")"),"#N/A")</f>
        <v>#N/A</v>
      </c>
    </row>
    <row r="611">
      <c r="A611" s="23"/>
      <c r="B611" s="23"/>
      <c r="C611" s="24"/>
      <c r="D611" s="23"/>
      <c r="E611" s="25" t="str">
        <f>IFERROR(__xludf.DUMMYFUNCTION("REGEXEXTRACT(C611, """"""([^""""]+)"""""")"),"#N/A")</f>
        <v>#N/A</v>
      </c>
    </row>
    <row r="612">
      <c r="A612" s="23"/>
      <c r="B612" s="23"/>
      <c r="C612" s="24"/>
      <c r="D612" s="23"/>
      <c r="E612" s="25" t="str">
        <f>IFERROR(__xludf.DUMMYFUNCTION("REGEXEXTRACT(C612, """"""([^""""]+)"""""")"),"#N/A")</f>
        <v>#N/A</v>
      </c>
    </row>
    <row r="613">
      <c r="A613" s="23"/>
      <c r="B613" s="23"/>
      <c r="C613" s="24"/>
      <c r="D613" s="23"/>
      <c r="E613" s="25" t="str">
        <f>IFERROR(__xludf.DUMMYFUNCTION("REGEXEXTRACT(C613, """"""([^""""]+)"""""")"),"#N/A")</f>
        <v>#N/A</v>
      </c>
    </row>
    <row r="614">
      <c r="A614" s="23"/>
      <c r="B614" s="23"/>
      <c r="C614" s="24"/>
      <c r="D614" s="23"/>
      <c r="E614" s="25" t="str">
        <f>IFERROR(__xludf.DUMMYFUNCTION("REGEXEXTRACT(C614, """"""([^""""]+)"""""")"),"#N/A")</f>
        <v>#N/A</v>
      </c>
    </row>
    <row r="615">
      <c r="A615" s="23"/>
      <c r="B615" s="23"/>
      <c r="C615" s="24"/>
      <c r="D615" s="23"/>
      <c r="E615" s="25" t="str">
        <f>IFERROR(__xludf.DUMMYFUNCTION("REGEXEXTRACT(C615, """"""([^""""]+)"""""")"),"#N/A")</f>
        <v>#N/A</v>
      </c>
    </row>
    <row r="616">
      <c r="A616" s="23"/>
      <c r="B616" s="23"/>
      <c r="C616" s="24"/>
      <c r="D616" s="23"/>
      <c r="E616" s="25" t="str">
        <f>IFERROR(__xludf.DUMMYFUNCTION("REGEXEXTRACT(C616, """"""([^""""]+)"""""")"),"#N/A")</f>
        <v>#N/A</v>
      </c>
    </row>
    <row r="617">
      <c r="A617" s="23"/>
      <c r="B617" s="23"/>
      <c r="C617" s="24"/>
      <c r="D617" s="23"/>
      <c r="E617" s="25" t="str">
        <f>IFERROR(__xludf.DUMMYFUNCTION("REGEXEXTRACT(C617, """"""([^""""]+)"""""")"),"#N/A")</f>
        <v>#N/A</v>
      </c>
    </row>
    <row r="618">
      <c r="A618" s="23"/>
      <c r="B618" s="23"/>
      <c r="C618" s="24"/>
      <c r="D618" s="23"/>
      <c r="E618" s="25" t="str">
        <f>IFERROR(__xludf.DUMMYFUNCTION("REGEXEXTRACT(C618, """"""([^""""]+)"""""")"),"#N/A")</f>
        <v>#N/A</v>
      </c>
    </row>
    <row r="619">
      <c r="A619" s="23"/>
      <c r="B619" s="23"/>
      <c r="C619" s="24"/>
      <c r="D619" s="23"/>
      <c r="E619" s="25" t="str">
        <f>IFERROR(__xludf.DUMMYFUNCTION("REGEXEXTRACT(C619, """"""([^""""]+)"""""")"),"#N/A")</f>
        <v>#N/A</v>
      </c>
    </row>
    <row r="620">
      <c r="A620" s="23"/>
      <c r="B620" s="23"/>
      <c r="C620" s="24"/>
      <c r="D620" s="23"/>
      <c r="E620" s="25" t="str">
        <f>IFERROR(__xludf.DUMMYFUNCTION("REGEXEXTRACT(C620, """"""([^""""]+)"""""")"),"#N/A")</f>
        <v>#N/A</v>
      </c>
    </row>
    <row r="621">
      <c r="A621" s="23"/>
      <c r="B621" s="23"/>
      <c r="C621" s="24"/>
      <c r="D621" s="23"/>
      <c r="E621" s="25" t="str">
        <f>IFERROR(__xludf.DUMMYFUNCTION("REGEXEXTRACT(C621, """"""([^""""]+)"""""")"),"#N/A")</f>
        <v>#N/A</v>
      </c>
    </row>
    <row r="622">
      <c r="A622" s="23"/>
      <c r="B622" s="23"/>
      <c r="C622" s="24"/>
      <c r="D622" s="23"/>
      <c r="E622" s="25" t="str">
        <f>IFERROR(__xludf.DUMMYFUNCTION("REGEXEXTRACT(C622, """"""([^""""]+)"""""")"),"#N/A")</f>
        <v>#N/A</v>
      </c>
    </row>
    <row r="623">
      <c r="A623" s="23"/>
      <c r="B623" s="23"/>
      <c r="C623" s="24"/>
      <c r="D623" s="23"/>
      <c r="E623" s="25" t="str">
        <f>IFERROR(__xludf.DUMMYFUNCTION("REGEXEXTRACT(C623, """"""([^""""]+)"""""")"),"#N/A")</f>
        <v>#N/A</v>
      </c>
    </row>
    <row r="624">
      <c r="A624" s="23"/>
      <c r="B624" s="23"/>
      <c r="C624" s="24"/>
      <c r="D624" s="23"/>
      <c r="E624" s="25" t="str">
        <f>IFERROR(__xludf.DUMMYFUNCTION("REGEXEXTRACT(C624, """"""([^""""]+)"""""")"),"#N/A")</f>
        <v>#N/A</v>
      </c>
    </row>
    <row r="625">
      <c r="A625" s="23"/>
      <c r="B625" s="23"/>
      <c r="C625" s="24"/>
      <c r="D625" s="23"/>
      <c r="E625" s="25" t="str">
        <f>IFERROR(__xludf.DUMMYFUNCTION("REGEXEXTRACT(C625, """"""([^""""]+)"""""")"),"#N/A")</f>
        <v>#N/A</v>
      </c>
    </row>
    <row r="626">
      <c r="A626" s="23"/>
      <c r="B626" s="23"/>
      <c r="C626" s="24"/>
      <c r="D626" s="23"/>
      <c r="E626" s="25" t="str">
        <f>IFERROR(__xludf.DUMMYFUNCTION("REGEXEXTRACT(C626, """"""([^""""]+)"""""")"),"#N/A")</f>
        <v>#N/A</v>
      </c>
    </row>
    <row r="627">
      <c r="A627" s="23"/>
      <c r="B627" s="23"/>
      <c r="C627" s="24"/>
      <c r="D627" s="23"/>
      <c r="E627" s="25" t="str">
        <f>IFERROR(__xludf.DUMMYFUNCTION("REGEXEXTRACT(C627, """"""([^""""]+)"""""")"),"#N/A")</f>
        <v>#N/A</v>
      </c>
    </row>
    <row r="628">
      <c r="A628" s="23"/>
      <c r="B628" s="23"/>
      <c r="C628" s="24"/>
      <c r="D628" s="23"/>
      <c r="E628" s="25" t="str">
        <f>IFERROR(__xludf.DUMMYFUNCTION("REGEXEXTRACT(C628, """"""([^""""]+)"""""")"),"#N/A")</f>
        <v>#N/A</v>
      </c>
    </row>
    <row r="629">
      <c r="A629" s="23"/>
      <c r="B629" s="23"/>
      <c r="C629" s="24"/>
      <c r="D629" s="23"/>
      <c r="E629" s="25" t="str">
        <f>IFERROR(__xludf.DUMMYFUNCTION("REGEXEXTRACT(C629, """"""([^""""]+)"""""")"),"#N/A")</f>
        <v>#N/A</v>
      </c>
    </row>
    <row r="630">
      <c r="A630" s="23"/>
      <c r="B630" s="23"/>
      <c r="C630" s="24"/>
      <c r="D630" s="23"/>
      <c r="E630" s="25" t="str">
        <f>IFERROR(__xludf.DUMMYFUNCTION("REGEXEXTRACT(C630, """"""([^""""]+)"""""")"),"#N/A")</f>
        <v>#N/A</v>
      </c>
    </row>
    <row r="631">
      <c r="A631" s="23"/>
      <c r="B631" s="23"/>
      <c r="C631" s="24"/>
      <c r="D631" s="23"/>
      <c r="E631" s="25" t="str">
        <f>IFERROR(__xludf.DUMMYFUNCTION("REGEXEXTRACT(C631, """"""([^""""]+)"""""")"),"#N/A")</f>
        <v>#N/A</v>
      </c>
    </row>
    <row r="632">
      <c r="A632" s="23"/>
      <c r="B632" s="23"/>
      <c r="C632" s="24"/>
      <c r="D632" s="23"/>
      <c r="E632" s="25" t="str">
        <f>IFERROR(__xludf.DUMMYFUNCTION("REGEXEXTRACT(C632, """"""([^""""]+)"""""")"),"#N/A")</f>
        <v>#N/A</v>
      </c>
    </row>
    <row r="633">
      <c r="A633" s="23"/>
      <c r="B633" s="23"/>
      <c r="C633" s="24"/>
      <c r="D633" s="23"/>
      <c r="E633" s="25" t="str">
        <f>IFERROR(__xludf.DUMMYFUNCTION("REGEXEXTRACT(C633, """"""([^""""]+)"""""")"),"#N/A")</f>
        <v>#N/A</v>
      </c>
    </row>
    <row r="634">
      <c r="A634" s="23"/>
      <c r="B634" s="23"/>
      <c r="C634" s="24"/>
      <c r="D634" s="23"/>
      <c r="E634" s="25" t="str">
        <f>IFERROR(__xludf.DUMMYFUNCTION("REGEXEXTRACT(C634, """"""([^""""]+)"""""")"),"#N/A")</f>
        <v>#N/A</v>
      </c>
    </row>
    <row r="635">
      <c r="A635" s="23"/>
      <c r="B635" s="23"/>
      <c r="C635" s="24"/>
      <c r="D635" s="23"/>
      <c r="E635" s="25" t="str">
        <f>IFERROR(__xludf.DUMMYFUNCTION("REGEXEXTRACT(C635, """"""([^""""]+)"""""")"),"#N/A")</f>
        <v>#N/A</v>
      </c>
    </row>
    <row r="636">
      <c r="A636" s="23"/>
      <c r="B636" s="23"/>
      <c r="C636" s="24"/>
      <c r="D636" s="23"/>
      <c r="E636" s="25" t="str">
        <f>IFERROR(__xludf.DUMMYFUNCTION("REGEXEXTRACT(C636, """"""([^""""]+)"""""")"),"#N/A")</f>
        <v>#N/A</v>
      </c>
    </row>
    <row r="637">
      <c r="A637" s="23"/>
      <c r="B637" s="23"/>
      <c r="C637" s="24"/>
      <c r="D637" s="23"/>
      <c r="E637" s="25" t="str">
        <f>IFERROR(__xludf.DUMMYFUNCTION("REGEXEXTRACT(C637, """"""([^""""]+)"""""")"),"#N/A")</f>
        <v>#N/A</v>
      </c>
    </row>
    <row r="638">
      <c r="A638" s="23"/>
      <c r="B638" s="23"/>
      <c r="C638" s="24"/>
      <c r="D638" s="23"/>
      <c r="E638" s="25" t="str">
        <f>IFERROR(__xludf.DUMMYFUNCTION("REGEXEXTRACT(C638, """"""([^""""]+)"""""")"),"#N/A")</f>
        <v>#N/A</v>
      </c>
    </row>
    <row r="639">
      <c r="A639" s="23"/>
      <c r="B639" s="23"/>
      <c r="C639" s="24"/>
      <c r="D639" s="23"/>
      <c r="E639" s="25" t="str">
        <f>IFERROR(__xludf.DUMMYFUNCTION("REGEXEXTRACT(C639, """"""([^""""]+)"""""")"),"#N/A")</f>
        <v>#N/A</v>
      </c>
    </row>
    <row r="640">
      <c r="A640" s="23"/>
      <c r="B640" s="23"/>
      <c r="C640" s="24"/>
      <c r="D640" s="23"/>
      <c r="E640" s="25" t="str">
        <f>IFERROR(__xludf.DUMMYFUNCTION("REGEXEXTRACT(C640, """"""([^""""]+)"""""")"),"#N/A")</f>
        <v>#N/A</v>
      </c>
    </row>
    <row r="641">
      <c r="A641" s="23"/>
      <c r="B641" s="23"/>
      <c r="C641" s="24"/>
      <c r="D641" s="23"/>
      <c r="E641" s="25" t="str">
        <f>IFERROR(__xludf.DUMMYFUNCTION("REGEXEXTRACT(C641, """"""([^""""]+)"""""")"),"#N/A")</f>
        <v>#N/A</v>
      </c>
    </row>
    <row r="642">
      <c r="A642" s="23"/>
      <c r="B642" s="23"/>
      <c r="C642" s="24"/>
      <c r="D642" s="23"/>
      <c r="E642" s="25" t="str">
        <f>IFERROR(__xludf.DUMMYFUNCTION("REGEXEXTRACT(C642, """"""([^""""]+)"""""")"),"#N/A")</f>
        <v>#N/A</v>
      </c>
    </row>
    <row r="643">
      <c r="A643" s="23"/>
      <c r="B643" s="23"/>
      <c r="C643" s="24"/>
      <c r="D643" s="23"/>
      <c r="E643" s="25" t="str">
        <f>IFERROR(__xludf.DUMMYFUNCTION("REGEXEXTRACT(C643, """"""([^""""]+)"""""")"),"#N/A")</f>
        <v>#N/A</v>
      </c>
    </row>
    <row r="644">
      <c r="A644" s="23"/>
      <c r="B644" s="23"/>
      <c r="C644" s="24"/>
      <c r="D644" s="23"/>
      <c r="E644" s="25" t="str">
        <f>IFERROR(__xludf.DUMMYFUNCTION("REGEXEXTRACT(C644, """"""([^""""]+)"""""")"),"#N/A")</f>
        <v>#N/A</v>
      </c>
    </row>
    <row r="645">
      <c r="A645" s="23"/>
      <c r="B645" s="23"/>
      <c r="C645" s="24"/>
      <c r="D645" s="23"/>
      <c r="E645" s="25" t="str">
        <f>IFERROR(__xludf.DUMMYFUNCTION("REGEXEXTRACT(C645, """"""([^""""]+)"""""")"),"#N/A")</f>
        <v>#N/A</v>
      </c>
    </row>
    <row r="646">
      <c r="A646" s="23"/>
      <c r="B646" s="23"/>
      <c r="C646" s="24"/>
      <c r="D646" s="23"/>
      <c r="E646" s="25" t="str">
        <f>IFERROR(__xludf.DUMMYFUNCTION("REGEXEXTRACT(C646, """"""([^""""]+)"""""")"),"#N/A")</f>
        <v>#N/A</v>
      </c>
    </row>
    <row r="647">
      <c r="A647" s="23"/>
      <c r="B647" s="23"/>
      <c r="C647" s="24"/>
      <c r="D647" s="23"/>
      <c r="E647" s="25" t="str">
        <f>IFERROR(__xludf.DUMMYFUNCTION("REGEXEXTRACT(C647, """"""([^""""]+)"""""")"),"#N/A")</f>
        <v>#N/A</v>
      </c>
    </row>
    <row r="648">
      <c r="A648" s="23"/>
      <c r="B648" s="23"/>
      <c r="C648" s="24"/>
      <c r="D648" s="23"/>
      <c r="E648" s="25" t="str">
        <f>IFERROR(__xludf.DUMMYFUNCTION("REGEXEXTRACT(C648, """"""([^""""]+)"""""")"),"#N/A")</f>
        <v>#N/A</v>
      </c>
    </row>
    <row r="649">
      <c r="A649" s="23"/>
      <c r="B649" s="23"/>
      <c r="C649" s="24"/>
      <c r="D649" s="23"/>
      <c r="E649" s="25" t="str">
        <f>IFERROR(__xludf.DUMMYFUNCTION("REGEXEXTRACT(C649, """"""([^""""]+)"""""")"),"#N/A")</f>
        <v>#N/A</v>
      </c>
    </row>
    <row r="650">
      <c r="A650" s="23"/>
      <c r="B650" s="23"/>
      <c r="C650" s="24"/>
      <c r="D650" s="23"/>
      <c r="E650" s="25" t="str">
        <f>IFERROR(__xludf.DUMMYFUNCTION("REGEXEXTRACT(C650, """"""([^""""]+)"""""")"),"#N/A")</f>
        <v>#N/A</v>
      </c>
    </row>
    <row r="651">
      <c r="A651" s="23"/>
      <c r="B651" s="23"/>
      <c r="C651" s="24"/>
      <c r="D651" s="23"/>
      <c r="E651" s="25" t="str">
        <f>IFERROR(__xludf.DUMMYFUNCTION("REGEXEXTRACT(C651, """"""([^""""]+)"""""")"),"#N/A")</f>
        <v>#N/A</v>
      </c>
    </row>
    <row r="652">
      <c r="A652" s="23"/>
      <c r="B652" s="23"/>
      <c r="C652" s="24"/>
      <c r="D652" s="23"/>
      <c r="E652" s="25" t="str">
        <f>IFERROR(__xludf.DUMMYFUNCTION("REGEXEXTRACT(C652, """"""([^""""]+)"""""")"),"#N/A")</f>
        <v>#N/A</v>
      </c>
    </row>
    <row r="653">
      <c r="A653" s="23"/>
      <c r="B653" s="23"/>
      <c r="C653" s="24"/>
      <c r="D653" s="23"/>
      <c r="E653" s="25" t="str">
        <f>IFERROR(__xludf.DUMMYFUNCTION("REGEXEXTRACT(C653, """"""([^""""]+)"""""")"),"#N/A")</f>
        <v>#N/A</v>
      </c>
    </row>
    <row r="654">
      <c r="A654" s="23"/>
      <c r="B654" s="23"/>
      <c r="C654" s="24"/>
      <c r="D654" s="23"/>
      <c r="E654" s="25" t="str">
        <f>IFERROR(__xludf.DUMMYFUNCTION("REGEXEXTRACT(C654, """"""([^""""]+)"""""")"),"#N/A")</f>
        <v>#N/A</v>
      </c>
    </row>
    <row r="655">
      <c r="A655" s="23"/>
      <c r="B655" s="23"/>
      <c r="C655" s="24"/>
      <c r="D655" s="23"/>
      <c r="E655" s="25" t="str">
        <f>IFERROR(__xludf.DUMMYFUNCTION("REGEXEXTRACT(C655, """"""([^""""]+)"""""")"),"#N/A")</f>
        <v>#N/A</v>
      </c>
    </row>
    <row r="656">
      <c r="A656" s="23"/>
      <c r="B656" s="23"/>
      <c r="C656" s="24"/>
      <c r="D656" s="23"/>
      <c r="E656" s="25" t="str">
        <f>IFERROR(__xludf.DUMMYFUNCTION("REGEXEXTRACT(C656, """"""([^""""]+)"""""")"),"#N/A")</f>
        <v>#N/A</v>
      </c>
    </row>
    <row r="657">
      <c r="A657" s="23"/>
      <c r="B657" s="23"/>
      <c r="C657" s="24"/>
      <c r="D657" s="23"/>
      <c r="E657" s="25" t="str">
        <f>IFERROR(__xludf.DUMMYFUNCTION("REGEXEXTRACT(C657, """"""([^""""]+)"""""")"),"#N/A")</f>
        <v>#N/A</v>
      </c>
    </row>
    <row r="658">
      <c r="A658" s="23"/>
      <c r="B658" s="23"/>
      <c r="C658" s="24"/>
      <c r="D658" s="23"/>
      <c r="E658" s="25" t="str">
        <f>IFERROR(__xludf.DUMMYFUNCTION("REGEXEXTRACT(C658, """"""([^""""]+)"""""")"),"#N/A")</f>
        <v>#N/A</v>
      </c>
    </row>
    <row r="659">
      <c r="A659" s="23"/>
      <c r="B659" s="23"/>
      <c r="C659" s="24"/>
      <c r="D659" s="23"/>
      <c r="E659" s="25" t="str">
        <f>IFERROR(__xludf.DUMMYFUNCTION("REGEXEXTRACT(C659, """"""([^""""]+)"""""")"),"#N/A")</f>
        <v>#N/A</v>
      </c>
    </row>
    <row r="660">
      <c r="A660" s="23"/>
      <c r="B660" s="23"/>
      <c r="C660" s="24"/>
      <c r="D660" s="23"/>
      <c r="E660" s="25" t="str">
        <f>IFERROR(__xludf.DUMMYFUNCTION("REGEXEXTRACT(C660, """"""([^""""]+)"""""")"),"#N/A")</f>
        <v>#N/A</v>
      </c>
    </row>
    <row r="661">
      <c r="A661" s="23"/>
      <c r="B661" s="23"/>
      <c r="C661" s="24"/>
      <c r="D661" s="23"/>
      <c r="E661" s="25" t="str">
        <f>IFERROR(__xludf.DUMMYFUNCTION("REGEXEXTRACT(C661, """"""([^""""]+)"""""")"),"#N/A")</f>
        <v>#N/A</v>
      </c>
    </row>
    <row r="662">
      <c r="A662" s="23"/>
      <c r="B662" s="23"/>
      <c r="C662" s="24"/>
      <c r="D662" s="23"/>
      <c r="E662" s="25" t="str">
        <f>IFERROR(__xludf.DUMMYFUNCTION("REGEXEXTRACT(C662, """"""([^""""]+)"""""")"),"#N/A")</f>
        <v>#N/A</v>
      </c>
    </row>
    <row r="663">
      <c r="A663" s="23"/>
      <c r="B663" s="23"/>
      <c r="C663" s="24"/>
      <c r="D663" s="23"/>
      <c r="E663" s="25" t="str">
        <f>IFERROR(__xludf.DUMMYFUNCTION("REGEXEXTRACT(C663, """"""([^""""]+)"""""")"),"#N/A")</f>
        <v>#N/A</v>
      </c>
    </row>
    <row r="664">
      <c r="A664" s="23"/>
      <c r="B664" s="23"/>
      <c r="C664" s="24"/>
      <c r="D664" s="23"/>
      <c r="E664" s="25" t="str">
        <f>IFERROR(__xludf.DUMMYFUNCTION("REGEXEXTRACT(C664, """"""([^""""]+)"""""")"),"#N/A")</f>
        <v>#N/A</v>
      </c>
    </row>
    <row r="665">
      <c r="A665" s="23"/>
      <c r="B665" s="23"/>
      <c r="C665" s="24"/>
      <c r="D665" s="23"/>
      <c r="E665" s="25" t="str">
        <f>IFERROR(__xludf.DUMMYFUNCTION("REGEXEXTRACT(C665, """"""([^""""]+)"""""")"),"#N/A")</f>
        <v>#N/A</v>
      </c>
    </row>
    <row r="666">
      <c r="A666" s="23"/>
      <c r="B666" s="23"/>
      <c r="C666" s="24"/>
      <c r="D666" s="23"/>
      <c r="E666" s="25" t="str">
        <f>IFERROR(__xludf.DUMMYFUNCTION("REGEXEXTRACT(C666, """"""([^""""]+)"""""")"),"#N/A")</f>
        <v>#N/A</v>
      </c>
    </row>
    <row r="667">
      <c r="A667" s="23"/>
      <c r="B667" s="23"/>
      <c r="C667" s="24"/>
      <c r="D667" s="23"/>
      <c r="E667" s="25" t="str">
        <f>IFERROR(__xludf.DUMMYFUNCTION("REGEXEXTRACT(C667, """"""([^""""]+)"""""")"),"#N/A")</f>
        <v>#N/A</v>
      </c>
    </row>
    <row r="668">
      <c r="A668" s="23"/>
      <c r="B668" s="23"/>
      <c r="C668" s="24"/>
      <c r="D668" s="23"/>
      <c r="E668" s="25" t="str">
        <f>IFERROR(__xludf.DUMMYFUNCTION("REGEXEXTRACT(C668, """"""([^""""]+)"""""")"),"#N/A")</f>
        <v>#N/A</v>
      </c>
    </row>
    <row r="669">
      <c r="A669" s="23"/>
      <c r="B669" s="23"/>
      <c r="C669" s="24"/>
      <c r="D669" s="23"/>
      <c r="E669" s="25" t="str">
        <f>IFERROR(__xludf.DUMMYFUNCTION("REGEXEXTRACT(C669, """"""([^""""]+)"""""")"),"#N/A")</f>
        <v>#N/A</v>
      </c>
    </row>
    <row r="670">
      <c r="A670" s="23"/>
      <c r="B670" s="23"/>
      <c r="C670" s="24"/>
      <c r="D670" s="23"/>
      <c r="E670" s="25" t="str">
        <f>IFERROR(__xludf.DUMMYFUNCTION("REGEXEXTRACT(C670, """"""([^""""]+)"""""")"),"#N/A")</f>
        <v>#N/A</v>
      </c>
    </row>
    <row r="671">
      <c r="A671" s="23"/>
      <c r="B671" s="23"/>
      <c r="C671" s="24"/>
      <c r="D671" s="23"/>
      <c r="E671" s="25" t="str">
        <f>IFERROR(__xludf.DUMMYFUNCTION("REGEXEXTRACT(C671, """"""([^""""]+)"""""")"),"#N/A")</f>
        <v>#N/A</v>
      </c>
    </row>
    <row r="672">
      <c r="A672" s="23"/>
      <c r="B672" s="23"/>
      <c r="C672" s="24"/>
      <c r="D672" s="23"/>
      <c r="E672" s="25" t="str">
        <f>IFERROR(__xludf.DUMMYFUNCTION("REGEXEXTRACT(C672, """"""([^""""]+)"""""")"),"#N/A")</f>
        <v>#N/A</v>
      </c>
    </row>
    <row r="673">
      <c r="A673" s="23"/>
      <c r="B673" s="23"/>
      <c r="C673" s="24"/>
      <c r="D673" s="23"/>
      <c r="E673" s="25" t="str">
        <f>IFERROR(__xludf.DUMMYFUNCTION("REGEXEXTRACT(C673, """"""([^""""]+)"""""")"),"#N/A")</f>
        <v>#N/A</v>
      </c>
    </row>
    <row r="674">
      <c r="A674" s="23"/>
      <c r="B674" s="23"/>
      <c r="C674" s="24"/>
      <c r="D674" s="23"/>
      <c r="E674" s="25" t="str">
        <f>IFERROR(__xludf.DUMMYFUNCTION("REGEXEXTRACT(C674, """"""([^""""]+)"""""")"),"#N/A")</f>
        <v>#N/A</v>
      </c>
    </row>
    <row r="675">
      <c r="A675" s="23"/>
      <c r="B675" s="23"/>
      <c r="C675" s="24"/>
      <c r="D675" s="23"/>
      <c r="E675" s="25" t="str">
        <f>IFERROR(__xludf.DUMMYFUNCTION("REGEXEXTRACT(C675, """"""([^""""]+)"""""")"),"#N/A")</f>
        <v>#N/A</v>
      </c>
    </row>
    <row r="676">
      <c r="A676" s="23"/>
      <c r="B676" s="23"/>
      <c r="C676" s="24"/>
      <c r="D676" s="23"/>
      <c r="E676" s="25" t="str">
        <f>IFERROR(__xludf.DUMMYFUNCTION("REGEXEXTRACT(C676, """"""([^""""]+)"""""")"),"#N/A")</f>
        <v>#N/A</v>
      </c>
    </row>
    <row r="677">
      <c r="A677" s="23"/>
      <c r="B677" s="23"/>
      <c r="C677" s="24"/>
      <c r="D677" s="23"/>
      <c r="E677" s="25" t="str">
        <f>IFERROR(__xludf.DUMMYFUNCTION("REGEXEXTRACT(C677, """"""([^""""]+)"""""")"),"#N/A")</f>
        <v>#N/A</v>
      </c>
    </row>
    <row r="678">
      <c r="A678" s="23"/>
      <c r="B678" s="23"/>
      <c r="C678" s="24"/>
      <c r="D678" s="23"/>
      <c r="E678" s="25" t="str">
        <f>IFERROR(__xludf.DUMMYFUNCTION("REGEXEXTRACT(C678, """"""([^""""]+)"""""")"),"#N/A")</f>
        <v>#N/A</v>
      </c>
    </row>
    <row r="679">
      <c r="A679" s="23"/>
      <c r="B679" s="23"/>
      <c r="C679" s="24"/>
      <c r="D679" s="23"/>
      <c r="E679" s="25" t="str">
        <f>IFERROR(__xludf.DUMMYFUNCTION("REGEXEXTRACT(C679, """"""([^""""]+)"""""")"),"#N/A")</f>
        <v>#N/A</v>
      </c>
    </row>
    <row r="680">
      <c r="A680" s="23"/>
      <c r="B680" s="23"/>
      <c r="C680" s="24"/>
      <c r="D680" s="23"/>
      <c r="E680" s="25" t="str">
        <f>IFERROR(__xludf.DUMMYFUNCTION("REGEXEXTRACT(C680, """"""([^""""]+)"""""")"),"#N/A")</f>
        <v>#N/A</v>
      </c>
    </row>
    <row r="681">
      <c r="A681" s="23"/>
      <c r="B681" s="23"/>
      <c r="C681" s="24"/>
      <c r="D681" s="23"/>
      <c r="E681" s="25" t="str">
        <f>IFERROR(__xludf.DUMMYFUNCTION("REGEXEXTRACT(C681, """"""([^""""]+)"""""")"),"#N/A")</f>
        <v>#N/A</v>
      </c>
    </row>
    <row r="682">
      <c r="A682" s="23"/>
      <c r="B682" s="23"/>
      <c r="C682" s="24"/>
      <c r="D682" s="23"/>
      <c r="E682" s="25" t="str">
        <f>IFERROR(__xludf.DUMMYFUNCTION("REGEXEXTRACT(C682, """"""([^""""]+)"""""")"),"#N/A")</f>
        <v>#N/A</v>
      </c>
    </row>
    <row r="683">
      <c r="A683" s="23"/>
      <c r="B683" s="23"/>
      <c r="C683" s="24"/>
      <c r="D683" s="23"/>
      <c r="E683" s="25" t="str">
        <f>IFERROR(__xludf.DUMMYFUNCTION("REGEXEXTRACT(C683, """"""([^""""]+)"""""")"),"#N/A")</f>
        <v>#N/A</v>
      </c>
    </row>
    <row r="684">
      <c r="A684" s="23"/>
      <c r="B684" s="23"/>
      <c r="C684" s="24"/>
      <c r="D684" s="23"/>
      <c r="E684" s="25" t="str">
        <f>IFERROR(__xludf.DUMMYFUNCTION("REGEXEXTRACT(C684, """"""([^""""]+)"""""")"),"#N/A")</f>
        <v>#N/A</v>
      </c>
    </row>
    <row r="685">
      <c r="A685" s="23"/>
      <c r="B685" s="23"/>
      <c r="C685" s="24"/>
      <c r="D685" s="23"/>
      <c r="E685" s="25" t="str">
        <f>IFERROR(__xludf.DUMMYFUNCTION("REGEXEXTRACT(C685, """"""([^""""]+)"""""")"),"#N/A")</f>
        <v>#N/A</v>
      </c>
    </row>
    <row r="686">
      <c r="A686" s="23"/>
      <c r="B686" s="23"/>
      <c r="C686" s="24"/>
      <c r="D686" s="23"/>
      <c r="E686" s="25" t="str">
        <f>IFERROR(__xludf.DUMMYFUNCTION("REGEXEXTRACT(C686, """"""([^""""]+)"""""")"),"#N/A")</f>
        <v>#N/A</v>
      </c>
    </row>
    <row r="687">
      <c r="A687" s="23"/>
      <c r="B687" s="23"/>
      <c r="C687" s="24"/>
      <c r="D687" s="23"/>
      <c r="E687" s="25" t="str">
        <f>IFERROR(__xludf.DUMMYFUNCTION("REGEXEXTRACT(C687, """"""([^""""]+)"""""")"),"#N/A")</f>
        <v>#N/A</v>
      </c>
    </row>
    <row r="688">
      <c r="A688" s="23"/>
      <c r="B688" s="23"/>
      <c r="C688" s="24"/>
      <c r="D688" s="23"/>
      <c r="E688" s="25" t="str">
        <f>IFERROR(__xludf.DUMMYFUNCTION("REGEXEXTRACT(C688, """"""([^""""]+)"""""")"),"#N/A")</f>
        <v>#N/A</v>
      </c>
    </row>
    <row r="689">
      <c r="A689" s="23"/>
      <c r="B689" s="23"/>
      <c r="C689" s="24"/>
      <c r="D689" s="23"/>
      <c r="E689" s="25" t="str">
        <f>IFERROR(__xludf.DUMMYFUNCTION("REGEXEXTRACT(C689, """"""([^""""]+)"""""")"),"#N/A")</f>
        <v>#N/A</v>
      </c>
    </row>
    <row r="690">
      <c r="A690" s="23"/>
      <c r="B690" s="23"/>
      <c r="C690" s="24"/>
      <c r="D690" s="23"/>
      <c r="E690" s="25" t="str">
        <f>IFERROR(__xludf.DUMMYFUNCTION("REGEXEXTRACT(C690, """"""([^""""]+)"""""")"),"#N/A")</f>
        <v>#N/A</v>
      </c>
    </row>
    <row r="691">
      <c r="A691" s="23"/>
      <c r="B691" s="23"/>
      <c r="C691" s="24"/>
      <c r="D691" s="23"/>
      <c r="E691" s="25" t="str">
        <f>IFERROR(__xludf.DUMMYFUNCTION("REGEXEXTRACT(C691, """"""([^""""]+)"""""")"),"#N/A")</f>
        <v>#N/A</v>
      </c>
    </row>
    <row r="692">
      <c r="A692" s="23"/>
      <c r="B692" s="23"/>
      <c r="C692" s="24"/>
      <c r="D692" s="23"/>
      <c r="E692" s="25" t="str">
        <f>IFERROR(__xludf.DUMMYFUNCTION("REGEXEXTRACT(C692, """"""([^""""]+)"""""")"),"#N/A")</f>
        <v>#N/A</v>
      </c>
    </row>
    <row r="693">
      <c r="A693" s="23"/>
      <c r="B693" s="23"/>
      <c r="C693" s="24"/>
      <c r="D693" s="23"/>
      <c r="E693" s="25" t="str">
        <f>IFERROR(__xludf.DUMMYFUNCTION("REGEXEXTRACT(C693, """"""([^""""]+)"""""")"),"#N/A")</f>
        <v>#N/A</v>
      </c>
    </row>
    <row r="694">
      <c r="A694" s="23"/>
      <c r="B694" s="23"/>
      <c r="C694" s="24"/>
      <c r="D694" s="23"/>
      <c r="E694" s="25" t="str">
        <f>IFERROR(__xludf.DUMMYFUNCTION("REGEXEXTRACT(C694, """"""([^""""]+)"""""")"),"#N/A")</f>
        <v>#N/A</v>
      </c>
    </row>
    <row r="695">
      <c r="A695" s="23"/>
      <c r="B695" s="23"/>
      <c r="C695" s="24"/>
      <c r="D695" s="23"/>
      <c r="E695" s="25" t="str">
        <f>IFERROR(__xludf.DUMMYFUNCTION("REGEXEXTRACT(C695, """"""([^""""]+)"""""")"),"#N/A")</f>
        <v>#N/A</v>
      </c>
    </row>
    <row r="696">
      <c r="A696" s="23"/>
      <c r="B696" s="23"/>
      <c r="C696" s="24"/>
      <c r="D696" s="23"/>
      <c r="E696" s="25" t="str">
        <f>IFERROR(__xludf.DUMMYFUNCTION("REGEXEXTRACT(C696, """"""([^""""]+)"""""")"),"#N/A")</f>
        <v>#N/A</v>
      </c>
    </row>
    <row r="697">
      <c r="A697" s="23"/>
      <c r="B697" s="23"/>
      <c r="C697" s="24"/>
      <c r="D697" s="23"/>
      <c r="E697" s="25" t="str">
        <f>IFERROR(__xludf.DUMMYFUNCTION("REGEXEXTRACT(C697, """"""([^""""]+)"""""")"),"#N/A")</f>
        <v>#N/A</v>
      </c>
    </row>
    <row r="698">
      <c r="A698" s="23"/>
      <c r="B698" s="23"/>
      <c r="C698" s="24"/>
      <c r="D698" s="23"/>
      <c r="E698" s="25" t="str">
        <f>IFERROR(__xludf.DUMMYFUNCTION("REGEXEXTRACT(C698, """"""([^""""]+)"""""")"),"#N/A")</f>
        <v>#N/A</v>
      </c>
    </row>
    <row r="699">
      <c r="A699" s="23"/>
      <c r="B699" s="23"/>
      <c r="C699" s="24"/>
      <c r="D699" s="23"/>
      <c r="E699" s="25" t="str">
        <f>IFERROR(__xludf.DUMMYFUNCTION("REGEXEXTRACT(C699, """"""([^""""]+)"""""")"),"#N/A")</f>
        <v>#N/A</v>
      </c>
    </row>
    <row r="700">
      <c r="A700" s="23"/>
      <c r="B700" s="23"/>
      <c r="C700" s="24"/>
      <c r="D700" s="23"/>
      <c r="E700" s="25" t="str">
        <f>IFERROR(__xludf.DUMMYFUNCTION("REGEXEXTRACT(C700, """"""([^""""]+)"""""")"),"#N/A")</f>
        <v>#N/A</v>
      </c>
    </row>
    <row r="701">
      <c r="A701" s="23"/>
      <c r="B701" s="23"/>
      <c r="C701" s="24"/>
      <c r="D701" s="23"/>
      <c r="E701" s="25" t="str">
        <f>IFERROR(__xludf.DUMMYFUNCTION("REGEXEXTRACT(C701, """"""([^""""]+)"""""")"),"#N/A")</f>
        <v>#N/A</v>
      </c>
    </row>
    <row r="702">
      <c r="A702" s="23"/>
      <c r="B702" s="23"/>
      <c r="C702" s="24"/>
      <c r="D702" s="23"/>
      <c r="E702" s="25" t="str">
        <f>IFERROR(__xludf.DUMMYFUNCTION("REGEXEXTRACT(C702, """"""([^""""]+)"""""")"),"#N/A")</f>
        <v>#N/A</v>
      </c>
    </row>
    <row r="703">
      <c r="A703" s="23"/>
      <c r="B703" s="23"/>
      <c r="C703" s="24"/>
      <c r="D703" s="23"/>
      <c r="E703" s="25" t="str">
        <f>IFERROR(__xludf.DUMMYFUNCTION("REGEXEXTRACT(C703, """"""([^""""]+)"""""")"),"#N/A")</f>
        <v>#N/A</v>
      </c>
    </row>
    <row r="704">
      <c r="A704" s="23"/>
      <c r="B704" s="23"/>
      <c r="C704" s="24"/>
      <c r="D704" s="23"/>
      <c r="E704" s="25" t="str">
        <f>IFERROR(__xludf.DUMMYFUNCTION("REGEXEXTRACT(C704, """"""([^""""]+)"""""")"),"#N/A")</f>
        <v>#N/A</v>
      </c>
    </row>
    <row r="705">
      <c r="A705" s="23"/>
      <c r="B705" s="23"/>
      <c r="C705" s="24"/>
      <c r="D705" s="23"/>
      <c r="E705" s="25" t="str">
        <f>IFERROR(__xludf.DUMMYFUNCTION("REGEXEXTRACT(C705, """"""([^""""]+)"""""")"),"#N/A")</f>
        <v>#N/A</v>
      </c>
    </row>
    <row r="706">
      <c r="A706" s="23"/>
      <c r="B706" s="23"/>
      <c r="C706" s="24"/>
      <c r="D706" s="23"/>
      <c r="E706" s="25" t="str">
        <f>IFERROR(__xludf.DUMMYFUNCTION("REGEXEXTRACT(C706, """"""([^""""]+)"""""")"),"#N/A")</f>
        <v>#N/A</v>
      </c>
    </row>
    <row r="707">
      <c r="A707" s="23"/>
      <c r="B707" s="23"/>
      <c r="C707" s="24"/>
      <c r="D707" s="23"/>
      <c r="E707" s="25" t="str">
        <f>IFERROR(__xludf.DUMMYFUNCTION("REGEXEXTRACT(C707, """"""([^""""]+)"""""")"),"#N/A")</f>
        <v>#N/A</v>
      </c>
    </row>
    <row r="708">
      <c r="A708" s="23"/>
      <c r="B708" s="23"/>
      <c r="C708" s="24"/>
      <c r="D708" s="23"/>
      <c r="E708" s="25" t="str">
        <f>IFERROR(__xludf.DUMMYFUNCTION("REGEXEXTRACT(C708, """"""([^""""]+)"""""")"),"#N/A")</f>
        <v>#N/A</v>
      </c>
    </row>
    <row r="709">
      <c r="A709" s="23"/>
      <c r="B709" s="23"/>
      <c r="C709" s="24"/>
      <c r="D709" s="23"/>
      <c r="E709" s="25" t="str">
        <f>IFERROR(__xludf.DUMMYFUNCTION("REGEXEXTRACT(C709, """"""([^""""]+)"""""")"),"#N/A")</f>
        <v>#N/A</v>
      </c>
    </row>
    <row r="710">
      <c r="A710" s="23"/>
      <c r="B710" s="23"/>
      <c r="C710" s="24"/>
      <c r="D710" s="23"/>
      <c r="E710" s="25" t="str">
        <f>IFERROR(__xludf.DUMMYFUNCTION("REGEXEXTRACT(C710, """"""([^""""]+)"""""")"),"#N/A")</f>
        <v>#N/A</v>
      </c>
    </row>
    <row r="711">
      <c r="A711" s="23"/>
      <c r="B711" s="23"/>
      <c r="C711" s="24"/>
      <c r="D711" s="23"/>
      <c r="E711" s="25" t="str">
        <f>IFERROR(__xludf.DUMMYFUNCTION("REGEXEXTRACT(C711, """"""([^""""]+)"""""")"),"#N/A")</f>
        <v>#N/A</v>
      </c>
    </row>
    <row r="712">
      <c r="A712" s="23"/>
      <c r="B712" s="23"/>
      <c r="C712" s="24"/>
      <c r="D712" s="23"/>
      <c r="E712" s="25" t="str">
        <f>IFERROR(__xludf.DUMMYFUNCTION("REGEXEXTRACT(C712, """"""([^""""]+)"""""")"),"#N/A")</f>
        <v>#N/A</v>
      </c>
    </row>
    <row r="713">
      <c r="A713" s="23"/>
      <c r="B713" s="23"/>
      <c r="C713" s="24"/>
      <c r="D713" s="23"/>
      <c r="E713" s="25" t="str">
        <f>IFERROR(__xludf.DUMMYFUNCTION("REGEXEXTRACT(C713, """"""([^""""]+)"""""")"),"#N/A")</f>
        <v>#N/A</v>
      </c>
    </row>
    <row r="714">
      <c r="A714" s="23"/>
      <c r="B714" s="23"/>
      <c r="C714" s="24"/>
      <c r="D714" s="23"/>
      <c r="E714" s="25" t="str">
        <f>IFERROR(__xludf.DUMMYFUNCTION("REGEXEXTRACT(C714, """"""([^""""]+)"""""")"),"#N/A")</f>
        <v>#N/A</v>
      </c>
    </row>
    <row r="715">
      <c r="A715" s="23"/>
      <c r="B715" s="23"/>
      <c r="C715" s="24"/>
      <c r="D715" s="23"/>
      <c r="E715" s="25" t="str">
        <f>IFERROR(__xludf.DUMMYFUNCTION("REGEXEXTRACT(C715, """"""([^""""]+)"""""")"),"#N/A")</f>
        <v>#N/A</v>
      </c>
    </row>
    <row r="716">
      <c r="A716" s="23"/>
      <c r="B716" s="23"/>
      <c r="C716" s="24"/>
      <c r="D716" s="23"/>
      <c r="E716" s="25" t="str">
        <f>IFERROR(__xludf.DUMMYFUNCTION("REGEXEXTRACT(C716, """"""([^""""]+)"""""")"),"#N/A")</f>
        <v>#N/A</v>
      </c>
    </row>
    <row r="717">
      <c r="A717" s="23"/>
      <c r="B717" s="23"/>
      <c r="C717" s="24"/>
      <c r="D717" s="23"/>
      <c r="E717" s="25" t="str">
        <f>IFERROR(__xludf.DUMMYFUNCTION("REGEXEXTRACT(C717, """"""([^""""]+)"""""")"),"#N/A")</f>
        <v>#N/A</v>
      </c>
    </row>
    <row r="718">
      <c r="A718" s="23"/>
      <c r="B718" s="23"/>
      <c r="C718" s="24"/>
      <c r="D718" s="23"/>
      <c r="E718" s="25" t="str">
        <f>IFERROR(__xludf.DUMMYFUNCTION("REGEXEXTRACT(C718, """"""([^""""]+)"""""")"),"#N/A")</f>
        <v>#N/A</v>
      </c>
    </row>
    <row r="719">
      <c r="A719" s="23"/>
      <c r="B719" s="23"/>
      <c r="C719" s="24"/>
      <c r="D719" s="23"/>
      <c r="E719" s="25" t="str">
        <f>IFERROR(__xludf.DUMMYFUNCTION("REGEXEXTRACT(C719, """"""([^""""]+)"""""")"),"#N/A")</f>
        <v>#N/A</v>
      </c>
    </row>
    <row r="720">
      <c r="A720" s="23"/>
      <c r="B720" s="23"/>
      <c r="C720" s="24"/>
      <c r="D720" s="23"/>
      <c r="E720" s="25" t="str">
        <f>IFERROR(__xludf.DUMMYFUNCTION("REGEXEXTRACT(C720, """"""([^""""]+)"""""")"),"#N/A")</f>
        <v>#N/A</v>
      </c>
    </row>
    <row r="721">
      <c r="A721" s="23"/>
      <c r="B721" s="23"/>
      <c r="C721" s="24"/>
      <c r="D721" s="23"/>
      <c r="E721" s="25" t="str">
        <f>IFERROR(__xludf.DUMMYFUNCTION("REGEXEXTRACT(C721, """"""([^""""]+)"""""")"),"#N/A")</f>
        <v>#N/A</v>
      </c>
    </row>
    <row r="722">
      <c r="A722" s="23"/>
      <c r="B722" s="23"/>
      <c r="C722" s="24"/>
      <c r="D722" s="23"/>
      <c r="E722" s="25" t="str">
        <f>IFERROR(__xludf.DUMMYFUNCTION("REGEXEXTRACT(C722, """"""([^""""]+)"""""")"),"#N/A")</f>
        <v>#N/A</v>
      </c>
    </row>
    <row r="723">
      <c r="A723" s="23"/>
      <c r="B723" s="23"/>
      <c r="C723" s="24"/>
      <c r="D723" s="23"/>
      <c r="E723" s="25" t="str">
        <f>IFERROR(__xludf.DUMMYFUNCTION("REGEXEXTRACT(C723, """"""([^""""]+)"""""")"),"#N/A")</f>
        <v>#N/A</v>
      </c>
    </row>
    <row r="724">
      <c r="A724" s="23"/>
      <c r="B724" s="23"/>
      <c r="C724" s="24"/>
      <c r="D724" s="23"/>
      <c r="E724" s="25" t="str">
        <f>IFERROR(__xludf.DUMMYFUNCTION("REGEXEXTRACT(C724, """"""([^""""]+)"""""")"),"#N/A")</f>
        <v>#N/A</v>
      </c>
    </row>
    <row r="725">
      <c r="A725" s="23"/>
      <c r="B725" s="23"/>
      <c r="C725" s="24"/>
      <c r="D725" s="23"/>
      <c r="E725" s="25" t="str">
        <f>IFERROR(__xludf.DUMMYFUNCTION("REGEXEXTRACT(C725, """"""([^""""]+)"""""")"),"#N/A")</f>
        <v>#N/A</v>
      </c>
    </row>
    <row r="726">
      <c r="A726" s="23"/>
      <c r="B726" s="23"/>
      <c r="C726" s="24"/>
      <c r="D726" s="23"/>
      <c r="E726" s="25" t="str">
        <f>IFERROR(__xludf.DUMMYFUNCTION("REGEXEXTRACT(C726, """"""([^""""]+)"""""")"),"#N/A")</f>
        <v>#N/A</v>
      </c>
    </row>
    <row r="727">
      <c r="A727" s="23"/>
      <c r="B727" s="23"/>
      <c r="C727" s="24"/>
      <c r="D727" s="23"/>
      <c r="E727" s="25" t="str">
        <f>IFERROR(__xludf.DUMMYFUNCTION("REGEXEXTRACT(C727, """"""([^""""]+)"""""")"),"#N/A")</f>
        <v>#N/A</v>
      </c>
    </row>
    <row r="728">
      <c r="A728" s="23"/>
      <c r="B728" s="23"/>
      <c r="C728" s="24"/>
      <c r="D728" s="23"/>
      <c r="E728" s="25" t="str">
        <f>IFERROR(__xludf.DUMMYFUNCTION("REGEXEXTRACT(C728, """"""([^""""]+)"""""")"),"#N/A")</f>
        <v>#N/A</v>
      </c>
    </row>
    <row r="729">
      <c r="A729" s="23"/>
      <c r="B729" s="23"/>
      <c r="C729" s="24"/>
      <c r="D729" s="23"/>
      <c r="E729" s="25" t="str">
        <f>IFERROR(__xludf.DUMMYFUNCTION("REGEXEXTRACT(C729, """"""([^""""]+)"""""")"),"#N/A")</f>
        <v>#N/A</v>
      </c>
    </row>
    <row r="730">
      <c r="A730" s="23"/>
      <c r="B730" s="23"/>
      <c r="C730" s="24"/>
      <c r="D730" s="23"/>
      <c r="E730" s="25" t="str">
        <f>IFERROR(__xludf.DUMMYFUNCTION("REGEXEXTRACT(C730, """"""([^""""]+)"""""")"),"#N/A")</f>
        <v>#N/A</v>
      </c>
    </row>
    <row r="731">
      <c r="A731" s="23"/>
      <c r="B731" s="23"/>
      <c r="C731" s="24"/>
      <c r="D731" s="23"/>
      <c r="E731" s="25" t="str">
        <f>IFERROR(__xludf.DUMMYFUNCTION("REGEXEXTRACT(C731, """"""([^""""]+)"""""")"),"#N/A")</f>
        <v>#N/A</v>
      </c>
    </row>
    <row r="732">
      <c r="A732" s="23"/>
      <c r="B732" s="23"/>
      <c r="C732" s="24"/>
      <c r="D732" s="23"/>
      <c r="E732" s="25" t="str">
        <f>IFERROR(__xludf.DUMMYFUNCTION("REGEXEXTRACT(C732, """"""([^""""]+)"""""")"),"#N/A")</f>
        <v>#N/A</v>
      </c>
    </row>
    <row r="733">
      <c r="A733" s="23"/>
      <c r="B733" s="23"/>
      <c r="C733" s="24"/>
      <c r="D733" s="23"/>
      <c r="E733" s="25" t="str">
        <f>IFERROR(__xludf.DUMMYFUNCTION("REGEXEXTRACT(C733, """"""([^""""]+)"""""")"),"#N/A")</f>
        <v>#N/A</v>
      </c>
    </row>
    <row r="734">
      <c r="A734" s="23"/>
      <c r="B734" s="23"/>
      <c r="C734" s="24"/>
      <c r="D734" s="23"/>
      <c r="E734" s="25" t="str">
        <f>IFERROR(__xludf.DUMMYFUNCTION("REGEXEXTRACT(C734, """"""([^""""]+)"""""")"),"#N/A")</f>
        <v>#N/A</v>
      </c>
    </row>
    <row r="735">
      <c r="A735" s="23"/>
      <c r="B735" s="23"/>
      <c r="C735" s="24"/>
      <c r="D735" s="23"/>
      <c r="E735" s="25" t="str">
        <f>IFERROR(__xludf.DUMMYFUNCTION("REGEXEXTRACT(C735, """"""([^""""]+)"""""")"),"#N/A")</f>
        <v>#N/A</v>
      </c>
    </row>
    <row r="736">
      <c r="A736" s="23"/>
      <c r="B736" s="23"/>
      <c r="C736" s="24"/>
      <c r="D736" s="23"/>
      <c r="E736" s="25" t="str">
        <f>IFERROR(__xludf.DUMMYFUNCTION("REGEXEXTRACT(C736, """"""([^""""]+)"""""")"),"#N/A")</f>
        <v>#N/A</v>
      </c>
    </row>
    <row r="737">
      <c r="A737" s="23"/>
      <c r="B737" s="23"/>
      <c r="C737" s="24"/>
      <c r="D737" s="23"/>
      <c r="E737" s="25" t="str">
        <f>IFERROR(__xludf.DUMMYFUNCTION("REGEXEXTRACT(C737, """"""([^""""]+)"""""")"),"#N/A")</f>
        <v>#N/A</v>
      </c>
    </row>
    <row r="738">
      <c r="A738" s="23"/>
      <c r="B738" s="23"/>
      <c r="C738" s="24"/>
      <c r="D738" s="23"/>
      <c r="E738" s="25" t="str">
        <f>IFERROR(__xludf.DUMMYFUNCTION("REGEXEXTRACT(C738, """"""([^""""]+)"""""")"),"#N/A")</f>
        <v>#N/A</v>
      </c>
    </row>
    <row r="739">
      <c r="A739" s="23"/>
      <c r="B739" s="23"/>
      <c r="C739" s="24"/>
      <c r="D739" s="23"/>
      <c r="E739" s="25" t="str">
        <f>IFERROR(__xludf.DUMMYFUNCTION("REGEXEXTRACT(C739, """"""([^""""]+)"""""")"),"#N/A")</f>
        <v>#N/A</v>
      </c>
    </row>
    <row r="740">
      <c r="A740" s="23"/>
      <c r="B740" s="23"/>
      <c r="C740" s="24"/>
      <c r="D740" s="23"/>
      <c r="E740" s="25" t="str">
        <f>IFERROR(__xludf.DUMMYFUNCTION("REGEXEXTRACT(C740, """"""([^""""]+)"""""")"),"#N/A")</f>
        <v>#N/A</v>
      </c>
    </row>
    <row r="741">
      <c r="A741" s="23"/>
      <c r="B741" s="23"/>
      <c r="C741" s="24"/>
      <c r="D741" s="23"/>
      <c r="E741" s="25" t="str">
        <f>IFERROR(__xludf.DUMMYFUNCTION("REGEXEXTRACT(C741, """"""([^""""]+)"""""")"),"#N/A")</f>
        <v>#N/A</v>
      </c>
    </row>
    <row r="742">
      <c r="A742" s="23"/>
      <c r="B742" s="23"/>
      <c r="C742" s="24"/>
      <c r="D742" s="23"/>
      <c r="E742" s="25" t="str">
        <f>IFERROR(__xludf.DUMMYFUNCTION("REGEXEXTRACT(C742, """"""([^""""]+)"""""")"),"#N/A")</f>
        <v>#N/A</v>
      </c>
    </row>
    <row r="743">
      <c r="A743" s="23"/>
      <c r="B743" s="23"/>
      <c r="C743" s="24"/>
      <c r="D743" s="23"/>
      <c r="E743" s="25" t="str">
        <f>IFERROR(__xludf.DUMMYFUNCTION("REGEXEXTRACT(C743, """"""([^""""]+)"""""")"),"#N/A")</f>
        <v>#N/A</v>
      </c>
    </row>
    <row r="744">
      <c r="A744" s="23"/>
      <c r="B744" s="23"/>
      <c r="C744" s="24"/>
      <c r="D744" s="23"/>
      <c r="E744" s="25" t="str">
        <f>IFERROR(__xludf.DUMMYFUNCTION("REGEXEXTRACT(C744, """"""([^""""]+)"""""")"),"#N/A")</f>
        <v>#N/A</v>
      </c>
    </row>
    <row r="745">
      <c r="A745" s="23"/>
      <c r="B745" s="23"/>
      <c r="C745" s="24"/>
      <c r="D745" s="23"/>
      <c r="E745" s="25" t="str">
        <f>IFERROR(__xludf.DUMMYFUNCTION("REGEXEXTRACT(C745, """"""([^""""]+)"""""")"),"#N/A")</f>
        <v>#N/A</v>
      </c>
    </row>
    <row r="746">
      <c r="A746" s="23"/>
      <c r="B746" s="23"/>
      <c r="C746" s="24"/>
      <c r="D746" s="23"/>
      <c r="E746" s="25" t="str">
        <f>IFERROR(__xludf.DUMMYFUNCTION("REGEXEXTRACT(C746, """"""([^""""]+)"""""")"),"#N/A")</f>
        <v>#N/A</v>
      </c>
    </row>
    <row r="747">
      <c r="A747" s="23"/>
      <c r="B747" s="23"/>
      <c r="C747" s="24"/>
      <c r="D747" s="23"/>
      <c r="E747" s="25" t="str">
        <f>IFERROR(__xludf.DUMMYFUNCTION("REGEXEXTRACT(C747, """"""([^""""]+)"""""")"),"#N/A")</f>
        <v>#N/A</v>
      </c>
    </row>
    <row r="748">
      <c r="A748" s="23"/>
      <c r="B748" s="23"/>
      <c r="C748" s="24"/>
      <c r="D748" s="23"/>
      <c r="E748" s="25" t="str">
        <f>IFERROR(__xludf.DUMMYFUNCTION("REGEXEXTRACT(C748, """"""([^""""]+)"""""")"),"#N/A")</f>
        <v>#N/A</v>
      </c>
    </row>
    <row r="749">
      <c r="A749" s="23"/>
      <c r="B749" s="23"/>
      <c r="C749" s="24"/>
      <c r="D749" s="23"/>
      <c r="E749" s="25" t="str">
        <f>IFERROR(__xludf.DUMMYFUNCTION("REGEXEXTRACT(C749, """"""([^""""]+)"""""")"),"#N/A")</f>
        <v>#N/A</v>
      </c>
    </row>
    <row r="750">
      <c r="A750" s="23"/>
      <c r="B750" s="23"/>
      <c r="C750" s="24"/>
      <c r="D750" s="23"/>
      <c r="E750" s="25" t="str">
        <f>IFERROR(__xludf.DUMMYFUNCTION("REGEXEXTRACT(C750, """"""([^""""]+)"""""")"),"#N/A")</f>
        <v>#N/A</v>
      </c>
    </row>
    <row r="751">
      <c r="A751" s="23"/>
      <c r="B751" s="23"/>
      <c r="C751" s="24"/>
      <c r="D751" s="23"/>
      <c r="E751" s="25" t="str">
        <f>IFERROR(__xludf.DUMMYFUNCTION("REGEXEXTRACT(C751, """"""([^""""]+)"""""")"),"#N/A")</f>
        <v>#N/A</v>
      </c>
    </row>
    <row r="752">
      <c r="A752" s="23"/>
      <c r="B752" s="23"/>
      <c r="C752" s="24"/>
      <c r="D752" s="23"/>
      <c r="E752" s="25" t="str">
        <f>IFERROR(__xludf.DUMMYFUNCTION("REGEXEXTRACT(C752, """"""([^""""]+)"""""")"),"#N/A")</f>
        <v>#N/A</v>
      </c>
    </row>
    <row r="753">
      <c r="A753" s="23"/>
      <c r="B753" s="23"/>
      <c r="C753" s="24"/>
      <c r="D753" s="23"/>
      <c r="E753" s="25" t="str">
        <f>IFERROR(__xludf.DUMMYFUNCTION("REGEXEXTRACT(C753, """"""([^""""]+)"""""")"),"#N/A")</f>
        <v>#N/A</v>
      </c>
    </row>
    <row r="754">
      <c r="A754" s="23"/>
      <c r="B754" s="23"/>
      <c r="C754" s="24"/>
      <c r="D754" s="23"/>
      <c r="E754" s="25" t="str">
        <f>IFERROR(__xludf.DUMMYFUNCTION("REGEXEXTRACT(C754, """"""([^""""]+)"""""")"),"#N/A")</f>
        <v>#N/A</v>
      </c>
    </row>
    <row r="755">
      <c r="A755" s="23"/>
      <c r="B755" s="23"/>
      <c r="C755" s="24"/>
      <c r="D755" s="23"/>
      <c r="E755" s="25" t="str">
        <f>IFERROR(__xludf.DUMMYFUNCTION("REGEXEXTRACT(C755, """"""([^""""]+)"""""")"),"#N/A")</f>
        <v>#N/A</v>
      </c>
    </row>
    <row r="756">
      <c r="A756" s="23"/>
      <c r="B756" s="23"/>
      <c r="C756" s="24"/>
      <c r="D756" s="23"/>
      <c r="E756" s="25" t="str">
        <f>IFERROR(__xludf.DUMMYFUNCTION("REGEXEXTRACT(C756, """"""([^""""]+)"""""")"),"#N/A")</f>
        <v>#N/A</v>
      </c>
    </row>
    <row r="757">
      <c r="A757" s="23"/>
      <c r="B757" s="23"/>
      <c r="C757" s="24"/>
      <c r="D757" s="23"/>
      <c r="E757" s="25" t="str">
        <f>IFERROR(__xludf.DUMMYFUNCTION("REGEXEXTRACT(C757, """"""([^""""]+)"""""")"),"#N/A")</f>
        <v>#N/A</v>
      </c>
    </row>
    <row r="758">
      <c r="A758" s="23"/>
      <c r="B758" s="23"/>
      <c r="C758" s="24"/>
      <c r="D758" s="23"/>
      <c r="E758" s="25" t="str">
        <f>IFERROR(__xludf.DUMMYFUNCTION("REGEXEXTRACT(C758, """"""([^""""]+)"""""")"),"#N/A")</f>
        <v>#N/A</v>
      </c>
    </row>
    <row r="759">
      <c r="A759" s="23"/>
      <c r="B759" s="23"/>
      <c r="C759" s="24"/>
      <c r="D759" s="23"/>
      <c r="E759" s="25" t="str">
        <f>IFERROR(__xludf.DUMMYFUNCTION("REGEXEXTRACT(C759, """"""([^""""]+)"""""")"),"#N/A")</f>
        <v>#N/A</v>
      </c>
    </row>
    <row r="760">
      <c r="A760" s="23"/>
      <c r="B760" s="23"/>
      <c r="C760" s="24"/>
      <c r="D760" s="23"/>
      <c r="E760" s="25" t="str">
        <f>IFERROR(__xludf.DUMMYFUNCTION("REGEXEXTRACT(C760, """"""([^""""]+)"""""")"),"#N/A")</f>
        <v>#N/A</v>
      </c>
    </row>
    <row r="761">
      <c r="A761" s="23"/>
      <c r="B761" s="23"/>
      <c r="C761" s="24"/>
      <c r="D761" s="23"/>
      <c r="E761" s="25" t="str">
        <f>IFERROR(__xludf.DUMMYFUNCTION("REGEXEXTRACT(C761, """"""([^""""]+)"""""")"),"#N/A")</f>
        <v>#N/A</v>
      </c>
    </row>
    <row r="762">
      <c r="A762" s="23"/>
      <c r="B762" s="23"/>
      <c r="C762" s="24"/>
      <c r="D762" s="23"/>
      <c r="E762" s="25" t="str">
        <f>IFERROR(__xludf.DUMMYFUNCTION("REGEXEXTRACT(C762, """"""([^""""]+)"""""")"),"#N/A")</f>
        <v>#N/A</v>
      </c>
    </row>
    <row r="763">
      <c r="A763" s="23"/>
      <c r="B763" s="23"/>
      <c r="C763" s="24"/>
      <c r="D763" s="23"/>
      <c r="E763" s="25" t="str">
        <f>IFERROR(__xludf.DUMMYFUNCTION("REGEXEXTRACT(C763, """"""([^""""]+)"""""")"),"#N/A")</f>
        <v>#N/A</v>
      </c>
    </row>
    <row r="764">
      <c r="A764" s="23"/>
      <c r="B764" s="23"/>
      <c r="C764" s="24"/>
      <c r="D764" s="23"/>
      <c r="E764" s="25" t="str">
        <f>IFERROR(__xludf.DUMMYFUNCTION("REGEXEXTRACT(C764, """"""([^""""]+)"""""")"),"#N/A")</f>
        <v>#N/A</v>
      </c>
    </row>
    <row r="765">
      <c r="A765" s="23"/>
      <c r="B765" s="23"/>
      <c r="C765" s="24"/>
      <c r="D765" s="23"/>
      <c r="E765" s="25" t="str">
        <f>IFERROR(__xludf.DUMMYFUNCTION("REGEXEXTRACT(C765, """"""([^""""]+)"""""")"),"#N/A")</f>
        <v>#N/A</v>
      </c>
    </row>
    <row r="766">
      <c r="A766" s="23"/>
      <c r="B766" s="23"/>
      <c r="C766" s="24"/>
      <c r="D766" s="23"/>
      <c r="E766" s="25" t="str">
        <f>IFERROR(__xludf.DUMMYFUNCTION("REGEXEXTRACT(C766, """"""([^""""]+)"""""")"),"#N/A")</f>
        <v>#N/A</v>
      </c>
    </row>
    <row r="767">
      <c r="A767" s="23"/>
      <c r="B767" s="23"/>
      <c r="C767" s="24"/>
      <c r="D767" s="23"/>
      <c r="E767" s="25" t="str">
        <f>IFERROR(__xludf.DUMMYFUNCTION("REGEXEXTRACT(C767, """"""([^""""]+)"""""")"),"#N/A")</f>
        <v>#N/A</v>
      </c>
    </row>
    <row r="768">
      <c r="A768" s="23"/>
      <c r="B768" s="23"/>
      <c r="C768" s="24"/>
      <c r="D768" s="23"/>
      <c r="E768" s="25" t="str">
        <f>IFERROR(__xludf.DUMMYFUNCTION("REGEXEXTRACT(C768, """"""([^""""]+)"""""")"),"#N/A")</f>
        <v>#N/A</v>
      </c>
    </row>
    <row r="769">
      <c r="A769" s="23"/>
      <c r="B769" s="23"/>
      <c r="C769" s="24"/>
      <c r="D769" s="23"/>
      <c r="E769" s="25" t="str">
        <f>IFERROR(__xludf.DUMMYFUNCTION("REGEXEXTRACT(C769, """"""([^""""]+)"""""")"),"#N/A")</f>
        <v>#N/A</v>
      </c>
    </row>
    <row r="770">
      <c r="A770" s="23"/>
      <c r="B770" s="23"/>
      <c r="C770" s="24"/>
      <c r="D770" s="23"/>
      <c r="E770" s="25" t="str">
        <f>IFERROR(__xludf.DUMMYFUNCTION("REGEXEXTRACT(C770, """"""([^""""]+)"""""")"),"#N/A")</f>
        <v>#N/A</v>
      </c>
    </row>
    <row r="771">
      <c r="A771" s="23"/>
      <c r="B771" s="23"/>
      <c r="C771" s="24"/>
      <c r="D771" s="23"/>
      <c r="E771" s="25" t="str">
        <f>IFERROR(__xludf.DUMMYFUNCTION("REGEXEXTRACT(C771, """"""([^""""]+)"""""")"),"#N/A")</f>
        <v>#N/A</v>
      </c>
    </row>
    <row r="772">
      <c r="A772" s="23"/>
      <c r="B772" s="23"/>
      <c r="C772" s="24"/>
      <c r="D772" s="23"/>
      <c r="E772" s="25" t="str">
        <f>IFERROR(__xludf.DUMMYFUNCTION("REGEXEXTRACT(C772, """"""([^""""]+)"""""")"),"#N/A")</f>
        <v>#N/A</v>
      </c>
    </row>
    <row r="773">
      <c r="A773" s="23"/>
      <c r="B773" s="23"/>
      <c r="C773" s="24"/>
      <c r="D773" s="23"/>
      <c r="E773" s="25" t="str">
        <f>IFERROR(__xludf.DUMMYFUNCTION("REGEXEXTRACT(C773, """"""([^""""]+)"""""")"),"#N/A")</f>
        <v>#N/A</v>
      </c>
    </row>
    <row r="774">
      <c r="A774" s="23"/>
      <c r="B774" s="23"/>
      <c r="C774" s="24"/>
      <c r="D774" s="23"/>
      <c r="E774" s="25" t="str">
        <f>IFERROR(__xludf.DUMMYFUNCTION("REGEXEXTRACT(C774, """"""([^""""]+)"""""")"),"#N/A")</f>
        <v>#N/A</v>
      </c>
    </row>
    <row r="775">
      <c r="A775" s="23"/>
      <c r="B775" s="23"/>
      <c r="C775" s="24"/>
      <c r="D775" s="23"/>
      <c r="E775" s="25" t="str">
        <f>IFERROR(__xludf.DUMMYFUNCTION("REGEXEXTRACT(C775, """"""([^""""]+)"""""")"),"#N/A")</f>
        <v>#N/A</v>
      </c>
    </row>
    <row r="776">
      <c r="A776" s="23"/>
      <c r="B776" s="23"/>
      <c r="C776" s="24"/>
      <c r="D776" s="23"/>
      <c r="E776" s="25" t="str">
        <f>IFERROR(__xludf.DUMMYFUNCTION("REGEXEXTRACT(C776, """"""([^""""]+)"""""")"),"#N/A")</f>
        <v>#N/A</v>
      </c>
    </row>
    <row r="777">
      <c r="A777" s="23"/>
      <c r="B777" s="23"/>
      <c r="C777" s="24"/>
      <c r="D777" s="23"/>
      <c r="E777" s="25" t="str">
        <f>IFERROR(__xludf.DUMMYFUNCTION("REGEXEXTRACT(C777, """"""([^""""]+)"""""")"),"#N/A")</f>
        <v>#N/A</v>
      </c>
    </row>
    <row r="778">
      <c r="A778" s="23"/>
      <c r="B778" s="23"/>
      <c r="C778" s="24"/>
      <c r="D778" s="23"/>
      <c r="E778" s="25" t="str">
        <f>IFERROR(__xludf.DUMMYFUNCTION("REGEXEXTRACT(C778, """"""([^""""]+)"""""")"),"#N/A")</f>
        <v>#N/A</v>
      </c>
    </row>
    <row r="779">
      <c r="A779" s="23"/>
      <c r="B779" s="23"/>
      <c r="C779" s="24"/>
      <c r="D779" s="23"/>
      <c r="E779" s="25" t="str">
        <f>IFERROR(__xludf.DUMMYFUNCTION("REGEXEXTRACT(C779, """"""([^""""]+)"""""")"),"#N/A")</f>
        <v>#N/A</v>
      </c>
    </row>
    <row r="780">
      <c r="A780" s="23"/>
      <c r="B780" s="23"/>
      <c r="C780" s="24"/>
      <c r="D780" s="23"/>
      <c r="E780" s="25" t="str">
        <f>IFERROR(__xludf.DUMMYFUNCTION("REGEXEXTRACT(C780, """"""([^""""]+)"""""")"),"#N/A")</f>
        <v>#N/A</v>
      </c>
    </row>
    <row r="781">
      <c r="A781" s="23"/>
      <c r="B781" s="23"/>
      <c r="C781" s="24"/>
      <c r="D781" s="23"/>
      <c r="E781" s="25" t="str">
        <f>IFERROR(__xludf.DUMMYFUNCTION("REGEXEXTRACT(C781, """"""([^""""]+)"""""")"),"#N/A")</f>
        <v>#N/A</v>
      </c>
    </row>
    <row r="782">
      <c r="A782" s="23"/>
      <c r="B782" s="23"/>
      <c r="C782" s="24"/>
      <c r="D782" s="23"/>
      <c r="E782" s="25" t="str">
        <f>IFERROR(__xludf.DUMMYFUNCTION("REGEXEXTRACT(C782, """"""([^""""]+)"""""")"),"#N/A")</f>
        <v>#N/A</v>
      </c>
    </row>
    <row r="783">
      <c r="A783" s="23"/>
      <c r="B783" s="23"/>
      <c r="C783" s="24"/>
      <c r="D783" s="23"/>
      <c r="E783" s="25" t="str">
        <f>IFERROR(__xludf.DUMMYFUNCTION("REGEXEXTRACT(C783, """"""([^""""]+)"""""")"),"#N/A")</f>
        <v>#N/A</v>
      </c>
    </row>
    <row r="784">
      <c r="A784" s="23"/>
      <c r="B784" s="23"/>
      <c r="C784" s="24"/>
      <c r="D784" s="23"/>
      <c r="E784" s="25" t="str">
        <f>IFERROR(__xludf.DUMMYFUNCTION("REGEXEXTRACT(C784, """"""([^""""]+)"""""")"),"#N/A")</f>
        <v>#N/A</v>
      </c>
    </row>
    <row r="785">
      <c r="A785" s="23"/>
      <c r="B785" s="23"/>
      <c r="C785" s="24"/>
      <c r="D785" s="23"/>
      <c r="E785" s="25" t="str">
        <f>IFERROR(__xludf.DUMMYFUNCTION("REGEXEXTRACT(C785, """"""([^""""]+)"""""")"),"#N/A")</f>
        <v>#N/A</v>
      </c>
    </row>
    <row r="786">
      <c r="A786" s="23"/>
      <c r="B786" s="23"/>
      <c r="C786" s="24"/>
      <c r="D786" s="23"/>
      <c r="E786" s="25" t="str">
        <f>IFERROR(__xludf.DUMMYFUNCTION("REGEXEXTRACT(C786, """"""([^""""]+)"""""")"),"#N/A")</f>
        <v>#N/A</v>
      </c>
    </row>
    <row r="787">
      <c r="A787" s="23"/>
      <c r="B787" s="23"/>
      <c r="C787" s="24"/>
      <c r="D787" s="23"/>
      <c r="E787" s="25" t="str">
        <f>IFERROR(__xludf.DUMMYFUNCTION("REGEXEXTRACT(C787, """"""([^""""]+)"""""")"),"#N/A")</f>
        <v>#N/A</v>
      </c>
    </row>
    <row r="788">
      <c r="A788" s="23"/>
      <c r="B788" s="23"/>
      <c r="C788" s="24"/>
      <c r="D788" s="23"/>
      <c r="E788" s="25" t="str">
        <f>IFERROR(__xludf.DUMMYFUNCTION("REGEXEXTRACT(C788, """"""([^""""]+)"""""")"),"#N/A")</f>
        <v>#N/A</v>
      </c>
    </row>
    <row r="789">
      <c r="A789" s="23"/>
      <c r="B789" s="23"/>
      <c r="C789" s="24"/>
      <c r="D789" s="23"/>
      <c r="E789" s="25" t="str">
        <f>IFERROR(__xludf.DUMMYFUNCTION("REGEXEXTRACT(C789, """"""([^""""]+)"""""")"),"#N/A")</f>
        <v>#N/A</v>
      </c>
    </row>
    <row r="790">
      <c r="A790" s="23"/>
      <c r="B790" s="23"/>
      <c r="C790" s="24"/>
      <c r="D790" s="23"/>
      <c r="E790" s="25" t="str">
        <f>IFERROR(__xludf.DUMMYFUNCTION("REGEXEXTRACT(C790, """"""([^""""]+)"""""")"),"#N/A")</f>
        <v>#N/A</v>
      </c>
    </row>
    <row r="791">
      <c r="A791" s="23"/>
      <c r="B791" s="23"/>
      <c r="C791" s="24"/>
      <c r="D791" s="23"/>
      <c r="E791" s="25" t="str">
        <f>IFERROR(__xludf.DUMMYFUNCTION("REGEXEXTRACT(C791, """"""([^""""]+)"""""")"),"#N/A")</f>
        <v>#N/A</v>
      </c>
    </row>
    <row r="792">
      <c r="A792" s="23"/>
      <c r="B792" s="23"/>
      <c r="C792" s="24"/>
      <c r="D792" s="23"/>
      <c r="E792" s="25" t="str">
        <f>IFERROR(__xludf.DUMMYFUNCTION("REGEXEXTRACT(C792, """"""([^""""]+)"""""")"),"#N/A")</f>
        <v>#N/A</v>
      </c>
    </row>
    <row r="793">
      <c r="A793" s="23"/>
      <c r="B793" s="23"/>
      <c r="C793" s="24"/>
      <c r="D793" s="23"/>
      <c r="E793" s="25" t="str">
        <f>IFERROR(__xludf.DUMMYFUNCTION("REGEXEXTRACT(C793, """"""([^""""]+)"""""")"),"#N/A")</f>
        <v>#N/A</v>
      </c>
    </row>
    <row r="794">
      <c r="A794" s="23"/>
      <c r="B794" s="23"/>
      <c r="C794" s="24"/>
      <c r="D794" s="23"/>
      <c r="E794" s="25" t="str">
        <f>IFERROR(__xludf.DUMMYFUNCTION("REGEXEXTRACT(C794, """"""([^""""]+)"""""")"),"#N/A")</f>
        <v>#N/A</v>
      </c>
    </row>
    <row r="795">
      <c r="A795" s="23"/>
      <c r="B795" s="23"/>
      <c r="C795" s="24"/>
      <c r="D795" s="23"/>
      <c r="E795" s="25" t="str">
        <f>IFERROR(__xludf.DUMMYFUNCTION("REGEXEXTRACT(C795, """"""([^""""]+)"""""")"),"#N/A")</f>
        <v>#N/A</v>
      </c>
    </row>
    <row r="796">
      <c r="A796" s="23"/>
      <c r="B796" s="23"/>
      <c r="C796" s="24"/>
      <c r="D796" s="23"/>
      <c r="E796" s="25" t="str">
        <f>IFERROR(__xludf.DUMMYFUNCTION("REGEXEXTRACT(C796, """"""([^""""]+)"""""")"),"#N/A")</f>
        <v>#N/A</v>
      </c>
    </row>
    <row r="797">
      <c r="A797" s="23"/>
      <c r="B797" s="23"/>
      <c r="C797" s="24"/>
      <c r="D797" s="23"/>
      <c r="E797" s="25" t="str">
        <f>IFERROR(__xludf.DUMMYFUNCTION("REGEXEXTRACT(C797, """"""([^""""]+)"""""")"),"#N/A")</f>
        <v>#N/A</v>
      </c>
    </row>
    <row r="798">
      <c r="A798" s="23"/>
      <c r="B798" s="23"/>
      <c r="C798" s="24"/>
      <c r="D798" s="23"/>
      <c r="E798" s="25" t="str">
        <f>IFERROR(__xludf.DUMMYFUNCTION("REGEXEXTRACT(C798, """"""([^""""]+)"""""")"),"#N/A")</f>
        <v>#N/A</v>
      </c>
    </row>
    <row r="799">
      <c r="A799" s="23"/>
      <c r="B799" s="23"/>
      <c r="C799" s="24"/>
      <c r="D799" s="23"/>
      <c r="E799" s="25" t="str">
        <f>IFERROR(__xludf.DUMMYFUNCTION("REGEXEXTRACT(C799, """"""([^""""]+)"""""")"),"#N/A")</f>
        <v>#N/A</v>
      </c>
    </row>
    <row r="800">
      <c r="A800" s="23"/>
      <c r="B800" s="23"/>
      <c r="C800" s="24"/>
      <c r="D800" s="23"/>
      <c r="E800" s="25" t="str">
        <f>IFERROR(__xludf.DUMMYFUNCTION("REGEXEXTRACT(C800, """"""([^""""]+)"""""")"),"#N/A")</f>
        <v>#N/A</v>
      </c>
    </row>
    <row r="801">
      <c r="A801" s="23"/>
      <c r="B801" s="23"/>
      <c r="C801" s="24"/>
      <c r="D801" s="23"/>
      <c r="E801" s="25" t="str">
        <f>IFERROR(__xludf.DUMMYFUNCTION("REGEXEXTRACT(C801, """"""([^""""]+)"""""")"),"#N/A")</f>
        <v>#N/A</v>
      </c>
    </row>
    <row r="802">
      <c r="A802" s="23"/>
      <c r="B802" s="23"/>
      <c r="C802" s="24"/>
      <c r="D802" s="23"/>
      <c r="E802" s="25" t="str">
        <f>IFERROR(__xludf.DUMMYFUNCTION("REGEXEXTRACT(C802, """"""([^""""]+)"""""")"),"#N/A")</f>
        <v>#N/A</v>
      </c>
    </row>
    <row r="803">
      <c r="A803" s="23"/>
      <c r="B803" s="23"/>
      <c r="C803" s="24"/>
      <c r="D803" s="23"/>
      <c r="E803" s="25" t="str">
        <f>IFERROR(__xludf.DUMMYFUNCTION("REGEXEXTRACT(C803, """"""([^""""]+)"""""")"),"#N/A")</f>
        <v>#N/A</v>
      </c>
    </row>
    <row r="804">
      <c r="A804" s="23"/>
      <c r="B804" s="23"/>
      <c r="C804" s="24"/>
      <c r="D804" s="23"/>
      <c r="E804" s="25" t="str">
        <f>IFERROR(__xludf.DUMMYFUNCTION("REGEXEXTRACT(C804, """"""([^""""]+)"""""")"),"#N/A")</f>
        <v>#N/A</v>
      </c>
    </row>
    <row r="805">
      <c r="A805" s="23"/>
      <c r="B805" s="23"/>
      <c r="C805" s="24"/>
      <c r="D805" s="23"/>
      <c r="E805" s="25" t="str">
        <f>IFERROR(__xludf.DUMMYFUNCTION("REGEXEXTRACT(C805, """"""([^""""]+)"""""")"),"#N/A")</f>
        <v>#N/A</v>
      </c>
    </row>
    <row r="806">
      <c r="A806" s="23"/>
      <c r="B806" s="23"/>
      <c r="C806" s="24"/>
      <c r="D806" s="23"/>
      <c r="E806" s="25" t="str">
        <f>IFERROR(__xludf.DUMMYFUNCTION("REGEXEXTRACT(C806, """"""([^""""]+)"""""")"),"#N/A")</f>
        <v>#N/A</v>
      </c>
    </row>
    <row r="807">
      <c r="A807" s="23"/>
      <c r="B807" s="23"/>
      <c r="C807" s="24"/>
      <c r="D807" s="23"/>
      <c r="E807" s="25" t="str">
        <f>IFERROR(__xludf.DUMMYFUNCTION("REGEXEXTRACT(C807, """"""([^""""]+)"""""")"),"#N/A")</f>
        <v>#N/A</v>
      </c>
    </row>
    <row r="808">
      <c r="A808" s="23"/>
      <c r="B808" s="23"/>
      <c r="C808" s="24"/>
      <c r="D808" s="23"/>
      <c r="E808" s="25" t="str">
        <f>IFERROR(__xludf.DUMMYFUNCTION("REGEXEXTRACT(C808, """"""([^""""]+)"""""")"),"#N/A")</f>
        <v>#N/A</v>
      </c>
    </row>
    <row r="809">
      <c r="A809" s="23"/>
      <c r="B809" s="23"/>
      <c r="C809" s="24"/>
      <c r="D809" s="23"/>
      <c r="E809" s="25" t="str">
        <f>IFERROR(__xludf.DUMMYFUNCTION("REGEXEXTRACT(C809, """"""([^""""]+)"""""")"),"#N/A")</f>
        <v>#N/A</v>
      </c>
    </row>
    <row r="810">
      <c r="A810" s="23"/>
      <c r="B810" s="23"/>
      <c r="C810" s="24"/>
      <c r="D810" s="23"/>
      <c r="E810" s="25" t="str">
        <f>IFERROR(__xludf.DUMMYFUNCTION("REGEXEXTRACT(C810, """"""([^""""]+)"""""")"),"#N/A")</f>
        <v>#N/A</v>
      </c>
    </row>
    <row r="811">
      <c r="A811" s="23"/>
      <c r="B811" s="23"/>
      <c r="C811" s="24"/>
      <c r="D811" s="23"/>
      <c r="E811" s="25" t="str">
        <f>IFERROR(__xludf.DUMMYFUNCTION("REGEXEXTRACT(C811, """"""([^""""]+)"""""")"),"#N/A")</f>
        <v>#N/A</v>
      </c>
    </row>
    <row r="812">
      <c r="A812" s="23"/>
      <c r="B812" s="23"/>
      <c r="C812" s="24"/>
      <c r="D812" s="23"/>
      <c r="E812" s="25" t="str">
        <f>IFERROR(__xludf.DUMMYFUNCTION("REGEXEXTRACT(C812, """"""([^""""]+)"""""")"),"#N/A")</f>
        <v>#N/A</v>
      </c>
    </row>
    <row r="813">
      <c r="A813" s="23"/>
      <c r="B813" s="23"/>
      <c r="C813" s="24"/>
      <c r="D813" s="23"/>
      <c r="E813" s="25" t="str">
        <f>IFERROR(__xludf.DUMMYFUNCTION("REGEXEXTRACT(C813, """"""([^""""]+)"""""")"),"#N/A")</f>
        <v>#N/A</v>
      </c>
    </row>
    <row r="814">
      <c r="A814" s="23"/>
      <c r="B814" s="23"/>
      <c r="C814" s="24"/>
      <c r="D814" s="23"/>
      <c r="E814" s="25" t="str">
        <f>IFERROR(__xludf.DUMMYFUNCTION("REGEXEXTRACT(C814, """"""([^""""]+)"""""")"),"#N/A")</f>
        <v>#N/A</v>
      </c>
    </row>
    <row r="815">
      <c r="A815" s="23"/>
      <c r="B815" s="23"/>
      <c r="C815" s="24"/>
      <c r="D815" s="23"/>
      <c r="E815" s="25" t="str">
        <f>IFERROR(__xludf.DUMMYFUNCTION("REGEXEXTRACT(C815, """"""([^""""]+)"""""")"),"#N/A")</f>
        <v>#N/A</v>
      </c>
    </row>
    <row r="816">
      <c r="A816" s="23"/>
      <c r="B816" s="23"/>
      <c r="C816" s="24"/>
      <c r="D816" s="23"/>
      <c r="E816" s="25" t="str">
        <f>IFERROR(__xludf.DUMMYFUNCTION("REGEXEXTRACT(C816, """"""([^""""]+)"""""")"),"#N/A")</f>
        <v>#N/A</v>
      </c>
    </row>
    <row r="817">
      <c r="A817" s="23"/>
      <c r="B817" s="23"/>
      <c r="C817" s="24"/>
      <c r="D817" s="23"/>
      <c r="E817" s="25" t="str">
        <f>IFERROR(__xludf.DUMMYFUNCTION("REGEXEXTRACT(C817, """"""([^""""]+)"""""")"),"#N/A")</f>
        <v>#N/A</v>
      </c>
    </row>
    <row r="818">
      <c r="A818" s="23"/>
      <c r="B818" s="23"/>
      <c r="C818" s="24"/>
      <c r="D818" s="23"/>
      <c r="E818" s="25" t="str">
        <f>IFERROR(__xludf.DUMMYFUNCTION("REGEXEXTRACT(C818, """"""([^""""]+)"""""")"),"#N/A")</f>
        <v>#N/A</v>
      </c>
    </row>
    <row r="819">
      <c r="A819" s="23"/>
      <c r="B819" s="23"/>
      <c r="C819" s="24"/>
      <c r="D819" s="23"/>
      <c r="E819" s="25" t="str">
        <f>IFERROR(__xludf.DUMMYFUNCTION("REGEXEXTRACT(C819, """"""([^""""]+)"""""")"),"#N/A")</f>
        <v>#N/A</v>
      </c>
    </row>
    <row r="820">
      <c r="A820" s="23"/>
      <c r="B820" s="23"/>
      <c r="C820" s="24"/>
      <c r="D820" s="23"/>
      <c r="E820" s="25" t="str">
        <f>IFERROR(__xludf.DUMMYFUNCTION("REGEXEXTRACT(C820, """"""([^""""]+)"""""")"),"#N/A")</f>
        <v>#N/A</v>
      </c>
    </row>
    <row r="821">
      <c r="A821" s="23"/>
      <c r="B821" s="23"/>
      <c r="C821" s="24"/>
      <c r="D821" s="23"/>
      <c r="E821" s="25" t="str">
        <f>IFERROR(__xludf.DUMMYFUNCTION("REGEXEXTRACT(C821, """"""([^""""]+)"""""")"),"#N/A")</f>
        <v>#N/A</v>
      </c>
    </row>
    <row r="822">
      <c r="A822" s="23"/>
      <c r="B822" s="23"/>
      <c r="C822" s="24"/>
      <c r="D822" s="23"/>
      <c r="E822" s="25" t="str">
        <f>IFERROR(__xludf.DUMMYFUNCTION("REGEXEXTRACT(C822, """"""([^""""]+)"""""")"),"#N/A")</f>
        <v>#N/A</v>
      </c>
    </row>
    <row r="823">
      <c r="A823" s="23"/>
      <c r="B823" s="23"/>
      <c r="C823" s="24"/>
      <c r="D823" s="23"/>
      <c r="E823" s="25" t="str">
        <f>IFERROR(__xludf.DUMMYFUNCTION("REGEXEXTRACT(C823, """"""([^""""]+)"""""")"),"#N/A")</f>
        <v>#N/A</v>
      </c>
    </row>
    <row r="824">
      <c r="A824" s="23"/>
      <c r="B824" s="23"/>
      <c r="C824" s="24"/>
      <c r="D824" s="23"/>
      <c r="E824" s="25" t="str">
        <f>IFERROR(__xludf.DUMMYFUNCTION("REGEXEXTRACT(C824, """"""([^""""]+)"""""")"),"#N/A")</f>
        <v>#N/A</v>
      </c>
    </row>
    <row r="825">
      <c r="A825" s="23"/>
      <c r="B825" s="23"/>
      <c r="C825" s="24"/>
      <c r="D825" s="23"/>
      <c r="E825" s="25" t="str">
        <f>IFERROR(__xludf.DUMMYFUNCTION("REGEXEXTRACT(C825, """"""([^""""]+)"""""")"),"#N/A")</f>
        <v>#N/A</v>
      </c>
    </row>
    <row r="826">
      <c r="A826" s="23"/>
      <c r="B826" s="23"/>
      <c r="C826" s="24"/>
      <c r="D826" s="23"/>
      <c r="E826" s="25" t="str">
        <f>IFERROR(__xludf.DUMMYFUNCTION("REGEXEXTRACT(C826, """"""([^""""]+)"""""")"),"#N/A")</f>
        <v>#N/A</v>
      </c>
    </row>
    <row r="827">
      <c r="A827" s="23"/>
      <c r="B827" s="23"/>
      <c r="C827" s="24"/>
      <c r="D827" s="23"/>
      <c r="E827" s="25" t="str">
        <f>IFERROR(__xludf.DUMMYFUNCTION("REGEXEXTRACT(C827, """"""([^""""]+)"""""")"),"#N/A")</f>
        <v>#N/A</v>
      </c>
    </row>
    <row r="828">
      <c r="A828" s="23"/>
      <c r="B828" s="23"/>
      <c r="C828" s="24"/>
      <c r="D828" s="23"/>
      <c r="E828" s="25" t="str">
        <f>IFERROR(__xludf.DUMMYFUNCTION("REGEXEXTRACT(C828, """"""([^""""]+)"""""")"),"#N/A")</f>
        <v>#N/A</v>
      </c>
    </row>
    <row r="829">
      <c r="A829" s="23"/>
      <c r="B829" s="23"/>
      <c r="C829" s="24"/>
      <c r="D829" s="23"/>
      <c r="E829" s="25" t="str">
        <f>IFERROR(__xludf.DUMMYFUNCTION("REGEXEXTRACT(C829, """"""([^""""]+)"""""")"),"#N/A")</f>
        <v>#N/A</v>
      </c>
    </row>
    <row r="830">
      <c r="A830" s="23"/>
      <c r="B830" s="23"/>
      <c r="C830" s="24"/>
      <c r="D830" s="23"/>
      <c r="E830" s="25" t="str">
        <f>IFERROR(__xludf.DUMMYFUNCTION("REGEXEXTRACT(C830, """"""([^""""]+)"""""")"),"#N/A")</f>
        <v>#N/A</v>
      </c>
    </row>
    <row r="831">
      <c r="A831" s="23"/>
      <c r="B831" s="23"/>
      <c r="C831" s="24"/>
      <c r="D831" s="23"/>
      <c r="E831" s="25" t="str">
        <f>IFERROR(__xludf.DUMMYFUNCTION("REGEXEXTRACT(C831, """"""([^""""]+)"""""")"),"#N/A")</f>
        <v>#N/A</v>
      </c>
    </row>
    <row r="832">
      <c r="A832" s="23"/>
      <c r="B832" s="23"/>
      <c r="C832" s="24"/>
      <c r="D832" s="23"/>
      <c r="E832" s="25" t="str">
        <f>IFERROR(__xludf.DUMMYFUNCTION("REGEXEXTRACT(C832, """"""([^""""]+)"""""")"),"#N/A")</f>
        <v>#N/A</v>
      </c>
    </row>
    <row r="833">
      <c r="A833" s="23"/>
      <c r="B833" s="23"/>
      <c r="C833" s="24"/>
      <c r="D833" s="23"/>
      <c r="E833" s="25" t="str">
        <f>IFERROR(__xludf.DUMMYFUNCTION("REGEXEXTRACT(C833, """"""([^""""]+)"""""")"),"#N/A")</f>
        <v>#N/A</v>
      </c>
    </row>
    <row r="834">
      <c r="A834" s="23"/>
      <c r="B834" s="23"/>
      <c r="C834" s="24"/>
      <c r="D834" s="23"/>
      <c r="E834" s="25" t="str">
        <f>IFERROR(__xludf.DUMMYFUNCTION("REGEXEXTRACT(C834, """"""([^""""]+)"""""")"),"#N/A")</f>
        <v>#N/A</v>
      </c>
    </row>
    <row r="835">
      <c r="A835" s="23"/>
      <c r="B835" s="23"/>
      <c r="C835" s="24"/>
      <c r="D835" s="23"/>
      <c r="E835" s="25" t="str">
        <f>IFERROR(__xludf.DUMMYFUNCTION("REGEXEXTRACT(C835, """"""([^""""]+)"""""")"),"#N/A")</f>
        <v>#N/A</v>
      </c>
    </row>
    <row r="836">
      <c r="A836" s="23"/>
      <c r="B836" s="23"/>
      <c r="C836" s="24"/>
      <c r="D836" s="23"/>
      <c r="E836" s="25" t="str">
        <f>IFERROR(__xludf.DUMMYFUNCTION("REGEXEXTRACT(C836, """"""([^""""]+)"""""")"),"#N/A")</f>
        <v>#N/A</v>
      </c>
    </row>
    <row r="837">
      <c r="A837" s="23"/>
      <c r="B837" s="23"/>
      <c r="C837" s="24"/>
      <c r="D837" s="23"/>
      <c r="E837" s="25" t="str">
        <f>IFERROR(__xludf.DUMMYFUNCTION("REGEXEXTRACT(C837, """"""([^""""]+)"""""")"),"#N/A")</f>
        <v>#N/A</v>
      </c>
    </row>
    <row r="838">
      <c r="A838" s="23"/>
      <c r="B838" s="23"/>
      <c r="C838" s="24"/>
      <c r="D838" s="23"/>
      <c r="E838" s="25" t="str">
        <f>IFERROR(__xludf.DUMMYFUNCTION("REGEXEXTRACT(C838, """"""([^""""]+)"""""")"),"#N/A")</f>
        <v>#N/A</v>
      </c>
    </row>
    <row r="839">
      <c r="A839" s="23"/>
      <c r="B839" s="23"/>
      <c r="C839" s="24"/>
      <c r="D839" s="23"/>
      <c r="E839" s="25" t="str">
        <f>IFERROR(__xludf.DUMMYFUNCTION("REGEXEXTRACT(C839, """"""([^""""]+)"""""")"),"#N/A")</f>
        <v>#N/A</v>
      </c>
    </row>
    <row r="840">
      <c r="A840" s="23"/>
      <c r="B840" s="23"/>
      <c r="C840" s="24"/>
      <c r="D840" s="23"/>
      <c r="E840" s="25" t="str">
        <f>IFERROR(__xludf.DUMMYFUNCTION("REGEXEXTRACT(C840, """"""([^""""]+)"""""")"),"#N/A")</f>
        <v>#N/A</v>
      </c>
    </row>
    <row r="841">
      <c r="A841" s="23"/>
      <c r="B841" s="23"/>
      <c r="C841" s="24"/>
      <c r="D841" s="23"/>
      <c r="E841" s="25" t="str">
        <f>IFERROR(__xludf.DUMMYFUNCTION("REGEXEXTRACT(C841, """"""([^""""]+)"""""")"),"#N/A")</f>
        <v>#N/A</v>
      </c>
    </row>
    <row r="842">
      <c r="A842" s="23"/>
      <c r="B842" s="23"/>
      <c r="C842" s="24"/>
      <c r="D842" s="23"/>
      <c r="E842" s="25" t="str">
        <f>IFERROR(__xludf.DUMMYFUNCTION("REGEXEXTRACT(C842, """"""([^""""]+)"""""")"),"#N/A")</f>
        <v>#N/A</v>
      </c>
    </row>
    <row r="843">
      <c r="A843" s="23"/>
      <c r="B843" s="23"/>
      <c r="C843" s="24"/>
      <c r="D843" s="23"/>
      <c r="E843" s="25" t="str">
        <f>IFERROR(__xludf.DUMMYFUNCTION("REGEXEXTRACT(C843, """"""([^""""]+)"""""")"),"#N/A")</f>
        <v>#N/A</v>
      </c>
    </row>
    <row r="844">
      <c r="A844" s="23"/>
      <c r="B844" s="23"/>
      <c r="C844" s="24"/>
      <c r="D844" s="23"/>
      <c r="E844" s="25" t="str">
        <f>IFERROR(__xludf.DUMMYFUNCTION("REGEXEXTRACT(C844, """"""([^""""]+)"""""")"),"#N/A")</f>
        <v>#N/A</v>
      </c>
    </row>
    <row r="845">
      <c r="A845" s="23"/>
      <c r="B845" s="23"/>
      <c r="C845" s="24"/>
      <c r="D845" s="23"/>
      <c r="E845" s="25" t="str">
        <f>IFERROR(__xludf.DUMMYFUNCTION("REGEXEXTRACT(C845, """"""([^""""]+)"""""")"),"#N/A")</f>
        <v>#N/A</v>
      </c>
    </row>
    <row r="846">
      <c r="A846" s="23"/>
      <c r="B846" s="23"/>
      <c r="C846" s="24"/>
      <c r="D846" s="23"/>
      <c r="E846" s="25" t="str">
        <f>IFERROR(__xludf.DUMMYFUNCTION("REGEXEXTRACT(C846, """"""([^""""]+)"""""")"),"#N/A")</f>
        <v>#N/A</v>
      </c>
    </row>
    <row r="847">
      <c r="A847" s="23"/>
      <c r="B847" s="23"/>
      <c r="C847" s="24"/>
      <c r="D847" s="23"/>
      <c r="E847" s="25" t="str">
        <f>IFERROR(__xludf.DUMMYFUNCTION("REGEXEXTRACT(C847, """"""([^""""]+)"""""")"),"#N/A")</f>
        <v>#N/A</v>
      </c>
    </row>
    <row r="848">
      <c r="A848" s="23"/>
      <c r="B848" s="23"/>
      <c r="C848" s="24"/>
      <c r="D848" s="23"/>
      <c r="E848" s="25" t="str">
        <f>IFERROR(__xludf.DUMMYFUNCTION("REGEXEXTRACT(C848, """"""([^""""]+)"""""")"),"#N/A")</f>
        <v>#N/A</v>
      </c>
    </row>
    <row r="849">
      <c r="A849" s="23"/>
      <c r="B849" s="23"/>
      <c r="C849" s="24"/>
      <c r="D849" s="23"/>
      <c r="E849" s="25" t="str">
        <f>IFERROR(__xludf.DUMMYFUNCTION("REGEXEXTRACT(C849, """"""([^""""]+)"""""")"),"#N/A")</f>
        <v>#N/A</v>
      </c>
    </row>
    <row r="850">
      <c r="A850" s="23"/>
      <c r="B850" s="23"/>
      <c r="C850" s="24"/>
      <c r="D850" s="23"/>
      <c r="E850" s="25" t="str">
        <f>IFERROR(__xludf.DUMMYFUNCTION("REGEXEXTRACT(C850, """"""([^""""]+)"""""")"),"#N/A")</f>
        <v>#N/A</v>
      </c>
    </row>
    <row r="851">
      <c r="A851" s="23"/>
      <c r="B851" s="23"/>
      <c r="C851" s="24"/>
      <c r="D851" s="23"/>
      <c r="E851" s="25" t="str">
        <f>IFERROR(__xludf.DUMMYFUNCTION("REGEXEXTRACT(C851, """"""([^""""]+)"""""")"),"#N/A")</f>
        <v>#N/A</v>
      </c>
    </row>
    <row r="852">
      <c r="A852" s="23"/>
      <c r="B852" s="23"/>
      <c r="C852" s="24"/>
      <c r="D852" s="23"/>
      <c r="E852" s="25" t="str">
        <f>IFERROR(__xludf.DUMMYFUNCTION("REGEXEXTRACT(C852, """"""([^""""]+)"""""")"),"#N/A")</f>
        <v>#N/A</v>
      </c>
    </row>
    <row r="853">
      <c r="A853" s="23"/>
      <c r="B853" s="23"/>
      <c r="C853" s="24"/>
      <c r="D853" s="23"/>
      <c r="E853" s="25" t="str">
        <f>IFERROR(__xludf.DUMMYFUNCTION("REGEXEXTRACT(C853, """"""([^""""]+)"""""")"),"#N/A")</f>
        <v>#N/A</v>
      </c>
    </row>
    <row r="854">
      <c r="A854" s="23"/>
      <c r="B854" s="23"/>
      <c r="C854" s="24"/>
      <c r="D854" s="23"/>
      <c r="E854" s="25" t="str">
        <f>IFERROR(__xludf.DUMMYFUNCTION("REGEXEXTRACT(C854, """"""([^""""]+)"""""")"),"#N/A")</f>
        <v>#N/A</v>
      </c>
    </row>
    <row r="855">
      <c r="A855" s="23"/>
      <c r="B855" s="23"/>
      <c r="C855" s="24"/>
      <c r="D855" s="23"/>
      <c r="E855" s="25" t="str">
        <f>IFERROR(__xludf.DUMMYFUNCTION("REGEXEXTRACT(C855, """"""([^""""]+)"""""")"),"#N/A")</f>
        <v>#N/A</v>
      </c>
    </row>
    <row r="856">
      <c r="A856" s="23"/>
      <c r="B856" s="23"/>
      <c r="C856" s="24"/>
      <c r="D856" s="23"/>
      <c r="E856" s="25" t="str">
        <f>IFERROR(__xludf.DUMMYFUNCTION("REGEXEXTRACT(C856, """"""([^""""]+)"""""")"),"#N/A")</f>
        <v>#N/A</v>
      </c>
    </row>
    <row r="857">
      <c r="A857" s="23"/>
      <c r="B857" s="23"/>
      <c r="C857" s="24"/>
      <c r="D857" s="23"/>
      <c r="E857" s="25" t="str">
        <f>IFERROR(__xludf.DUMMYFUNCTION("REGEXEXTRACT(C857, """"""([^""""]+)"""""")"),"#N/A")</f>
        <v>#N/A</v>
      </c>
    </row>
    <row r="858">
      <c r="A858" s="23"/>
      <c r="B858" s="23"/>
      <c r="C858" s="24"/>
      <c r="D858" s="23"/>
      <c r="E858" s="25" t="str">
        <f>IFERROR(__xludf.DUMMYFUNCTION("REGEXEXTRACT(C858, """"""([^""""]+)"""""")"),"#N/A")</f>
        <v>#N/A</v>
      </c>
    </row>
    <row r="859">
      <c r="A859" s="23"/>
      <c r="B859" s="23"/>
      <c r="C859" s="24"/>
      <c r="D859" s="23"/>
      <c r="E859" s="25" t="str">
        <f>IFERROR(__xludf.DUMMYFUNCTION("REGEXEXTRACT(C859, """"""([^""""]+)"""""")"),"#N/A")</f>
        <v>#N/A</v>
      </c>
    </row>
    <row r="860">
      <c r="A860" s="23"/>
      <c r="B860" s="23"/>
      <c r="C860" s="24"/>
      <c r="D860" s="23"/>
      <c r="E860" s="25" t="str">
        <f>IFERROR(__xludf.DUMMYFUNCTION("REGEXEXTRACT(C860, """"""([^""""]+)"""""")"),"#N/A")</f>
        <v>#N/A</v>
      </c>
    </row>
    <row r="861">
      <c r="A861" s="23"/>
      <c r="B861" s="23"/>
      <c r="C861" s="24"/>
      <c r="D861" s="23"/>
      <c r="E861" s="25" t="str">
        <f>IFERROR(__xludf.DUMMYFUNCTION("REGEXEXTRACT(C861, """"""([^""""]+)"""""")"),"#N/A")</f>
        <v>#N/A</v>
      </c>
    </row>
    <row r="862">
      <c r="A862" s="23"/>
      <c r="B862" s="23"/>
      <c r="C862" s="24"/>
      <c r="D862" s="23"/>
      <c r="E862" s="25" t="str">
        <f>IFERROR(__xludf.DUMMYFUNCTION("REGEXEXTRACT(C862, """"""([^""""]+)"""""")"),"#N/A")</f>
        <v>#N/A</v>
      </c>
    </row>
    <row r="863">
      <c r="A863" s="23"/>
      <c r="B863" s="23"/>
      <c r="C863" s="24"/>
      <c r="D863" s="23"/>
      <c r="E863" s="25" t="str">
        <f>IFERROR(__xludf.DUMMYFUNCTION("REGEXEXTRACT(C863, """"""([^""""]+)"""""")"),"#N/A")</f>
        <v>#N/A</v>
      </c>
    </row>
    <row r="864">
      <c r="A864" s="23"/>
      <c r="B864" s="23"/>
      <c r="C864" s="24"/>
      <c r="D864" s="23"/>
      <c r="E864" s="25" t="str">
        <f>IFERROR(__xludf.DUMMYFUNCTION("REGEXEXTRACT(C864, """"""([^""""]+)"""""")"),"#N/A")</f>
        <v>#N/A</v>
      </c>
    </row>
    <row r="865">
      <c r="A865" s="23"/>
      <c r="B865" s="23"/>
      <c r="C865" s="24"/>
      <c r="D865" s="23"/>
      <c r="E865" s="25" t="str">
        <f>IFERROR(__xludf.DUMMYFUNCTION("REGEXEXTRACT(C865, """"""([^""""]+)"""""")"),"#N/A")</f>
        <v>#N/A</v>
      </c>
    </row>
    <row r="866">
      <c r="A866" s="23"/>
      <c r="B866" s="23"/>
      <c r="C866" s="24"/>
      <c r="D866" s="23"/>
      <c r="E866" s="25" t="str">
        <f>IFERROR(__xludf.DUMMYFUNCTION("REGEXEXTRACT(C866, """"""([^""""]+)"""""")"),"#N/A")</f>
        <v>#N/A</v>
      </c>
    </row>
    <row r="867">
      <c r="A867" s="23"/>
      <c r="B867" s="23"/>
      <c r="C867" s="24"/>
      <c r="D867" s="23"/>
      <c r="E867" s="25" t="str">
        <f>IFERROR(__xludf.DUMMYFUNCTION("REGEXEXTRACT(C867, """"""([^""""]+)"""""")"),"#N/A")</f>
        <v>#N/A</v>
      </c>
    </row>
    <row r="868">
      <c r="A868" s="23"/>
      <c r="B868" s="23"/>
      <c r="C868" s="24"/>
      <c r="D868" s="23"/>
      <c r="E868" s="25" t="str">
        <f>IFERROR(__xludf.DUMMYFUNCTION("REGEXEXTRACT(C868, """"""([^""""]+)"""""")"),"#N/A")</f>
        <v>#N/A</v>
      </c>
    </row>
    <row r="869">
      <c r="A869" s="23"/>
      <c r="B869" s="23"/>
      <c r="C869" s="24"/>
      <c r="D869" s="23"/>
      <c r="E869" s="25" t="str">
        <f>IFERROR(__xludf.DUMMYFUNCTION("REGEXEXTRACT(C869, """"""([^""""]+)"""""")"),"#N/A")</f>
        <v>#N/A</v>
      </c>
    </row>
    <row r="870">
      <c r="A870" s="23"/>
      <c r="B870" s="23"/>
      <c r="C870" s="24"/>
      <c r="D870" s="23"/>
      <c r="E870" s="25" t="str">
        <f>IFERROR(__xludf.DUMMYFUNCTION("REGEXEXTRACT(C870, """"""([^""""]+)"""""")"),"#N/A")</f>
        <v>#N/A</v>
      </c>
    </row>
    <row r="871">
      <c r="A871" s="23"/>
      <c r="B871" s="23"/>
      <c r="C871" s="24"/>
      <c r="D871" s="23"/>
      <c r="E871" s="25" t="str">
        <f>IFERROR(__xludf.DUMMYFUNCTION("REGEXEXTRACT(C871, """"""([^""""]+)"""""")"),"#N/A")</f>
        <v>#N/A</v>
      </c>
    </row>
    <row r="872">
      <c r="A872" s="23"/>
      <c r="B872" s="23"/>
      <c r="C872" s="24"/>
      <c r="D872" s="23"/>
      <c r="E872" s="25" t="str">
        <f>IFERROR(__xludf.DUMMYFUNCTION("REGEXEXTRACT(C872, """"""([^""""]+)"""""")"),"#N/A")</f>
        <v>#N/A</v>
      </c>
    </row>
    <row r="873">
      <c r="A873" s="23"/>
      <c r="B873" s="23"/>
      <c r="C873" s="24"/>
      <c r="D873" s="23"/>
      <c r="E873" s="25" t="str">
        <f>IFERROR(__xludf.DUMMYFUNCTION("REGEXEXTRACT(C873, """"""([^""""]+)"""""")"),"#N/A")</f>
        <v>#N/A</v>
      </c>
    </row>
    <row r="874">
      <c r="A874" s="23"/>
      <c r="B874" s="23"/>
      <c r="C874" s="24"/>
      <c r="D874" s="23"/>
      <c r="E874" s="25" t="str">
        <f>IFERROR(__xludf.DUMMYFUNCTION("REGEXEXTRACT(C874, """"""([^""""]+)"""""")"),"#N/A")</f>
        <v>#N/A</v>
      </c>
    </row>
    <row r="875">
      <c r="A875" s="23"/>
      <c r="B875" s="23"/>
      <c r="C875" s="24"/>
      <c r="D875" s="23"/>
      <c r="E875" s="25" t="str">
        <f>IFERROR(__xludf.DUMMYFUNCTION("REGEXEXTRACT(C875, """"""([^""""]+)"""""")"),"#N/A")</f>
        <v>#N/A</v>
      </c>
    </row>
    <row r="876">
      <c r="A876" s="23"/>
      <c r="B876" s="23"/>
      <c r="C876" s="24"/>
      <c r="D876" s="23"/>
      <c r="E876" s="25" t="str">
        <f>IFERROR(__xludf.DUMMYFUNCTION("REGEXEXTRACT(C876, """"""([^""""]+)"""""")"),"#N/A")</f>
        <v>#N/A</v>
      </c>
    </row>
    <row r="877">
      <c r="A877" s="23"/>
      <c r="B877" s="23"/>
      <c r="C877" s="24"/>
      <c r="D877" s="23"/>
      <c r="E877" s="25" t="str">
        <f>IFERROR(__xludf.DUMMYFUNCTION("REGEXEXTRACT(C877, """"""([^""""]+)"""""")"),"#N/A")</f>
        <v>#N/A</v>
      </c>
    </row>
    <row r="878">
      <c r="A878" s="23"/>
      <c r="B878" s="23"/>
      <c r="C878" s="24"/>
      <c r="D878" s="23"/>
      <c r="E878" s="25" t="str">
        <f>IFERROR(__xludf.DUMMYFUNCTION("REGEXEXTRACT(C878, """"""([^""""]+)"""""")"),"#N/A")</f>
        <v>#N/A</v>
      </c>
    </row>
    <row r="879">
      <c r="A879" s="23"/>
      <c r="B879" s="23"/>
      <c r="C879" s="24"/>
      <c r="D879" s="23"/>
      <c r="E879" s="25" t="str">
        <f>IFERROR(__xludf.DUMMYFUNCTION("REGEXEXTRACT(C879, """"""([^""""]+)"""""")"),"#N/A")</f>
        <v>#N/A</v>
      </c>
    </row>
    <row r="880">
      <c r="A880" s="23"/>
      <c r="B880" s="23"/>
      <c r="C880" s="24"/>
      <c r="D880" s="23"/>
      <c r="E880" s="25" t="str">
        <f>IFERROR(__xludf.DUMMYFUNCTION("REGEXEXTRACT(C880, """"""([^""""]+)"""""")"),"#N/A")</f>
        <v>#N/A</v>
      </c>
    </row>
    <row r="881">
      <c r="A881" s="23"/>
      <c r="B881" s="23"/>
      <c r="C881" s="24"/>
      <c r="D881" s="23"/>
      <c r="E881" s="25" t="str">
        <f>IFERROR(__xludf.DUMMYFUNCTION("REGEXEXTRACT(C881, """"""([^""""]+)"""""")"),"#N/A")</f>
        <v>#N/A</v>
      </c>
    </row>
    <row r="882">
      <c r="A882" s="23"/>
      <c r="B882" s="23"/>
      <c r="C882" s="24"/>
      <c r="D882" s="23"/>
      <c r="E882" s="25" t="str">
        <f>IFERROR(__xludf.DUMMYFUNCTION("REGEXEXTRACT(C882, """"""([^""""]+)"""""")"),"#N/A")</f>
        <v>#N/A</v>
      </c>
    </row>
    <row r="883">
      <c r="A883" s="23"/>
      <c r="B883" s="23"/>
      <c r="C883" s="24"/>
      <c r="D883" s="23"/>
      <c r="E883" s="25" t="str">
        <f>IFERROR(__xludf.DUMMYFUNCTION("REGEXEXTRACT(C883, """"""([^""""]+)"""""")"),"#N/A")</f>
        <v>#N/A</v>
      </c>
    </row>
    <row r="884">
      <c r="A884" s="23"/>
      <c r="B884" s="23"/>
      <c r="C884" s="24"/>
      <c r="D884" s="23"/>
      <c r="E884" s="25" t="str">
        <f>IFERROR(__xludf.DUMMYFUNCTION("REGEXEXTRACT(C884, """"""([^""""]+)"""""")"),"#N/A")</f>
        <v>#N/A</v>
      </c>
    </row>
    <row r="885">
      <c r="A885" s="23"/>
      <c r="B885" s="23"/>
      <c r="C885" s="24"/>
      <c r="D885" s="23"/>
      <c r="E885" s="25" t="str">
        <f>IFERROR(__xludf.DUMMYFUNCTION("REGEXEXTRACT(C885, """"""([^""""]+)"""""")"),"#N/A")</f>
        <v>#N/A</v>
      </c>
    </row>
    <row r="886">
      <c r="A886" s="23"/>
      <c r="B886" s="23"/>
      <c r="C886" s="24"/>
      <c r="D886" s="23"/>
      <c r="E886" s="25" t="str">
        <f>IFERROR(__xludf.DUMMYFUNCTION("REGEXEXTRACT(C886, """"""([^""""]+)"""""")"),"#N/A")</f>
        <v>#N/A</v>
      </c>
    </row>
    <row r="887">
      <c r="A887" s="23"/>
      <c r="B887" s="23"/>
      <c r="C887" s="24"/>
      <c r="D887" s="23"/>
      <c r="E887" s="25" t="str">
        <f>IFERROR(__xludf.DUMMYFUNCTION("REGEXEXTRACT(C887, """"""([^""""]+)"""""")"),"#N/A")</f>
        <v>#N/A</v>
      </c>
    </row>
    <row r="888">
      <c r="A888" s="23"/>
      <c r="B888" s="23"/>
      <c r="C888" s="24"/>
      <c r="D888" s="23"/>
      <c r="E888" s="25" t="str">
        <f>IFERROR(__xludf.DUMMYFUNCTION("REGEXEXTRACT(C888, """"""([^""""]+)"""""")"),"#N/A")</f>
        <v>#N/A</v>
      </c>
    </row>
    <row r="889">
      <c r="A889" s="23"/>
      <c r="B889" s="23"/>
      <c r="C889" s="24"/>
      <c r="D889" s="23"/>
      <c r="E889" s="25" t="str">
        <f>IFERROR(__xludf.DUMMYFUNCTION("REGEXEXTRACT(C889, """"""([^""""]+)"""""")"),"#N/A")</f>
        <v>#N/A</v>
      </c>
    </row>
    <row r="890">
      <c r="A890" s="23"/>
      <c r="B890" s="23"/>
      <c r="C890" s="24"/>
      <c r="D890" s="23"/>
      <c r="E890" s="25" t="str">
        <f>IFERROR(__xludf.DUMMYFUNCTION("REGEXEXTRACT(C890, """"""([^""""]+)"""""")"),"#N/A")</f>
        <v>#N/A</v>
      </c>
    </row>
    <row r="891">
      <c r="A891" s="23"/>
      <c r="B891" s="23"/>
      <c r="C891" s="24"/>
      <c r="D891" s="23"/>
      <c r="E891" s="25" t="str">
        <f>IFERROR(__xludf.DUMMYFUNCTION("REGEXEXTRACT(C891, """"""([^""""]+)"""""")"),"#N/A")</f>
        <v>#N/A</v>
      </c>
    </row>
    <row r="892">
      <c r="A892" s="23"/>
      <c r="B892" s="23"/>
      <c r="C892" s="24"/>
      <c r="D892" s="23"/>
      <c r="E892" s="25" t="str">
        <f>IFERROR(__xludf.DUMMYFUNCTION("REGEXEXTRACT(C892, """"""([^""""]+)"""""")"),"#N/A")</f>
        <v>#N/A</v>
      </c>
    </row>
    <row r="893">
      <c r="A893" s="23"/>
      <c r="B893" s="23"/>
      <c r="C893" s="24"/>
      <c r="D893" s="23"/>
      <c r="E893" s="25" t="str">
        <f>IFERROR(__xludf.DUMMYFUNCTION("REGEXEXTRACT(C893, """"""([^""""]+)"""""")"),"#N/A")</f>
        <v>#N/A</v>
      </c>
    </row>
    <row r="894">
      <c r="A894" s="23"/>
      <c r="B894" s="23"/>
      <c r="C894" s="24"/>
      <c r="D894" s="23"/>
      <c r="E894" s="25" t="str">
        <f>IFERROR(__xludf.DUMMYFUNCTION("REGEXEXTRACT(C894, """"""([^""""]+)"""""")"),"#N/A")</f>
        <v>#N/A</v>
      </c>
    </row>
    <row r="895">
      <c r="A895" s="23"/>
      <c r="B895" s="23"/>
      <c r="C895" s="24"/>
      <c r="D895" s="23"/>
      <c r="E895" s="25" t="str">
        <f>IFERROR(__xludf.DUMMYFUNCTION("REGEXEXTRACT(C895, """"""([^""""]+)"""""")"),"#N/A")</f>
        <v>#N/A</v>
      </c>
    </row>
    <row r="896">
      <c r="A896" s="23"/>
      <c r="B896" s="23"/>
      <c r="C896" s="24"/>
      <c r="D896" s="23"/>
      <c r="E896" s="25" t="str">
        <f>IFERROR(__xludf.DUMMYFUNCTION("REGEXEXTRACT(C896, """"""([^""""]+)"""""")"),"#N/A")</f>
        <v>#N/A</v>
      </c>
    </row>
    <row r="897">
      <c r="A897" s="23"/>
      <c r="B897" s="23"/>
      <c r="C897" s="24"/>
      <c r="D897" s="23"/>
      <c r="E897" s="25" t="str">
        <f>IFERROR(__xludf.DUMMYFUNCTION("REGEXEXTRACT(C897, """"""([^""""]+)"""""")"),"#N/A")</f>
        <v>#N/A</v>
      </c>
    </row>
    <row r="898">
      <c r="A898" s="23"/>
      <c r="B898" s="23"/>
      <c r="C898" s="24"/>
      <c r="D898" s="23"/>
      <c r="E898" s="25" t="str">
        <f>IFERROR(__xludf.DUMMYFUNCTION("REGEXEXTRACT(C898, """"""([^""""]+)"""""")"),"#N/A")</f>
        <v>#N/A</v>
      </c>
    </row>
    <row r="899">
      <c r="A899" s="23"/>
      <c r="B899" s="23"/>
      <c r="C899" s="24"/>
      <c r="D899" s="23"/>
      <c r="E899" s="25" t="str">
        <f>IFERROR(__xludf.DUMMYFUNCTION("REGEXEXTRACT(C899, """"""([^""""]+)"""""")"),"#N/A")</f>
        <v>#N/A</v>
      </c>
    </row>
    <row r="900">
      <c r="A900" s="23"/>
      <c r="B900" s="23"/>
      <c r="C900" s="24"/>
      <c r="D900" s="23"/>
      <c r="E900" s="25" t="str">
        <f>IFERROR(__xludf.DUMMYFUNCTION("REGEXEXTRACT(C900, """"""([^""""]+)"""""")"),"#N/A")</f>
        <v>#N/A</v>
      </c>
    </row>
    <row r="901">
      <c r="A901" s="23"/>
      <c r="B901" s="23"/>
      <c r="C901" s="24"/>
      <c r="D901" s="23"/>
      <c r="E901" s="25" t="str">
        <f>IFERROR(__xludf.DUMMYFUNCTION("REGEXEXTRACT(C901, """"""([^""""]+)"""""")"),"#N/A")</f>
        <v>#N/A</v>
      </c>
    </row>
    <row r="902">
      <c r="A902" s="23"/>
      <c r="B902" s="23"/>
      <c r="C902" s="24"/>
      <c r="D902" s="23"/>
      <c r="E902" s="25" t="str">
        <f>IFERROR(__xludf.DUMMYFUNCTION("REGEXEXTRACT(C902, """"""([^""""]+)"""""")"),"#N/A")</f>
        <v>#N/A</v>
      </c>
    </row>
    <row r="903">
      <c r="A903" s="23"/>
      <c r="B903" s="23"/>
      <c r="C903" s="24"/>
      <c r="D903" s="23"/>
      <c r="E903" s="25" t="str">
        <f>IFERROR(__xludf.DUMMYFUNCTION("REGEXEXTRACT(C903, """"""([^""""]+)"""""")"),"#N/A")</f>
        <v>#N/A</v>
      </c>
    </row>
    <row r="904">
      <c r="A904" s="23"/>
      <c r="B904" s="23"/>
      <c r="C904" s="24"/>
      <c r="D904" s="23"/>
      <c r="E904" s="25" t="str">
        <f>IFERROR(__xludf.DUMMYFUNCTION("REGEXEXTRACT(C904, """"""([^""""]+)"""""")"),"#N/A")</f>
        <v>#N/A</v>
      </c>
    </row>
    <row r="905">
      <c r="A905" s="23"/>
      <c r="B905" s="23"/>
      <c r="C905" s="24"/>
      <c r="D905" s="23"/>
      <c r="E905" s="25" t="str">
        <f>IFERROR(__xludf.DUMMYFUNCTION("REGEXEXTRACT(C905, """"""([^""""]+)"""""")"),"#N/A")</f>
        <v>#N/A</v>
      </c>
    </row>
    <row r="906">
      <c r="A906" s="23"/>
      <c r="B906" s="23"/>
      <c r="C906" s="24"/>
      <c r="D906" s="23"/>
      <c r="E906" s="25" t="str">
        <f>IFERROR(__xludf.DUMMYFUNCTION("REGEXEXTRACT(C906, """"""([^""""]+)"""""")"),"#N/A")</f>
        <v>#N/A</v>
      </c>
    </row>
    <row r="907">
      <c r="A907" s="23"/>
      <c r="B907" s="23"/>
      <c r="C907" s="24"/>
      <c r="D907" s="23"/>
      <c r="E907" s="25" t="str">
        <f>IFERROR(__xludf.DUMMYFUNCTION("REGEXEXTRACT(C907, """"""([^""""]+)"""""")"),"#N/A")</f>
        <v>#N/A</v>
      </c>
    </row>
    <row r="908">
      <c r="A908" s="23"/>
      <c r="B908" s="23"/>
      <c r="C908" s="24"/>
      <c r="D908" s="23"/>
      <c r="E908" s="25" t="str">
        <f>IFERROR(__xludf.DUMMYFUNCTION("REGEXEXTRACT(C908, """"""([^""""]+)"""""")"),"#N/A")</f>
        <v>#N/A</v>
      </c>
    </row>
    <row r="909">
      <c r="A909" s="23"/>
      <c r="B909" s="23"/>
      <c r="C909" s="24"/>
      <c r="D909" s="23"/>
      <c r="E909" s="25" t="str">
        <f>IFERROR(__xludf.DUMMYFUNCTION("REGEXEXTRACT(C909, """"""([^""""]+)"""""")"),"#N/A")</f>
        <v>#N/A</v>
      </c>
    </row>
    <row r="910">
      <c r="A910" s="23"/>
      <c r="B910" s="23"/>
      <c r="C910" s="24"/>
      <c r="D910" s="23"/>
      <c r="E910" s="25" t="str">
        <f>IFERROR(__xludf.DUMMYFUNCTION("REGEXEXTRACT(C910, """"""([^""""]+)"""""")"),"#N/A")</f>
        <v>#N/A</v>
      </c>
    </row>
    <row r="911">
      <c r="A911" s="23"/>
      <c r="B911" s="23"/>
      <c r="C911" s="24"/>
      <c r="D911" s="23"/>
      <c r="E911" s="25" t="str">
        <f>IFERROR(__xludf.DUMMYFUNCTION("REGEXEXTRACT(C911, """"""([^""""]+)"""""")"),"#N/A")</f>
        <v>#N/A</v>
      </c>
    </row>
    <row r="912">
      <c r="A912" s="23"/>
      <c r="B912" s="23"/>
      <c r="C912" s="24"/>
      <c r="D912" s="23"/>
      <c r="E912" s="25" t="str">
        <f>IFERROR(__xludf.DUMMYFUNCTION("REGEXEXTRACT(C912, """"""([^""""]+)"""""")"),"#N/A")</f>
        <v>#N/A</v>
      </c>
    </row>
    <row r="913">
      <c r="A913" s="23"/>
      <c r="B913" s="23"/>
      <c r="C913" s="24"/>
      <c r="D913" s="23"/>
      <c r="E913" s="25" t="str">
        <f>IFERROR(__xludf.DUMMYFUNCTION("REGEXEXTRACT(C913, """"""([^""""]+)"""""")"),"#N/A")</f>
        <v>#N/A</v>
      </c>
    </row>
    <row r="914">
      <c r="A914" s="23"/>
      <c r="B914" s="23"/>
      <c r="C914" s="24"/>
      <c r="D914" s="23"/>
      <c r="E914" s="25" t="str">
        <f>IFERROR(__xludf.DUMMYFUNCTION("REGEXEXTRACT(C914, """"""([^""""]+)"""""")"),"#N/A")</f>
        <v>#N/A</v>
      </c>
    </row>
    <row r="915">
      <c r="A915" s="23"/>
      <c r="B915" s="23"/>
      <c r="C915" s="24"/>
      <c r="D915" s="23"/>
      <c r="E915" s="25" t="str">
        <f>IFERROR(__xludf.DUMMYFUNCTION("REGEXEXTRACT(C915, """"""([^""""]+)"""""")"),"#N/A")</f>
        <v>#N/A</v>
      </c>
    </row>
    <row r="916">
      <c r="A916" s="23"/>
      <c r="B916" s="23"/>
      <c r="C916" s="24"/>
      <c r="D916" s="23"/>
      <c r="E916" s="25" t="str">
        <f>IFERROR(__xludf.DUMMYFUNCTION("REGEXEXTRACT(C916, """"""([^""""]+)"""""")"),"#N/A")</f>
        <v>#N/A</v>
      </c>
    </row>
    <row r="917">
      <c r="A917" s="23"/>
      <c r="B917" s="23"/>
      <c r="C917" s="24"/>
      <c r="D917" s="23"/>
      <c r="E917" s="25" t="str">
        <f>IFERROR(__xludf.DUMMYFUNCTION("REGEXEXTRACT(C917, """"""([^""""]+)"""""")"),"#N/A")</f>
        <v>#N/A</v>
      </c>
    </row>
    <row r="918">
      <c r="A918" s="23"/>
      <c r="B918" s="23"/>
      <c r="C918" s="24"/>
      <c r="D918" s="23"/>
      <c r="E918" s="25" t="str">
        <f>IFERROR(__xludf.DUMMYFUNCTION("REGEXEXTRACT(C918, """"""([^""""]+)"""""")"),"#N/A")</f>
        <v>#N/A</v>
      </c>
    </row>
    <row r="919">
      <c r="A919" s="23"/>
      <c r="B919" s="23"/>
      <c r="C919" s="24"/>
      <c r="D919" s="23"/>
      <c r="E919" s="25" t="str">
        <f>IFERROR(__xludf.DUMMYFUNCTION("REGEXEXTRACT(C919, """"""([^""""]+)"""""")"),"#N/A")</f>
        <v>#N/A</v>
      </c>
    </row>
    <row r="920">
      <c r="A920" s="23"/>
      <c r="B920" s="23"/>
      <c r="C920" s="24"/>
      <c r="D920" s="23"/>
      <c r="E920" s="25" t="str">
        <f>IFERROR(__xludf.DUMMYFUNCTION("REGEXEXTRACT(C920, """"""([^""""]+)"""""")"),"#N/A")</f>
        <v>#N/A</v>
      </c>
    </row>
    <row r="921">
      <c r="A921" s="23"/>
      <c r="B921" s="23"/>
      <c r="C921" s="24"/>
      <c r="D921" s="23"/>
      <c r="E921" s="25" t="str">
        <f>IFERROR(__xludf.DUMMYFUNCTION("REGEXEXTRACT(C921, """"""([^""""]+)"""""")"),"#N/A")</f>
        <v>#N/A</v>
      </c>
    </row>
    <row r="922">
      <c r="A922" s="23"/>
      <c r="B922" s="23"/>
      <c r="C922" s="24"/>
      <c r="D922" s="23"/>
      <c r="E922" s="25" t="str">
        <f>IFERROR(__xludf.DUMMYFUNCTION("REGEXEXTRACT(C922, """"""([^""""]+)"""""")"),"#N/A")</f>
        <v>#N/A</v>
      </c>
    </row>
    <row r="923">
      <c r="A923" s="23"/>
      <c r="B923" s="23"/>
      <c r="C923" s="24"/>
      <c r="D923" s="23"/>
      <c r="E923" s="25" t="str">
        <f>IFERROR(__xludf.DUMMYFUNCTION("REGEXEXTRACT(C923, """"""([^""""]+)"""""")"),"#N/A")</f>
        <v>#N/A</v>
      </c>
    </row>
    <row r="924">
      <c r="A924" s="23"/>
      <c r="B924" s="23"/>
      <c r="C924" s="24"/>
      <c r="D924" s="23"/>
      <c r="E924" s="25" t="str">
        <f>IFERROR(__xludf.DUMMYFUNCTION("REGEXEXTRACT(C924, """"""([^""""]+)"""""")"),"#N/A")</f>
        <v>#N/A</v>
      </c>
    </row>
    <row r="925">
      <c r="A925" s="23"/>
      <c r="B925" s="23"/>
      <c r="C925" s="24"/>
      <c r="D925" s="23"/>
      <c r="E925" s="25" t="str">
        <f>IFERROR(__xludf.DUMMYFUNCTION("REGEXEXTRACT(C925, """"""([^""""]+)"""""")"),"#N/A")</f>
        <v>#N/A</v>
      </c>
    </row>
    <row r="926">
      <c r="A926" s="23"/>
      <c r="B926" s="23"/>
      <c r="C926" s="24"/>
      <c r="D926" s="23"/>
      <c r="E926" s="25" t="str">
        <f>IFERROR(__xludf.DUMMYFUNCTION("REGEXEXTRACT(C926, """"""([^""""]+)"""""")"),"#N/A")</f>
        <v>#N/A</v>
      </c>
    </row>
    <row r="927">
      <c r="A927" s="23"/>
      <c r="B927" s="23"/>
      <c r="C927" s="24"/>
      <c r="D927" s="23"/>
      <c r="E927" s="25" t="str">
        <f>IFERROR(__xludf.DUMMYFUNCTION("REGEXEXTRACT(C927, """"""([^""""]+)"""""")"),"#N/A")</f>
        <v>#N/A</v>
      </c>
    </row>
    <row r="928">
      <c r="A928" s="23"/>
      <c r="B928" s="23"/>
      <c r="C928" s="24"/>
      <c r="D928" s="23"/>
      <c r="E928" s="25" t="str">
        <f>IFERROR(__xludf.DUMMYFUNCTION("REGEXEXTRACT(C928, """"""([^""""]+)"""""")"),"#N/A")</f>
        <v>#N/A</v>
      </c>
    </row>
    <row r="929">
      <c r="A929" s="23"/>
      <c r="B929" s="23"/>
      <c r="C929" s="24"/>
      <c r="D929" s="23"/>
      <c r="E929" s="25" t="str">
        <f>IFERROR(__xludf.DUMMYFUNCTION("REGEXEXTRACT(C929, """"""([^""""]+)"""""")"),"#N/A")</f>
        <v>#N/A</v>
      </c>
    </row>
    <row r="930">
      <c r="A930" s="23"/>
      <c r="B930" s="23"/>
      <c r="C930" s="24"/>
      <c r="D930" s="23"/>
      <c r="E930" s="25" t="str">
        <f>IFERROR(__xludf.DUMMYFUNCTION("REGEXEXTRACT(C930, """"""([^""""]+)"""""")"),"#N/A")</f>
        <v>#N/A</v>
      </c>
    </row>
    <row r="931">
      <c r="A931" s="23"/>
      <c r="B931" s="23"/>
      <c r="C931" s="24"/>
      <c r="D931" s="23"/>
      <c r="E931" s="25" t="str">
        <f>IFERROR(__xludf.DUMMYFUNCTION("REGEXEXTRACT(C931, """"""([^""""]+)"""""")"),"#N/A")</f>
        <v>#N/A</v>
      </c>
    </row>
    <row r="932">
      <c r="A932" s="23"/>
      <c r="B932" s="23"/>
      <c r="C932" s="24"/>
      <c r="D932" s="23"/>
      <c r="E932" s="25" t="str">
        <f>IFERROR(__xludf.DUMMYFUNCTION("REGEXEXTRACT(C932, """"""([^""""]+)"""""")"),"#N/A")</f>
        <v>#N/A</v>
      </c>
    </row>
    <row r="933">
      <c r="A933" s="23"/>
      <c r="B933" s="23"/>
      <c r="C933" s="24"/>
      <c r="D933" s="23"/>
      <c r="E933" s="25" t="str">
        <f>IFERROR(__xludf.DUMMYFUNCTION("REGEXEXTRACT(C933, """"""([^""""]+)"""""")"),"#N/A")</f>
        <v>#N/A</v>
      </c>
    </row>
    <row r="934">
      <c r="A934" s="23"/>
      <c r="B934" s="23"/>
      <c r="C934" s="24"/>
      <c r="D934" s="23"/>
      <c r="E934" s="25" t="str">
        <f>IFERROR(__xludf.DUMMYFUNCTION("REGEXEXTRACT(C934, """"""([^""""]+)"""""")"),"#N/A")</f>
        <v>#N/A</v>
      </c>
    </row>
    <row r="935">
      <c r="A935" s="23"/>
      <c r="B935" s="23"/>
      <c r="C935" s="24"/>
      <c r="D935" s="23"/>
      <c r="E935" s="25" t="str">
        <f>IFERROR(__xludf.DUMMYFUNCTION("REGEXEXTRACT(C935, """"""([^""""]+)"""""")"),"#N/A")</f>
        <v>#N/A</v>
      </c>
    </row>
    <row r="936">
      <c r="A936" s="23"/>
      <c r="B936" s="23"/>
      <c r="C936" s="24"/>
      <c r="D936" s="23"/>
      <c r="E936" s="25" t="str">
        <f>IFERROR(__xludf.DUMMYFUNCTION("REGEXEXTRACT(C936, """"""([^""""]+)"""""")"),"#N/A")</f>
        <v>#N/A</v>
      </c>
    </row>
    <row r="937">
      <c r="A937" s="23"/>
      <c r="B937" s="23"/>
      <c r="C937" s="24"/>
      <c r="D937" s="23"/>
      <c r="E937" s="25" t="str">
        <f>IFERROR(__xludf.DUMMYFUNCTION("REGEXEXTRACT(C937, """"""([^""""]+)"""""")"),"#N/A")</f>
        <v>#N/A</v>
      </c>
    </row>
    <row r="938">
      <c r="A938" s="23"/>
      <c r="B938" s="23"/>
      <c r="C938" s="24"/>
      <c r="D938" s="23"/>
      <c r="E938" s="25" t="str">
        <f>IFERROR(__xludf.DUMMYFUNCTION("REGEXEXTRACT(C938, """"""([^""""]+)"""""")"),"#N/A")</f>
        <v>#N/A</v>
      </c>
    </row>
    <row r="939">
      <c r="A939" s="23"/>
      <c r="B939" s="23"/>
      <c r="C939" s="24"/>
      <c r="D939" s="23"/>
      <c r="E939" s="25" t="str">
        <f>IFERROR(__xludf.DUMMYFUNCTION("REGEXEXTRACT(C939, """"""([^""""]+)"""""")"),"#N/A")</f>
        <v>#N/A</v>
      </c>
    </row>
    <row r="940">
      <c r="A940" s="23"/>
      <c r="B940" s="23"/>
      <c r="C940" s="24"/>
      <c r="D940" s="23"/>
      <c r="E940" s="25" t="str">
        <f>IFERROR(__xludf.DUMMYFUNCTION("REGEXEXTRACT(C940, """"""([^""""]+)"""""")"),"#N/A")</f>
        <v>#N/A</v>
      </c>
    </row>
    <row r="941">
      <c r="A941" s="23"/>
      <c r="B941" s="23"/>
      <c r="C941" s="24"/>
      <c r="D941" s="23"/>
      <c r="E941" s="25" t="str">
        <f>IFERROR(__xludf.DUMMYFUNCTION("REGEXEXTRACT(C941, """"""([^""""]+)"""""")"),"#N/A")</f>
        <v>#N/A</v>
      </c>
    </row>
    <row r="942">
      <c r="A942" s="23"/>
      <c r="B942" s="23"/>
      <c r="C942" s="24"/>
      <c r="D942" s="23"/>
      <c r="E942" s="25" t="str">
        <f>IFERROR(__xludf.DUMMYFUNCTION("REGEXEXTRACT(C942, """"""([^""""]+)"""""")"),"#N/A")</f>
        <v>#N/A</v>
      </c>
    </row>
    <row r="943">
      <c r="A943" s="23"/>
      <c r="B943" s="23"/>
      <c r="C943" s="24"/>
      <c r="D943" s="23"/>
      <c r="E943" s="25" t="str">
        <f>IFERROR(__xludf.DUMMYFUNCTION("REGEXEXTRACT(C943, """"""([^""""]+)"""""")"),"#N/A")</f>
        <v>#N/A</v>
      </c>
    </row>
    <row r="944">
      <c r="A944" s="23"/>
      <c r="B944" s="23"/>
      <c r="C944" s="24"/>
      <c r="D944" s="23"/>
      <c r="E944" s="25" t="str">
        <f>IFERROR(__xludf.DUMMYFUNCTION("REGEXEXTRACT(C944, """"""([^""""]+)"""""")"),"#N/A")</f>
        <v>#N/A</v>
      </c>
    </row>
    <row r="945">
      <c r="A945" s="23"/>
      <c r="B945" s="23"/>
      <c r="C945" s="24"/>
      <c r="D945" s="23"/>
      <c r="E945" s="25" t="str">
        <f>IFERROR(__xludf.DUMMYFUNCTION("REGEXEXTRACT(C945, """"""([^""""]+)"""""")"),"#N/A")</f>
        <v>#N/A</v>
      </c>
    </row>
    <row r="946">
      <c r="A946" s="23"/>
      <c r="B946" s="23"/>
      <c r="C946" s="24"/>
      <c r="D946" s="23"/>
      <c r="E946" s="25" t="str">
        <f>IFERROR(__xludf.DUMMYFUNCTION("REGEXEXTRACT(C946, """"""([^""""]+)"""""")"),"#N/A")</f>
        <v>#N/A</v>
      </c>
    </row>
    <row r="947">
      <c r="A947" s="23"/>
      <c r="B947" s="23"/>
      <c r="C947" s="24"/>
      <c r="D947" s="23"/>
      <c r="E947" s="25" t="str">
        <f>IFERROR(__xludf.DUMMYFUNCTION("REGEXEXTRACT(C947, """"""([^""""]+)"""""")"),"#N/A")</f>
        <v>#N/A</v>
      </c>
    </row>
    <row r="948">
      <c r="A948" s="23"/>
      <c r="B948" s="23"/>
      <c r="C948" s="24"/>
      <c r="D948" s="23"/>
      <c r="E948" s="25" t="str">
        <f>IFERROR(__xludf.DUMMYFUNCTION("REGEXEXTRACT(C948, """"""([^""""]+)"""""")"),"#N/A")</f>
        <v>#N/A</v>
      </c>
    </row>
    <row r="949">
      <c r="A949" s="23"/>
      <c r="B949" s="23"/>
      <c r="C949" s="24"/>
      <c r="D949" s="23"/>
      <c r="E949" s="25" t="str">
        <f>IFERROR(__xludf.DUMMYFUNCTION("REGEXEXTRACT(C949, """"""([^""""]+)"""""")"),"#N/A")</f>
        <v>#N/A</v>
      </c>
    </row>
    <row r="950">
      <c r="A950" s="23"/>
      <c r="B950" s="23"/>
      <c r="C950" s="24"/>
      <c r="D950" s="23"/>
      <c r="E950" s="25" t="str">
        <f>IFERROR(__xludf.DUMMYFUNCTION("REGEXEXTRACT(C950, """"""([^""""]+)"""""")"),"#N/A")</f>
        <v>#N/A</v>
      </c>
    </row>
    <row r="951">
      <c r="A951" s="23"/>
      <c r="B951" s="23"/>
      <c r="C951" s="24"/>
      <c r="D951" s="23"/>
      <c r="E951" s="25" t="str">
        <f>IFERROR(__xludf.DUMMYFUNCTION("REGEXEXTRACT(C951, """"""([^""""]+)"""""")"),"#N/A")</f>
        <v>#N/A</v>
      </c>
    </row>
    <row r="952">
      <c r="A952" s="23"/>
      <c r="B952" s="23"/>
      <c r="C952" s="24"/>
      <c r="D952" s="23"/>
      <c r="E952" s="25" t="str">
        <f>IFERROR(__xludf.DUMMYFUNCTION("REGEXEXTRACT(C952, """"""([^""""]+)"""""")"),"#N/A")</f>
        <v>#N/A</v>
      </c>
    </row>
    <row r="953">
      <c r="A953" s="23"/>
      <c r="B953" s="23"/>
      <c r="C953" s="24"/>
      <c r="D953" s="23"/>
      <c r="E953" s="25" t="str">
        <f>IFERROR(__xludf.DUMMYFUNCTION("REGEXEXTRACT(C953, """"""([^""""]+)"""""")"),"#N/A")</f>
        <v>#N/A</v>
      </c>
    </row>
    <row r="954">
      <c r="A954" s="23"/>
      <c r="B954" s="23"/>
      <c r="C954" s="24"/>
      <c r="D954" s="23"/>
      <c r="E954" s="25" t="str">
        <f>IFERROR(__xludf.DUMMYFUNCTION("REGEXEXTRACT(C954, """"""([^""""]+)"""""")"),"#N/A")</f>
        <v>#N/A</v>
      </c>
    </row>
    <row r="955">
      <c r="A955" s="23"/>
      <c r="B955" s="23"/>
      <c r="C955" s="24"/>
      <c r="D955" s="23"/>
      <c r="E955" s="25" t="str">
        <f>IFERROR(__xludf.DUMMYFUNCTION("REGEXEXTRACT(C955, """"""([^""""]+)"""""")"),"#N/A")</f>
        <v>#N/A</v>
      </c>
    </row>
    <row r="956">
      <c r="A956" s="23"/>
      <c r="B956" s="23"/>
      <c r="C956" s="24"/>
      <c r="D956" s="23"/>
      <c r="E956" s="25" t="str">
        <f>IFERROR(__xludf.DUMMYFUNCTION("REGEXEXTRACT(C956, """"""([^""""]+)"""""")"),"#N/A")</f>
        <v>#N/A</v>
      </c>
    </row>
  </sheetData>
  <autoFilter ref="$A$1:$E$1000">
    <sortState ref="A1:E1000">
      <sortCondition ref="B1:B1000"/>
      <sortCondition ref="D1:D1000"/>
    </sortState>
  </autoFilter>
  <drawing r:id="rId1"/>
</worksheet>
</file>