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cks (data)" sheetId="1" r:id="rId4"/>
    <sheet state="visible" name="System (zetatech)" sheetId="2" r:id="rId5"/>
    <sheet state="visible" name="Face (kiroshi)" sheetId="3" r:id="rId6"/>
    <sheet state="visible" name="Hands (kangtao)" sheetId="4" r:id="rId7"/>
    <sheet state="visible" name="Circulatory (biotechnica)" sheetId="5" r:id="rId8"/>
    <sheet state="visible" name="Legs (cytech)" sheetId="6" r:id="rId9"/>
    <sheet state="visible" name="Integumentary (dynalar)" sheetId="7" r:id="rId10"/>
    <sheet state="visible" name="Nervous (raven)" sheetId="8" r:id="rId11"/>
    <sheet state="visible" name="Skeleton (moore)" sheetId="9" r:id="rId12"/>
    <sheet state="visible" name="Arms (arasaka)" sheetId="10" r:id="rId13"/>
    <sheet state="visible" name="Cortex (fuyutsuki)" sheetId="11" r:id="rId14"/>
  </sheets>
  <definedNames>
    <definedName hidden="1" localSheetId="0" name="_xlnm._FilterDatabase">'Hacks (data)'!$A$1:$F$993</definedName>
    <definedName hidden="1" localSheetId="1" name="_xlnm._FilterDatabase">'System (zetatech)'!$A$1:$F$900</definedName>
    <definedName hidden="1" localSheetId="2" name="_xlnm._FilterDatabase">'Face (kiroshi)'!$A$1:$F$930</definedName>
    <definedName hidden="1" localSheetId="3" name="_xlnm._FilterDatabase">'Hands (kangtao)'!$A$1:$F$863</definedName>
    <definedName hidden="1" localSheetId="4" name="_xlnm._FilterDatabase">'Circulatory (biotechnica)'!$A$1:$F$886</definedName>
    <definedName hidden="1" localSheetId="5" name="_xlnm._FilterDatabase">'Legs (cytech)'!$A$1:$F$920</definedName>
    <definedName hidden="1" localSheetId="6" name="_xlnm._FilterDatabase">'Integumentary (dynalar)'!$A$1:$F$843</definedName>
    <definedName hidden="1" localSheetId="7" name="_xlnm._FilterDatabase">'Nervous (raven)'!$A$1:$F$849</definedName>
    <definedName hidden="1" localSheetId="8" name="_xlnm._FilterDatabase">'Skeleton (moore)'!$A$1:$F$725</definedName>
    <definedName hidden="1" localSheetId="9" name="_xlnm._FilterDatabase">'Arms (arasaka)'!$A$1:$F$858</definedName>
    <definedName hidden="1" localSheetId="10" name="_xlnm._FilterDatabase">'Cortex (fuyutsuki)'!$A$1:$F$883</definedName>
  </definedNames>
  <calcPr/>
</workbook>
</file>

<file path=xl/sharedStrings.xml><?xml version="1.0" encoding="utf-8"?>
<sst xmlns="http://schemas.openxmlformats.org/spreadsheetml/2006/main" count="2531" uniqueCount="647">
  <si>
    <t>SLOT</t>
  </si>
  <si>
    <t>TAG</t>
  </si>
  <si>
    <t>COMMAND</t>
  </si>
  <si>
    <t xml:space="preserve">NAME </t>
  </si>
  <si>
    <t>IDENTIFIER</t>
  </si>
  <si>
    <t>TIER</t>
  </si>
  <si>
    <t>QUICKHACK</t>
  </si>
  <si>
    <t>-</t>
  </si>
  <si>
    <t>Game.AddToInventory("Items.WhistleLvl0Program", 1)</t>
  </si>
  <si>
    <t>BAIT</t>
  </si>
  <si>
    <t>TIER 1</t>
  </si>
  <si>
    <t>Game.AddToInventory("Items.OverheatProgram", 1)</t>
  </si>
  <si>
    <t>OVERHEAT</t>
  </si>
  <si>
    <t>Game.AddToInventory("Items.PingProgram", 1)</t>
  </si>
  <si>
    <t>PING</t>
  </si>
  <si>
    <t>Game.AddToInventory("Items.BlindProgram", 1)</t>
  </si>
  <si>
    <t>REBOOT OPTICS</t>
  </si>
  <si>
    <t>Game.AddToInventory("Items.EMPOverloadProgram", 1)</t>
  </si>
  <si>
    <t>SHORT CIRCUIT</t>
  </si>
  <si>
    <t>Game.AddToInventory("Items.WhistleLvl1Program", 1)</t>
  </si>
  <si>
    <t>TIER 2</t>
  </si>
  <si>
    <t>Game.AddToInventory("Items.ContagionProgram", 1)</t>
  </si>
  <si>
    <t>CONTAGION</t>
  </si>
  <si>
    <t>Game.AddToInventory("Items.LocomotionMalfunctionProgram", 1)</t>
  </si>
  <si>
    <t>CRIPPLE MOVEMENT</t>
  </si>
  <si>
    <t>Game.AddToInventory("Items.DisableCyberwareProgram", 1)</t>
  </si>
  <si>
    <t>CYBERWARE MALFUNCTION</t>
  </si>
  <si>
    <t>Game.AddToInventory("Items.OverheatLvl1Program", 1)</t>
  </si>
  <si>
    <t>Game.AddToInventory("Items.BlindLvl1Program", 1)</t>
  </si>
  <si>
    <t>Game.AddToInventory("Items.CommsCallInLvl1Program", 1)</t>
  </si>
  <si>
    <t>REQUEST BACKUP</t>
  </si>
  <si>
    <t>Game.AddToInventory("Items.EMPOverloadLvl1Program", 1)</t>
  </si>
  <si>
    <t>Game.AddToInventory("Items.CommsNoiseProgram", 1)</t>
  </si>
  <si>
    <t>SONICK SHOCK</t>
  </si>
  <si>
    <t>Game.AddToInventory("Items.WeaponMalfunctionProgram", 1)</t>
  </si>
  <si>
    <t>WEAPON GLITCH</t>
  </si>
  <si>
    <t>Game.AddToInventory("Items.WhistleLvl2Program", 1)</t>
  </si>
  <si>
    <t>TIER 3</t>
  </si>
  <si>
    <t>Game.AddToInventory("Items.ContagionLvl2Program", 1)</t>
  </si>
  <si>
    <t>Game.AddToInventory("Items.LocomotionMalfunctionLvl2Program", 1)</t>
  </si>
  <si>
    <t>Game.AddToInventory("Items.DisableCyberwareLvl2Program", 1)</t>
  </si>
  <si>
    <t>Game.AddToInventory("Items.MemoryWipeLvl2Program", 1)</t>
  </si>
  <si>
    <t>MEMORY WIPE</t>
  </si>
  <si>
    <t>Game.AddToInventory("Items.OverheatLvl2Program", 1)</t>
  </si>
  <si>
    <t>Game.AddToInventory("Items.PingLvl2Program", 1)</t>
  </si>
  <si>
    <t>Game.AddToInventory("Items.BlindLvl2Program", 1)</t>
  </si>
  <si>
    <t>Game.AddToInventory("Items.CommsCallInLvl2Program", 1)</t>
  </si>
  <si>
    <t>Game.AddToInventory("Items.EMPOverloadLvl2Program", 1)</t>
  </si>
  <si>
    <t>Game.AddToInventory("Items.CommsNoiseLvl2Program", 1)</t>
  </si>
  <si>
    <t>Game.AddToInventory("Items.BrainMeltLvl2Program", 1)</t>
  </si>
  <si>
    <t>SYNAPSE BURNOUT</t>
  </si>
  <si>
    <t>Game.AddToInventory("Items.WeaponMalfunctionLvl2Program", 1)</t>
  </si>
  <si>
    <t>Game.AddToInventory("Items.WhistleLvl3Program", 1)</t>
  </si>
  <si>
    <t>TIER 4</t>
  </si>
  <si>
    <t>Game.AddToInventory("Items.ContagionLvl3Program", 1)</t>
  </si>
  <si>
    <t>Game.AddToInventory("Items.LocomotionMalfunctionLvl3Program", 1)</t>
  </si>
  <si>
    <t>Game.AddToInventory("Items.MadnessLvl3Program", 1)</t>
  </si>
  <si>
    <t>CYBERPSYCHOSIS</t>
  </si>
  <si>
    <t>Game.AddToInventory("Items.DisableCyberwareLvl3Program", 1)</t>
  </si>
  <si>
    <t>Game.AddToInventory("Items.GrenadeExplodeLvl3Program", 1)</t>
  </si>
  <si>
    <t>DETONATE GRENADE</t>
  </si>
  <si>
    <t>Game.AddToInventory("Items.MemoryWipeLvl3Program", 1)</t>
  </si>
  <si>
    <t>Game.AddToInventory("Items.OverheatLvl3Program", 1)</t>
  </si>
  <si>
    <t>Game.AddToInventory("Items.PingLvl3Program", 1)</t>
  </si>
  <si>
    <t>Game.AddToInventory("Items.BlindLvl3Program", 1)</t>
  </si>
  <si>
    <t>Game.AddToInventory("Items.CommsCallInLvl3Program", 1)</t>
  </si>
  <si>
    <t>Game.AddToInventory("Items.EMPOverloadLvl3Program", 1)</t>
  </si>
  <si>
    <t>Game.AddToInventory("Items.CommsNoiseLvl3Program", 1)</t>
  </si>
  <si>
    <t>Game.AddToInventory("Items.SuicideLvl3Program", 1)</t>
  </si>
  <si>
    <t>SUICIDE</t>
  </si>
  <si>
    <t>Game.AddToInventory("Items.BrainMeltLvl3Program", 1)</t>
  </si>
  <si>
    <t>Game.AddToInventory("Items.SystemCollapseLvl3Program", 1)</t>
  </si>
  <si>
    <t>SYSTEM RESET</t>
  </si>
  <si>
    <t>Game.AddToInventory("Items.WeaponMalfunctionLvl3Program", 1)</t>
  </si>
  <si>
    <t>Game.AddToInventory("Items.WhistleLvl4Program", 1)</t>
  </si>
  <si>
    <t>TIER 5</t>
  </si>
  <si>
    <t>Game.AddToInventory("Items.ContagionLvl4Program", 1)</t>
  </si>
  <si>
    <t>Game.AddToInventory("Items.LocomotionMalfunctionLvl4Program", 1)</t>
  </si>
  <si>
    <t>Game.AddToInventory("Items.MadnessLvl4Program", 1)</t>
  </si>
  <si>
    <t>Game.AddToInventory("Items.DisableCyberwareLvl4Program", 1)</t>
  </si>
  <si>
    <t>Game.AddToInventory("Items.GrenadeExplodeLvl4Program", 1)</t>
  </si>
  <si>
    <t>Game.AddToInventory("Items.MemoryWipeLvl4Program", 1)</t>
  </si>
  <si>
    <t>Game.AddToInventory("Items.OverheatLvl4Program", 1)</t>
  </si>
  <si>
    <t>Game.AddToInventory("Items.PingLvl4Program", 1)</t>
  </si>
  <si>
    <t>Game.AddToInventory("Items.BlindLvl4Program", 1)</t>
  </si>
  <si>
    <t>Game.AddToInventory("Items.CommsCallInLvl4Program", 1)</t>
  </si>
  <si>
    <t>Game.AddToInventory("Items.EMPOverloadLvl4Program", 1)</t>
  </si>
  <si>
    <t>Game.AddToInventory("Items.CommsNoiseLvl4Program", 1)</t>
  </si>
  <si>
    <t>Game.AddToInventory("Items.SuicideLvl4Program", 1)</t>
  </si>
  <si>
    <t>Game.AddToInventory("Items.BrainMeltLvl4Program", 1)</t>
  </si>
  <si>
    <t>Game.AddToInventory("Items.SystemCollapseLvl4Program", 1)</t>
  </si>
  <si>
    <t>Game.AddToInventory("Items.WeaponMalfunctionLvl4Program", 1)</t>
  </si>
  <si>
    <t>OPERATING SYSTEM</t>
  </si>
  <si>
    <t>Game.AddToInventory("Items.AdvancedArasakaShadowMKICommon", 1)</t>
  </si>
  <si>
    <t>ARASAKA MK.1</t>
  </si>
  <si>
    <t>Game.AddToInventory("Items.AdvancedMilitechParalineMKICommon", 1)</t>
  </si>
  <si>
    <t>MILITECH PARALINE MK.1</t>
  </si>
  <si>
    <t>Game.AddToInventory("Items.AdvancedTetratronicRipplerMKICommon", 1)</t>
  </si>
  <si>
    <t>TETRATRONIC RIPPLER MK.1</t>
  </si>
  <si>
    <t>Game.AddToInventory("Items.AdvancedArasakaShadowMKIIUncommon", 1)</t>
  </si>
  <si>
    <t>ARASAKA MK.2</t>
  </si>
  <si>
    <t>Game.AddToInventory("Items.AdvancedBerserkC2MK1", 1)</t>
  </si>
  <si>
    <t>BIODYNE BERSERK</t>
  </si>
  <si>
    <t>Game.AddToInventory("Items.AdvancedBiotechSigmaMKIUncommon", 1)</t>
  </si>
  <si>
    <t>BIOTECH Σ MK.1</t>
  </si>
  <si>
    <t>Game.AddToInventory("Items.AdvancedSandevistanC2MK1", 1)</t>
  </si>
  <si>
    <t>DYNALAR SANDEVISTAN</t>
  </si>
  <si>
    <t>Game.AddToInventory("Items.AdvancedMilitechParalineMKIIUncommon", 1)</t>
  </si>
  <si>
    <t>MILITECH PARALINE MK.2</t>
  </si>
  <si>
    <t>Game.AddToInventory("Items.AdvancedBerserkC1MK1", 1)</t>
  </si>
  <si>
    <t>MOORE TECH BERSERK</t>
  </si>
  <si>
    <t>Game.AddToInventory("Items.AdvancedTetratronicRipplerMKIIUncommon", 1)</t>
  </si>
  <si>
    <t>TETRATRONIC RIPPLER MK.2</t>
  </si>
  <si>
    <t>Game.AddToInventory("Items.AdvancedSandevistanC1MK1", 1)</t>
  </si>
  <si>
    <t>ZETATECH SANDEVISTAN</t>
  </si>
  <si>
    <t>Game.AddToInventory("Items.AdvancedArasakaShadowMKIIIRare", 1)</t>
  </si>
  <si>
    <t>ARASAKA MK.3</t>
  </si>
  <si>
    <t>Game.AddToInventory("Items.AdvancedBerserkC2MK2", 1)</t>
  </si>
  <si>
    <t>Game.AddToInventory("Items.AdvancedBiotechSigmaMKIIRare", 1)</t>
  </si>
  <si>
    <t>BIOTECH Σ MK.2</t>
  </si>
  <si>
    <t>Game.AddToInventory("Items.AdvancedSandevistanC2MK2", 1)</t>
  </si>
  <si>
    <t>Game.AddToInventory("Items.AdvancedMilitechParalineMKIIIRare", 1)</t>
  </si>
  <si>
    <t>MILITECH PARALINE MK.3</t>
  </si>
  <si>
    <t>Game.AddToInventory("Items.AdvancedBerserkC1MK2", 1)</t>
  </si>
  <si>
    <t>Game.AddToInventory("Items.AdvancedSandevistanC3MK3", 1)</t>
  </si>
  <si>
    <t>QIANT "WARP DANCER" SANDEVISTAN</t>
  </si>
  <si>
    <t>Game.AddToInventory("Items.AdvancedRavenMicrocyberMKIRare", 1)</t>
  </si>
  <si>
    <t>RAVEN MICROCYBER MK.1</t>
  </si>
  <si>
    <t>Game.AddToInventory("Items.AdvancedTetratronicRipplerMKIIIRare", 1)</t>
  </si>
  <si>
    <t>TETRATRONIC RIPPLER MK.3</t>
  </si>
  <si>
    <t>Game.AddToInventory("Items.AdvancedBerserkC3MK3", 1)</t>
  </si>
  <si>
    <t>ZETATECH BERSERK</t>
  </si>
  <si>
    <t>Game.AddToInventory("Items.AdvancedSandevistanC1MK2", 1)</t>
  </si>
  <si>
    <t>Game.AddToInventory("Items.AdvancedArasakaShadowMKIVEpic", 1)</t>
  </si>
  <si>
    <t>ARASAKA MK.4</t>
  </si>
  <si>
    <t>Game.AddToInventory("Items.AdvancedBerserkC2MK3", 1)</t>
  </si>
  <si>
    <t>Game.AddToInventory("Items.AdvancedBiotechSigmaMKIIIEpic", 1)</t>
  </si>
  <si>
    <t>BIOTECH Σ MK.3</t>
  </si>
  <si>
    <t>Game.AddToInventory("Items.AdvancedSandevistanC2MK3", 1)</t>
  </si>
  <si>
    <t>Game.AddToInventory("Items.AdvancedMilitechParalineMKIVEpic", 1)</t>
  </si>
  <si>
    <t>MILITECH PARALINE MK.4</t>
  </si>
  <si>
    <t>Game.AddToInventory("Items.AdvancedBerserkC1MK3", 1)</t>
  </si>
  <si>
    <t>Game.AddToInventory("Items.AdvancedSandevistanC3MK4", 1)</t>
  </si>
  <si>
    <t>Game.AddToInventory("Items.AdvancedRavenMicrocyberMKIIEpic", 1)</t>
  </si>
  <si>
    <t>RAVEN MICROCYBER MK.2</t>
  </si>
  <si>
    <t>Game.AddToInventory("Items.AdvancedTetratronicRipplerMKIVEpic", 1)</t>
  </si>
  <si>
    <t>TETRATRONIC RIPPLER MK.4</t>
  </si>
  <si>
    <t>Game.AddToInventory("Items.AdvancedBerserkC3MK4", 1)</t>
  </si>
  <si>
    <t>Game.AddToInventory("Items.AdvancedSandevistanC1MK3", 1)</t>
  </si>
  <si>
    <t>Game.AddToInventory("Items.AdvancedArasakaShadowMKVLegendary", 1)</t>
  </si>
  <si>
    <t>ARASAKA MK.5</t>
  </si>
  <si>
    <t>Game.AddToInventory("Items.AdvancedBerserkC2MK4", 1)</t>
  </si>
  <si>
    <t>Game.AddToInventory("Items.AdvancedBiotechSigmaMKIVLegendary", 1)</t>
  </si>
  <si>
    <t>BIOTECH Σ MK.4</t>
  </si>
  <si>
    <t>Game.AddToInventory("Items.AdvancedSandevistanC2MK4", 1)</t>
  </si>
  <si>
    <t>Game.AddToInventory("Items.AdvancedMilitechParalineMKVLegendary", 1)</t>
  </si>
  <si>
    <t>Game.AddToInventory("Items.AdvancedBerserkC1MK4", 1)</t>
  </si>
  <si>
    <t>Game.AddToInventory("Items.AdvancedSandevistanC3MK5", 1)</t>
  </si>
  <si>
    <t>Game.AddToInventory("Items.AdvancedRavenMicrocyberMKIIILegendary", 1)</t>
  </si>
  <si>
    <t>RAVEN MICROCYBER MK.3</t>
  </si>
  <si>
    <t>Game.AddToInventory("Items.AdvancedTetratronicRipplerMKVLegendary", 1)</t>
  </si>
  <si>
    <t>TETRATRONIC RIPPLER MK.5</t>
  </si>
  <si>
    <t>Game.AddToInventory("Items.AdvancedBerserkC3MK5", 1)</t>
  </si>
  <si>
    <t>Game.AddToInventory("Items.AdvancedSandevistanC1MK4", 1)</t>
  </si>
  <si>
    <t>FACE</t>
  </si>
  <si>
    <t>Game.AddToInventory("Items.AdvancedKiroshiOpticsBareCommon", 1)</t>
  </si>
  <si>
    <t>BASIC KIROSHI OPTICS</t>
  </si>
  <si>
    <t>Game.AddToInventory("Items.AdvancedKiroshiOpticsWallhackCommon", 1)</t>
  </si>
  <si>
    <t>KIROSHI "CLAIRVOYANT" OPTICS</t>
  </si>
  <si>
    <t>Game.AddToInventory("Items.AdvancedKiroshiOpticsHunterCommon", 1)</t>
  </si>
  <si>
    <t>KIROSHI "DOOMSAYER" OPTICS</t>
  </si>
  <si>
    <t>Game.AddToInventory("Items.AdvancedKiroshiOpticsSensorCommon", 1)</t>
  </si>
  <si>
    <t>KIROSHI "SENTRY" OPTICS</t>
  </si>
  <si>
    <t>Game.AddToInventory("Items.AdvancedKiroshiOpticsPiercingCommon", 1)</t>
  </si>
  <si>
    <t>KIROSHI "STALKER" OPTICS</t>
  </si>
  <si>
    <t>Game.AddToInventory("Items.AdvancedKiroshiOpticsCombinedCommon", 1)</t>
  </si>
  <si>
    <t>KIROSHI "THE ORACLE" OPTICS</t>
  </si>
  <si>
    <t>Game.AddToInventory("Items.AdvancedKiroshiOpticsBareUncommon", 1)</t>
  </si>
  <si>
    <t>Game.AddToInventory("Items.AdvancedKiroshiOpticsWallhackUncommon", 1)</t>
  </si>
  <si>
    <t>Game.AddToInventory("Items.AdvancedKiroshiOpticsHunterUncommon", 1)</t>
  </si>
  <si>
    <t>Game.AddToInventory("Items.AdvancedKiroshiOpticsSensor_Uncommon", 1)</t>
  </si>
  <si>
    <t>Game.AddToInventory("Items.AdvancedKiroshiOpticsPiercingUncommon", 1)</t>
  </si>
  <si>
    <t>Game.AddToInventory("Items.AdvancedKiroshiOpticsCombinedUncommon", 1)</t>
  </si>
  <si>
    <t>Game.AddToInventory("Items.AdvancedKiroshiOpticsBareRare", 1)</t>
  </si>
  <si>
    <t>Game.AddToInventory("Items.AdvancedKiroshiOpticsWallhackRare", 1)</t>
  </si>
  <si>
    <t>Game.AddToInventory("Items.AdvancedKiroshiOpticsHunterRare", 1)</t>
  </si>
  <si>
    <t>Game.AddToInventory("Items.AdvancedKiroshiOpticsSensorRare", 1)</t>
  </si>
  <si>
    <t>Game.AddToInventory("Items.AdvancedKiroshiOpticsPiercingRare", 1)</t>
  </si>
  <si>
    <t>Game.AddToInventory("Items.AdvancedKiroshiOpticsCombinedRare", 1)</t>
  </si>
  <si>
    <t>Game.AddToInventory("Items.AdvancedKiroshiOpticsBareEpic", 1)</t>
  </si>
  <si>
    <t>Game.AddToInventory("Items.AdvancedKiroshiOpticsWallhackEpic", 1)</t>
  </si>
  <si>
    <t>Game.AddToInventory("Items.AdvancedKiroshiOpticsHunterEpic", 1)</t>
  </si>
  <si>
    <t>Game.AddToInventory("Items.AdvancedKiroshiOpticsSensorEpic", 1)</t>
  </si>
  <si>
    <t>Game.AddToInventory("Items.AdvancedKiroshiOpticsPiercingEpic", 1)</t>
  </si>
  <si>
    <t>Game.AddToInventory("Items.AdvancedKiroshiOpticsCombinedEpic", 1)</t>
  </si>
  <si>
    <t>Game.AddToInventory("Items.AdvancedKiroshiOpticsBareLegendary", 1)</t>
  </si>
  <si>
    <t>Game.AddToInventory("Items.AdvancedKiroshiOpticsWallhackLegendary", 1)</t>
  </si>
  <si>
    <t>Game.AddToInventory("Items.AdvancedKiroshiOpticsHunterLegendary", 1)</t>
  </si>
  <si>
    <t>Game.AddToInventory("Items.AdvancedKiroshiOpticsSensorLegendary", 1)</t>
  </si>
  <si>
    <t>Game.AddToInventory("Items.AdvancedKiroshiOpticsPiercingLegendary", 1)</t>
  </si>
  <si>
    <t>Game.AddToInventory("Items.AdvancedKiroshiOpticsCombinedLegendary", 1)</t>
  </si>
  <si>
    <t>HANDS</t>
  </si>
  <si>
    <t>Game.AddToInventory("Items.AdvancedPowerGripCommon", 1)</t>
  </si>
  <si>
    <t>BALLISTIC COPROCESSOR</t>
  </si>
  <si>
    <t>Game.AddToInventory("Items.AdvancedKnifeSharpenerCommon", 1)</t>
  </si>
  <si>
    <t>HANDLE WRAP</t>
  </si>
  <si>
    <t>Game.AddToInventory("Items.AdvancedMicroGeneratorCommon", 1)</t>
  </si>
  <si>
    <t>MICROGENERATOR</t>
  </si>
  <si>
    <t>Game.AddToInventory("Items.AdvancedJointLockCommon", 1)</t>
  </si>
  <si>
    <t>SHOCK ABSORBER</t>
  </si>
  <si>
    <t>Game.AddToInventory("Items.AdvancedSmartLinkCommon", 1)</t>
  </si>
  <si>
    <t>SMART LINK</t>
  </si>
  <si>
    <t>Game.AddToInventory("Items.AdvancedPowerGripUncommon", 1)</t>
  </si>
  <si>
    <t>Game.AddToInventory("Items.AdvancedKnifeSharpenerUncommon", 1)</t>
  </si>
  <si>
    <t>Game.AddToInventory("Items.AdvancedMicroGeneratorUncommon", 1)</t>
  </si>
  <si>
    <t>Game.AddToInventory("Items.AdvancedJointLockUncommon", 1)</t>
  </si>
  <si>
    <t>Game.AddToInventory("Items.AdvancedSmartLinkUncommon", 1)</t>
  </si>
  <si>
    <t>Game.AddToInventory("Items.AdvancedPowerGripRare", 1)</t>
  </si>
  <si>
    <t>Game.AddToInventory("Items.AdvancedKnifeSharpenerRare", 1)</t>
  </si>
  <si>
    <t>Game.AddToInventory("Items.AdvancedMicroGeneratorRare", 1)</t>
  </si>
  <si>
    <t>Game.AddToInventory("Items.AdvancedJointLockRare", 1)</t>
  </si>
  <si>
    <t>Game.AddToInventory("Items.AdvancedSmartLinkRare", 1)</t>
  </si>
  <si>
    <t>Game.AddToInventory("Items.AdvancedPowerGripEpic", 1)</t>
  </si>
  <si>
    <t>Game.AddToInventory("Items.AdvancedKnifeSharpenerEpic", 1)</t>
  </si>
  <si>
    <t>Game.AddToInventory("Items.AdvancedMicroGeneratorEpic", 1)</t>
  </si>
  <si>
    <t>Game.AddToInventory("Items.AdvancedJointLockEpic", 1)</t>
  </si>
  <si>
    <t>Game.AddToInventory("Items.AdvancedSmartLinkEpic", 1)</t>
  </si>
  <si>
    <t>Game.AddToInventory("Items.AdvancedPowerGripLegendary", 1)</t>
  </si>
  <si>
    <t>Game.AddToInventory("Items.AdvancedKnifeSharpenerLegendary", 1)</t>
  </si>
  <si>
    <t>Game.AddToInventory("Items.AdvancedMicroGeneratorLegendary", 1)</t>
  </si>
  <si>
    <t>Game.AddToInventory("Items.AdvancedJointLockLegendary", 1)</t>
  </si>
  <si>
    <t>Game.AddToInventory("Items.AdvancedSmartLinkLegendary", 1)</t>
  </si>
  <si>
    <t>CIRCULATORY SYSTEM</t>
  </si>
  <si>
    <t>Game.AddToInventory("Items.AdvancedStaminaRegenBoosterCommon", 1)</t>
  </si>
  <si>
    <t>ADRENALINE BOOSTER</t>
  </si>
  <si>
    <t>Game.AddToInventory("Items.AdvancedViralVenomCommon", 1)</t>
  </si>
  <si>
    <t>BLACK MAMBA</t>
  </si>
  <si>
    <t>Game.AddToInventory("Items.AdvancedBloodPumpCommon", 1)</t>
  </si>
  <si>
    <t>BLOOD PUMP</t>
  </si>
  <si>
    <t>Game.AddToInventory("Items.AdvancedShockAbsorberCommon", 1)</t>
  </si>
  <si>
    <t>CLUTCH PADDING</t>
  </si>
  <si>
    <t>Game.AddToInventory("Items.AdvancedHealOnKillCommon", 1)</t>
  </si>
  <si>
    <t>HEAL-ON-KILL</t>
  </si>
  <si>
    <t>Game.AddToInventory("Items.AdvancedCyberRotorsCommon", 1)</t>
  </si>
  <si>
    <t>MICROROTORS</t>
  </si>
  <si>
    <t>Game.AddToInventory("Items.AdvancedCatchMeIfYouCanCommon", 1)</t>
  </si>
  <si>
    <t>THREATEVAC</t>
  </si>
  <si>
    <t>Game.AddToInventory("Items.AdvancedStaminaRegenBoosterUncommon", 1)</t>
  </si>
  <si>
    <t>Game.AddToInventory("Items.AdvancedViralVenomUncommon", 1)</t>
  </si>
  <si>
    <t>Game.AddToInventory("Items.AdvancedBloodPumpUncommon", 1)</t>
  </si>
  <si>
    <t>Game.AddToInventory("Items.AdvancedShockAbsorberUncommon", 1)</t>
  </si>
  <si>
    <t>Game.AddToInventory("Items.AdvancedHealOnKillUncommon", 1)</t>
  </si>
  <si>
    <t>Game.AddToInventory("Items.AdvancedCyberRotorsUncommon", 1)</t>
  </si>
  <si>
    <t>Game.AddToInventory("Items.AdvancedCatchMeIfYouCanUncommon", 1)</t>
  </si>
  <si>
    <t>Game.AddToInventory("Items.AdvancedStaminaRegenBoosterRare", 1)</t>
  </si>
  <si>
    <t>Game.AddToInventory("Items.AdvancedViralVenomRare", 1)</t>
  </si>
  <si>
    <t>Game.AddToInventory("Items.AdvancedBloodPumpRare", 1)</t>
  </si>
  <si>
    <t>Game.AddToInventory("Items.AdvancedShockAbsorberRare", 1)</t>
  </si>
  <si>
    <t>Game.AddToInventory("Items.AdvancedDischargeConnectorRare", 1)</t>
  </si>
  <si>
    <t>FEEDBACK CIRCUIT</t>
  </si>
  <si>
    <t>Game.AddToInventory("Items.AdvancedHealOnKillRare", 1)</t>
  </si>
  <si>
    <t>Game.AddToInventory("Items.AdvancedCyberRotorsRare", 1)</t>
  </si>
  <si>
    <t>Game.AddToInventory("Items.AdvancedCatchMeIfYouCanRare", 1)</t>
  </si>
  <si>
    <t>Game.AddToInventory("Items.AdvancedStaminaRegenBoosterEpic", 1)</t>
  </si>
  <si>
    <t>Game.AddToInventory("Items.AdvancedViralVenomEpic", 1)</t>
  </si>
  <si>
    <t>Game.AddToInventory("Items.AdvancedBloodPumpEpic", 1)</t>
  </si>
  <si>
    <t>Game.AddToInventory("Items.AdvancedShockAbsorberEpic", 1)</t>
  </si>
  <si>
    <t>Game.AddToInventory("Items.AdvancedDischargeConnectorEpic", 1)</t>
  </si>
  <si>
    <t>Game.AddToInventory("Items.AdvancedHealOnKillEpic", 1)</t>
  </si>
  <si>
    <t>Game.AddToInventory("Items.AdvancedCyberRotorsEpic", 1)</t>
  </si>
  <si>
    <t>Game.AddToInventory("Items.AdvancedSecondHeartEpic", 1)</t>
  </si>
  <si>
    <t>SECOND HEART</t>
  </si>
  <si>
    <t>Game.AddToInventory("Items.AdvancedCatchMeIfYouCanEpic", 1)</t>
  </si>
  <si>
    <t>Game.AddToInventory("Items.AdvancedStaminaRegenBoosterLegendary", 1)</t>
  </si>
  <si>
    <t>Game.AddToInventory("Items.AdvancedViralVenomLegendary", 1)</t>
  </si>
  <si>
    <t>Game.AddToInventory("Items.AdvancedBloodPumpLegendary", 1)</t>
  </si>
  <si>
    <t>Game.AddToInventory("Items.AdvancedShockAbsorberLegendary", 1)</t>
  </si>
  <si>
    <t>Game.AddToInventory("Items.AdvancedDischargeConnectorLegendary", 1)</t>
  </si>
  <si>
    <t>Game.AddToInventory("Items.AdvancedHealOnKillLegendary", 1)</t>
  </si>
  <si>
    <t>Game.AddToInventory("Items.AdvancedCyberRotorsLegendary", 1)</t>
  </si>
  <si>
    <t>Game.AddToInventory("Items.AdvancedSecondHeartLegendary", 1)</t>
  </si>
  <si>
    <t>Game.AddToInventory("Items.AdvancedCatchMeIfYouCanLegendary", 1)</t>
  </si>
  <si>
    <t>LEGS</t>
  </si>
  <si>
    <t>Game.AddToInventory("Items.AdvancedJenkinsTendonsCommon", 1)</t>
  </si>
  <si>
    <t>JENKINS' TENDONS</t>
  </si>
  <si>
    <t>Game.AddToInventory("Items.AdvancedReinforcedMusclesUncommon", 1)</t>
  </si>
  <si>
    <t>FORTIFIED ANKLES</t>
  </si>
  <si>
    <t>Game.AddToInventory("Items.AdvancedJenkinsTendonsUncommon", 1)</t>
  </si>
  <si>
    <t>Game.AddToInventory("Items.AdvancedCatPawsUncommon", 1)</t>
  </si>
  <si>
    <t>LYNX PAWS</t>
  </si>
  <si>
    <t>Game.AddToInventory("Items.AdvancedBoostedTendonsUncommon", 1)</t>
  </si>
  <si>
    <t>REINFORCED TENDONS</t>
  </si>
  <si>
    <t>Game.AddToInventory("Items.AdvancedReinforcedMusclesRare", 1)</t>
  </si>
  <si>
    <t>Game.AddToInventory("Items.AdvancedJenkinsTendonsRare", 1)</t>
  </si>
  <si>
    <t>Game.AddToInventory("Items.AdvancedCatPawsRare", 1)</t>
  </si>
  <si>
    <t>Game.AddToInventory("Items.AdvancedBoostedTendonsRare", 1)</t>
  </si>
  <si>
    <t>Game.AddToInventory("Items.AdvancedReinforcedMusclesEpic", 1)</t>
  </si>
  <si>
    <t>Game.AddToInventory("Items.AdvancedJenkinsTendonsEpic", 1)</t>
  </si>
  <si>
    <t>Game.AddToInventory("Items.AdvancedCatPawsEpic", 1)</t>
  </si>
  <si>
    <t>Game.AddToInventory("Items.AdvancedBoostedTendonsEpic", 1)</t>
  </si>
  <si>
    <t>Game.AddToInventory("Items.AdvancedReinforcedMusclesLegendary", 1)</t>
  </si>
  <si>
    <t>Game.AddToInventory("Items.AdvancedJenkinsTendonsLegendary", 1)</t>
  </si>
  <si>
    <t>Game.AddToInventory("Items.AdvancedCatPawsLegendary", 1)</t>
  </si>
  <si>
    <t>Game.AddToInventory("Items.AdvancedBoostedTendonsLegendary", 1)</t>
  </si>
  <si>
    <t>INTEGUMENTARY SYSTEM</t>
  </si>
  <si>
    <t>Game.AddToInventory("Items.AdvancedWeirdTankyPlatingCommon", 1)</t>
  </si>
  <si>
    <t>CARAPACE</t>
  </si>
  <si>
    <t>Game.AddToInventory("Items.AdvancedAdaptiveStemCellsCommon", 1)</t>
  </si>
  <si>
    <t>CELLULAR ADAPTER</t>
  </si>
  <si>
    <t>Game.AddToInventory("Items.AdvancedSuddenAidCommon", 1)</t>
  </si>
  <si>
    <t>COUNTERSHELL</t>
  </si>
  <si>
    <t>Game.AddToInventory("Items.AdvancedPlatingGlitchCommon", 1)</t>
  </si>
  <si>
    <t>DEFENZIKOV</t>
  </si>
  <si>
    <t>Game.AddToInventory("Items.AdvancedNanoTechPlatesCommon", 1)</t>
  </si>
  <si>
    <t>NANO-PLATING</t>
  </si>
  <si>
    <t>Game.AddToInventory("Items.AdvancedOpticalCamoCommon", 1)</t>
  </si>
  <si>
    <t>OPTICAL CAMO</t>
  </si>
  <si>
    <t>Game.AddToInventory("Items.AdvancedBloodDepleterCommon", 1)</t>
  </si>
  <si>
    <t>PAINDUCER</t>
  </si>
  <si>
    <t>Game.AddToInventory("Items.AdvancedProximityReducerCommon", 1)</t>
  </si>
  <si>
    <t>PROXISHIELD</t>
  </si>
  <si>
    <t>Game.AddToInventory("Items.AdvancedChargeSystemCommon", 1)</t>
  </si>
  <si>
    <t>RANGEGUARD</t>
  </si>
  <si>
    <t>Game.AddToInventory("Items.AdvancedElectroshockMechanismCommon", 1)</t>
  </si>
  <si>
    <t>SHOCK-N-AWE</t>
  </si>
  <si>
    <t>Game.AddToInventory("Items.AdvancedBoringPlatingCommon", 1)</t>
  </si>
  <si>
    <t>SUBDERMAL ARMOR</t>
  </si>
  <si>
    <t>Game.AddToInventory("Items.AdvancedWeirdTankyPlatingUncommon", 1)</t>
  </si>
  <si>
    <t>Game.AddToInventory("Items.AdvancedAdaptiveStemCellsUncommon", 1)</t>
  </si>
  <si>
    <t>Game.AddToInventory("Items.AdvancedSuddenAidUncommon", 1)</t>
  </si>
  <si>
    <t>Game.AddToInventory("Items.AdvancedPlatingGlitchUncommon", 1)</t>
  </si>
  <si>
    <t>Game.AddToInventory("Items.AdvancedNanoTechPlatesUncommon", 1)</t>
  </si>
  <si>
    <t>Game.AddToInventory("Items.AdvancedOpticalCamoUncommon", 1)</t>
  </si>
  <si>
    <t>Game.AddToInventory("Items.AdvancedBloodDepleterUncommon", 1)</t>
  </si>
  <si>
    <t>Game.AddToInventory("Items.AdvancedProximityReducerUncommon", 1)</t>
  </si>
  <si>
    <t>Game.AddToInventory("Items.AdvancedChargeSystemUncommon", 1)</t>
  </si>
  <si>
    <t>Game.AddToInventory("Items.AdvancedElectroshockMechanismUncommon", 1)</t>
  </si>
  <si>
    <t>Game.AddToInventory("Items.AdvancedBoringPlatingUncommon", 1)</t>
  </si>
  <si>
    <t>Game.AddToInventory("Items.AdvancedWeirdTankyPlatingRare", 1)</t>
  </si>
  <si>
    <t>Game.AddToInventory("Items.AdvancedAdaptiveStemCellsRare", 1)</t>
  </si>
  <si>
    <t>Game.AddToInventory("Items.AdvancedSuddenAidRare", 1)</t>
  </si>
  <si>
    <t>Game.AddToInventory("Items.AdvancedPlatingGlitchRare", 1)</t>
  </si>
  <si>
    <t>Game.AddToInventory("Items.AdvancedNanoTechPlatesRare", 1)</t>
  </si>
  <si>
    <t>Game.AddToInventory("Items.AdvancedOpticalCamoRare", 1)</t>
  </si>
  <si>
    <t>Game.AddToInventory("Items.AdvancedBloodDepleterRare", 1)</t>
  </si>
  <si>
    <t>Game.AddToInventory("Items.AdvancedProximityReducerRare", 1)</t>
  </si>
  <si>
    <t>Game.AddToInventory("Items.AdvancedChargeSystemRare", 1)</t>
  </si>
  <si>
    <t>Game.AddToInventory("Items.AdvancedElectroshockMechanismRare", 1)</t>
  </si>
  <si>
    <t>Game.AddToInventory("Items.AdvancedBoringPlatingRare", 1)</t>
  </si>
  <si>
    <t>Game.AddToInventory("Items.AdvancedWeirdTankyPlatingEpic", 1)</t>
  </si>
  <si>
    <t>Game.AddToInventory("Items.AdvancedAdaptiveStemCellsEpic", 1)</t>
  </si>
  <si>
    <t>Game.AddToInventory("Items.AdvancedSuddenAidEpic", 1)</t>
  </si>
  <si>
    <t>Game.AddToInventory("Items.AdvancedPlatingGlitchEpic", 1)</t>
  </si>
  <si>
    <t>Game.AddToInventory("Items.AdvancedNanoTechPlatesEpic", 1)</t>
  </si>
  <si>
    <t>Game.AddToInventory("Items.AdvancedOpticalCamoEpic", 1)</t>
  </si>
  <si>
    <t>Game.AddToInventory("Items.AdvancedPainReductorEpic", 1)</t>
  </si>
  <si>
    <t>PAIN EDITOR</t>
  </si>
  <si>
    <t>Game.AddToInventory("Items.AdvancedBloodDepleterEpic", 1)</t>
  </si>
  <si>
    <t>Game.AddToInventory("Items.AdvancedProximityReducerEpic", 1)</t>
  </si>
  <si>
    <t>Game.AddToInventory("Items.AdvancedChargeSystemEpic", 1)</t>
  </si>
  <si>
    <t>Game.AddToInventory("Items.AdvancedElectroshockMechanismEpic", 1)</t>
  </si>
  <si>
    <t>Game.AddToInventory("Items.AdvancedBoringPlatingEpic", 1)</t>
  </si>
  <si>
    <t>Game.AddToInventory("Items.AdvancedWeirdTankyPlatingLegendary", 1)</t>
  </si>
  <si>
    <t>Game.AddToInventory("Items.AdvancedAdaptiveStemCellsLegendary", 1)</t>
  </si>
  <si>
    <t>Game.AddToInventory("Items.AdvancedSuddenAidLegendary", 1)</t>
  </si>
  <si>
    <t>Game.AddToInventory("Items.AdvancedPlatingGlitchLegendary", 1)</t>
  </si>
  <si>
    <t>Game.AddToInventory("Items.AdvancedNanoTechPlatesLegendary", 1)</t>
  </si>
  <si>
    <t>Game.AddToInventory("Items.AdvancedOpticalCamoLegendary", 1)</t>
  </si>
  <si>
    <t>Game.AddToInventory("Items.AdvancedPainReductorLegendary", 1)</t>
  </si>
  <si>
    <t>Game.AddToInventory("Items.AdvancedBloodDepleterLegendary", 1)</t>
  </si>
  <si>
    <t>Game.AddToInventory("Items.AdvancedProximityReducerLegendary", 1)</t>
  </si>
  <si>
    <t>Game.AddToInventory("Items.AdvancedChargeSystemLegendary", 1)</t>
  </si>
  <si>
    <t>Game.AddToInventory("Items.AdvancedElectroshockMechanismLegendary", 1)</t>
  </si>
  <si>
    <t>Game.AddToInventory("Items.AdvancedBoringPlatingLegendary", 1)</t>
  </si>
  <si>
    <t>2.1 PATCH</t>
  </si>
  <si>
    <t>Game.AddToInventory("Items.AdvancedCogitoFrameCommon", 1)</t>
  </si>
  <si>
    <t>COGITO LATTICE</t>
  </si>
  <si>
    <t>Game.AddToInventory("Items.AdvancedCogitoFrameUncommon", 1)</t>
  </si>
  <si>
    <t>Game.AddToInventory("Items.AdvancedCogitoFrameRare", 1)</t>
  </si>
  <si>
    <t>Game.AddToInventory("Items.AdvancedCogitoFrameEpic", 1)</t>
  </si>
  <si>
    <t>Game.AddToInventory("Items.AdvancedCogitoFrameLegendary", 1)</t>
  </si>
  <si>
    <t>NERVOUS SYSTEM</t>
  </si>
  <si>
    <t>Game.AddToInventory("Items.AdvancedDetectorRushCommon", 1)</t>
  </si>
  <si>
    <t>ADRENALINE CONVERTER</t>
  </si>
  <si>
    <t>Game.AddToInventory("Items.AdvancedTroubleFinderCommon", 1)</t>
  </si>
  <si>
    <t>ATOMIC SENSORS</t>
  </si>
  <si>
    <t>Game.AddToInventory("Items.AdvancedKerenzikovCommon", 1)</t>
  </si>
  <si>
    <t>KERENZIKOV</t>
  </si>
  <si>
    <t>Game.AddToInventory("Items.AdvancedNeoFiberCommon", 1)</t>
  </si>
  <si>
    <t>NEOFIBER</t>
  </si>
  <si>
    <t>Game.AddToInventory("Items.AdvancedReflexRecorderCommon", 1)</t>
  </si>
  <si>
    <t>REFLEX TUNER</t>
  </si>
  <si>
    <t>Game.AddToInventory("Items.AdvancedOilDispenserCommon", 1)</t>
  </si>
  <si>
    <t>STABBER</t>
  </si>
  <si>
    <t>Game.AddToInventory("Items.AdvancedSynapticAcceleratorCommon", 1)</t>
  </si>
  <si>
    <t>SYNAPTIC ACCELERATOR</t>
  </si>
  <si>
    <t>Game.AddToInventory("Items.AdvancedTyrosineInjectorCommon", 1)</t>
  </si>
  <si>
    <t>TYROSINE INJECTOR</t>
  </si>
  <si>
    <t>Game.AddToInventory("Items.AdvancedVisualCortexSupportCommon", 1)</t>
  </si>
  <si>
    <t>VISUAL CORTEX SUPPORT</t>
  </si>
  <si>
    <t>Game.AddToInventory("Items.AdvancedDetectorRushUncommon", 1)</t>
  </si>
  <si>
    <t>Game.AddToInventory("Items.AdvancedTroubleFinderUncommon", 1)</t>
  </si>
  <si>
    <t>Game.AddToInventory("Items.AdvancedKerenzikovUncommon", 1)</t>
  </si>
  <si>
    <t>Game.AddToInventory("Items.AdvancedNeoFiberUncommon", 1)</t>
  </si>
  <si>
    <t>Game.AddToInventory("Items.AdvancedReflexRecorderUncommon", 1)</t>
  </si>
  <si>
    <t>Game.AddToInventory("Items.AdvancedOilDispenserUncommon", 1)</t>
  </si>
  <si>
    <t>Game.AddToInventory("Items.AdvancedSynapticAcceleratorUncommon", 1)</t>
  </si>
  <si>
    <t>Game.AddToInventory("Items.AdvancedTyrosineInjectorUncommon", 1)</t>
  </si>
  <si>
    <t>Game.AddToInventory("Items.AdvancedVisualCortexSupportUncommon", 1)</t>
  </si>
  <si>
    <t>Game.AddToInventory("Items.AdvancedDetectorRushRare", 1)</t>
  </si>
  <si>
    <t>Game.AddToInventory("Items.AdvancedTroubleFinderRare", 1)</t>
  </si>
  <si>
    <t>Game.AddToInventory("Items.AdvancedKerenzikovRare", 1)</t>
  </si>
  <si>
    <t>Game.AddToInventory("Items.AdvancedNeoFiberRare", 1)</t>
  </si>
  <si>
    <t>Game.AddToInventory("Items.AdvancedReflexRecorderRare", 1)</t>
  </si>
  <si>
    <t>Game.AddToInventory("Items.AdvancedOilDispenserRare", 1)</t>
  </si>
  <si>
    <t>Game.AddToInventory("Items.AdvancedSynapticAcceleratorRare", 1)</t>
  </si>
  <si>
    <t>Game.AddToInventory("Items.AdvancedTyrosineInjectorRare", 1)</t>
  </si>
  <si>
    <t>Game.AddToInventory("Items.AdvancedVisualCortexSupportRare", 1)</t>
  </si>
  <si>
    <t>Game.AddToInventory("Items.AdvancedDetectorRushEpic", 1)</t>
  </si>
  <si>
    <t>Game.AddToInventory("Items.AdvancedTroubleFinderEpic", 1)</t>
  </si>
  <si>
    <t>Game.AddToInventory("Items.AdvancedKerenzikovEpic", 1)</t>
  </si>
  <si>
    <t>Game.AddToInventory("Items.AdvancedNeoFiberEpic", 1)</t>
  </si>
  <si>
    <t>Game.AddToInventory("Items.AdvancedReflexRecorderEpic", 1)</t>
  </si>
  <si>
    <t>Game.AddToInventory("Items.AdvancedOilDispenserEpic", 1)</t>
  </si>
  <si>
    <t>Game.AddToInventory("Items.AdvancedSynapticAcceleratorEpic", 1)</t>
  </si>
  <si>
    <t>Game.AddToInventory("Items.AdvancedTyrosineInjectorEpic", 1)</t>
  </si>
  <si>
    <t>Game.AddToInventory("Items.AdvancedVisualCortexSupportEpic", 1)</t>
  </si>
  <si>
    <t>Game.AddToInventory("Items.AdvancedDetectorRushLegendary", 1)</t>
  </si>
  <si>
    <t>Game.AddToInventory("Items.AdvancedTroubleFinderLegendary", 1)</t>
  </si>
  <si>
    <t>Game.AddToInventory("Items.AdvancedKerenzikovLegendary", 1)</t>
  </si>
  <si>
    <t>Game.AddToInventory("Items.AdvancedNeoFiberLegendary", 1)</t>
  </si>
  <si>
    <t>Game.AddToInventory("Items.AdvancedReflexRecorderLegendary", 1)</t>
  </si>
  <si>
    <t>Game.AddToInventory("Items.AdvancedOilDispenserLegendary", 1)</t>
  </si>
  <si>
    <t>Game.AddToInventory("Items.AdvancedSynapticAcceleratorLegendary", 1)</t>
  </si>
  <si>
    <t>Game.AddToInventory("Items.AdvancedTyrosineInjectorLegendary", 1)</t>
  </si>
  <si>
    <t>Game.AddToInventory("Items.AdvancedVisualCortexSupportLegendary", 1)</t>
  </si>
  <si>
    <t>SKELETON</t>
  </si>
  <si>
    <t>Game.AddToInventory("Items.AdvancedBionicJointsCommon", 1)</t>
  </si>
  <si>
    <t>BIONIC JOINTS</t>
  </si>
  <si>
    <t>Game.AddToInventory("Items.AdvancedDenseMarrowCommon", 1)</t>
  </si>
  <si>
    <t>DENSE MARROW</t>
  </si>
  <si>
    <t>Game.AddToInventory("Items.AdvancedBoneMarrowCellsCommon", 1)</t>
  </si>
  <si>
    <t>KINETIC FRAME</t>
  </si>
  <si>
    <t>Game.AddToInventory("Items.AdvancedT1000Common", 1)</t>
  </si>
  <si>
    <t>PARA BELLUM</t>
  </si>
  <si>
    <t>Game.AddToInventory("Items.AdvancedCompilingSkeletonCommon", 1)</t>
  </si>
  <si>
    <t>RAM RECOUP</t>
  </si>
  <si>
    <t>Game.AddToInventory("Items.AdvancedNoPainNoGainCommon", 1)</t>
  </si>
  <si>
    <t>SCAR COALESCER</t>
  </si>
  <si>
    <t>Game.AddToInventory("Items.AdvancedRapidMuscleNurishCommon", 1)</t>
  </si>
  <si>
    <t>SCARAB</t>
  </si>
  <si>
    <t>Game.AddToInventory("Items.AdvancedAgileJointsCommon", 1)</t>
  </si>
  <si>
    <t>SPRING JOINTS</t>
  </si>
  <si>
    <t>Game.AddToInventory("Items.AdvancedTitaniumInfusedBonesCommon", 1)</t>
  </si>
  <si>
    <t>TITANIUM BONES</t>
  </si>
  <si>
    <t>Game.AddToInventory("Items.AdvancedPainDistributorCommon", 1)</t>
  </si>
  <si>
    <t>UNIVERSAL BOOSTER</t>
  </si>
  <si>
    <t>Game.AddToInventory("Items.AdvancedNeuroMatrixCommon", 1)</t>
  </si>
  <si>
    <t>FEEN-X</t>
  </si>
  <si>
    <t>Game.AddToInventory("Items.AdvancedBionicJointsUncommon", 1)</t>
  </si>
  <si>
    <t>Game.AddToInventory("Items.AdvancedDenseMarrowUncommon", 1)</t>
  </si>
  <si>
    <t>Game.AddToInventory("Items.AdvancedBoneMarrowCellsUncommon", 1)</t>
  </si>
  <si>
    <t>Game.AddToInventory("Items.AdvancedT1000Uncommon", 1)</t>
  </si>
  <si>
    <t>Game.AddToInventory("Items.AdvancedCompilingSkeletonUncommon", 1)</t>
  </si>
  <si>
    <t>Game.AddToInventory("Items.AdvancedNoPainNoGainUncommon", 1)</t>
  </si>
  <si>
    <t>Game.AddToInventory("Items.AdvancedRapidMuscleNurishUncommon", 1)</t>
  </si>
  <si>
    <t>Game.AddToInventory("Items.AdvancedAgileJointsUncommon", 1)</t>
  </si>
  <si>
    <t>SPRING JOINTS1</t>
  </si>
  <si>
    <t>Game.AddToInventory("Items.AdvancedTitaniumInfusedBonesUncommon", 1)</t>
  </si>
  <si>
    <t>Game.AddToInventory("Items.AdvancedPainDistributorUncommon", 1)</t>
  </si>
  <si>
    <t>Game.AddToInventory("Items.AdvancedNeuroMatrixUncommon", 1)</t>
  </si>
  <si>
    <t>Game.AddToInventory("Items.AdvancedBionicJointsRare", 1)</t>
  </si>
  <si>
    <t>Game.AddToInventory("Items.AdvancedDenseMarrowRare", 1)</t>
  </si>
  <si>
    <t>Game.AddToInventory("Items.AdvancedBoneMarrowCellsRare", 1)</t>
  </si>
  <si>
    <t>Game.AddToInventory("Items.AdvancedT1000Rare", 1)</t>
  </si>
  <si>
    <t>Game.AddToInventory("Items.AdvancedCompilingSkeletonRare", 1)</t>
  </si>
  <si>
    <t>Game.AddToInventory("Items.AdvancedNoPainNoGainRare", 1)</t>
  </si>
  <si>
    <t>Game.AddToInventory("Items.AdvancedRapidMuscleNurishRare", 1)</t>
  </si>
  <si>
    <t>Game.AddToInventory("Items.AdvancedAgileJointsRare", 1)</t>
  </si>
  <si>
    <t>Game.AddToInventory("Items.AdvancedTitaniumInfusedBonesRare", 1)</t>
  </si>
  <si>
    <t>Game.AddToInventory("Items.AdvancedPainDistributorRare", 1)</t>
  </si>
  <si>
    <t>Game.AddToInventory("Items.AdvancedNeuroMatrixRare", 1)</t>
  </si>
  <si>
    <t>Game.AddToInventory("Items.AdvancedBionicJointsEpic", 1)</t>
  </si>
  <si>
    <t>Game.AddToInventory("Items.AdvancedDenseMarrowEpic", 1)</t>
  </si>
  <si>
    <t>Game.AddToInventory("Items.AdvancedEndoskeletonEpic", 1)</t>
  </si>
  <si>
    <t>EPIMORPHIC SKELETON</t>
  </si>
  <si>
    <t>Game.AddToInventory("Items.AdvancedBoneMarrowCellsEpic", 1)</t>
  </si>
  <si>
    <t>Game.AddToInventory("Items.AdvancedT1000Epic", 1)</t>
  </si>
  <si>
    <t>Game.AddToInventory("Items.AdvancedCompilingSkeletonEpic", 1)</t>
  </si>
  <si>
    <t>Game.AddToInventory("Items.AdvancedNoPainNoGainEpic", 1)</t>
  </si>
  <si>
    <t>Game.AddToInventory("Items.AdvancedRapidMuscleNurishEpic", 1)</t>
  </si>
  <si>
    <t>Game.AddToInventory("Items.AdvancedAgileJointsEpic", 1)</t>
  </si>
  <si>
    <t>Game.AddToInventory("Items.AdvancedTitaniumInfusedBonesEpic", 1)</t>
  </si>
  <si>
    <t>Game.AddToInventory("Items.AdvancedPainDistributorEpic", 1)</t>
  </si>
  <si>
    <t>Game.AddToInventory("Items.AdvancedNeuroMatrixEpic", 1)</t>
  </si>
  <si>
    <t>Game.AddToInventory("Items.AdvancedBionicJointsLegendary", 1)</t>
  </si>
  <si>
    <t>Game.AddToInventory("Items.AdvancedDenseMarrowLegendary", 1)</t>
  </si>
  <si>
    <t>Game.AddToInventory("Items.AdvancedEndoskeletonLegendary", 1)</t>
  </si>
  <si>
    <t>Game.AddToInventory("Items.AdvancedBoneMarrowCellsLegendary", 1)</t>
  </si>
  <si>
    <t>Game.AddToInventory("Items.AdvancedT1000Legendary", 1)</t>
  </si>
  <si>
    <t>Game.AddToInventory("Items.AdvancedCompilingSkeletonLegendary", 1)</t>
  </si>
  <si>
    <t>Game.AddToInventory("Items.AdvancedNoPainNoGain_Legendary", 1)</t>
  </si>
  <si>
    <t>Game.AddToInventory("Items.AdvancedRapidMuscleNurishLegendary", 1)</t>
  </si>
  <si>
    <t>Game.AddToInventory("Items.AdvancedAgileJointsLegendary", 1)</t>
  </si>
  <si>
    <t>Game.AddToInventory("Items.AdvancedTitaniumInfusedBonesLegendary", 1)</t>
  </si>
  <si>
    <t>Game.AddToInventory("Items.AdvancedPainDistributorLegendary", 1)</t>
  </si>
  <si>
    <t>Game.AddToInventory("Items.AdvancedNeuroMatrixLegendary", 1)</t>
  </si>
  <si>
    <t>ARMS</t>
  </si>
  <si>
    <t>Game.AddToInventory("Items.AdvancedStrongArmsElectricUncommon", 1)</t>
  </si>
  <si>
    <t>ELECTRIFYING GORILLA ARMS</t>
  </si>
  <si>
    <t>Game.AddToInventory("Items.AdvancedMantisBladesElectricUncommon", 1)</t>
  </si>
  <si>
    <t>ELECTRIFYING MANTIS BLADES</t>
  </si>
  <si>
    <t>Game.AddToInventory("Items.AdvancedNanoWiresElectricUncommon", 1)</t>
  </si>
  <si>
    <t>ELECTRIFYING MONOWIRE</t>
  </si>
  <si>
    <t>Game.AddToInventory("Items.AdvancedProjectileLauncherElectricUncommon", 1)</t>
  </si>
  <si>
    <t>ELECTRIFYING PROJECTILE LAUNCH SYSTEM</t>
  </si>
  <si>
    <t>Game.AddToInventory("Items.AdvancedStrongArmsUncommon", 1)</t>
  </si>
  <si>
    <t>GORILLA ARMS</t>
  </si>
  <si>
    <t>Game.AddToInventory("Items.AdvancedMantisBladesUncommon", 1)</t>
  </si>
  <si>
    <t>MANTIS BLADES</t>
  </si>
  <si>
    <t>Game.AddToInventory("Items.AdvancedNanoWiresUncommon", 1)</t>
  </si>
  <si>
    <t>MONOWIRE</t>
  </si>
  <si>
    <t>Game.AddToInventory("Items.AdvancedProjectileLauncherUncommon", 1)</t>
  </si>
  <si>
    <t>PROJECTILE LAUNCH SYSTEM</t>
  </si>
  <si>
    <t>Game.AddToInventory("Items.AdvancedStrongArmsThermalUncommon", 1)</t>
  </si>
  <si>
    <t>THERMAL GORILLA ARMS</t>
  </si>
  <si>
    <t>Game.AddToInventory("Items.AdvancedMantisBladesThermalUncommon", 1)</t>
  </si>
  <si>
    <t>THERMAL MANTIS BLADES</t>
  </si>
  <si>
    <t>Game.AddToInventory("Items.AdvancedNanoWiresThermalUncommon", 1)</t>
  </si>
  <si>
    <t>THERMAL MONOWIRE</t>
  </si>
  <si>
    <t>Game.AddToInventory("Items.AdvancedProjectileLauncherThermalUncommon", 1)</t>
  </si>
  <si>
    <t>THERMAL PROJECTILE LAUNCH SYSTEM</t>
  </si>
  <si>
    <t>Game.AddToInventory("Items.AdvancedStrongArmsChemicalUncommon", 1)</t>
  </si>
  <si>
    <t>TOXIC GORILLA ARMS</t>
  </si>
  <si>
    <t>Game.AddToInventory("Items.AdvancedMantisBladesChemicalUncommon", 1)</t>
  </si>
  <si>
    <t>TOXIC MANTIS BLADES</t>
  </si>
  <si>
    <t>Game.AddToInventory("Items.AdvancedNanoWiresChemicalUncommon", 1)</t>
  </si>
  <si>
    <t>TOXIC MONOWIRE</t>
  </si>
  <si>
    <t>Game.AddToInventory("Items.AdvancedProjectileLauncherChemicalUncommon", 1)</t>
  </si>
  <si>
    <t>TOXIC PROJECTILE LAUNCH SYSTEM</t>
  </si>
  <si>
    <t>Game.AddToInventory("Items.AdvancedStrongArmsElectricRare", 1)</t>
  </si>
  <si>
    <t>Game.AddToInventory("Items.AdvancedMantisBladesElectricRare", 1)</t>
  </si>
  <si>
    <t>Game.AddToInventory("Items.AdvancedNanoWiresElectricRare", 1)</t>
  </si>
  <si>
    <t>Game.AddToInventory("Items.AdvancedProjectileLauncherElectricRare", 1)</t>
  </si>
  <si>
    <t>Game.AddToInventory("Items.AdvancedStrongArmsRare", 1)</t>
  </si>
  <si>
    <t>Game.AddToInventory("Items.AdvancedMantisBladesRare", 1)</t>
  </si>
  <si>
    <t>Game.AddToInventory("Items.AdvancedNanoWiresRare", 1)</t>
  </si>
  <si>
    <t>Game.AddToInventory("Items.AdvancedProjectileLauncherRare", 1)</t>
  </si>
  <si>
    <t>Game.AddToInventory("Items.AdvancedStrongArmsThermalRare", 1)</t>
  </si>
  <si>
    <t>Game.AddToInventory("Items.AdvancedMantisBladesThermalRare", 1)</t>
  </si>
  <si>
    <t>Game.AddToInventory("Items.AdvancedNanoWiresThermalRare", 1)</t>
  </si>
  <si>
    <t>Game.AddToInventory("Items.AdvancedProjectileLauncherThermalRare", 1)</t>
  </si>
  <si>
    <t>Game.AddToInventory("Items.AdvancedStrongArmsChemicalRare", 1)</t>
  </si>
  <si>
    <t>Game.AddToInventory("Items.AdvancedMantisBladesChemicalRare", 1)</t>
  </si>
  <si>
    <t>Game.AddToInventory("Items.AdvancedNanoWiresChemicalRare", 1)</t>
  </si>
  <si>
    <t>Game.AddToInventory("Items.AdvancedProjectileLauncherChemicalRare", 1)</t>
  </si>
  <si>
    <t>Game.AddToInventory("Items.AdvancedStrongArmsElectricEpic", 1)</t>
  </si>
  <si>
    <t>Game.AddToInventory("Items.AdvancedMantisBladesElectricEpic", 1)</t>
  </si>
  <si>
    <t>Game.AddToInventory("Items.AdvancedNanoWiresElectricEpic", 1)</t>
  </si>
  <si>
    <t>Game.AddToInventory("Items.AdvancedProjectileLauncherElectricEpic", 1)</t>
  </si>
  <si>
    <t>Game.AddToInventory("Items.AdvancedStrongArmsEpic", 1)</t>
  </si>
  <si>
    <t>Game.AddToInventory("Items.AdvancedMantisBladesEpic", 1)</t>
  </si>
  <si>
    <t>Game.AddToInventory("Items.AdvancedNanoWiresEpic", 1)</t>
  </si>
  <si>
    <t>Game.AddToInventory("Items.AdvancedProjectileLauncherEpic", 1)</t>
  </si>
  <si>
    <t>Game.AddToInventory("Items.AdvancedStrongArmsThermalEpic", 1)</t>
  </si>
  <si>
    <t>Game.AddToInventory("Items.AdvancedMantisBladesThermalEpic", 1)</t>
  </si>
  <si>
    <t>Game.AddToInventory("Items.AdvancedNanoWiresThermalEpic", 1)</t>
  </si>
  <si>
    <t>Game.AddToInventory("Items.AdvancedProjectileLauncherThermalEpic", 1)</t>
  </si>
  <si>
    <t>Game.AddToInventory("Items.AdvancedStrongArmsChemicalEpic", 1)</t>
  </si>
  <si>
    <t>Game.AddToInventory("Items.AdvancedMantisBladesChemicalEpic", 1)</t>
  </si>
  <si>
    <t>Game.AddToInventory("Items.AdvancedNanoWiresChemicalEpic", 1)</t>
  </si>
  <si>
    <t>Game.AddToInventory("Items.AdvancedProjectileLauncherChemicalEpic", 1)</t>
  </si>
  <si>
    <t>Game.AddToInventory("Items.AdvancedStrongArmsElectricLegendary", 1)</t>
  </si>
  <si>
    <t>Game.AddToInventory("Items.AdvancedMantisBladesElectricLegendary", 1)</t>
  </si>
  <si>
    <t>Game.AddToInventory("Items.AdvancedNanoWiresElectricLegendary", 1)</t>
  </si>
  <si>
    <t>Game.AddToInventory("Items.AdvancedProjectileLauncherElectricLegendary", 1)</t>
  </si>
  <si>
    <t>Game.AddToInventory("Items.AdvancedStrongArmsLegendary", 1)</t>
  </si>
  <si>
    <t>Game.AddToInventory("Items.AdvancedMantisBladesLegendary", 1)</t>
  </si>
  <si>
    <t>Game.AddToInventory("Items.AdvancedNanoWiresLegendary", 1)</t>
  </si>
  <si>
    <t>Game.AddToInventory("Items.AdvancedProjectileLauncherLegendary", 1)</t>
  </si>
  <si>
    <t>Game.AddToInventory("Items.AdvancedStrongArmsThermalLegendary", 1)</t>
  </si>
  <si>
    <t>Game.AddToInventory("Items.AdvancedMantisBladesThermalLegendary", 1)</t>
  </si>
  <si>
    <t>Game.AddToInventory("Items.AdvancedNanoWiresThermalLegendary", 1)</t>
  </si>
  <si>
    <t>Game.AddToInventory("Items.AdvancedProjectileLauncherThermalLegendary", 1)</t>
  </si>
  <si>
    <t>Game.AddToInventory("Items.AdvancedStrongArmsChemicalLegendary", 1)</t>
  </si>
  <si>
    <t>Game.AddToInventory("Items.AdvancedMantisBladesChemicalLegendary", 1)</t>
  </si>
  <si>
    <t>Game.AddToInventory("Items.AdvancedNanoWiresChemicalLegendary", 1)</t>
  </si>
  <si>
    <t>Game.AddToInventory("Items.AdvancedProjectileLauncherChemicalLegendary", 1)</t>
  </si>
  <si>
    <t>FRONTAL CORTEX</t>
  </si>
  <si>
    <t>Game.AddToInventory("Items.AdvancedBioConductorsCommon", 1)</t>
  </si>
  <si>
    <t>BIOCONDUCTOR</t>
  </si>
  <si>
    <t>Game.AddToInventory("Items.AdvancedBiomonitorCommon", 1)</t>
  </si>
  <si>
    <t>BIOMONITOR</t>
  </si>
  <si>
    <t>Game.AddToInventory("Items.AdvancedKerenziovBoostSystemCommon", 1)</t>
  </si>
  <si>
    <t>KERENZIKOV BOOST SYSTEM</t>
  </si>
  <si>
    <t>Game.AddToInventory("Items.AdvancedMechatronicCoreCommon", 1)</t>
  </si>
  <si>
    <t>MECHATRONIC CORE</t>
  </si>
  <si>
    <t>Game.AddToInventory("Items.AdvancedRamUpgradeCommon", 1)</t>
  </si>
  <si>
    <t>RAM UPGRADE</t>
  </si>
  <si>
    <t>Game.AddToInventory("Items.AdvancedSmartStorageCommon", 1)</t>
  </si>
  <si>
    <t>BURNOUT BUFFER</t>
  </si>
  <si>
    <t>Game.AddToInventory("Items.AdvancedSubdermalCoProcessorCommon", 1)</t>
  </si>
  <si>
    <t>NEWTON MODULE</t>
  </si>
  <si>
    <t>Game.AddToInventory("Items.AdvancedBioConductorsUncommon", 1)</t>
  </si>
  <si>
    <t>Game.AddToInventory("Items.AdvancedBiomonitorUncommon", 1)</t>
  </si>
  <si>
    <t>Game.AddToInventory("Items.AdvancedKerenziovBoostSystemUncommon", 1)</t>
  </si>
  <si>
    <t>Game.AddToInventory("Items.AdvancedMechatronicCoreUncommon", 1)</t>
  </si>
  <si>
    <t>Game.AddToInventory("Items.AdvancedMemoryBoostUncommon", 1)</t>
  </si>
  <si>
    <t>MEMORY BOOST</t>
  </si>
  <si>
    <t>Game.AddToInventory("Items.AdvancedRamUpgradeUncommon", 1)</t>
  </si>
  <si>
    <t>Game.AddToInventory("Items.AdvancedSmartStorageUncommon", 1)</t>
  </si>
  <si>
    <t>Game.AddToInventory("Items.AdvancedSubdermalCoProcessorUncommon", 1)</t>
  </si>
  <si>
    <t>Game.AddToInventory("Items.AdvancedBioConductorsRare", 1)</t>
  </si>
  <si>
    <t>Game.AddToInventory("Items.AdvancedBiomonitorRare", 1)</t>
  </si>
  <si>
    <t>Game.AddToInventory("Items.AdvancedExDiskRare", 1)</t>
  </si>
  <si>
    <t>EX-DISK</t>
  </si>
  <si>
    <t>Game.AddToInventory("Items.AdvancedKerenziovBoostSystemRare", 1)</t>
  </si>
  <si>
    <t>Game.AddToInventory("Items.AdvancedMechatronicCoreRare", 1)</t>
  </si>
  <si>
    <t>Game.AddToInventory("Items.AdvancedMemoryBoostRare", 1)</t>
  </si>
  <si>
    <t>Game.AddToInventory("Items.AdvancedRamUpgradeRare", 1)</t>
  </si>
  <si>
    <t>Game.AddToInventory("Items.AdvancedSelfIceRare", 1)</t>
  </si>
  <si>
    <t>SELF-ICE</t>
  </si>
  <si>
    <t>Game.AddToInventory("Items.AdvancedSmartStorageRare", 1)</t>
  </si>
  <si>
    <t>Game.AddToInventory("Items.AdvancedSubdermalCoProcessorRare", 1)</t>
  </si>
  <si>
    <t>Game.AddToInventory("Items.AdvancedBioConductorsEpic", 1)</t>
  </si>
  <si>
    <t>Game.AddToInventory("Items.AdvancedBiomonitorEpic", 1)</t>
  </si>
  <si>
    <t>Game.AddToInventory("Items.AdvancedCamilloRamManagerEpic", 1)</t>
  </si>
  <si>
    <t>CAMILLO RAM MANAGER</t>
  </si>
  <si>
    <t>Game.AddToInventory("Items.AdvancedExDiskEpic", 1)</t>
  </si>
  <si>
    <t>Game.AddToInventory("Items.AdvancedKerenziovBoostSystemEpic", 1)</t>
  </si>
  <si>
    <t>Game.AddToInventory("Items.AdvancedMechatronicCoreEpic", 1)</t>
  </si>
  <si>
    <t>Game.AddToInventory("Items.AdvancedMemoryBoostEpic", 1)</t>
  </si>
  <si>
    <t>Game.AddToInventory("Items.AdvancedRamUpgradeEpic", 1)</t>
  </si>
  <si>
    <t>Game.AddToInventory("Items.AdvancedSelfIceEpic", 1)</t>
  </si>
  <si>
    <t>Game.AddToInventory("Items.AdvancedSmartStorageEpic", 1)</t>
  </si>
  <si>
    <t>Game.AddToInventory("Items.AdvancedSubdermalCoProcessorEpic", 1)</t>
  </si>
  <si>
    <t>Game.AddToInventory("Items.AdvancedBioConductorsLegendary", 1)</t>
  </si>
  <si>
    <t>Game.AddToInventory("Items.AdvancedBiomonitorLegendary", 1)</t>
  </si>
  <si>
    <t>Game.AddToInventory("Items.AdvancedCamilloRamManagerLegendary", 1)</t>
  </si>
  <si>
    <t>Game.AddToInventory("Items.AdvancedExDiskLegendary", 1)</t>
  </si>
  <si>
    <t>Game.AddToInventory("Items.AdvancedKerenziovBoostSystemLegendary", 1)</t>
  </si>
  <si>
    <t>Game.AddToInventory("Items.AdvancedMechatronicCoreLegendary", 1)</t>
  </si>
  <si>
    <t>Game.AddToInventory("Items.AdvancedMemoryBoostLegendary", 1)</t>
  </si>
  <si>
    <t>Game.AddToInventory("Items.AdvancedRamUpgradeLegendary", 1)</t>
  </si>
  <si>
    <t>Game.AddToInventory("Items.AdvancedSelfIceLegendary", 1)</t>
  </si>
  <si>
    <t>Game.AddToInventory("Items.AdvancedSmartStorageLegendary", 1)</t>
  </si>
  <si>
    <t>Game.AddToInventory("Items.AdvancedSubdermalCoProcessorLegendary",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</si>
</sst>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822EC8"/>
      <name val="Roboto"/>
    </font>
    <font>
      <sz val="10.0"/>
      <color rgb="FF808080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43A047"/>
      <name val="Roboto"/>
    </font>
    <font>
      <sz val="10.0"/>
      <color rgb="FF039BE5"/>
      <name val="Roboto"/>
    </font>
    <font>
      <sz val="10.0"/>
      <color rgb="FFFFB300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sz val="10.0"/>
      <color rgb="FFFDD835"/>
      <name val="Roboto"/>
    </font>
    <font>
      <sz val="10.0"/>
      <color rgb="FF3949AB"/>
      <name val="Roboto"/>
    </font>
    <font>
      <sz val="10.0"/>
      <color rgb="FFF4511E"/>
      <name val="Roboto"/>
    </font>
    <font>
      <sz val="10.0"/>
      <color rgb="FFFB8C00"/>
      <name val="Roboto"/>
    </font>
    <font>
      <sz val="10.0"/>
      <color rgb="FF00897B"/>
      <name val="Roboto"/>
    </font>
    <font>
      <color rgb="FF00897B"/>
      <name val="Roboto"/>
    </font>
    <font>
      <color rgb="FFE53935"/>
      <name val="Roboto"/>
    </font>
    <font>
      <color rgb="FF666666"/>
      <name val="Roboto"/>
    </font>
    <font>
      <color rgb="FFFFFFFF"/>
      <name val="Roboto"/>
    </font>
    <font>
      <color rgb="FF43A047"/>
      <name val="Roboto"/>
    </font>
    <font>
      <color rgb="FF039BE5"/>
      <name val="Roboto"/>
    </font>
    <font>
      <color rgb="FF822EC8"/>
      <name val="Roboto"/>
    </font>
    <font>
      <color rgb="FFFFB300"/>
      <name val="Roboto"/>
    </font>
    <font>
      <sz val="10.0"/>
      <color rgb="FF00ACC1"/>
      <name val="Roboto"/>
    </font>
    <font>
      <sz val="10.0"/>
      <color rgb="FF546E7A"/>
      <name val="Roboto"/>
    </font>
    <font>
      <color rgb="FF546E7A"/>
      <name val="Roboto"/>
    </font>
    <font>
      <sz val="10.0"/>
      <color rgb="FFC0CA33"/>
      <name val="Roboto"/>
    </font>
    <font>
      <sz val="10.0"/>
      <color rgb="FFE53935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7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666666"/>
      </top>
      <bottom style="thin">
        <color rgb="FF7F7F7F"/>
      </bottom>
    </border>
    <border>
      <right style="thin">
        <color rgb="FF7F7F7F"/>
      </right>
      <top style="thin">
        <color rgb="FF666666"/>
      </top>
      <bottom style="thin">
        <color rgb="FF7F7F7F"/>
      </bottom>
    </border>
    <border>
      <right style="thin">
        <color rgb="FF666666"/>
      </right>
      <top style="thin">
        <color rgb="FF666666"/>
      </top>
      <bottom style="thin">
        <color rgb="FF7F7F7F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bottom style="thin">
        <color rgb="FF7F7F7F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666666"/>
      </bottom>
    </border>
    <border>
      <right style="thin">
        <color rgb="FF7F7F7F"/>
      </right>
      <bottom style="thin">
        <color rgb="FF666666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2" fillId="2" fontId="2" numFmtId="49" xfId="0" applyBorder="1" applyFont="1" applyNumberFormat="1"/>
    <xf borderId="2" fillId="2" fontId="3" numFmtId="49" xfId="0" applyBorder="1" applyFont="1" applyNumberFormat="1"/>
    <xf borderId="2" fillId="2" fontId="4" numFmtId="49" xfId="0" applyBorder="1" applyFont="1" applyNumberFormat="1"/>
    <xf borderId="3" fillId="2" fontId="5" numFmtId="49" xfId="0" applyBorder="1" applyFont="1" applyNumberFormat="1"/>
    <xf borderId="1" fillId="2" fontId="4" numFmtId="0" xfId="0" applyBorder="1" applyFont="1"/>
    <xf borderId="2" fillId="2" fontId="5" numFmtId="49" xfId="0" applyBorder="1" applyFont="1" applyNumberFormat="1"/>
    <xf borderId="4" fillId="2" fontId="2" numFmtId="49" xfId="0" applyBorder="1" applyFont="1" applyNumberFormat="1"/>
    <xf borderId="4" fillId="2" fontId="3" numFmtId="49" xfId="0" applyBorder="1" applyFont="1" applyNumberFormat="1"/>
    <xf borderId="4" fillId="2" fontId="4" numFmtId="49" xfId="0" applyBorder="1" applyFont="1" applyNumberFormat="1"/>
    <xf borderId="5" fillId="2" fontId="5" numFmtId="49" xfId="0" applyBorder="1" applyFont="1" applyNumberFormat="1"/>
    <xf borderId="4" fillId="2" fontId="5" numFmtId="49" xfId="0" applyBorder="1" applyFont="1" applyNumberFormat="1"/>
    <xf borderId="5" fillId="2" fontId="6" numFmtId="49" xfId="0" applyBorder="1" applyFont="1" applyNumberFormat="1"/>
    <xf borderId="4" fillId="2" fontId="6" numFmtId="49" xfId="0" applyBorder="1" applyFont="1" applyNumberFormat="1"/>
    <xf borderId="5" fillId="2" fontId="7" numFmtId="49" xfId="0" applyAlignment="1" applyBorder="1" applyFont="1" applyNumberFormat="1">
      <alignment readingOrder="0"/>
    </xf>
    <xf borderId="4" fillId="2" fontId="7" numFmtId="49" xfId="0" applyBorder="1" applyFont="1" applyNumberFormat="1"/>
    <xf borderId="5" fillId="2" fontId="7" numFmtId="49" xfId="0" applyBorder="1" applyFont="1" applyNumberFormat="1"/>
    <xf borderId="5" fillId="2" fontId="2" numFmtId="49" xfId="0" applyAlignment="1" applyBorder="1" applyFont="1" applyNumberFormat="1">
      <alignment readingOrder="0"/>
    </xf>
    <xf borderId="5" fillId="2" fontId="2" numFmtId="49" xfId="0" applyBorder="1" applyFont="1" applyNumberFormat="1"/>
    <xf borderId="5" fillId="2" fontId="8" numFmtId="49" xfId="0" applyBorder="1" applyFont="1" applyNumberFormat="1"/>
    <xf borderId="4" fillId="2" fontId="8" numFmtId="49" xfId="0" applyBorder="1" applyFont="1" applyNumberFormat="1"/>
    <xf borderId="1" fillId="2" fontId="9" numFmtId="0" xfId="0" applyBorder="1" applyFont="1"/>
    <xf borderId="4" fillId="2" fontId="10" numFmtId="49" xfId="0" applyBorder="1" applyFont="1" applyNumberFormat="1"/>
    <xf borderId="1" fillId="2" fontId="11" numFmtId="0" xfId="0" applyBorder="1" applyFont="1"/>
    <xf borderId="2" fillId="2" fontId="12" numFmtId="49" xfId="0" applyBorder="1" applyFont="1" applyNumberFormat="1"/>
    <xf borderId="3" fillId="2" fontId="3" numFmtId="49" xfId="0" applyBorder="1" applyFont="1" applyNumberFormat="1"/>
    <xf borderId="6" fillId="2" fontId="5" numFmtId="49" xfId="0" applyBorder="1" applyFont="1" applyNumberFormat="1"/>
    <xf borderId="4" fillId="2" fontId="12" numFmtId="49" xfId="0" applyBorder="1" applyFont="1" applyNumberFormat="1"/>
    <xf borderId="5" fillId="2" fontId="3" numFmtId="49" xfId="0" applyBorder="1" applyFont="1" applyNumberFormat="1"/>
    <xf borderId="7" fillId="2" fontId="5" numFmtId="49" xfId="0" applyBorder="1" applyFont="1" applyNumberFormat="1"/>
    <xf borderId="7" fillId="2" fontId="6" numFmtId="49" xfId="0" applyBorder="1" applyFont="1" applyNumberFormat="1"/>
    <xf borderId="7" fillId="2" fontId="7" numFmtId="49" xfId="0" applyBorder="1" applyFont="1" applyNumberFormat="1"/>
    <xf borderId="7" fillId="2" fontId="2" numFmtId="49" xfId="0" applyBorder="1" applyFont="1" applyNumberFormat="1"/>
    <xf borderId="7" fillId="2" fontId="8" numFmtId="49" xfId="0" applyBorder="1" applyFont="1" applyNumberFormat="1"/>
    <xf borderId="4" fillId="2" fontId="13" numFmtId="49" xfId="0" applyBorder="1" applyFont="1" applyNumberFormat="1"/>
    <xf borderId="2" fillId="2" fontId="14" numFmtId="49" xfId="0" applyBorder="1" applyFont="1" applyNumberFormat="1"/>
    <xf borderId="4" fillId="2" fontId="14" numFmtId="49" xfId="0" applyBorder="1" applyFont="1" applyNumberFormat="1"/>
    <xf borderId="2" fillId="2" fontId="15" numFmtId="49" xfId="0" applyBorder="1" applyFont="1" applyNumberFormat="1"/>
    <xf borderId="4" fillId="2" fontId="15" numFmtId="49" xfId="0" applyBorder="1" applyFont="1" applyNumberFormat="1"/>
    <xf borderId="2" fillId="2" fontId="6" numFmtId="49" xfId="0" applyBorder="1" applyFont="1" applyNumberFormat="1"/>
    <xf borderId="2" fillId="2" fontId="16" numFmtId="49" xfId="0" applyBorder="1" applyFont="1" applyNumberFormat="1"/>
    <xf borderId="4" fillId="2" fontId="16" numFmtId="49" xfId="0" applyBorder="1" applyFont="1" applyNumberFormat="1"/>
    <xf borderId="8" fillId="2" fontId="17" numFmtId="49" xfId="0" applyAlignment="1" applyBorder="1" applyFont="1" applyNumberFormat="1">
      <alignment vertical="bottom"/>
    </xf>
    <xf borderId="9" fillId="2" fontId="18" numFmtId="49" xfId="0" applyAlignment="1" applyBorder="1" applyFont="1" applyNumberFormat="1">
      <alignment vertical="bottom"/>
    </xf>
    <xf borderId="9" fillId="2" fontId="19" numFmtId="49" xfId="0" applyAlignment="1" applyBorder="1" applyFont="1" applyNumberFormat="1">
      <alignment vertical="bottom"/>
    </xf>
    <xf borderId="10" fillId="2" fontId="20" numFmtId="49" xfId="0" applyAlignment="1" applyBorder="1" applyFont="1" applyNumberFormat="1">
      <alignment vertical="bottom"/>
    </xf>
    <xf borderId="11" fillId="2" fontId="19" numFmtId="0" xfId="0" applyAlignment="1" applyBorder="1" applyFont="1">
      <alignment vertical="bottom"/>
    </xf>
    <xf borderId="9" fillId="2" fontId="20" numFmtId="49" xfId="0" applyAlignment="1" applyBorder="1" applyFont="1" applyNumberFormat="1">
      <alignment vertical="bottom"/>
    </xf>
    <xf borderId="4" fillId="2" fontId="17" numFmtId="49" xfId="0" applyAlignment="1" applyBorder="1" applyFont="1" applyNumberFormat="1">
      <alignment vertical="bottom"/>
    </xf>
    <xf borderId="5" fillId="2" fontId="18" numFmtId="49" xfId="0" applyAlignment="1" applyBorder="1" applyFont="1" applyNumberFormat="1">
      <alignment vertical="bottom"/>
    </xf>
    <xf borderId="5" fillId="2" fontId="19" numFmtId="49" xfId="0" applyAlignment="1" applyBorder="1" applyFont="1" applyNumberFormat="1">
      <alignment vertical="bottom"/>
    </xf>
    <xf borderId="12" fillId="2" fontId="21" numFmtId="49" xfId="0" applyAlignment="1" applyBorder="1" applyFont="1" applyNumberFormat="1">
      <alignment vertical="bottom"/>
    </xf>
    <xf borderId="13" fillId="2" fontId="19" numFmtId="0" xfId="0" applyAlignment="1" applyBorder="1" applyFont="1">
      <alignment vertical="bottom"/>
    </xf>
    <xf borderId="5" fillId="2" fontId="21" numFmtId="49" xfId="0" applyAlignment="1" applyBorder="1" applyFont="1" applyNumberFormat="1">
      <alignment vertical="bottom"/>
    </xf>
    <xf borderId="12" fillId="2" fontId="22" numFmtId="49" xfId="0" applyAlignment="1" applyBorder="1" applyFont="1" applyNumberFormat="1">
      <alignment vertical="bottom"/>
    </xf>
    <xf borderId="5" fillId="2" fontId="22" numFmtId="49" xfId="0" applyAlignment="1" applyBorder="1" applyFont="1" applyNumberFormat="1">
      <alignment vertical="bottom"/>
    </xf>
    <xf borderId="12" fillId="2" fontId="23" numFmtId="49" xfId="0" applyAlignment="1" applyBorder="1" applyFont="1" applyNumberFormat="1">
      <alignment vertical="bottom"/>
    </xf>
    <xf borderId="5" fillId="2" fontId="23" numFmtId="49" xfId="0" applyAlignment="1" applyBorder="1" applyFont="1" applyNumberFormat="1">
      <alignment vertical="bottom"/>
    </xf>
    <xf borderId="12" fillId="2" fontId="24" numFmtId="49" xfId="0" applyAlignment="1" applyBorder="1" applyFont="1" applyNumberFormat="1">
      <alignment vertical="bottom"/>
    </xf>
    <xf borderId="5" fillId="2" fontId="24" numFmtId="49" xfId="0" applyAlignment="1" applyBorder="1" applyFont="1" applyNumberFormat="1">
      <alignment vertical="bottom"/>
    </xf>
    <xf borderId="2" fillId="2" fontId="25" numFmtId="49" xfId="0" applyBorder="1" applyFont="1" applyNumberFormat="1"/>
    <xf borderId="4" fillId="2" fontId="25" numFmtId="49" xfId="0" applyBorder="1" applyFont="1" applyNumberFormat="1"/>
    <xf borderId="4" fillId="2" fontId="26" numFmtId="49" xfId="0" applyBorder="1" applyFont="1" applyNumberFormat="1"/>
    <xf borderId="4" fillId="2" fontId="27" numFmtId="49" xfId="0" applyAlignment="1" applyBorder="1" applyFont="1" applyNumberFormat="1">
      <alignment vertical="bottom"/>
    </xf>
    <xf borderId="4" fillId="2" fontId="18" numFmtId="49" xfId="0" applyAlignment="1" applyBorder="1" applyFont="1" applyNumberFormat="1">
      <alignment vertical="bottom"/>
    </xf>
    <xf borderId="4" fillId="2" fontId="19" numFmtId="49" xfId="0" applyAlignment="1" applyBorder="1" applyFont="1" applyNumberFormat="1">
      <alignment vertical="bottom"/>
    </xf>
    <xf borderId="5" fillId="2" fontId="20" numFmtId="49" xfId="0" applyAlignment="1" applyBorder="1" applyFont="1" applyNumberFormat="1">
      <alignment vertical="bottom"/>
    </xf>
    <xf borderId="1" fillId="2" fontId="19" numFmtId="0" xfId="0" applyAlignment="1" applyBorder="1" applyFont="1">
      <alignment vertical="bottom"/>
    </xf>
    <xf borderId="7" fillId="2" fontId="20" numFmtId="49" xfId="0" applyAlignment="1" applyBorder="1" applyFont="1" applyNumberFormat="1">
      <alignment vertical="bottom"/>
    </xf>
    <xf borderId="5" fillId="2" fontId="6" numFmtId="49" xfId="0" applyAlignment="1" applyBorder="1" applyFont="1" applyNumberFormat="1">
      <alignment readingOrder="0"/>
    </xf>
    <xf borderId="7" fillId="2" fontId="21" numFmtId="49" xfId="0" applyAlignment="1" applyBorder="1" applyFont="1" applyNumberFormat="1">
      <alignment vertical="bottom"/>
    </xf>
    <xf borderId="7" fillId="2" fontId="22" numFmtId="49" xfId="0" applyAlignment="1" applyBorder="1" applyFont="1" applyNumberFormat="1">
      <alignment vertical="bottom"/>
    </xf>
    <xf borderId="7" fillId="2" fontId="23" numFmtId="49" xfId="0" applyAlignment="1" applyBorder="1" applyFont="1" applyNumberFormat="1">
      <alignment vertical="bottom"/>
    </xf>
    <xf borderId="2" fillId="2" fontId="26" numFmtId="49" xfId="0" applyBorder="1" applyFont="1" applyNumberFormat="1"/>
    <xf borderId="3" fillId="2" fontId="4" numFmtId="49" xfId="0" applyBorder="1" applyFont="1" applyNumberFormat="1"/>
    <xf borderId="14" fillId="2" fontId="8" numFmtId="49" xfId="0" applyBorder="1" applyFont="1" applyNumberFormat="1"/>
    <xf borderId="11" fillId="2" fontId="4" numFmtId="0" xfId="0" applyBorder="1" applyFont="1"/>
    <xf borderId="3" fillId="2" fontId="8" numFmtId="49" xfId="0" applyBorder="1" applyFont="1" applyNumberFormat="1"/>
    <xf borderId="5" fillId="2" fontId="4" numFmtId="49" xfId="0" applyBorder="1" applyFont="1" applyNumberFormat="1"/>
    <xf borderId="12" fillId="2" fontId="8" numFmtId="49" xfId="0" applyBorder="1" applyFont="1" applyNumberFormat="1"/>
    <xf borderId="13" fillId="2" fontId="4" numFmtId="0" xfId="0" applyBorder="1" applyFont="1"/>
    <xf borderId="15" fillId="2" fontId="27" numFmtId="49" xfId="0" applyAlignment="1" applyBorder="1" applyFont="1" applyNumberFormat="1">
      <alignment vertical="bottom"/>
    </xf>
    <xf borderId="16" fillId="2" fontId="18" numFmtId="49" xfId="0" applyAlignment="1" applyBorder="1" applyFont="1" applyNumberFormat="1">
      <alignment vertical="bottom"/>
    </xf>
    <xf borderId="13" fillId="2" fontId="24" numFmtId="49" xfId="0" applyAlignment="1" applyBorder="1" applyFont="1" applyNumberFormat="1">
      <alignment vertical="bottom"/>
    </xf>
    <xf borderId="16" fillId="2" fontId="24" numFmtId="49" xfId="0" applyAlignment="1" applyBorder="1" applyFont="1" applyNumberFormat="1">
      <alignment vertical="bottom"/>
    </xf>
    <xf borderId="2" fillId="2" fontId="28" numFmtId="49" xfId="0" applyBorder="1" applyFont="1" applyNumberFormat="1"/>
    <xf borderId="3" fillId="2" fontId="6" numFmtId="49" xfId="0" applyBorder="1" applyFont="1" applyNumberFormat="1"/>
    <xf borderId="6" fillId="2" fontId="6" numFmtId="49" xfId="0" applyBorder="1" applyFont="1" applyNumberFormat="1"/>
    <xf borderId="4" fillId="2" fontId="28" numFmtId="49" xfId="0" applyBorder="1" applyFont="1" applyNumberFormat="1"/>
    <xf borderId="2" fillId="2" fontId="29" numFmtId="49" xfId="0" applyBorder="1" applyFont="1" applyNumberFormat="1"/>
    <xf borderId="4" fillId="2" fontId="29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3.0"/>
    <col customWidth="1" min="4" max="4" width="49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 t="str">
        <f>IFERROR(__xludf.DUMMYFUNCTION("REGEXEXTRACT(C2, """"""([^""""]+)"""""")"),"Items.WhistleLvl0Program")</f>
        <v>Items.WhistleLvl0Program</v>
      </c>
      <c r="F2" s="8" t="s">
        <v>10</v>
      </c>
    </row>
    <row r="3">
      <c r="A3" s="9" t="s">
        <v>6</v>
      </c>
      <c r="B3" s="10" t="s">
        <v>7</v>
      </c>
      <c r="C3" s="11" t="s">
        <v>11</v>
      </c>
      <c r="D3" s="12" t="s">
        <v>12</v>
      </c>
      <c r="E3" s="7" t="str">
        <f>IFERROR(__xludf.DUMMYFUNCTION("REGEXEXTRACT(C3, """"""([^""""]+)"""""")"),"Items.OverheatProgram")</f>
        <v>Items.OverheatProgram</v>
      </c>
      <c r="F3" s="13" t="s">
        <v>10</v>
      </c>
    </row>
    <row r="4">
      <c r="A4" s="9" t="s">
        <v>6</v>
      </c>
      <c r="B4" s="10" t="s">
        <v>7</v>
      </c>
      <c r="C4" s="11" t="s">
        <v>13</v>
      </c>
      <c r="D4" s="12" t="s">
        <v>14</v>
      </c>
      <c r="E4" s="7" t="str">
        <f>IFERROR(__xludf.DUMMYFUNCTION("REGEXEXTRACT(C4, """"""([^""""]+)"""""")"),"Items.PingProgram")</f>
        <v>Items.PingProgram</v>
      </c>
      <c r="F4" s="13" t="s">
        <v>10</v>
      </c>
    </row>
    <row r="5">
      <c r="A5" s="9" t="s">
        <v>6</v>
      </c>
      <c r="B5" s="10" t="s">
        <v>7</v>
      </c>
      <c r="C5" s="11" t="s">
        <v>15</v>
      </c>
      <c r="D5" s="12" t="s">
        <v>16</v>
      </c>
      <c r="E5" s="7" t="str">
        <f>IFERROR(__xludf.DUMMYFUNCTION("REGEXEXTRACT(C5, """"""([^""""]+)"""""")"),"Items.BlindProgram")</f>
        <v>Items.BlindProgram</v>
      </c>
      <c r="F5" s="13" t="s">
        <v>10</v>
      </c>
    </row>
    <row r="6">
      <c r="A6" s="9" t="s">
        <v>6</v>
      </c>
      <c r="B6" s="10" t="s">
        <v>7</v>
      </c>
      <c r="C6" s="11" t="s">
        <v>17</v>
      </c>
      <c r="D6" s="12" t="s">
        <v>18</v>
      </c>
      <c r="E6" s="7" t="str">
        <f>IFERROR(__xludf.DUMMYFUNCTION("REGEXEXTRACT(C6, """"""([^""""]+)"""""")"),"Items.EMPOverloadProgram")</f>
        <v>Items.EMPOverloadProgram</v>
      </c>
      <c r="F6" s="13" t="s">
        <v>10</v>
      </c>
    </row>
    <row r="7">
      <c r="A7" s="9" t="s">
        <v>6</v>
      </c>
      <c r="B7" s="10" t="s">
        <v>7</v>
      </c>
      <c r="C7" s="11" t="s">
        <v>19</v>
      </c>
      <c r="D7" s="14" t="s">
        <v>9</v>
      </c>
      <c r="E7" s="7" t="str">
        <f>IFERROR(__xludf.DUMMYFUNCTION("REGEXEXTRACT(C7, """"""([^""""]+)"""""")"),"Items.WhistleLvl1Program")</f>
        <v>Items.WhistleLvl1Program</v>
      </c>
      <c r="F7" s="15" t="s">
        <v>20</v>
      </c>
    </row>
    <row r="8">
      <c r="A8" s="9" t="s">
        <v>6</v>
      </c>
      <c r="B8" s="10" t="s">
        <v>7</v>
      </c>
      <c r="C8" s="11" t="s">
        <v>21</v>
      </c>
      <c r="D8" s="14" t="s">
        <v>22</v>
      </c>
      <c r="E8" s="7" t="str">
        <f>IFERROR(__xludf.DUMMYFUNCTION("REGEXEXTRACT(C8, """"""([^""""]+)"""""")"),"Items.ContagionProgram")</f>
        <v>Items.ContagionProgram</v>
      </c>
      <c r="F8" s="15" t="s">
        <v>20</v>
      </c>
    </row>
    <row r="9">
      <c r="A9" s="9" t="s">
        <v>6</v>
      </c>
      <c r="B9" s="10" t="s">
        <v>7</v>
      </c>
      <c r="C9" s="11" t="s">
        <v>23</v>
      </c>
      <c r="D9" s="14" t="s">
        <v>24</v>
      </c>
      <c r="E9" s="7" t="str">
        <f>IFERROR(__xludf.DUMMYFUNCTION("REGEXEXTRACT(C9, """"""([^""""]+)"""""")"),"Items.LocomotionMalfunctionProgram")</f>
        <v>Items.LocomotionMalfunctionProgram</v>
      </c>
      <c r="F9" s="15" t="s">
        <v>20</v>
      </c>
    </row>
    <row r="10">
      <c r="A10" s="9" t="s">
        <v>6</v>
      </c>
      <c r="B10" s="10" t="s">
        <v>7</v>
      </c>
      <c r="C10" s="11" t="s">
        <v>25</v>
      </c>
      <c r="D10" s="14" t="s">
        <v>26</v>
      </c>
      <c r="E10" s="7" t="str">
        <f>IFERROR(__xludf.DUMMYFUNCTION("REGEXEXTRACT(C10, """"""([^""""]+)"""""")"),"Items.DisableCyberwareProgram")</f>
        <v>Items.DisableCyberwareProgram</v>
      </c>
      <c r="F10" s="15" t="s">
        <v>20</v>
      </c>
    </row>
    <row r="11">
      <c r="A11" s="9" t="s">
        <v>6</v>
      </c>
      <c r="B11" s="10" t="s">
        <v>7</v>
      </c>
      <c r="C11" s="11" t="s">
        <v>27</v>
      </c>
      <c r="D11" s="14" t="s">
        <v>12</v>
      </c>
      <c r="E11" s="7" t="str">
        <f>IFERROR(__xludf.DUMMYFUNCTION("REGEXEXTRACT(C11, """"""([^""""]+)"""""")"),"Items.OverheatLvl1Program")</f>
        <v>Items.OverheatLvl1Program</v>
      </c>
      <c r="F11" s="15" t="s">
        <v>20</v>
      </c>
    </row>
    <row r="12">
      <c r="A12" s="9" t="s">
        <v>6</v>
      </c>
      <c r="B12" s="10" t="s">
        <v>7</v>
      </c>
      <c r="C12" s="11" t="s">
        <v>28</v>
      </c>
      <c r="D12" s="14" t="s">
        <v>16</v>
      </c>
      <c r="E12" s="7" t="str">
        <f>IFERROR(__xludf.DUMMYFUNCTION("REGEXEXTRACT(C12, """"""([^""""]+)"""""")"),"Items.BlindLvl1Program")</f>
        <v>Items.BlindLvl1Program</v>
      </c>
      <c r="F12" s="15" t="s">
        <v>20</v>
      </c>
    </row>
    <row r="13">
      <c r="A13" s="9" t="s">
        <v>6</v>
      </c>
      <c r="B13" s="10" t="s">
        <v>7</v>
      </c>
      <c r="C13" s="11" t="s">
        <v>29</v>
      </c>
      <c r="D13" s="14" t="s">
        <v>30</v>
      </c>
      <c r="E13" s="7" t="str">
        <f>IFERROR(__xludf.DUMMYFUNCTION("REGEXEXTRACT(C13, """"""([^""""]+)"""""")"),"Items.CommsCallInLvl1Program")</f>
        <v>Items.CommsCallInLvl1Program</v>
      </c>
      <c r="F13" s="15" t="s">
        <v>20</v>
      </c>
    </row>
    <row r="14">
      <c r="A14" s="9" t="s">
        <v>6</v>
      </c>
      <c r="B14" s="10" t="s">
        <v>7</v>
      </c>
      <c r="C14" s="11" t="s">
        <v>31</v>
      </c>
      <c r="D14" s="14" t="s">
        <v>18</v>
      </c>
      <c r="E14" s="7" t="str">
        <f>IFERROR(__xludf.DUMMYFUNCTION("REGEXEXTRACT(C14, """"""([^""""]+)"""""")"),"Items.EMPOverloadLvl1Program")</f>
        <v>Items.EMPOverloadLvl1Program</v>
      </c>
      <c r="F14" s="15" t="s">
        <v>20</v>
      </c>
    </row>
    <row r="15">
      <c r="A15" s="9" t="s">
        <v>6</v>
      </c>
      <c r="B15" s="10" t="s">
        <v>7</v>
      </c>
      <c r="C15" s="11" t="s">
        <v>32</v>
      </c>
      <c r="D15" s="14" t="s">
        <v>33</v>
      </c>
      <c r="E15" s="7" t="str">
        <f>IFERROR(__xludf.DUMMYFUNCTION("REGEXEXTRACT(C15, """"""([^""""]+)"""""")"),"Items.CommsNoiseProgram")</f>
        <v>Items.CommsNoiseProgram</v>
      </c>
      <c r="F15" s="15" t="s">
        <v>20</v>
      </c>
    </row>
    <row r="16">
      <c r="A16" s="9" t="s">
        <v>6</v>
      </c>
      <c r="B16" s="10" t="s">
        <v>7</v>
      </c>
      <c r="C16" s="11" t="s">
        <v>34</v>
      </c>
      <c r="D16" s="14" t="s">
        <v>35</v>
      </c>
      <c r="E16" s="7" t="str">
        <f>IFERROR(__xludf.DUMMYFUNCTION("REGEXEXTRACT(C16, """"""([^""""]+)"""""")"),"Items.WeaponMalfunctionProgram")</f>
        <v>Items.WeaponMalfunctionProgram</v>
      </c>
      <c r="F16" s="15" t="s">
        <v>20</v>
      </c>
    </row>
    <row r="17">
      <c r="A17" s="9" t="s">
        <v>6</v>
      </c>
      <c r="B17" s="10" t="s">
        <v>7</v>
      </c>
      <c r="C17" s="11" t="s">
        <v>36</v>
      </c>
      <c r="D17" s="16" t="s">
        <v>9</v>
      </c>
      <c r="E17" s="7" t="str">
        <f>IFERROR(__xludf.DUMMYFUNCTION("REGEXEXTRACT(C17, """"""([^""""]+)"""""")"),"Items.WhistleLvl2Program")</f>
        <v>Items.WhistleLvl2Program</v>
      </c>
      <c r="F17" s="17" t="s">
        <v>37</v>
      </c>
    </row>
    <row r="18">
      <c r="A18" s="9" t="s">
        <v>6</v>
      </c>
      <c r="B18" s="10" t="s">
        <v>7</v>
      </c>
      <c r="C18" s="11" t="s">
        <v>38</v>
      </c>
      <c r="D18" s="18" t="s">
        <v>22</v>
      </c>
      <c r="E18" s="7" t="str">
        <f>IFERROR(__xludf.DUMMYFUNCTION("REGEXEXTRACT(C18, """"""([^""""]+)"""""")"),"Items.ContagionLvl2Program")</f>
        <v>Items.ContagionLvl2Program</v>
      </c>
      <c r="F18" s="17" t="s">
        <v>37</v>
      </c>
    </row>
    <row r="19">
      <c r="A19" s="9" t="s">
        <v>6</v>
      </c>
      <c r="B19" s="10" t="s">
        <v>7</v>
      </c>
      <c r="C19" s="11" t="s">
        <v>39</v>
      </c>
      <c r="D19" s="18" t="s">
        <v>24</v>
      </c>
      <c r="E19" s="7" t="str">
        <f>IFERROR(__xludf.DUMMYFUNCTION("REGEXEXTRACT(C19, """"""([^""""]+)"""""")"),"Items.LocomotionMalfunctionLvl2Program")</f>
        <v>Items.LocomotionMalfunctionLvl2Program</v>
      </c>
      <c r="F19" s="17" t="s">
        <v>37</v>
      </c>
    </row>
    <row r="20">
      <c r="A20" s="9" t="s">
        <v>6</v>
      </c>
      <c r="B20" s="10" t="s">
        <v>7</v>
      </c>
      <c r="C20" s="11" t="s">
        <v>40</v>
      </c>
      <c r="D20" s="18" t="s">
        <v>26</v>
      </c>
      <c r="E20" s="7" t="str">
        <f>IFERROR(__xludf.DUMMYFUNCTION("REGEXEXTRACT(C20, """"""([^""""]+)"""""")"),"Items.DisableCyberwareLvl2Program")</f>
        <v>Items.DisableCyberwareLvl2Program</v>
      </c>
      <c r="F20" s="17" t="s">
        <v>37</v>
      </c>
    </row>
    <row r="21">
      <c r="A21" s="9" t="s">
        <v>6</v>
      </c>
      <c r="B21" s="10" t="s">
        <v>7</v>
      </c>
      <c r="C21" s="11" t="s">
        <v>41</v>
      </c>
      <c r="D21" s="18" t="s">
        <v>42</v>
      </c>
      <c r="E21" s="7" t="str">
        <f>IFERROR(__xludf.DUMMYFUNCTION("REGEXEXTRACT(C21, """"""([^""""]+)"""""")"),"Items.MemoryWipeLvl2Program")</f>
        <v>Items.MemoryWipeLvl2Program</v>
      </c>
      <c r="F21" s="17" t="s">
        <v>37</v>
      </c>
    </row>
    <row r="22">
      <c r="A22" s="9" t="s">
        <v>6</v>
      </c>
      <c r="B22" s="10" t="s">
        <v>7</v>
      </c>
      <c r="C22" s="11" t="s">
        <v>43</v>
      </c>
      <c r="D22" s="18" t="s">
        <v>12</v>
      </c>
      <c r="E22" s="7" t="str">
        <f>IFERROR(__xludf.DUMMYFUNCTION("REGEXEXTRACT(C22, """"""([^""""]+)"""""")"),"Items.OverheatLvl2Program")</f>
        <v>Items.OverheatLvl2Program</v>
      </c>
      <c r="F22" s="17" t="s">
        <v>37</v>
      </c>
    </row>
    <row r="23">
      <c r="A23" s="9" t="s">
        <v>6</v>
      </c>
      <c r="B23" s="10" t="s">
        <v>7</v>
      </c>
      <c r="C23" s="11" t="s">
        <v>44</v>
      </c>
      <c r="D23" s="18" t="s">
        <v>14</v>
      </c>
      <c r="E23" s="7" t="str">
        <f>IFERROR(__xludf.DUMMYFUNCTION("REGEXEXTRACT(C23, """"""([^""""]+)"""""")"),"Items.PingLvl2Program")</f>
        <v>Items.PingLvl2Program</v>
      </c>
      <c r="F23" s="17" t="s">
        <v>37</v>
      </c>
    </row>
    <row r="24">
      <c r="A24" s="9" t="s">
        <v>6</v>
      </c>
      <c r="B24" s="10" t="s">
        <v>7</v>
      </c>
      <c r="C24" s="11" t="s">
        <v>45</v>
      </c>
      <c r="D24" s="18" t="s">
        <v>16</v>
      </c>
      <c r="E24" s="7" t="str">
        <f>IFERROR(__xludf.DUMMYFUNCTION("REGEXEXTRACT(C24, """"""([^""""]+)"""""")"),"Items.BlindLvl2Program")</f>
        <v>Items.BlindLvl2Program</v>
      </c>
      <c r="F24" s="17" t="s">
        <v>37</v>
      </c>
    </row>
    <row r="25">
      <c r="A25" s="9" t="s">
        <v>6</v>
      </c>
      <c r="B25" s="10" t="s">
        <v>7</v>
      </c>
      <c r="C25" s="11" t="s">
        <v>46</v>
      </c>
      <c r="D25" s="18" t="s">
        <v>30</v>
      </c>
      <c r="E25" s="7" t="str">
        <f>IFERROR(__xludf.DUMMYFUNCTION("REGEXEXTRACT(C25, """"""([^""""]+)"""""")"),"Items.CommsCallInLvl2Program")</f>
        <v>Items.CommsCallInLvl2Program</v>
      </c>
      <c r="F25" s="17" t="s">
        <v>37</v>
      </c>
    </row>
    <row r="26">
      <c r="A26" s="9" t="s">
        <v>6</v>
      </c>
      <c r="B26" s="10" t="s">
        <v>7</v>
      </c>
      <c r="C26" s="11" t="s">
        <v>47</v>
      </c>
      <c r="D26" s="18" t="s">
        <v>18</v>
      </c>
      <c r="E26" s="7" t="str">
        <f>IFERROR(__xludf.DUMMYFUNCTION("REGEXEXTRACT(C26, """"""([^""""]+)"""""")"),"Items.EMPOverloadLvl2Program")</f>
        <v>Items.EMPOverloadLvl2Program</v>
      </c>
      <c r="F26" s="17" t="s">
        <v>37</v>
      </c>
    </row>
    <row r="27">
      <c r="A27" s="9" t="s">
        <v>6</v>
      </c>
      <c r="B27" s="10" t="s">
        <v>7</v>
      </c>
      <c r="C27" s="11" t="s">
        <v>48</v>
      </c>
      <c r="D27" s="18" t="s">
        <v>33</v>
      </c>
      <c r="E27" s="7" t="str">
        <f>IFERROR(__xludf.DUMMYFUNCTION("REGEXEXTRACT(C27, """"""([^""""]+)"""""")"),"Items.CommsNoiseLvl2Program")</f>
        <v>Items.CommsNoiseLvl2Program</v>
      </c>
      <c r="F27" s="17" t="s">
        <v>37</v>
      </c>
    </row>
    <row r="28">
      <c r="A28" s="9" t="s">
        <v>6</v>
      </c>
      <c r="B28" s="10" t="s">
        <v>7</v>
      </c>
      <c r="C28" s="11" t="s">
        <v>49</v>
      </c>
      <c r="D28" s="18" t="s">
        <v>50</v>
      </c>
      <c r="E28" s="7" t="str">
        <f>IFERROR(__xludf.DUMMYFUNCTION("REGEXEXTRACT(C28, """"""([^""""]+)"""""")"),"Items.BrainMeltLvl2Program")</f>
        <v>Items.BrainMeltLvl2Program</v>
      </c>
      <c r="F28" s="17" t="s">
        <v>37</v>
      </c>
    </row>
    <row r="29">
      <c r="A29" s="9" t="s">
        <v>6</v>
      </c>
      <c r="B29" s="10" t="s">
        <v>7</v>
      </c>
      <c r="C29" s="11" t="s">
        <v>51</v>
      </c>
      <c r="D29" s="18" t="s">
        <v>35</v>
      </c>
      <c r="E29" s="7" t="str">
        <f>IFERROR(__xludf.DUMMYFUNCTION("REGEXEXTRACT(C29, """"""([^""""]+)"""""")"),"Items.WeaponMalfunctionLvl2Program")</f>
        <v>Items.WeaponMalfunctionLvl2Program</v>
      </c>
      <c r="F29" s="17" t="s">
        <v>37</v>
      </c>
    </row>
    <row r="30">
      <c r="A30" s="9" t="s">
        <v>6</v>
      </c>
      <c r="B30" s="10" t="s">
        <v>7</v>
      </c>
      <c r="C30" s="11" t="s">
        <v>52</v>
      </c>
      <c r="D30" s="19" t="s">
        <v>9</v>
      </c>
      <c r="E30" s="7" t="str">
        <f>IFERROR(__xludf.DUMMYFUNCTION("REGEXEXTRACT(C30, """"""([^""""]+)"""""")"),"Items.WhistleLvl3Program")</f>
        <v>Items.WhistleLvl3Program</v>
      </c>
      <c r="F30" s="9" t="s">
        <v>53</v>
      </c>
    </row>
    <row r="31">
      <c r="A31" s="9" t="s">
        <v>6</v>
      </c>
      <c r="B31" s="10" t="s">
        <v>7</v>
      </c>
      <c r="C31" s="11" t="s">
        <v>54</v>
      </c>
      <c r="D31" s="20" t="s">
        <v>22</v>
      </c>
      <c r="E31" s="7" t="str">
        <f>IFERROR(__xludf.DUMMYFUNCTION("REGEXEXTRACT(C31, """"""([^""""]+)"""""")"),"Items.ContagionLvl3Program")</f>
        <v>Items.ContagionLvl3Program</v>
      </c>
      <c r="F31" s="9" t="s">
        <v>53</v>
      </c>
    </row>
    <row r="32">
      <c r="A32" s="9" t="s">
        <v>6</v>
      </c>
      <c r="B32" s="10" t="s">
        <v>7</v>
      </c>
      <c r="C32" s="11" t="s">
        <v>55</v>
      </c>
      <c r="D32" s="20" t="s">
        <v>24</v>
      </c>
      <c r="E32" s="7" t="str">
        <f>IFERROR(__xludf.DUMMYFUNCTION("REGEXEXTRACT(C32, """"""([^""""]+)"""""")"),"Items.LocomotionMalfunctionLvl3Program")</f>
        <v>Items.LocomotionMalfunctionLvl3Program</v>
      </c>
      <c r="F32" s="9" t="s">
        <v>53</v>
      </c>
    </row>
    <row r="33">
      <c r="A33" s="9" t="s">
        <v>6</v>
      </c>
      <c r="B33" s="10" t="s">
        <v>7</v>
      </c>
      <c r="C33" s="11" t="s">
        <v>56</v>
      </c>
      <c r="D33" s="20" t="s">
        <v>57</v>
      </c>
      <c r="E33" s="7" t="str">
        <f>IFERROR(__xludf.DUMMYFUNCTION("REGEXEXTRACT(C33, """"""([^""""]+)"""""")"),"Items.MadnessLvl3Program")</f>
        <v>Items.MadnessLvl3Program</v>
      </c>
      <c r="F33" s="9" t="s">
        <v>53</v>
      </c>
    </row>
    <row r="34">
      <c r="A34" s="9" t="s">
        <v>6</v>
      </c>
      <c r="B34" s="10" t="s">
        <v>7</v>
      </c>
      <c r="C34" s="11" t="s">
        <v>58</v>
      </c>
      <c r="D34" s="20" t="s">
        <v>26</v>
      </c>
      <c r="E34" s="7" t="str">
        <f>IFERROR(__xludf.DUMMYFUNCTION("REGEXEXTRACT(C34, """"""([^""""]+)"""""")"),"Items.DisableCyberwareLvl3Program")</f>
        <v>Items.DisableCyberwareLvl3Program</v>
      </c>
      <c r="F34" s="9" t="s">
        <v>53</v>
      </c>
    </row>
    <row r="35">
      <c r="A35" s="9" t="s">
        <v>6</v>
      </c>
      <c r="B35" s="10" t="s">
        <v>7</v>
      </c>
      <c r="C35" s="11" t="s">
        <v>59</v>
      </c>
      <c r="D35" s="20" t="s">
        <v>60</v>
      </c>
      <c r="E35" s="7" t="str">
        <f>IFERROR(__xludf.DUMMYFUNCTION("REGEXEXTRACT(C35, """"""([^""""]+)"""""")"),"Items.GrenadeExplodeLvl3Program")</f>
        <v>Items.GrenadeExplodeLvl3Program</v>
      </c>
      <c r="F35" s="9" t="s">
        <v>53</v>
      </c>
    </row>
    <row r="36">
      <c r="A36" s="9" t="s">
        <v>6</v>
      </c>
      <c r="B36" s="10" t="s">
        <v>7</v>
      </c>
      <c r="C36" s="11" t="s">
        <v>61</v>
      </c>
      <c r="D36" s="20" t="s">
        <v>42</v>
      </c>
      <c r="E36" s="7" t="str">
        <f>IFERROR(__xludf.DUMMYFUNCTION("REGEXEXTRACT(C36, """"""([^""""]+)"""""")"),"Items.MemoryWipeLvl3Program")</f>
        <v>Items.MemoryWipeLvl3Program</v>
      </c>
      <c r="F36" s="9" t="s">
        <v>53</v>
      </c>
    </row>
    <row r="37">
      <c r="A37" s="9" t="s">
        <v>6</v>
      </c>
      <c r="B37" s="10" t="s">
        <v>7</v>
      </c>
      <c r="C37" s="11" t="s">
        <v>62</v>
      </c>
      <c r="D37" s="20" t="s">
        <v>12</v>
      </c>
      <c r="E37" s="7" t="str">
        <f>IFERROR(__xludf.DUMMYFUNCTION("REGEXEXTRACT(C37, """"""([^""""]+)"""""")"),"Items.OverheatLvl3Program")</f>
        <v>Items.OverheatLvl3Program</v>
      </c>
      <c r="F37" s="9" t="s">
        <v>53</v>
      </c>
    </row>
    <row r="38">
      <c r="A38" s="9" t="s">
        <v>6</v>
      </c>
      <c r="B38" s="10" t="s">
        <v>7</v>
      </c>
      <c r="C38" s="11" t="s">
        <v>63</v>
      </c>
      <c r="D38" s="20" t="s">
        <v>14</v>
      </c>
      <c r="E38" s="7" t="str">
        <f>IFERROR(__xludf.DUMMYFUNCTION("REGEXEXTRACT(C38, """"""([^""""]+)"""""")"),"Items.PingLvl3Program")</f>
        <v>Items.PingLvl3Program</v>
      </c>
      <c r="F38" s="9" t="s">
        <v>53</v>
      </c>
    </row>
    <row r="39">
      <c r="A39" s="9" t="s">
        <v>6</v>
      </c>
      <c r="B39" s="10" t="s">
        <v>7</v>
      </c>
      <c r="C39" s="11" t="s">
        <v>64</v>
      </c>
      <c r="D39" s="20" t="s">
        <v>16</v>
      </c>
      <c r="E39" s="7" t="str">
        <f>IFERROR(__xludf.DUMMYFUNCTION("REGEXEXTRACT(C39, """"""([^""""]+)"""""")"),"Items.BlindLvl3Program")</f>
        <v>Items.BlindLvl3Program</v>
      </c>
      <c r="F39" s="9" t="s">
        <v>53</v>
      </c>
    </row>
    <row r="40">
      <c r="A40" s="9" t="s">
        <v>6</v>
      </c>
      <c r="B40" s="10" t="s">
        <v>7</v>
      </c>
      <c r="C40" s="11" t="s">
        <v>65</v>
      </c>
      <c r="D40" s="20" t="s">
        <v>30</v>
      </c>
      <c r="E40" s="7" t="str">
        <f>IFERROR(__xludf.DUMMYFUNCTION("REGEXEXTRACT(C40, """"""([^""""]+)"""""")"),"Items.CommsCallInLvl3Program")</f>
        <v>Items.CommsCallInLvl3Program</v>
      </c>
      <c r="F40" s="9" t="s">
        <v>53</v>
      </c>
    </row>
    <row r="41">
      <c r="A41" s="9" t="s">
        <v>6</v>
      </c>
      <c r="B41" s="10" t="s">
        <v>7</v>
      </c>
      <c r="C41" s="11" t="s">
        <v>66</v>
      </c>
      <c r="D41" s="20" t="s">
        <v>18</v>
      </c>
      <c r="E41" s="7" t="str">
        <f>IFERROR(__xludf.DUMMYFUNCTION("REGEXEXTRACT(C41, """"""([^""""]+)"""""")"),"Items.EMPOverloadLvl3Program")</f>
        <v>Items.EMPOverloadLvl3Program</v>
      </c>
      <c r="F41" s="9" t="s">
        <v>53</v>
      </c>
    </row>
    <row r="42">
      <c r="A42" s="9" t="s">
        <v>6</v>
      </c>
      <c r="B42" s="10" t="s">
        <v>7</v>
      </c>
      <c r="C42" s="11" t="s">
        <v>67</v>
      </c>
      <c r="D42" s="20" t="s">
        <v>33</v>
      </c>
      <c r="E42" s="7" t="str">
        <f>IFERROR(__xludf.DUMMYFUNCTION("REGEXEXTRACT(C42, """"""([^""""]+)"""""")"),"Items.CommsNoiseLvl3Program")</f>
        <v>Items.CommsNoiseLvl3Program</v>
      </c>
      <c r="F42" s="9" t="s">
        <v>53</v>
      </c>
    </row>
    <row r="43">
      <c r="A43" s="9" t="s">
        <v>6</v>
      </c>
      <c r="B43" s="10" t="s">
        <v>7</v>
      </c>
      <c r="C43" s="11" t="s">
        <v>68</v>
      </c>
      <c r="D43" s="20" t="s">
        <v>69</v>
      </c>
      <c r="E43" s="7" t="str">
        <f>IFERROR(__xludf.DUMMYFUNCTION("REGEXEXTRACT(C43, """"""([^""""]+)"""""")"),"Items.SuicideLvl3Program")</f>
        <v>Items.SuicideLvl3Program</v>
      </c>
      <c r="F43" s="9" t="s">
        <v>53</v>
      </c>
    </row>
    <row r="44">
      <c r="A44" s="9" t="s">
        <v>6</v>
      </c>
      <c r="B44" s="10" t="s">
        <v>7</v>
      </c>
      <c r="C44" s="11" t="s">
        <v>70</v>
      </c>
      <c r="D44" s="20" t="s">
        <v>50</v>
      </c>
      <c r="E44" s="7" t="str">
        <f>IFERROR(__xludf.DUMMYFUNCTION("REGEXEXTRACT(C44, """"""([^""""]+)"""""")"),"Items.BrainMeltLvl3Program")</f>
        <v>Items.BrainMeltLvl3Program</v>
      </c>
      <c r="F44" s="9" t="s">
        <v>53</v>
      </c>
    </row>
    <row r="45">
      <c r="A45" s="9" t="s">
        <v>6</v>
      </c>
      <c r="B45" s="10" t="s">
        <v>7</v>
      </c>
      <c r="C45" s="11" t="s">
        <v>71</v>
      </c>
      <c r="D45" s="20" t="s">
        <v>72</v>
      </c>
      <c r="E45" s="7" t="str">
        <f>IFERROR(__xludf.DUMMYFUNCTION("REGEXEXTRACT(C45, """"""([^""""]+)"""""")"),"Items.SystemCollapseLvl3Program")</f>
        <v>Items.SystemCollapseLvl3Program</v>
      </c>
      <c r="F45" s="9" t="s">
        <v>53</v>
      </c>
    </row>
    <row r="46">
      <c r="A46" s="9" t="s">
        <v>6</v>
      </c>
      <c r="B46" s="10" t="s">
        <v>7</v>
      </c>
      <c r="C46" s="11" t="s">
        <v>73</v>
      </c>
      <c r="D46" s="20" t="s">
        <v>35</v>
      </c>
      <c r="E46" s="7" t="str">
        <f>IFERROR(__xludf.DUMMYFUNCTION("REGEXEXTRACT(C46, """"""([^""""]+)"""""")"),"Items.WeaponMalfunctionLvl3Program")</f>
        <v>Items.WeaponMalfunctionLvl3Program</v>
      </c>
      <c r="F46" s="9" t="s">
        <v>53</v>
      </c>
    </row>
    <row r="47">
      <c r="A47" s="9" t="s">
        <v>6</v>
      </c>
      <c r="B47" s="10" t="s">
        <v>7</v>
      </c>
      <c r="C47" s="11" t="s">
        <v>74</v>
      </c>
      <c r="D47" s="21" t="s">
        <v>9</v>
      </c>
      <c r="E47" s="7" t="str">
        <f>IFERROR(__xludf.DUMMYFUNCTION("REGEXEXTRACT(C47, """"""([^""""]+)"""""")"),"Items.WhistleLvl4Program")</f>
        <v>Items.WhistleLvl4Program</v>
      </c>
      <c r="F47" s="22" t="s">
        <v>75</v>
      </c>
    </row>
    <row r="48">
      <c r="A48" s="9" t="s">
        <v>6</v>
      </c>
      <c r="B48" s="10" t="s">
        <v>7</v>
      </c>
      <c r="C48" s="11" t="s">
        <v>76</v>
      </c>
      <c r="D48" s="21" t="s">
        <v>22</v>
      </c>
      <c r="E48" s="7" t="str">
        <f>IFERROR(__xludf.DUMMYFUNCTION("REGEXEXTRACT(C48, """"""([^""""]+)"""""")"),"Items.ContagionLvl4Program")</f>
        <v>Items.ContagionLvl4Program</v>
      </c>
      <c r="F48" s="22" t="s">
        <v>75</v>
      </c>
    </row>
    <row r="49">
      <c r="A49" s="9" t="s">
        <v>6</v>
      </c>
      <c r="B49" s="10" t="s">
        <v>7</v>
      </c>
      <c r="C49" s="11" t="s">
        <v>77</v>
      </c>
      <c r="D49" s="21" t="s">
        <v>24</v>
      </c>
      <c r="E49" s="7" t="str">
        <f>IFERROR(__xludf.DUMMYFUNCTION("REGEXEXTRACT(C49, """"""([^""""]+)"""""")"),"Items.LocomotionMalfunctionLvl4Program")</f>
        <v>Items.LocomotionMalfunctionLvl4Program</v>
      </c>
      <c r="F49" s="22" t="s">
        <v>75</v>
      </c>
    </row>
    <row r="50">
      <c r="A50" s="9" t="s">
        <v>6</v>
      </c>
      <c r="B50" s="10" t="s">
        <v>7</v>
      </c>
      <c r="C50" s="11" t="s">
        <v>78</v>
      </c>
      <c r="D50" s="21" t="s">
        <v>57</v>
      </c>
      <c r="E50" s="7" t="str">
        <f>IFERROR(__xludf.DUMMYFUNCTION("REGEXEXTRACT(C50, """"""([^""""]+)"""""")"),"Items.MadnessLvl4Program")</f>
        <v>Items.MadnessLvl4Program</v>
      </c>
      <c r="F50" s="22" t="s">
        <v>75</v>
      </c>
    </row>
    <row r="51">
      <c r="A51" s="9" t="s">
        <v>6</v>
      </c>
      <c r="B51" s="10" t="s">
        <v>7</v>
      </c>
      <c r="C51" s="11" t="s">
        <v>79</v>
      </c>
      <c r="D51" s="21" t="s">
        <v>26</v>
      </c>
      <c r="E51" s="7" t="str">
        <f>IFERROR(__xludf.DUMMYFUNCTION("REGEXEXTRACT(C51, """"""([^""""]+)"""""")"),"Items.DisableCyberwareLvl4Program")</f>
        <v>Items.DisableCyberwareLvl4Program</v>
      </c>
      <c r="F51" s="22" t="s">
        <v>75</v>
      </c>
    </row>
    <row r="52">
      <c r="A52" s="9" t="s">
        <v>6</v>
      </c>
      <c r="B52" s="10" t="s">
        <v>7</v>
      </c>
      <c r="C52" s="11" t="s">
        <v>80</v>
      </c>
      <c r="D52" s="21" t="s">
        <v>60</v>
      </c>
      <c r="E52" s="7" t="str">
        <f>IFERROR(__xludf.DUMMYFUNCTION("REGEXEXTRACT(C52, """"""([^""""]+)"""""")"),"Items.GrenadeExplodeLvl4Program")</f>
        <v>Items.GrenadeExplodeLvl4Program</v>
      </c>
      <c r="F52" s="22" t="s">
        <v>75</v>
      </c>
    </row>
    <row r="53">
      <c r="A53" s="9" t="s">
        <v>6</v>
      </c>
      <c r="B53" s="10" t="s">
        <v>7</v>
      </c>
      <c r="C53" s="11" t="s">
        <v>81</v>
      </c>
      <c r="D53" s="21" t="s">
        <v>42</v>
      </c>
      <c r="E53" s="7" t="str">
        <f>IFERROR(__xludf.DUMMYFUNCTION("REGEXEXTRACT(C53, """"""([^""""]+)"""""")"),"Items.MemoryWipeLvl4Program")</f>
        <v>Items.MemoryWipeLvl4Program</v>
      </c>
      <c r="F53" s="22" t="s">
        <v>75</v>
      </c>
    </row>
    <row r="54">
      <c r="A54" s="9" t="s">
        <v>6</v>
      </c>
      <c r="B54" s="10" t="s">
        <v>7</v>
      </c>
      <c r="C54" s="11" t="s">
        <v>82</v>
      </c>
      <c r="D54" s="21" t="s">
        <v>12</v>
      </c>
      <c r="E54" s="7" t="str">
        <f>IFERROR(__xludf.DUMMYFUNCTION("REGEXEXTRACT(C54, """"""([^""""]+)"""""")"),"Items.OverheatLvl4Program")</f>
        <v>Items.OverheatLvl4Program</v>
      </c>
      <c r="F54" s="22" t="s">
        <v>75</v>
      </c>
    </row>
    <row r="55">
      <c r="A55" s="9" t="s">
        <v>6</v>
      </c>
      <c r="B55" s="10" t="s">
        <v>7</v>
      </c>
      <c r="C55" s="11" t="s">
        <v>83</v>
      </c>
      <c r="D55" s="21" t="s">
        <v>14</v>
      </c>
      <c r="E55" s="7" t="str">
        <f>IFERROR(__xludf.DUMMYFUNCTION("REGEXEXTRACT(C55, """"""([^""""]+)"""""")"),"Items.PingLvl4Program")</f>
        <v>Items.PingLvl4Program</v>
      </c>
      <c r="F55" s="22" t="s">
        <v>75</v>
      </c>
    </row>
    <row r="56">
      <c r="A56" s="9" t="s">
        <v>6</v>
      </c>
      <c r="B56" s="10" t="s">
        <v>7</v>
      </c>
      <c r="C56" s="11" t="s">
        <v>84</v>
      </c>
      <c r="D56" s="21" t="s">
        <v>16</v>
      </c>
      <c r="E56" s="7" t="str">
        <f>IFERROR(__xludf.DUMMYFUNCTION("REGEXEXTRACT(C56, """"""([^""""]+)"""""")"),"Items.BlindLvl4Program")</f>
        <v>Items.BlindLvl4Program</v>
      </c>
      <c r="F56" s="22" t="s">
        <v>75</v>
      </c>
    </row>
    <row r="57">
      <c r="A57" s="9" t="s">
        <v>6</v>
      </c>
      <c r="B57" s="10" t="s">
        <v>7</v>
      </c>
      <c r="C57" s="11" t="s">
        <v>85</v>
      </c>
      <c r="D57" s="21" t="s">
        <v>30</v>
      </c>
      <c r="E57" s="7" t="str">
        <f>IFERROR(__xludf.DUMMYFUNCTION("REGEXEXTRACT(C57, """"""([^""""]+)"""""")"),"Items.CommsCallInLvl4Program")</f>
        <v>Items.CommsCallInLvl4Program</v>
      </c>
      <c r="F57" s="22" t="s">
        <v>75</v>
      </c>
    </row>
    <row r="58">
      <c r="A58" s="9" t="s">
        <v>6</v>
      </c>
      <c r="B58" s="10" t="s">
        <v>7</v>
      </c>
      <c r="C58" s="11" t="s">
        <v>86</v>
      </c>
      <c r="D58" s="21" t="s">
        <v>18</v>
      </c>
      <c r="E58" s="7" t="str">
        <f>IFERROR(__xludf.DUMMYFUNCTION("REGEXEXTRACT(C58, """"""([^""""]+)"""""")"),"Items.EMPOverloadLvl4Program")</f>
        <v>Items.EMPOverloadLvl4Program</v>
      </c>
      <c r="F58" s="22" t="s">
        <v>75</v>
      </c>
    </row>
    <row r="59">
      <c r="A59" s="9" t="s">
        <v>6</v>
      </c>
      <c r="B59" s="10" t="s">
        <v>7</v>
      </c>
      <c r="C59" s="11" t="s">
        <v>87</v>
      </c>
      <c r="D59" s="21" t="s">
        <v>33</v>
      </c>
      <c r="E59" s="7" t="str">
        <f>IFERROR(__xludf.DUMMYFUNCTION("REGEXEXTRACT(C59, """"""([^""""]+)"""""")"),"Items.CommsNoiseLvl4Program")</f>
        <v>Items.CommsNoiseLvl4Program</v>
      </c>
      <c r="F59" s="22" t="s">
        <v>75</v>
      </c>
    </row>
    <row r="60">
      <c r="A60" s="9" t="s">
        <v>6</v>
      </c>
      <c r="B60" s="10" t="s">
        <v>7</v>
      </c>
      <c r="C60" s="11" t="s">
        <v>88</v>
      </c>
      <c r="D60" s="21" t="s">
        <v>69</v>
      </c>
      <c r="E60" s="7" t="str">
        <f>IFERROR(__xludf.DUMMYFUNCTION("REGEXEXTRACT(C60, """"""([^""""]+)"""""")"),"Items.SuicideLvl4Program")</f>
        <v>Items.SuicideLvl4Program</v>
      </c>
      <c r="F60" s="22" t="s">
        <v>75</v>
      </c>
    </row>
    <row r="61">
      <c r="A61" s="9" t="s">
        <v>6</v>
      </c>
      <c r="B61" s="10" t="s">
        <v>7</v>
      </c>
      <c r="C61" s="11" t="s">
        <v>89</v>
      </c>
      <c r="D61" s="21" t="s">
        <v>50</v>
      </c>
      <c r="E61" s="7" t="str">
        <f>IFERROR(__xludf.DUMMYFUNCTION("REGEXEXTRACT(C61, """"""([^""""]+)"""""")"),"Items.BrainMeltLvl4Program")</f>
        <v>Items.BrainMeltLvl4Program</v>
      </c>
      <c r="F61" s="22" t="s">
        <v>75</v>
      </c>
    </row>
    <row r="62">
      <c r="A62" s="9" t="s">
        <v>6</v>
      </c>
      <c r="B62" s="10" t="s">
        <v>7</v>
      </c>
      <c r="C62" s="11" t="s">
        <v>90</v>
      </c>
      <c r="D62" s="21" t="s">
        <v>72</v>
      </c>
      <c r="E62" s="7" t="str">
        <f>IFERROR(__xludf.DUMMYFUNCTION("REGEXEXTRACT(C62, """"""([^""""]+)"""""")"),"Items.SystemCollapseLvl4Program")</f>
        <v>Items.SystemCollapseLvl4Program</v>
      </c>
      <c r="F62" s="22" t="s">
        <v>75</v>
      </c>
    </row>
    <row r="63">
      <c r="A63" s="9" t="s">
        <v>6</v>
      </c>
      <c r="B63" s="10" t="s">
        <v>7</v>
      </c>
      <c r="C63" s="11" t="s">
        <v>91</v>
      </c>
      <c r="D63" s="21" t="s">
        <v>35</v>
      </c>
      <c r="E63" s="7" t="str">
        <f>IFERROR(__xludf.DUMMYFUNCTION("REGEXEXTRACT(C63, """"""([^""""]+)"""""")"),"Items.WeaponMalfunctionLvl4Program")</f>
        <v>Items.WeaponMalfunctionLvl4Program</v>
      </c>
      <c r="F63" s="22" t="s">
        <v>75</v>
      </c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</sheetData>
  <autoFilter ref="$A$1:$F$993">
    <sortState ref="A1:F993">
      <sortCondition ref="F1:F993"/>
      <sortCondition ref="D1:D993"/>
      <sortCondition ref="C1:C993"/>
      <sortCondition ref="B1:B993"/>
      <sortCondition ref="A1:A993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62.63"/>
    <col customWidth="1" min="4" max="4" width="38.7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87" t="s">
        <v>507</v>
      </c>
      <c r="B2" s="4" t="s">
        <v>7</v>
      </c>
      <c r="C2" s="5" t="s">
        <v>508</v>
      </c>
      <c r="D2" s="88" t="s">
        <v>509</v>
      </c>
      <c r="E2" s="7" t="str">
        <f>IFERROR(__xludf.DUMMYFUNCTION("REGEXEXTRACT(C2, """"""([^""""]+)"""""")"),"Items.AdvancedStrongArmsElectricUncommon")</f>
        <v>Items.AdvancedStrongArmsElectricUncommon</v>
      </c>
      <c r="F2" s="89" t="s">
        <v>20</v>
      </c>
    </row>
    <row r="3">
      <c r="A3" s="90" t="s">
        <v>507</v>
      </c>
      <c r="B3" s="10" t="s">
        <v>7</v>
      </c>
      <c r="C3" s="11" t="s">
        <v>510</v>
      </c>
      <c r="D3" s="14" t="s">
        <v>511</v>
      </c>
      <c r="E3" s="7" t="str">
        <f>IFERROR(__xludf.DUMMYFUNCTION("REGEXEXTRACT(C3, """"""([^""""]+)"""""")"),"Items.AdvancedMantisBladesElectricUncommon")</f>
        <v>Items.AdvancedMantisBladesElectricUncommon</v>
      </c>
      <c r="F3" s="32" t="s">
        <v>20</v>
      </c>
    </row>
    <row r="4">
      <c r="A4" s="90" t="s">
        <v>507</v>
      </c>
      <c r="B4" s="10" t="s">
        <v>7</v>
      </c>
      <c r="C4" s="11" t="s">
        <v>512</v>
      </c>
      <c r="D4" s="14" t="s">
        <v>513</v>
      </c>
      <c r="E4" s="7" t="str">
        <f>IFERROR(__xludf.DUMMYFUNCTION("REGEXEXTRACT(C4, """"""([^""""]+)"""""")"),"Items.AdvancedNanoWiresElectricUncommon")</f>
        <v>Items.AdvancedNanoWiresElectricUncommon</v>
      </c>
      <c r="F4" s="32" t="s">
        <v>20</v>
      </c>
    </row>
    <row r="5">
      <c r="A5" s="90" t="s">
        <v>507</v>
      </c>
      <c r="B5" s="10" t="s">
        <v>7</v>
      </c>
      <c r="C5" s="11" t="s">
        <v>514</v>
      </c>
      <c r="D5" s="14" t="s">
        <v>515</v>
      </c>
      <c r="E5" s="7" t="str">
        <f>IFERROR(__xludf.DUMMYFUNCTION("REGEXEXTRACT(C5, """"""([^""""]+)"""""")"),"Items.AdvancedProjectileLauncherElectricUncommon")</f>
        <v>Items.AdvancedProjectileLauncherElectricUncommon</v>
      </c>
      <c r="F5" s="32" t="s">
        <v>20</v>
      </c>
    </row>
    <row r="6">
      <c r="A6" s="90" t="s">
        <v>507</v>
      </c>
      <c r="B6" s="10" t="s">
        <v>7</v>
      </c>
      <c r="C6" s="11" t="s">
        <v>516</v>
      </c>
      <c r="D6" s="14" t="s">
        <v>517</v>
      </c>
      <c r="E6" s="7" t="str">
        <f>IFERROR(__xludf.DUMMYFUNCTION("REGEXEXTRACT(C6, """"""([^""""]+)"""""")"),"Items.AdvancedStrongArmsUncommon")</f>
        <v>Items.AdvancedStrongArmsUncommon</v>
      </c>
      <c r="F6" s="32" t="s">
        <v>20</v>
      </c>
    </row>
    <row r="7">
      <c r="A7" s="90" t="s">
        <v>507</v>
      </c>
      <c r="B7" s="10" t="s">
        <v>7</v>
      </c>
      <c r="C7" s="11" t="s">
        <v>518</v>
      </c>
      <c r="D7" s="14" t="s">
        <v>519</v>
      </c>
      <c r="E7" s="7" t="str">
        <f>IFERROR(__xludf.DUMMYFUNCTION("REGEXEXTRACT(C7, """"""([^""""]+)"""""")"),"Items.AdvancedMantisBladesUncommon")</f>
        <v>Items.AdvancedMantisBladesUncommon</v>
      </c>
      <c r="F7" s="32" t="s">
        <v>20</v>
      </c>
    </row>
    <row r="8">
      <c r="A8" s="90" t="s">
        <v>507</v>
      </c>
      <c r="B8" s="10" t="s">
        <v>7</v>
      </c>
      <c r="C8" s="11" t="s">
        <v>520</v>
      </c>
      <c r="D8" s="14" t="s">
        <v>521</v>
      </c>
      <c r="E8" s="7" t="str">
        <f>IFERROR(__xludf.DUMMYFUNCTION("REGEXEXTRACT(C8, """"""([^""""]+)"""""")"),"Items.AdvancedNanoWiresUncommon")</f>
        <v>Items.AdvancedNanoWiresUncommon</v>
      </c>
      <c r="F8" s="32" t="s">
        <v>20</v>
      </c>
    </row>
    <row r="9">
      <c r="A9" s="90" t="s">
        <v>507</v>
      </c>
      <c r="B9" s="10" t="s">
        <v>7</v>
      </c>
      <c r="C9" s="11" t="s">
        <v>522</v>
      </c>
      <c r="D9" s="14" t="s">
        <v>523</v>
      </c>
      <c r="E9" s="7" t="str">
        <f>IFERROR(__xludf.DUMMYFUNCTION("REGEXEXTRACT(C9, """"""([^""""]+)"""""")"),"Items.AdvancedProjectileLauncherUncommon")</f>
        <v>Items.AdvancedProjectileLauncherUncommon</v>
      </c>
      <c r="F9" s="32" t="s">
        <v>20</v>
      </c>
    </row>
    <row r="10">
      <c r="A10" s="90" t="s">
        <v>507</v>
      </c>
      <c r="B10" s="10" t="s">
        <v>7</v>
      </c>
      <c r="C10" s="11" t="s">
        <v>524</v>
      </c>
      <c r="D10" s="14" t="s">
        <v>525</v>
      </c>
      <c r="E10" s="7" t="str">
        <f>IFERROR(__xludf.DUMMYFUNCTION("REGEXEXTRACT(C10, """"""([^""""]+)"""""")"),"Items.AdvancedStrongArmsThermalUncommon")</f>
        <v>Items.AdvancedStrongArmsThermalUncommon</v>
      </c>
      <c r="F10" s="32" t="s">
        <v>20</v>
      </c>
    </row>
    <row r="11">
      <c r="A11" s="90" t="s">
        <v>507</v>
      </c>
      <c r="B11" s="10" t="s">
        <v>7</v>
      </c>
      <c r="C11" s="11" t="s">
        <v>526</v>
      </c>
      <c r="D11" s="14" t="s">
        <v>527</v>
      </c>
      <c r="E11" s="7" t="str">
        <f>IFERROR(__xludf.DUMMYFUNCTION("REGEXEXTRACT(C11, """"""([^""""]+)"""""")"),"Items.AdvancedMantisBladesThermalUncommon")</f>
        <v>Items.AdvancedMantisBladesThermalUncommon</v>
      </c>
      <c r="F11" s="32" t="s">
        <v>20</v>
      </c>
    </row>
    <row r="12">
      <c r="A12" s="90" t="s">
        <v>507</v>
      </c>
      <c r="B12" s="10" t="s">
        <v>7</v>
      </c>
      <c r="C12" s="11" t="s">
        <v>528</v>
      </c>
      <c r="D12" s="14" t="s">
        <v>529</v>
      </c>
      <c r="E12" s="7" t="str">
        <f>IFERROR(__xludf.DUMMYFUNCTION("REGEXEXTRACT(C12, """"""([^""""]+)"""""")"),"Items.AdvancedNanoWiresThermalUncommon")</f>
        <v>Items.AdvancedNanoWiresThermalUncommon</v>
      </c>
      <c r="F12" s="32" t="s">
        <v>20</v>
      </c>
    </row>
    <row r="13">
      <c r="A13" s="90" t="s">
        <v>507</v>
      </c>
      <c r="B13" s="10" t="s">
        <v>7</v>
      </c>
      <c r="C13" s="11" t="s">
        <v>530</v>
      </c>
      <c r="D13" s="14" t="s">
        <v>531</v>
      </c>
      <c r="E13" s="7" t="str">
        <f>IFERROR(__xludf.DUMMYFUNCTION("REGEXEXTRACT(C13, """"""([^""""]+)"""""")"),"Items.AdvancedProjectileLauncherThermalUncommon")</f>
        <v>Items.AdvancedProjectileLauncherThermalUncommon</v>
      </c>
      <c r="F13" s="32" t="s">
        <v>20</v>
      </c>
    </row>
    <row r="14">
      <c r="A14" s="90" t="s">
        <v>507</v>
      </c>
      <c r="B14" s="10" t="s">
        <v>7</v>
      </c>
      <c r="C14" s="11" t="s">
        <v>532</v>
      </c>
      <c r="D14" s="14" t="s">
        <v>533</v>
      </c>
      <c r="E14" s="7" t="str">
        <f>IFERROR(__xludf.DUMMYFUNCTION("REGEXEXTRACT(C14, """"""([^""""]+)"""""")"),"Items.AdvancedStrongArmsChemicalUncommon")</f>
        <v>Items.AdvancedStrongArmsChemicalUncommon</v>
      </c>
      <c r="F14" s="32" t="s">
        <v>20</v>
      </c>
    </row>
    <row r="15">
      <c r="A15" s="90" t="s">
        <v>507</v>
      </c>
      <c r="B15" s="10" t="s">
        <v>7</v>
      </c>
      <c r="C15" s="11" t="s">
        <v>534</v>
      </c>
      <c r="D15" s="14" t="s">
        <v>535</v>
      </c>
      <c r="E15" s="7" t="str">
        <f>IFERROR(__xludf.DUMMYFUNCTION("REGEXEXTRACT(C15, """"""([^""""]+)"""""")"),"Items.AdvancedMantisBladesChemicalUncommon")</f>
        <v>Items.AdvancedMantisBladesChemicalUncommon</v>
      </c>
      <c r="F15" s="32" t="s">
        <v>20</v>
      </c>
    </row>
    <row r="16">
      <c r="A16" s="90" t="s">
        <v>507</v>
      </c>
      <c r="B16" s="10" t="s">
        <v>7</v>
      </c>
      <c r="C16" s="11" t="s">
        <v>536</v>
      </c>
      <c r="D16" s="14" t="s">
        <v>537</v>
      </c>
      <c r="E16" s="7" t="str">
        <f>IFERROR(__xludf.DUMMYFUNCTION("REGEXEXTRACT(C16, """"""([^""""]+)"""""")"),"Items.AdvancedNanoWiresChemicalUncommon")</f>
        <v>Items.AdvancedNanoWiresChemicalUncommon</v>
      </c>
      <c r="F16" s="32" t="s">
        <v>20</v>
      </c>
    </row>
    <row r="17">
      <c r="A17" s="90" t="s">
        <v>507</v>
      </c>
      <c r="B17" s="10" t="s">
        <v>7</v>
      </c>
      <c r="C17" s="11" t="s">
        <v>538</v>
      </c>
      <c r="D17" s="14" t="s">
        <v>539</v>
      </c>
      <c r="E17" s="7" t="str">
        <f>IFERROR(__xludf.DUMMYFUNCTION("REGEXEXTRACT(C17, """"""([^""""]+)"""""")"),"Items.AdvancedProjectileLauncherChemicalUncommon")</f>
        <v>Items.AdvancedProjectileLauncherChemicalUncommon</v>
      </c>
      <c r="F17" s="32" t="s">
        <v>20</v>
      </c>
    </row>
    <row r="18">
      <c r="A18" s="90" t="s">
        <v>507</v>
      </c>
      <c r="B18" s="10" t="s">
        <v>7</v>
      </c>
      <c r="C18" s="11" t="s">
        <v>540</v>
      </c>
      <c r="D18" s="18" t="s">
        <v>509</v>
      </c>
      <c r="E18" s="7" t="str">
        <f>IFERROR(__xludf.DUMMYFUNCTION("REGEXEXTRACT(C18, """"""([^""""]+)"""""")"),"Items.AdvancedStrongArmsElectricRare")</f>
        <v>Items.AdvancedStrongArmsElectricRare</v>
      </c>
      <c r="F18" s="33" t="s">
        <v>37</v>
      </c>
    </row>
    <row r="19">
      <c r="A19" s="90" t="s">
        <v>507</v>
      </c>
      <c r="B19" s="10" t="s">
        <v>7</v>
      </c>
      <c r="C19" s="11" t="s">
        <v>541</v>
      </c>
      <c r="D19" s="18" t="s">
        <v>511</v>
      </c>
      <c r="E19" s="7" t="str">
        <f>IFERROR(__xludf.DUMMYFUNCTION("REGEXEXTRACT(C19, """"""([^""""]+)"""""")"),"Items.AdvancedMantisBladesElectricRare")</f>
        <v>Items.AdvancedMantisBladesElectricRare</v>
      </c>
      <c r="F19" s="33" t="s">
        <v>37</v>
      </c>
    </row>
    <row r="20">
      <c r="A20" s="90" t="s">
        <v>507</v>
      </c>
      <c r="B20" s="10" t="s">
        <v>7</v>
      </c>
      <c r="C20" s="11" t="s">
        <v>542</v>
      </c>
      <c r="D20" s="18" t="s">
        <v>513</v>
      </c>
      <c r="E20" s="7" t="str">
        <f>IFERROR(__xludf.DUMMYFUNCTION("REGEXEXTRACT(C20, """"""([^""""]+)"""""")"),"Items.AdvancedNanoWiresElectricRare")</f>
        <v>Items.AdvancedNanoWiresElectricRare</v>
      </c>
      <c r="F20" s="33" t="s">
        <v>37</v>
      </c>
    </row>
    <row r="21">
      <c r="A21" s="90" t="s">
        <v>507</v>
      </c>
      <c r="B21" s="10" t="s">
        <v>7</v>
      </c>
      <c r="C21" s="11" t="s">
        <v>543</v>
      </c>
      <c r="D21" s="18" t="s">
        <v>515</v>
      </c>
      <c r="E21" s="7" t="str">
        <f>IFERROR(__xludf.DUMMYFUNCTION("REGEXEXTRACT(C21, """"""([^""""]+)"""""")"),"Items.AdvancedProjectileLauncherElectricRare")</f>
        <v>Items.AdvancedProjectileLauncherElectricRare</v>
      </c>
      <c r="F21" s="33" t="s">
        <v>37</v>
      </c>
    </row>
    <row r="22">
      <c r="A22" s="90" t="s">
        <v>507</v>
      </c>
      <c r="B22" s="10" t="s">
        <v>7</v>
      </c>
      <c r="C22" s="11" t="s">
        <v>544</v>
      </c>
      <c r="D22" s="18" t="s">
        <v>517</v>
      </c>
      <c r="E22" s="7" t="str">
        <f>IFERROR(__xludf.DUMMYFUNCTION("REGEXEXTRACT(C22, """"""([^""""]+)"""""")"),"Items.AdvancedStrongArmsRare")</f>
        <v>Items.AdvancedStrongArmsRare</v>
      </c>
      <c r="F22" s="33" t="s">
        <v>37</v>
      </c>
    </row>
    <row r="23">
      <c r="A23" s="90" t="s">
        <v>507</v>
      </c>
      <c r="B23" s="10" t="s">
        <v>7</v>
      </c>
      <c r="C23" s="11" t="s">
        <v>545</v>
      </c>
      <c r="D23" s="18" t="s">
        <v>519</v>
      </c>
      <c r="E23" s="7" t="str">
        <f>IFERROR(__xludf.DUMMYFUNCTION("REGEXEXTRACT(C23, """"""([^""""]+)"""""")"),"Items.AdvancedMantisBladesRare")</f>
        <v>Items.AdvancedMantisBladesRare</v>
      </c>
      <c r="F23" s="33" t="s">
        <v>37</v>
      </c>
    </row>
    <row r="24">
      <c r="A24" s="90" t="s">
        <v>507</v>
      </c>
      <c r="B24" s="10" t="s">
        <v>7</v>
      </c>
      <c r="C24" s="11" t="s">
        <v>546</v>
      </c>
      <c r="D24" s="18" t="s">
        <v>521</v>
      </c>
      <c r="E24" s="7" t="str">
        <f>IFERROR(__xludf.DUMMYFUNCTION("REGEXEXTRACT(C24, """"""([^""""]+)"""""")"),"Items.AdvancedNanoWiresRare")</f>
        <v>Items.AdvancedNanoWiresRare</v>
      </c>
      <c r="F24" s="33" t="s">
        <v>37</v>
      </c>
    </row>
    <row r="25">
      <c r="A25" s="90" t="s">
        <v>507</v>
      </c>
      <c r="B25" s="10" t="s">
        <v>7</v>
      </c>
      <c r="C25" s="11" t="s">
        <v>547</v>
      </c>
      <c r="D25" s="18" t="s">
        <v>523</v>
      </c>
      <c r="E25" s="7" t="str">
        <f>IFERROR(__xludf.DUMMYFUNCTION("REGEXEXTRACT(C25, """"""([^""""]+)"""""")"),"Items.AdvancedProjectileLauncherRare")</f>
        <v>Items.AdvancedProjectileLauncherRare</v>
      </c>
      <c r="F25" s="33" t="s">
        <v>37</v>
      </c>
    </row>
    <row r="26">
      <c r="A26" s="90" t="s">
        <v>507</v>
      </c>
      <c r="B26" s="10" t="s">
        <v>7</v>
      </c>
      <c r="C26" s="11" t="s">
        <v>548</v>
      </c>
      <c r="D26" s="18" t="s">
        <v>525</v>
      </c>
      <c r="E26" s="7" t="str">
        <f>IFERROR(__xludf.DUMMYFUNCTION("REGEXEXTRACT(C26, """"""([^""""]+)"""""")"),"Items.AdvancedStrongArmsThermalRare")</f>
        <v>Items.AdvancedStrongArmsThermalRare</v>
      </c>
      <c r="F26" s="33" t="s">
        <v>37</v>
      </c>
    </row>
    <row r="27">
      <c r="A27" s="90" t="s">
        <v>507</v>
      </c>
      <c r="B27" s="10" t="s">
        <v>7</v>
      </c>
      <c r="C27" s="11" t="s">
        <v>549</v>
      </c>
      <c r="D27" s="18" t="s">
        <v>527</v>
      </c>
      <c r="E27" s="7" t="str">
        <f>IFERROR(__xludf.DUMMYFUNCTION("REGEXEXTRACT(C27, """"""([^""""]+)"""""")"),"Items.AdvancedMantisBladesThermalRare")</f>
        <v>Items.AdvancedMantisBladesThermalRare</v>
      </c>
      <c r="F27" s="33" t="s">
        <v>37</v>
      </c>
    </row>
    <row r="28">
      <c r="A28" s="90" t="s">
        <v>507</v>
      </c>
      <c r="B28" s="10" t="s">
        <v>7</v>
      </c>
      <c r="C28" s="11" t="s">
        <v>550</v>
      </c>
      <c r="D28" s="18" t="s">
        <v>529</v>
      </c>
      <c r="E28" s="7" t="str">
        <f>IFERROR(__xludf.DUMMYFUNCTION("REGEXEXTRACT(C28, """"""([^""""]+)"""""")"),"Items.AdvancedNanoWiresThermalRare")</f>
        <v>Items.AdvancedNanoWiresThermalRare</v>
      </c>
      <c r="F28" s="33" t="s">
        <v>37</v>
      </c>
    </row>
    <row r="29">
      <c r="A29" s="90" t="s">
        <v>507</v>
      </c>
      <c r="B29" s="10" t="s">
        <v>7</v>
      </c>
      <c r="C29" s="11" t="s">
        <v>551</v>
      </c>
      <c r="D29" s="18" t="s">
        <v>531</v>
      </c>
      <c r="E29" s="7" t="str">
        <f>IFERROR(__xludf.DUMMYFUNCTION("REGEXEXTRACT(C29, """"""([^""""]+)"""""")"),"Items.AdvancedProjectileLauncherThermalRare")</f>
        <v>Items.AdvancedProjectileLauncherThermalRare</v>
      </c>
      <c r="F29" s="33" t="s">
        <v>37</v>
      </c>
    </row>
    <row r="30">
      <c r="A30" s="90" t="s">
        <v>507</v>
      </c>
      <c r="B30" s="10" t="s">
        <v>7</v>
      </c>
      <c r="C30" s="11" t="s">
        <v>552</v>
      </c>
      <c r="D30" s="18" t="s">
        <v>533</v>
      </c>
      <c r="E30" s="7" t="str">
        <f>IFERROR(__xludf.DUMMYFUNCTION("REGEXEXTRACT(C30, """"""([^""""]+)"""""")"),"Items.AdvancedStrongArmsChemicalRare")</f>
        <v>Items.AdvancedStrongArmsChemicalRare</v>
      </c>
      <c r="F30" s="33" t="s">
        <v>37</v>
      </c>
    </row>
    <row r="31">
      <c r="A31" s="90" t="s">
        <v>507</v>
      </c>
      <c r="B31" s="10" t="s">
        <v>7</v>
      </c>
      <c r="C31" s="11" t="s">
        <v>553</v>
      </c>
      <c r="D31" s="18" t="s">
        <v>535</v>
      </c>
      <c r="E31" s="7" t="str">
        <f>IFERROR(__xludf.DUMMYFUNCTION("REGEXEXTRACT(C31, """"""([^""""]+)"""""")"),"Items.AdvancedMantisBladesChemicalRare")</f>
        <v>Items.AdvancedMantisBladesChemicalRare</v>
      </c>
      <c r="F31" s="33" t="s">
        <v>37</v>
      </c>
    </row>
    <row r="32">
      <c r="A32" s="90" t="s">
        <v>507</v>
      </c>
      <c r="B32" s="10" t="s">
        <v>7</v>
      </c>
      <c r="C32" s="11" t="s">
        <v>554</v>
      </c>
      <c r="D32" s="18" t="s">
        <v>537</v>
      </c>
      <c r="E32" s="7" t="str">
        <f>IFERROR(__xludf.DUMMYFUNCTION("REGEXEXTRACT(C32, """"""([^""""]+)"""""")"),"Items.AdvancedNanoWiresChemicalRare")</f>
        <v>Items.AdvancedNanoWiresChemicalRare</v>
      </c>
      <c r="F32" s="33" t="s">
        <v>37</v>
      </c>
    </row>
    <row r="33">
      <c r="A33" s="90" t="s">
        <v>507</v>
      </c>
      <c r="B33" s="10" t="s">
        <v>7</v>
      </c>
      <c r="C33" s="11" t="s">
        <v>555</v>
      </c>
      <c r="D33" s="18" t="s">
        <v>539</v>
      </c>
      <c r="E33" s="7" t="str">
        <f>IFERROR(__xludf.DUMMYFUNCTION("REGEXEXTRACT(C33, """"""([^""""]+)"""""")"),"Items.AdvancedProjectileLauncherChemicalRare")</f>
        <v>Items.AdvancedProjectileLauncherChemicalRare</v>
      </c>
      <c r="F33" s="33" t="s">
        <v>37</v>
      </c>
    </row>
    <row r="34">
      <c r="A34" s="90" t="s">
        <v>507</v>
      </c>
      <c r="B34" s="10" t="s">
        <v>7</v>
      </c>
      <c r="C34" s="11" t="s">
        <v>556</v>
      </c>
      <c r="D34" s="20" t="s">
        <v>509</v>
      </c>
      <c r="E34" s="7" t="str">
        <f>IFERROR(__xludf.DUMMYFUNCTION("REGEXEXTRACT(C34, """"""([^""""]+)"""""")"),"Items.AdvancedStrongArmsElectricEpic")</f>
        <v>Items.AdvancedStrongArmsElectricEpic</v>
      </c>
      <c r="F34" s="34" t="s">
        <v>53</v>
      </c>
    </row>
    <row r="35">
      <c r="A35" s="90" t="s">
        <v>507</v>
      </c>
      <c r="B35" s="10" t="s">
        <v>7</v>
      </c>
      <c r="C35" s="11" t="s">
        <v>557</v>
      </c>
      <c r="D35" s="20" t="s">
        <v>511</v>
      </c>
      <c r="E35" s="7" t="str">
        <f>IFERROR(__xludf.DUMMYFUNCTION("REGEXEXTRACT(C35, """"""([^""""]+)"""""")"),"Items.AdvancedMantisBladesElectricEpic")</f>
        <v>Items.AdvancedMantisBladesElectricEpic</v>
      </c>
      <c r="F35" s="34" t="s">
        <v>53</v>
      </c>
    </row>
    <row r="36">
      <c r="A36" s="90" t="s">
        <v>507</v>
      </c>
      <c r="B36" s="10" t="s">
        <v>7</v>
      </c>
      <c r="C36" s="11" t="s">
        <v>558</v>
      </c>
      <c r="D36" s="20" t="s">
        <v>513</v>
      </c>
      <c r="E36" s="7" t="str">
        <f>IFERROR(__xludf.DUMMYFUNCTION("REGEXEXTRACT(C36, """"""([^""""]+)"""""")"),"Items.AdvancedNanoWiresElectricEpic")</f>
        <v>Items.AdvancedNanoWiresElectricEpic</v>
      </c>
      <c r="F36" s="34" t="s">
        <v>53</v>
      </c>
    </row>
    <row r="37">
      <c r="A37" s="90" t="s">
        <v>507</v>
      </c>
      <c r="B37" s="10" t="s">
        <v>7</v>
      </c>
      <c r="C37" s="11" t="s">
        <v>559</v>
      </c>
      <c r="D37" s="20" t="s">
        <v>515</v>
      </c>
      <c r="E37" s="7" t="str">
        <f>IFERROR(__xludf.DUMMYFUNCTION("REGEXEXTRACT(C37, """"""([^""""]+)"""""")"),"Items.AdvancedProjectileLauncherElectricEpic")</f>
        <v>Items.AdvancedProjectileLauncherElectricEpic</v>
      </c>
      <c r="F37" s="34" t="s">
        <v>53</v>
      </c>
    </row>
    <row r="38">
      <c r="A38" s="90" t="s">
        <v>507</v>
      </c>
      <c r="B38" s="10" t="s">
        <v>7</v>
      </c>
      <c r="C38" s="11" t="s">
        <v>560</v>
      </c>
      <c r="D38" s="20" t="s">
        <v>517</v>
      </c>
      <c r="E38" s="7" t="str">
        <f>IFERROR(__xludf.DUMMYFUNCTION("REGEXEXTRACT(C38, """"""([^""""]+)"""""")"),"Items.AdvancedStrongArmsEpic")</f>
        <v>Items.AdvancedStrongArmsEpic</v>
      </c>
      <c r="F38" s="34" t="s">
        <v>53</v>
      </c>
    </row>
    <row r="39">
      <c r="A39" s="90" t="s">
        <v>507</v>
      </c>
      <c r="B39" s="10" t="s">
        <v>7</v>
      </c>
      <c r="C39" s="11" t="s">
        <v>561</v>
      </c>
      <c r="D39" s="20" t="s">
        <v>519</v>
      </c>
      <c r="E39" s="7" t="str">
        <f>IFERROR(__xludf.DUMMYFUNCTION("REGEXEXTRACT(C39, """"""([^""""]+)"""""")"),"Items.AdvancedMantisBladesEpic")</f>
        <v>Items.AdvancedMantisBladesEpic</v>
      </c>
      <c r="F39" s="34" t="s">
        <v>53</v>
      </c>
    </row>
    <row r="40">
      <c r="A40" s="90" t="s">
        <v>507</v>
      </c>
      <c r="B40" s="10" t="s">
        <v>7</v>
      </c>
      <c r="C40" s="11" t="s">
        <v>562</v>
      </c>
      <c r="D40" s="20" t="s">
        <v>521</v>
      </c>
      <c r="E40" s="7" t="str">
        <f>IFERROR(__xludf.DUMMYFUNCTION("REGEXEXTRACT(C40, """"""([^""""]+)"""""")"),"Items.AdvancedNanoWiresEpic")</f>
        <v>Items.AdvancedNanoWiresEpic</v>
      </c>
      <c r="F40" s="34" t="s">
        <v>53</v>
      </c>
    </row>
    <row r="41">
      <c r="A41" s="90" t="s">
        <v>507</v>
      </c>
      <c r="B41" s="10" t="s">
        <v>7</v>
      </c>
      <c r="C41" s="11" t="s">
        <v>563</v>
      </c>
      <c r="D41" s="20" t="s">
        <v>523</v>
      </c>
      <c r="E41" s="7" t="str">
        <f>IFERROR(__xludf.DUMMYFUNCTION("REGEXEXTRACT(C41, """"""([^""""]+)"""""")"),"Items.AdvancedProjectileLauncherEpic")</f>
        <v>Items.AdvancedProjectileLauncherEpic</v>
      </c>
      <c r="F41" s="34" t="s">
        <v>53</v>
      </c>
    </row>
    <row r="42">
      <c r="A42" s="90" t="s">
        <v>507</v>
      </c>
      <c r="B42" s="10" t="s">
        <v>7</v>
      </c>
      <c r="C42" s="11" t="s">
        <v>564</v>
      </c>
      <c r="D42" s="20" t="s">
        <v>525</v>
      </c>
      <c r="E42" s="7" t="str">
        <f>IFERROR(__xludf.DUMMYFUNCTION("REGEXEXTRACT(C42, """"""([^""""]+)"""""")"),"Items.AdvancedStrongArmsThermalEpic")</f>
        <v>Items.AdvancedStrongArmsThermalEpic</v>
      </c>
      <c r="F42" s="34" t="s">
        <v>53</v>
      </c>
    </row>
    <row r="43">
      <c r="A43" s="90" t="s">
        <v>507</v>
      </c>
      <c r="B43" s="10" t="s">
        <v>7</v>
      </c>
      <c r="C43" s="11" t="s">
        <v>565</v>
      </c>
      <c r="D43" s="20" t="s">
        <v>527</v>
      </c>
      <c r="E43" s="7" t="str">
        <f>IFERROR(__xludf.DUMMYFUNCTION("REGEXEXTRACT(C43, """"""([^""""]+)"""""")"),"Items.AdvancedMantisBladesThermalEpic")</f>
        <v>Items.AdvancedMantisBladesThermalEpic</v>
      </c>
      <c r="F43" s="34" t="s">
        <v>53</v>
      </c>
    </row>
    <row r="44">
      <c r="A44" s="90" t="s">
        <v>507</v>
      </c>
      <c r="B44" s="10" t="s">
        <v>7</v>
      </c>
      <c r="C44" s="11" t="s">
        <v>566</v>
      </c>
      <c r="D44" s="20" t="s">
        <v>529</v>
      </c>
      <c r="E44" s="7" t="str">
        <f>IFERROR(__xludf.DUMMYFUNCTION("REGEXEXTRACT(C44, """"""([^""""]+)"""""")"),"Items.AdvancedNanoWiresThermalEpic")</f>
        <v>Items.AdvancedNanoWiresThermalEpic</v>
      </c>
      <c r="F44" s="34" t="s">
        <v>53</v>
      </c>
    </row>
    <row r="45">
      <c r="A45" s="90" t="s">
        <v>507</v>
      </c>
      <c r="B45" s="10" t="s">
        <v>7</v>
      </c>
      <c r="C45" s="11" t="s">
        <v>567</v>
      </c>
      <c r="D45" s="20" t="s">
        <v>531</v>
      </c>
      <c r="E45" s="7" t="str">
        <f>IFERROR(__xludf.DUMMYFUNCTION("REGEXEXTRACT(C45, """"""([^""""]+)"""""")"),"Items.AdvancedProjectileLauncherThermalEpic")</f>
        <v>Items.AdvancedProjectileLauncherThermalEpic</v>
      </c>
      <c r="F45" s="34" t="s">
        <v>53</v>
      </c>
    </row>
    <row r="46">
      <c r="A46" s="90" t="s">
        <v>507</v>
      </c>
      <c r="B46" s="10" t="s">
        <v>7</v>
      </c>
      <c r="C46" s="11" t="s">
        <v>568</v>
      </c>
      <c r="D46" s="20" t="s">
        <v>533</v>
      </c>
      <c r="E46" s="7" t="str">
        <f>IFERROR(__xludf.DUMMYFUNCTION("REGEXEXTRACT(C46, """"""([^""""]+)"""""")"),"Items.AdvancedStrongArmsChemicalEpic")</f>
        <v>Items.AdvancedStrongArmsChemicalEpic</v>
      </c>
      <c r="F46" s="34" t="s">
        <v>53</v>
      </c>
    </row>
    <row r="47">
      <c r="A47" s="90" t="s">
        <v>507</v>
      </c>
      <c r="B47" s="10" t="s">
        <v>7</v>
      </c>
      <c r="C47" s="11" t="s">
        <v>569</v>
      </c>
      <c r="D47" s="20" t="s">
        <v>535</v>
      </c>
      <c r="E47" s="7" t="str">
        <f>IFERROR(__xludf.DUMMYFUNCTION("REGEXEXTRACT(C47, """"""([^""""]+)"""""")"),"Items.AdvancedMantisBladesChemicalEpic")</f>
        <v>Items.AdvancedMantisBladesChemicalEpic</v>
      </c>
      <c r="F47" s="34" t="s">
        <v>53</v>
      </c>
    </row>
    <row r="48">
      <c r="A48" s="90" t="s">
        <v>507</v>
      </c>
      <c r="B48" s="10" t="s">
        <v>7</v>
      </c>
      <c r="C48" s="11" t="s">
        <v>570</v>
      </c>
      <c r="D48" s="20" t="s">
        <v>537</v>
      </c>
      <c r="E48" s="7" t="str">
        <f>IFERROR(__xludf.DUMMYFUNCTION("REGEXEXTRACT(C48, """"""([^""""]+)"""""")"),"Items.AdvancedNanoWiresChemicalEpic")</f>
        <v>Items.AdvancedNanoWiresChemicalEpic</v>
      </c>
      <c r="F48" s="34" t="s">
        <v>53</v>
      </c>
    </row>
    <row r="49">
      <c r="A49" s="90" t="s">
        <v>507</v>
      </c>
      <c r="B49" s="10" t="s">
        <v>7</v>
      </c>
      <c r="C49" s="11" t="s">
        <v>571</v>
      </c>
      <c r="D49" s="20" t="s">
        <v>539</v>
      </c>
      <c r="E49" s="7" t="str">
        <f>IFERROR(__xludf.DUMMYFUNCTION("REGEXEXTRACT(C49, """"""([^""""]+)"""""")"),"Items.AdvancedProjectileLauncherChemicalEpic")</f>
        <v>Items.AdvancedProjectileLauncherChemicalEpic</v>
      </c>
      <c r="F49" s="34" t="s">
        <v>53</v>
      </c>
    </row>
    <row r="50">
      <c r="A50" s="90" t="s">
        <v>507</v>
      </c>
      <c r="B50" s="10" t="s">
        <v>7</v>
      </c>
      <c r="C50" s="11" t="s">
        <v>572</v>
      </c>
      <c r="D50" s="21" t="s">
        <v>509</v>
      </c>
      <c r="E50" s="7" t="str">
        <f>IFERROR(__xludf.DUMMYFUNCTION("REGEXEXTRACT(C50, """"""([^""""]+)"""""")"),"Items.AdvancedStrongArmsElectricLegendary")</f>
        <v>Items.AdvancedStrongArmsElectricLegendary</v>
      </c>
      <c r="F50" s="35" t="s">
        <v>75</v>
      </c>
    </row>
    <row r="51">
      <c r="A51" s="90" t="s">
        <v>507</v>
      </c>
      <c r="B51" s="10" t="s">
        <v>7</v>
      </c>
      <c r="C51" s="11" t="s">
        <v>573</v>
      </c>
      <c r="D51" s="21" t="s">
        <v>511</v>
      </c>
      <c r="E51" s="7" t="str">
        <f>IFERROR(__xludf.DUMMYFUNCTION("REGEXEXTRACT(C51, """"""([^""""]+)"""""")"),"Items.AdvancedMantisBladesElectricLegendary")</f>
        <v>Items.AdvancedMantisBladesElectricLegendary</v>
      </c>
      <c r="F51" s="35" t="s">
        <v>75</v>
      </c>
    </row>
    <row r="52">
      <c r="A52" s="90" t="s">
        <v>507</v>
      </c>
      <c r="B52" s="10" t="s">
        <v>7</v>
      </c>
      <c r="C52" s="11" t="s">
        <v>574</v>
      </c>
      <c r="D52" s="21" t="s">
        <v>513</v>
      </c>
      <c r="E52" s="7" t="str">
        <f>IFERROR(__xludf.DUMMYFUNCTION("REGEXEXTRACT(C52, """"""([^""""]+)"""""")"),"Items.AdvancedNanoWiresElectricLegendary")</f>
        <v>Items.AdvancedNanoWiresElectricLegendary</v>
      </c>
      <c r="F52" s="35" t="s">
        <v>75</v>
      </c>
    </row>
    <row r="53">
      <c r="A53" s="90" t="s">
        <v>507</v>
      </c>
      <c r="B53" s="10" t="s">
        <v>7</v>
      </c>
      <c r="C53" s="11" t="s">
        <v>575</v>
      </c>
      <c r="D53" s="21" t="s">
        <v>515</v>
      </c>
      <c r="E53" s="7" t="str">
        <f>IFERROR(__xludf.DUMMYFUNCTION("REGEXEXTRACT(C53, """"""([^""""]+)"""""")"),"Items.AdvancedProjectileLauncherElectricLegendary")</f>
        <v>Items.AdvancedProjectileLauncherElectricLegendary</v>
      </c>
      <c r="F53" s="35" t="s">
        <v>75</v>
      </c>
    </row>
    <row r="54">
      <c r="A54" s="90" t="s">
        <v>507</v>
      </c>
      <c r="B54" s="10" t="s">
        <v>7</v>
      </c>
      <c r="C54" s="11" t="s">
        <v>576</v>
      </c>
      <c r="D54" s="21" t="s">
        <v>517</v>
      </c>
      <c r="E54" s="7" t="str">
        <f>IFERROR(__xludf.DUMMYFUNCTION("REGEXEXTRACT(C54, """"""([^""""]+)"""""")"),"Items.AdvancedStrongArmsLegendary")</f>
        <v>Items.AdvancedStrongArmsLegendary</v>
      </c>
      <c r="F54" s="35" t="s">
        <v>75</v>
      </c>
    </row>
    <row r="55">
      <c r="A55" s="90" t="s">
        <v>507</v>
      </c>
      <c r="B55" s="10" t="s">
        <v>7</v>
      </c>
      <c r="C55" s="11" t="s">
        <v>577</v>
      </c>
      <c r="D55" s="21" t="s">
        <v>519</v>
      </c>
      <c r="E55" s="7" t="str">
        <f>IFERROR(__xludf.DUMMYFUNCTION("REGEXEXTRACT(C55, """"""([^""""]+)"""""")"),"Items.AdvancedMantisBladesLegendary")</f>
        <v>Items.AdvancedMantisBladesLegendary</v>
      </c>
      <c r="F55" s="35" t="s">
        <v>75</v>
      </c>
    </row>
    <row r="56">
      <c r="A56" s="90" t="s">
        <v>507</v>
      </c>
      <c r="B56" s="10" t="s">
        <v>7</v>
      </c>
      <c r="C56" s="11" t="s">
        <v>578</v>
      </c>
      <c r="D56" s="21" t="s">
        <v>521</v>
      </c>
      <c r="E56" s="7" t="str">
        <f>IFERROR(__xludf.DUMMYFUNCTION("REGEXEXTRACT(C56, """"""([^""""]+)"""""")"),"Items.AdvancedNanoWiresLegendary")</f>
        <v>Items.AdvancedNanoWiresLegendary</v>
      </c>
      <c r="F56" s="35" t="s">
        <v>75</v>
      </c>
    </row>
    <row r="57">
      <c r="A57" s="90" t="s">
        <v>507</v>
      </c>
      <c r="B57" s="10" t="s">
        <v>7</v>
      </c>
      <c r="C57" s="11" t="s">
        <v>579</v>
      </c>
      <c r="D57" s="21" t="s">
        <v>523</v>
      </c>
      <c r="E57" s="7" t="str">
        <f>IFERROR(__xludf.DUMMYFUNCTION("REGEXEXTRACT(C57, """"""([^""""]+)"""""")"),"Items.AdvancedProjectileLauncherLegendary")</f>
        <v>Items.AdvancedProjectileLauncherLegendary</v>
      </c>
      <c r="F57" s="35" t="s">
        <v>75</v>
      </c>
    </row>
    <row r="58">
      <c r="A58" s="90" t="s">
        <v>507</v>
      </c>
      <c r="B58" s="10" t="s">
        <v>7</v>
      </c>
      <c r="C58" s="11" t="s">
        <v>580</v>
      </c>
      <c r="D58" s="21" t="s">
        <v>525</v>
      </c>
      <c r="E58" s="7" t="str">
        <f>IFERROR(__xludf.DUMMYFUNCTION("REGEXEXTRACT(C58, """"""([^""""]+)"""""")"),"Items.AdvancedStrongArmsThermalLegendary")</f>
        <v>Items.AdvancedStrongArmsThermalLegendary</v>
      </c>
      <c r="F58" s="35" t="s">
        <v>75</v>
      </c>
    </row>
    <row r="59">
      <c r="A59" s="90" t="s">
        <v>507</v>
      </c>
      <c r="B59" s="10" t="s">
        <v>7</v>
      </c>
      <c r="C59" s="11" t="s">
        <v>581</v>
      </c>
      <c r="D59" s="21" t="s">
        <v>527</v>
      </c>
      <c r="E59" s="7" t="str">
        <f>IFERROR(__xludf.DUMMYFUNCTION("REGEXEXTRACT(C59, """"""([^""""]+)"""""")"),"Items.AdvancedMantisBladesThermalLegendary")</f>
        <v>Items.AdvancedMantisBladesThermalLegendary</v>
      </c>
      <c r="F59" s="35" t="s">
        <v>75</v>
      </c>
    </row>
    <row r="60">
      <c r="A60" s="90" t="s">
        <v>507</v>
      </c>
      <c r="B60" s="10" t="s">
        <v>7</v>
      </c>
      <c r="C60" s="11" t="s">
        <v>582</v>
      </c>
      <c r="D60" s="21" t="s">
        <v>529</v>
      </c>
      <c r="E60" s="7" t="str">
        <f>IFERROR(__xludf.DUMMYFUNCTION("REGEXEXTRACT(C60, """"""([^""""]+)"""""")"),"Items.AdvancedNanoWiresThermalLegendary")</f>
        <v>Items.AdvancedNanoWiresThermalLegendary</v>
      </c>
      <c r="F60" s="35" t="s">
        <v>75</v>
      </c>
    </row>
    <row r="61">
      <c r="A61" s="90" t="s">
        <v>507</v>
      </c>
      <c r="B61" s="10" t="s">
        <v>7</v>
      </c>
      <c r="C61" s="11" t="s">
        <v>583</v>
      </c>
      <c r="D61" s="21" t="s">
        <v>531</v>
      </c>
      <c r="E61" s="7" t="str">
        <f>IFERROR(__xludf.DUMMYFUNCTION("REGEXEXTRACT(C61, """"""([^""""]+)"""""")"),"Items.AdvancedProjectileLauncherThermalLegendary")</f>
        <v>Items.AdvancedProjectileLauncherThermalLegendary</v>
      </c>
      <c r="F61" s="35" t="s">
        <v>75</v>
      </c>
    </row>
    <row r="62">
      <c r="A62" s="90" t="s">
        <v>507</v>
      </c>
      <c r="B62" s="10" t="s">
        <v>7</v>
      </c>
      <c r="C62" s="11" t="s">
        <v>584</v>
      </c>
      <c r="D62" s="21" t="s">
        <v>533</v>
      </c>
      <c r="E62" s="7" t="str">
        <f>IFERROR(__xludf.DUMMYFUNCTION("REGEXEXTRACT(C62, """"""([^""""]+)"""""")"),"Items.AdvancedStrongArmsChemicalLegendary")</f>
        <v>Items.AdvancedStrongArmsChemicalLegendary</v>
      </c>
      <c r="F62" s="35" t="s">
        <v>75</v>
      </c>
    </row>
    <row r="63">
      <c r="A63" s="90" t="s">
        <v>507</v>
      </c>
      <c r="B63" s="10" t="s">
        <v>7</v>
      </c>
      <c r="C63" s="11" t="s">
        <v>585</v>
      </c>
      <c r="D63" s="21" t="s">
        <v>535</v>
      </c>
      <c r="E63" s="7" t="str">
        <f>IFERROR(__xludf.DUMMYFUNCTION("REGEXEXTRACT(C63, """"""([^""""]+)"""""")"),"Items.AdvancedMantisBladesChemicalLegendary")</f>
        <v>Items.AdvancedMantisBladesChemicalLegendary</v>
      </c>
      <c r="F63" s="35" t="s">
        <v>75</v>
      </c>
    </row>
    <row r="64">
      <c r="A64" s="90" t="s">
        <v>507</v>
      </c>
      <c r="B64" s="10" t="s">
        <v>7</v>
      </c>
      <c r="C64" s="11" t="s">
        <v>586</v>
      </c>
      <c r="D64" s="21" t="s">
        <v>537</v>
      </c>
      <c r="E64" s="7" t="str">
        <f>IFERROR(__xludf.DUMMYFUNCTION("REGEXEXTRACT(C64, """"""([^""""]+)"""""")"),"Items.AdvancedNanoWiresChemicalLegendary")</f>
        <v>Items.AdvancedNanoWiresChemicalLegendary</v>
      </c>
      <c r="F64" s="35" t="s">
        <v>75</v>
      </c>
    </row>
    <row r="65">
      <c r="A65" s="90" t="s">
        <v>507</v>
      </c>
      <c r="B65" s="10" t="s">
        <v>7</v>
      </c>
      <c r="C65" s="11" t="s">
        <v>587</v>
      </c>
      <c r="D65" s="21" t="s">
        <v>539</v>
      </c>
      <c r="E65" s="7" t="str">
        <f>IFERROR(__xludf.DUMMYFUNCTION("REGEXEXTRACT(C65, """"""([^""""]+)"""""")"),"Items.AdvancedProjectileLauncherChemicalLegendary")</f>
        <v>Items.AdvancedProjectileLauncherChemicalLegendary</v>
      </c>
      <c r="F65" s="35" t="s">
        <v>75</v>
      </c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</sheetData>
  <autoFilter ref="$A$1:$F$858">
    <sortState ref="A1:F858">
      <sortCondition ref="F1:F858"/>
      <sortCondition ref="D1:D858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7.38"/>
    <col customWidth="1" min="3" max="3" width="59.5"/>
    <col customWidth="1" min="4" max="4" width="32.13"/>
    <col customWidth="1" min="5" max="5" width="49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91" t="s">
        <v>588</v>
      </c>
      <c r="B2" s="4" t="s">
        <v>7</v>
      </c>
      <c r="C2" s="4" t="s">
        <v>589</v>
      </c>
      <c r="D2" s="6" t="s">
        <v>590</v>
      </c>
      <c r="E2" s="7" t="str">
        <f>IFERROR(__xludf.DUMMYFUNCTION("REGEXEXTRACT(C2, """"""([^""""]+)"""""")"),"Items.AdvancedBioConductorsCommon")</f>
        <v>Items.AdvancedBioConductorsCommon</v>
      </c>
      <c r="F2" s="28" t="s">
        <v>10</v>
      </c>
    </row>
    <row r="3">
      <c r="A3" s="92" t="s">
        <v>588</v>
      </c>
      <c r="B3" s="10" t="s">
        <v>7</v>
      </c>
      <c r="C3" s="10" t="s">
        <v>591</v>
      </c>
      <c r="D3" s="12" t="s">
        <v>592</v>
      </c>
      <c r="E3" s="7" t="str">
        <f>IFERROR(__xludf.DUMMYFUNCTION("REGEXEXTRACT(C3, """"""([^""""]+)"""""")"),"Items.AdvancedBiomonitorCommon")</f>
        <v>Items.AdvancedBiomonitorCommon</v>
      </c>
      <c r="F3" s="31" t="s">
        <v>10</v>
      </c>
    </row>
    <row r="4">
      <c r="A4" s="92" t="s">
        <v>588</v>
      </c>
      <c r="B4" s="10" t="s">
        <v>7</v>
      </c>
      <c r="C4" s="10" t="s">
        <v>593</v>
      </c>
      <c r="D4" s="12" t="s">
        <v>594</v>
      </c>
      <c r="E4" s="7" t="str">
        <f>IFERROR(__xludf.DUMMYFUNCTION("REGEXEXTRACT(C4, """"""([^""""]+)"""""")"),"Items.AdvancedKerenziovBoostSystemCommon")</f>
        <v>Items.AdvancedKerenziovBoostSystemCommon</v>
      </c>
      <c r="F4" s="31" t="s">
        <v>10</v>
      </c>
    </row>
    <row r="5">
      <c r="A5" s="92" t="s">
        <v>588</v>
      </c>
      <c r="B5" s="10" t="s">
        <v>7</v>
      </c>
      <c r="C5" s="10" t="s">
        <v>595</v>
      </c>
      <c r="D5" s="12" t="s">
        <v>596</v>
      </c>
      <c r="E5" s="7" t="str">
        <f>IFERROR(__xludf.DUMMYFUNCTION("REGEXEXTRACT(C5, """"""([^""""]+)"""""")"),"Items.AdvancedMechatronicCoreCommon")</f>
        <v>Items.AdvancedMechatronicCoreCommon</v>
      </c>
      <c r="F5" s="31" t="s">
        <v>10</v>
      </c>
    </row>
    <row r="6">
      <c r="A6" s="92" t="s">
        <v>588</v>
      </c>
      <c r="B6" s="10" t="s">
        <v>7</v>
      </c>
      <c r="C6" s="10" t="s">
        <v>597</v>
      </c>
      <c r="D6" s="12" t="s">
        <v>598</v>
      </c>
      <c r="E6" s="7" t="str">
        <f>IFERROR(__xludf.DUMMYFUNCTION("REGEXEXTRACT(C6, """"""([^""""]+)"""""")"),"Items.AdvancedRamUpgradeCommon")</f>
        <v>Items.AdvancedRamUpgradeCommon</v>
      </c>
      <c r="F6" s="31" t="s">
        <v>10</v>
      </c>
    </row>
    <row r="7">
      <c r="A7" s="92" t="s">
        <v>588</v>
      </c>
      <c r="B7" s="10" t="s">
        <v>7</v>
      </c>
      <c r="C7" s="10" t="s">
        <v>599</v>
      </c>
      <c r="D7" s="12" t="s">
        <v>600</v>
      </c>
      <c r="E7" s="7" t="str">
        <f>IFERROR(__xludf.DUMMYFUNCTION("REGEXEXTRACT(C7, """"""([^""""]+)"""""")"),"Items.AdvancedSmartStorageCommon")</f>
        <v>Items.AdvancedSmartStorageCommon</v>
      </c>
      <c r="F7" s="31" t="s">
        <v>10</v>
      </c>
    </row>
    <row r="8">
      <c r="A8" s="92" t="s">
        <v>588</v>
      </c>
      <c r="B8" s="10" t="s">
        <v>7</v>
      </c>
      <c r="C8" s="10" t="s">
        <v>601</v>
      </c>
      <c r="D8" s="12" t="s">
        <v>602</v>
      </c>
      <c r="E8" s="7" t="str">
        <f>IFERROR(__xludf.DUMMYFUNCTION("REGEXEXTRACT(C8, """"""([^""""]+)"""""")"),"Items.AdvancedSubdermalCoProcessorCommon")</f>
        <v>Items.AdvancedSubdermalCoProcessorCommon</v>
      </c>
      <c r="F8" s="31" t="s">
        <v>10</v>
      </c>
    </row>
    <row r="9">
      <c r="A9" s="92" t="s">
        <v>588</v>
      </c>
      <c r="B9" s="10" t="s">
        <v>7</v>
      </c>
      <c r="C9" s="10" t="s">
        <v>603</v>
      </c>
      <c r="D9" s="14" t="s">
        <v>590</v>
      </c>
      <c r="E9" s="7" t="str">
        <f>IFERROR(__xludf.DUMMYFUNCTION("REGEXEXTRACT(C9, """"""([^""""]+)"""""")"),"Items.AdvancedBioConductorsUncommon")</f>
        <v>Items.AdvancedBioConductorsUncommon</v>
      </c>
      <c r="F9" s="32" t="s">
        <v>20</v>
      </c>
    </row>
    <row r="10">
      <c r="A10" s="92" t="s">
        <v>588</v>
      </c>
      <c r="B10" s="10" t="s">
        <v>7</v>
      </c>
      <c r="C10" s="10" t="s">
        <v>604</v>
      </c>
      <c r="D10" s="14" t="s">
        <v>592</v>
      </c>
      <c r="E10" s="7" t="str">
        <f>IFERROR(__xludf.DUMMYFUNCTION("REGEXEXTRACT(C10, """"""([^""""]+)"""""")"),"Items.AdvancedBiomonitorUncommon")</f>
        <v>Items.AdvancedBiomonitorUncommon</v>
      </c>
      <c r="F10" s="32" t="s">
        <v>20</v>
      </c>
    </row>
    <row r="11">
      <c r="A11" s="92" t="s">
        <v>588</v>
      </c>
      <c r="B11" s="10" t="s">
        <v>7</v>
      </c>
      <c r="C11" s="10" t="s">
        <v>605</v>
      </c>
      <c r="D11" s="14" t="s">
        <v>594</v>
      </c>
      <c r="E11" s="7" t="str">
        <f>IFERROR(__xludf.DUMMYFUNCTION("REGEXEXTRACT(C11, """"""([^""""]+)"""""")"),"Items.AdvancedKerenziovBoostSystemUncommon")</f>
        <v>Items.AdvancedKerenziovBoostSystemUncommon</v>
      </c>
      <c r="F11" s="32" t="s">
        <v>20</v>
      </c>
    </row>
    <row r="12">
      <c r="A12" s="92" t="s">
        <v>588</v>
      </c>
      <c r="B12" s="10" t="s">
        <v>7</v>
      </c>
      <c r="C12" s="10" t="s">
        <v>606</v>
      </c>
      <c r="D12" s="14" t="s">
        <v>596</v>
      </c>
      <c r="E12" s="7" t="str">
        <f>IFERROR(__xludf.DUMMYFUNCTION("REGEXEXTRACT(C12, """"""([^""""]+)"""""")"),"Items.AdvancedMechatronicCoreUncommon")</f>
        <v>Items.AdvancedMechatronicCoreUncommon</v>
      </c>
      <c r="F12" s="32" t="s">
        <v>20</v>
      </c>
    </row>
    <row r="13">
      <c r="A13" s="92" t="s">
        <v>588</v>
      </c>
      <c r="B13" s="10" t="s">
        <v>7</v>
      </c>
      <c r="C13" s="10" t="s">
        <v>607</v>
      </c>
      <c r="D13" s="14" t="s">
        <v>608</v>
      </c>
      <c r="E13" s="7" t="str">
        <f>IFERROR(__xludf.DUMMYFUNCTION("REGEXEXTRACT(C13, """"""([^""""]+)"""""")"),"Items.AdvancedMemoryBoostUncommon")</f>
        <v>Items.AdvancedMemoryBoostUncommon</v>
      </c>
      <c r="F13" s="32" t="s">
        <v>20</v>
      </c>
    </row>
    <row r="14">
      <c r="A14" s="92" t="s">
        <v>588</v>
      </c>
      <c r="B14" s="10" t="s">
        <v>7</v>
      </c>
      <c r="C14" s="10" t="s">
        <v>609</v>
      </c>
      <c r="D14" s="14" t="s">
        <v>598</v>
      </c>
      <c r="E14" s="7" t="str">
        <f>IFERROR(__xludf.DUMMYFUNCTION("REGEXEXTRACT(C14, """"""([^""""]+)"""""")"),"Items.AdvancedRamUpgradeUncommon")</f>
        <v>Items.AdvancedRamUpgradeUncommon</v>
      </c>
      <c r="F14" s="32" t="s">
        <v>20</v>
      </c>
    </row>
    <row r="15">
      <c r="A15" s="92" t="s">
        <v>588</v>
      </c>
      <c r="B15" s="10" t="s">
        <v>7</v>
      </c>
      <c r="C15" s="10" t="s">
        <v>610</v>
      </c>
      <c r="D15" s="14" t="s">
        <v>600</v>
      </c>
      <c r="E15" s="7" t="str">
        <f>IFERROR(__xludf.DUMMYFUNCTION("REGEXEXTRACT(C15, """"""([^""""]+)"""""")"),"Items.AdvancedSmartStorageUncommon")</f>
        <v>Items.AdvancedSmartStorageUncommon</v>
      </c>
      <c r="F15" s="32" t="s">
        <v>20</v>
      </c>
    </row>
    <row r="16">
      <c r="A16" s="92" t="s">
        <v>588</v>
      </c>
      <c r="B16" s="10" t="s">
        <v>7</v>
      </c>
      <c r="C16" s="10" t="s">
        <v>611</v>
      </c>
      <c r="D16" s="14" t="s">
        <v>602</v>
      </c>
      <c r="E16" s="7" t="str">
        <f>IFERROR(__xludf.DUMMYFUNCTION("REGEXEXTRACT(C16, """"""([^""""]+)"""""")"),"Items.AdvancedSubdermalCoProcessorUncommon")</f>
        <v>Items.AdvancedSubdermalCoProcessorUncommon</v>
      </c>
      <c r="F16" s="32" t="s">
        <v>20</v>
      </c>
    </row>
    <row r="17">
      <c r="A17" s="92" t="s">
        <v>588</v>
      </c>
      <c r="B17" s="10" t="s">
        <v>7</v>
      </c>
      <c r="C17" s="10" t="s">
        <v>612</v>
      </c>
      <c r="D17" s="18" t="s">
        <v>590</v>
      </c>
      <c r="E17" s="7" t="str">
        <f>IFERROR(__xludf.DUMMYFUNCTION("REGEXEXTRACT(C17, """"""([^""""]+)"""""")"),"Items.AdvancedBioConductorsRare")</f>
        <v>Items.AdvancedBioConductorsRare</v>
      </c>
      <c r="F17" s="33" t="s">
        <v>37</v>
      </c>
    </row>
    <row r="18">
      <c r="A18" s="92" t="s">
        <v>588</v>
      </c>
      <c r="B18" s="10" t="s">
        <v>7</v>
      </c>
      <c r="C18" s="10" t="s">
        <v>613</v>
      </c>
      <c r="D18" s="18" t="s">
        <v>592</v>
      </c>
      <c r="E18" s="7" t="str">
        <f>IFERROR(__xludf.DUMMYFUNCTION("REGEXEXTRACT(C18, """"""([^""""]+)"""""")"),"Items.AdvancedBiomonitorRare")</f>
        <v>Items.AdvancedBiomonitorRare</v>
      </c>
      <c r="F18" s="33" t="s">
        <v>37</v>
      </c>
    </row>
    <row r="19">
      <c r="A19" s="92" t="s">
        <v>588</v>
      </c>
      <c r="B19" s="10" t="s">
        <v>7</v>
      </c>
      <c r="C19" s="10" t="s">
        <v>614</v>
      </c>
      <c r="D19" s="18" t="s">
        <v>615</v>
      </c>
      <c r="E19" s="7" t="str">
        <f>IFERROR(__xludf.DUMMYFUNCTION("REGEXEXTRACT(C19, """"""([^""""]+)"""""")"),"Items.AdvancedExDiskRare")</f>
        <v>Items.AdvancedExDiskRare</v>
      </c>
      <c r="F19" s="33" t="s">
        <v>37</v>
      </c>
    </row>
    <row r="20">
      <c r="A20" s="92" t="s">
        <v>588</v>
      </c>
      <c r="B20" s="10" t="s">
        <v>7</v>
      </c>
      <c r="C20" s="10" t="s">
        <v>616</v>
      </c>
      <c r="D20" s="18" t="s">
        <v>594</v>
      </c>
      <c r="E20" s="7" t="str">
        <f>IFERROR(__xludf.DUMMYFUNCTION("REGEXEXTRACT(C20, """"""([^""""]+)"""""")"),"Items.AdvancedKerenziovBoostSystemRare")</f>
        <v>Items.AdvancedKerenziovBoostSystemRare</v>
      </c>
      <c r="F20" s="33" t="s">
        <v>37</v>
      </c>
    </row>
    <row r="21">
      <c r="A21" s="92" t="s">
        <v>588</v>
      </c>
      <c r="B21" s="10" t="s">
        <v>7</v>
      </c>
      <c r="C21" s="10" t="s">
        <v>617</v>
      </c>
      <c r="D21" s="18" t="s">
        <v>596</v>
      </c>
      <c r="E21" s="7" t="str">
        <f>IFERROR(__xludf.DUMMYFUNCTION("REGEXEXTRACT(C21, """"""([^""""]+)"""""")"),"Items.AdvancedMechatronicCoreRare")</f>
        <v>Items.AdvancedMechatronicCoreRare</v>
      </c>
      <c r="F21" s="33" t="s">
        <v>37</v>
      </c>
    </row>
    <row r="22">
      <c r="A22" s="92" t="s">
        <v>588</v>
      </c>
      <c r="B22" s="10" t="s">
        <v>7</v>
      </c>
      <c r="C22" s="10" t="s">
        <v>618</v>
      </c>
      <c r="D22" s="18" t="s">
        <v>608</v>
      </c>
      <c r="E22" s="7" t="str">
        <f>IFERROR(__xludf.DUMMYFUNCTION("REGEXEXTRACT(C22, """"""([^""""]+)"""""")"),"Items.AdvancedMemoryBoostRare")</f>
        <v>Items.AdvancedMemoryBoostRare</v>
      </c>
      <c r="F22" s="33" t="s">
        <v>37</v>
      </c>
    </row>
    <row r="23">
      <c r="A23" s="92" t="s">
        <v>588</v>
      </c>
      <c r="B23" s="10" t="s">
        <v>7</v>
      </c>
      <c r="C23" s="10" t="s">
        <v>619</v>
      </c>
      <c r="D23" s="18" t="s">
        <v>598</v>
      </c>
      <c r="E23" s="7" t="str">
        <f>IFERROR(__xludf.DUMMYFUNCTION("REGEXEXTRACT(C23, """"""([^""""]+)"""""")"),"Items.AdvancedRamUpgradeRare")</f>
        <v>Items.AdvancedRamUpgradeRare</v>
      </c>
      <c r="F23" s="33" t="s">
        <v>37</v>
      </c>
    </row>
    <row r="24">
      <c r="A24" s="92" t="s">
        <v>588</v>
      </c>
      <c r="B24" s="10" t="s">
        <v>7</v>
      </c>
      <c r="C24" s="10" t="s">
        <v>620</v>
      </c>
      <c r="D24" s="18" t="s">
        <v>621</v>
      </c>
      <c r="E24" s="7" t="str">
        <f>IFERROR(__xludf.DUMMYFUNCTION("REGEXEXTRACT(C24, """"""([^""""]+)"""""")"),"Items.AdvancedSelfIceRare")</f>
        <v>Items.AdvancedSelfIceRare</v>
      </c>
      <c r="F24" s="33" t="s">
        <v>37</v>
      </c>
    </row>
    <row r="25">
      <c r="A25" s="92" t="s">
        <v>588</v>
      </c>
      <c r="B25" s="10" t="s">
        <v>7</v>
      </c>
      <c r="C25" s="10" t="s">
        <v>622</v>
      </c>
      <c r="D25" s="18" t="s">
        <v>600</v>
      </c>
      <c r="E25" s="7" t="str">
        <f>IFERROR(__xludf.DUMMYFUNCTION("REGEXEXTRACT(C25, """"""([^""""]+)"""""")"),"Items.AdvancedSmartStorageRare")</f>
        <v>Items.AdvancedSmartStorageRare</v>
      </c>
      <c r="F25" s="33" t="s">
        <v>37</v>
      </c>
    </row>
    <row r="26">
      <c r="A26" s="92" t="s">
        <v>588</v>
      </c>
      <c r="B26" s="10" t="s">
        <v>7</v>
      </c>
      <c r="C26" s="10" t="s">
        <v>623</v>
      </c>
      <c r="D26" s="18" t="s">
        <v>602</v>
      </c>
      <c r="E26" s="7" t="str">
        <f>IFERROR(__xludf.DUMMYFUNCTION("REGEXEXTRACT(C26, """"""([^""""]+)"""""")"),"Items.AdvancedSubdermalCoProcessorRare")</f>
        <v>Items.AdvancedSubdermalCoProcessorRare</v>
      </c>
      <c r="F26" s="33" t="s">
        <v>37</v>
      </c>
    </row>
    <row r="27">
      <c r="A27" s="92" t="s">
        <v>588</v>
      </c>
      <c r="B27" s="10" t="s">
        <v>7</v>
      </c>
      <c r="C27" s="10" t="s">
        <v>624</v>
      </c>
      <c r="D27" s="20" t="s">
        <v>590</v>
      </c>
      <c r="E27" s="7" t="str">
        <f>IFERROR(__xludf.DUMMYFUNCTION("REGEXEXTRACT(C27, """"""([^""""]+)"""""")"),"Items.AdvancedBioConductorsEpic")</f>
        <v>Items.AdvancedBioConductorsEpic</v>
      </c>
      <c r="F27" s="34" t="s">
        <v>53</v>
      </c>
    </row>
    <row r="28">
      <c r="A28" s="92" t="s">
        <v>588</v>
      </c>
      <c r="B28" s="10" t="s">
        <v>7</v>
      </c>
      <c r="C28" s="10" t="s">
        <v>625</v>
      </c>
      <c r="D28" s="20" t="s">
        <v>592</v>
      </c>
      <c r="E28" s="7" t="str">
        <f>IFERROR(__xludf.DUMMYFUNCTION("REGEXEXTRACT(C28, """"""([^""""]+)"""""")"),"Items.AdvancedBiomonitorEpic")</f>
        <v>Items.AdvancedBiomonitorEpic</v>
      </c>
      <c r="F28" s="34" t="s">
        <v>53</v>
      </c>
    </row>
    <row r="29">
      <c r="A29" s="92" t="s">
        <v>588</v>
      </c>
      <c r="B29" s="10" t="s">
        <v>7</v>
      </c>
      <c r="C29" s="10" t="s">
        <v>626</v>
      </c>
      <c r="D29" s="20" t="s">
        <v>627</v>
      </c>
      <c r="E29" s="7" t="str">
        <f>IFERROR(__xludf.DUMMYFUNCTION("REGEXEXTRACT(C29, """"""([^""""]+)"""""")"),"Items.AdvancedCamilloRamManagerEpic")</f>
        <v>Items.AdvancedCamilloRamManagerEpic</v>
      </c>
      <c r="F29" s="34" t="s">
        <v>53</v>
      </c>
    </row>
    <row r="30">
      <c r="A30" s="92" t="s">
        <v>588</v>
      </c>
      <c r="B30" s="10" t="s">
        <v>7</v>
      </c>
      <c r="C30" s="10" t="s">
        <v>628</v>
      </c>
      <c r="D30" s="20" t="s">
        <v>615</v>
      </c>
      <c r="E30" s="7" t="str">
        <f>IFERROR(__xludf.DUMMYFUNCTION("REGEXEXTRACT(C30, """"""([^""""]+)"""""")"),"Items.AdvancedExDiskEpic")</f>
        <v>Items.AdvancedExDiskEpic</v>
      </c>
      <c r="F30" s="34" t="s">
        <v>53</v>
      </c>
    </row>
    <row r="31">
      <c r="A31" s="92" t="s">
        <v>588</v>
      </c>
      <c r="B31" s="10" t="s">
        <v>7</v>
      </c>
      <c r="C31" s="10" t="s">
        <v>629</v>
      </c>
      <c r="D31" s="20" t="s">
        <v>594</v>
      </c>
      <c r="E31" s="7" t="str">
        <f>IFERROR(__xludf.DUMMYFUNCTION("REGEXEXTRACT(C31, """"""([^""""]+)"""""")"),"Items.AdvancedKerenziovBoostSystemEpic")</f>
        <v>Items.AdvancedKerenziovBoostSystemEpic</v>
      </c>
      <c r="F31" s="34" t="s">
        <v>53</v>
      </c>
    </row>
    <row r="32">
      <c r="A32" s="92" t="s">
        <v>588</v>
      </c>
      <c r="B32" s="10" t="s">
        <v>7</v>
      </c>
      <c r="C32" s="10" t="s">
        <v>630</v>
      </c>
      <c r="D32" s="20" t="s">
        <v>596</v>
      </c>
      <c r="E32" s="7" t="str">
        <f>IFERROR(__xludf.DUMMYFUNCTION("REGEXEXTRACT(C32, """"""([^""""]+)"""""")"),"Items.AdvancedMechatronicCoreEpic")</f>
        <v>Items.AdvancedMechatronicCoreEpic</v>
      </c>
      <c r="F32" s="34" t="s">
        <v>53</v>
      </c>
    </row>
    <row r="33">
      <c r="A33" s="92" t="s">
        <v>588</v>
      </c>
      <c r="B33" s="10" t="s">
        <v>7</v>
      </c>
      <c r="C33" s="10" t="s">
        <v>631</v>
      </c>
      <c r="D33" s="20" t="s">
        <v>608</v>
      </c>
      <c r="E33" s="7" t="str">
        <f>IFERROR(__xludf.DUMMYFUNCTION("REGEXEXTRACT(C33, """"""([^""""]+)"""""")"),"Items.AdvancedMemoryBoostEpic")</f>
        <v>Items.AdvancedMemoryBoostEpic</v>
      </c>
      <c r="F33" s="34" t="s">
        <v>53</v>
      </c>
    </row>
    <row r="34">
      <c r="A34" s="92" t="s">
        <v>588</v>
      </c>
      <c r="B34" s="10" t="s">
        <v>7</v>
      </c>
      <c r="C34" s="10" t="s">
        <v>632</v>
      </c>
      <c r="D34" s="20" t="s">
        <v>598</v>
      </c>
      <c r="E34" s="7" t="str">
        <f>IFERROR(__xludf.DUMMYFUNCTION("REGEXEXTRACT(C34, """"""([^""""]+)"""""")"),"Items.AdvancedRamUpgradeEpic")</f>
        <v>Items.AdvancedRamUpgradeEpic</v>
      </c>
      <c r="F34" s="34" t="s">
        <v>53</v>
      </c>
    </row>
    <row r="35">
      <c r="A35" s="92" t="s">
        <v>588</v>
      </c>
      <c r="B35" s="10" t="s">
        <v>7</v>
      </c>
      <c r="C35" s="10" t="s">
        <v>633</v>
      </c>
      <c r="D35" s="20" t="s">
        <v>621</v>
      </c>
      <c r="E35" s="7" t="str">
        <f>IFERROR(__xludf.DUMMYFUNCTION("REGEXEXTRACT(C35, """"""([^""""]+)"""""")"),"Items.AdvancedSelfIceEpic")</f>
        <v>Items.AdvancedSelfIceEpic</v>
      </c>
      <c r="F35" s="34" t="s">
        <v>53</v>
      </c>
    </row>
    <row r="36">
      <c r="A36" s="92" t="s">
        <v>588</v>
      </c>
      <c r="B36" s="10" t="s">
        <v>7</v>
      </c>
      <c r="C36" s="10" t="s">
        <v>634</v>
      </c>
      <c r="D36" s="20" t="s">
        <v>600</v>
      </c>
      <c r="E36" s="7" t="str">
        <f>IFERROR(__xludf.DUMMYFUNCTION("REGEXEXTRACT(C36, """"""([^""""]+)"""""")"),"Items.AdvancedSmartStorageEpic")</f>
        <v>Items.AdvancedSmartStorageEpic</v>
      </c>
      <c r="F36" s="34" t="s">
        <v>53</v>
      </c>
    </row>
    <row r="37">
      <c r="A37" s="92" t="s">
        <v>588</v>
      </c>
      <c r="B37" s="10" t="s">
        <v>7</v>
      </c>
      <c r="C37" s="10" t="s">
        <v>635</v>
      </c>
      <c r="D37" s="20" t="s">
        <v>602</v>
      </c>
      <c r="E37" s="7" t="str">
        <f>IFERROR(__xludf.DUMMYFUNCTION("REGEXEXTRACT(C37, """"""([^""""]+)"""""")"),"Items.AdvancedSubdermalCoProcessorEpic")</f>
        <v>Items.AdvancedSubdermalCoProcessorEpic</v>
      </c>
      <c r="F37" s="34" t="s">
        <v>53</v>
      </c>
    </row>
    <row r="38">
      <c r="A38" s="92" t="s">
        <v>588</v>
      </c>
      <c r="B38" s="10" t="s">
        <v>7</v>
      </c>
      <c r="C38" s="10" t="s">
        <v>636</v>
      </c>
      <c r="D38" s="21" t="s">
        <v>590</v>
      </c>
      <c r="E38" s="7" t="str">
        <f>IFERROR(__xludf.DUMMYFUNCTION("REGEXEXTRACT(C38, """"""([^""""]+)"""""")"),"Items.AdvancedBioConductorsLegendary")</f>
        <v>Items.AdvancedBioConductorsLegendary</v>
      </c>
      <c r="F38" s="35" t="s">
        <v>75</v>
      </c>
    </row>
    <row r="39">
      <c r="A39" s="92" t="s">
        <v>588</v>
      </c>
      <c r="B39" s="10" t="s">
        <v>7</v>
      </c>
      <c r="C39" s="10" t="s">
        <v>637</v>
      </c>
      <c r="D39" s="21" t="s">
        <v>592</v>
      </c>
      <c r="E39" s="7" t="str">
        <f>IFERROR(__xludf.DUMMYFUNCTION("REGEXEXTRACT(C39, """"""([^""""]+)"""""")"),"Items.AdvancedBiomonitorLegendary")</f>
        <v>Items.AdvancedBiomonitorLegendary</v>
      </c>
      <c r="F39" s="35" t="s">
        <v>75</v>
      </c>
    </row>
    <row r="40">
      <c r="A40" s="92" t="s">
        <v>588</v>
      </c>
      <c r="B40" s="10" t="s">
        <v>7</v>
      </c>
      <c r="C40" s="10" t="s">
        <v>638</v>
      </c>
      <c r="D40" s="21" t="s">
        <v>627</v>
      </c>
      <c r="E40" s="7" t="str">
        <f>IFERROR(__xludf.DUMMYFUNCTION("REGEXEXTRACT(C40, """"""([^""""]+)"""""")"),"Items.AdvancedCamilloRamManagerLegendary")</f>
        <v>Items.AdvancedCamilloRamManagerLegendary</v>
      </c>
      <c r="F40" s="35" t="s">
        <v>75</v>
      </c>
    </row>
    <row r="41">
      <c r="A41" s="92" t="s">
        <v>588</v>
      </c>
      <c r="B41" s="10" t="s">
        <v>7</v>
      </c>
      <c r="C41" s="10" t="s">
        <v>639</v>
      </c>
      <c r="D41" s="21" t="s">
        <v>615</v>
      </c>
      <c r="E41" s="7" t="str">
        <f>IFERROR(__xludf.DUMMYFUNCTION("REGEXEXTRACT(C41, """"""([^""""]+)"""""")"),"Items.AdvancedExDiskLegendary")</f>
        <v>Items.AdvancedExDiskLegendary</v>
      </c>
      <c r="F41" s="35" t="s">
        <v>75</v>
      </c>
    </row>
    <row r="42">
      <c r="A42" s="92" t="s">
        <v>588</v>
      </c>
      <c r="B42" s="10" t="s">
        <v>7</v>
      </c>
      <c r="C42" s="10" t="s">
        <v>640</v>
      </c>
      <c r="D42" s="21" t="s">
        <v>594</v>
      </c>
      <c r="E42" s="7" t="str">
        <f>IFERROR(__xludf.DUMMYFUNCTION("REGEXEXTRACT(C42, """"""([^""""]+)"""""")"),"Items.AdvancedKerenziovBoostSystemLegendary")</f>
        <v>Items.AdvancedKerenziovBoostSystemLegendary</v>
      </c>
      <c r="F42" s="35" t="s">
        <v>75</v>
      </c>
    </row>
    <row r="43">
      <c r="A43" s="92" t="s">
        <v>588</v>
      </c>
      <c r="B43" s="10" t="s">
        <v>7</v>
      </c>
      <c r="C43" s="10" t="s">
        <v>641</v>
      </c>
      <c r="D43" s="21" t="s">
        <v>596</v>
      </c>
      <c r="E43" s="7" t="str">
        <f>IFERROR(__xludf.DUMMYFUNCTION("REGEXEXTRACT(C43, """"""([^""""]+)"""""")"),"Items.AdvancedMechatronicCoreLegendary")</f>
        <v>Items.AdvancedMechatronicCoreLegendary</v>
      </c>
      <c r="F43" s="35" t="s">
        <v>75</v>
      </c>
    </row>
    <row r="44">
      <c r="A44" s="92" t="s">
        <v>588</v>
      </c>
      <c r="B44" s="10" t="s">
        <v>7</v>
      </c>
      <c r="C44" s="10" t="s">
        <v>642</v>
      </c>
      <c r="D44" s="21" t="s">
        <v>608</v>
      </c>
      <c r="E44" s="7" t="str">
        <f>IFERROR(__xludf.DUMMYFUNCTION("REGEXEXTRACT(C44, """"""([^""""]+)"""""")"),"Items.AdvancedMemoryBoostLegendary")</f>
        <v>Items.AdvancedMemoryBoostLegendary</v>
      </c>
      <c r="F44" s="35" t="s">
        <v>75</v>
      </c>
    </row>
    <row r="45">
      <c r="A45" s="92" t="s">
        <v>588</v>
      </c>
      <c r="B45" s="10" t="s">
        <v>7</v>
      </c>
      <c r="C45" s="10" t="s">
        <v>643</v>
      </c>
      <c r="D45" s="21" t="s">
        <v>598</v>
      </c>
      <c r="E45" s="7" t="str">
        <f>IFERROR(__xludf.DUMMYFUNCTION("REGEXEXTRACT(C45, """"""([^""""]+)"""""")"),"Items.AdvancedRamUpgradeLegendary")</f>
        <v>Items.AdvancedRamUpgradeLegendary</v>
      </c>
      <c r="F45" s="35" t="s">
        <v>75</v>
      </c>
    </row>
    <row r="46">
      <c r="A46" s="92" t="s">
        <v>588</v>
      </c>
      <c r="B46" s="10" t="s">
        <v>7</v>
      </c>
      <c r="C46" s="10" t="s">
        <v>644</v>
      </c>
      <c r="D46" s="21" t="s">
        <v>621</v>
      </c>
      <c r="E46" s="7" t="str">
        <f>IFERROR(__xludf.DUMMYFUNCTION("REGEXEXTRACT(C46, """"""([^""""]+)"""""")"),"Items.AdvancedSelfIceLegendary")</f>
        <v>Items.AdvancedSelfIceLegendary</v>
      </c>
      <c r="F46" s="35" t="s">
        <v>75</v>
      </c>
    </row>
    <row r="47">
      <c r="A47" s="92" t="s">
        <v>588</v>
      </c>
      <c r="B47" s="10" t="s">
        <v>7</v>
      </c>
      <c r="C47" s="10" t="s">
        <v>645</v>
      </c>
      <c r="D47" s="21" t="s">
        <v>600</v>
      </c>
      <c r="E47" s="7" t="str">
        <f>IFERROR(__xludf.DUMMYFUNCTION("REGEXEXTRACT(C47, """"""([^""""]+)"""""")"),"Items.AdvancedSmartStorageLegendary")</f>
        <v>Items.AdvancedSmartStorageLegendary</v>
      </c>
      <c r="F47" s="35" t="s">
        <v>75</v>
      </c>
    </row>
    <row r="48">
      <c r="A48" s="92" t="s">
        <v>588</v>
      </c>
      <c r="B48" s="10" t="s">
        <v>7</v>
      </c>
      <c r="C48" s="10" t="s">
        <v>646</v>
      </c>
      <c r="D48" s="21" t="s">
        <v>602</v>
      </c>
      <c r="E48" s="7" t="str">
        <f>IFERROR(__xludf.DUMMYFUNCTION("REGEXEXTRACT(C48, """"""([^""""]+)"""""")"),"Items.AdvancedSubdermalCoProcessorLegendary")</f>
        <v>Items.AdvancedSubdermalCoProcessorLegendary</v>
      </c>
      <c r="F48" s="35" t="s">
        <v>75</v>
      </c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</sheetData>
  <autoFilter ref="$A$1:$F$883">
    <sortState ref="A1:F883">
      <sortCondition ref="F1:F883"/>
      <sortCondition ref="E1:E88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7.38"/>
    <col customWidth="1" min="3" max="3" width="58.5"/>
    <col customWidth="1" min="4" max="4" width="35.38"/>
    <col customWidth="1" min="5" max="5" width="49.88"/>
    <col customWidth="1" min="6" max="6" width="9.38"/>
  </cols>
  <sheetData>
    <row r="1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6" t="s">
        <v>92</v>
      </c>
      <c r="B2" s="4" t="s">
        <v>7</v>
      </c>
      <c r="C2" s="27" t="s">
        <v>93</v>
      </c>
      <c r="D2" s="6" t="s">
        <v>94</v>
      </c>
      <c r="E2" s="7" t="str">
        <f>IFERROR(__xludf.DUMMYFUNCTION("REGEXEXTRACT(C2, """"""([^""""]+)"""""")"),"Items.AdvancedArasakaShadowMKICommon")</f>
        <v>Items.AdvancedArasakaShadowMKICommon</v>
      </c>
      <c r="F2" s="28" t="s">
        <v>10</v>
      </c>
    </row>
    <row r="3">
      <c r="A3" s="29" t="s">
        <v>92</v>
      </c>
      <c r="B3" s="10" t="s">
        <v>7</v>
      </c>
      <c r="C3" s="30" t="s">
        <v>95</v>
      </c>
      <c r="D3" s="12" t="s">
        <v>96</v>
      </c>
      <c r="E3" s="7" t="str">
        <f>IFERROR(__xludf.DUMMYFUNCTION("REGEXEXTRACT(C3, """"""([^""""]+)"""""")"),"Items.AdvancedMilitechParalineMKICommon")</f>
        <v>Items.AdvancedMilitechParalineMKICommon</v>
      </c>
      <c r="F3" s="31" t="s">
        <v>10</v>
      </c>
    </row>
    <row r="4">
      <c r="A4" s="29" t="s">
        <v>92</v>
      </c>
      <c r="B4" s="10" t="s">
        <v>7</v>
      </c>
      <c r="C4" s="30" t="s">
        <v>97</v>
      </c>
      <c r="D4" s="12" t="s">
        <v>98</v>
      </c>
      <c r="E4" s="7" t="str">
        <f>IFERROR(__xludf.DUMMYFUNCTION("REGEXEXTRACT(C4, """"""([^""""]+)"""""")"),"Items.AdvancedTetratronicRipplerMKICommon")</f>
        <v>Items.AdvancedTetratronicRipplerMKICommon</v>
      </c>
      <c r="F4" s="31" t="s">
        <v>10</v>
      </c>
    </row>
    <row r="5">
      <c r="A5" s="29" t="s">
        <v>92</v>
      </c>
      <c r="B5" s="10" t="s">
        <v>7</v>
      </c>
      <c r="C5" s="30" t="s">
        <v>99</v>
      </c>
      <c r="D5" s="14" t="s">
        <v>100</v>
      </c>
      <c r="E5" s="7" t="str">
        <f>IFERROR(__xludf.DUMMYFUNCTION("REGEXEXTRACT(C5, """"""([^""""]+)"""""")"),"Items.AdvancedArasakaShadowMKIIUncommon")</f>
        <v>Items.AdvancedArasakaShadowMKIIUncommon</v>
      </c>
      <c r="F5" s="32" t="s">
        <v>20</v>
      </c>
    </row>
    <row r="6">
      <c r="A6" s="29" t="s">
        <v>92</v>
      </c>
      <c r="B6" s="10" t="s">
        <v>7</v>
      </c>
      <c r="C6" s="30" t="s">
        <v>101</v>
      </c>
      <c r="D6" s="14" t="s">
        <v>102</v>
      </c>
      <c r="E6" s="7" t="str">
        <f>IFERROR(__xludf.DUMMYFUNCTION("REGEXEXTRACT(C6, """"""([^""""]+)"""""")"),"Items.AdvancedBerserkC2MK1")</f>
        <v>Items.AdvancedBerserkC2MK1</v>
      </c>
      <c r="F6" s="32" t="s">
        <v>20</v>
      </c>
    </row>
    <row r="7">
      <c r="A7" s="29" t="s">
        <v>92</v>
      </c>
      <c r="B7" s="10" t="s">
        <v>7</v>
      </c>
      <c r="C7" s="30" t="s">
        <v>103</v>
      </c>
      <c r="D7" s="14" t="s">
        <v>104</v>
      </c>
      <c r="E7" s="7" t="str">
        <f>IFERROR(__xludf.DUMMYFUNCTION("REGEXEXTRACT(C7, """"""([^""""]+)"""""")"),"Items.AdvancedBiotechSigmaMKIUncommon")</f>
        <v>Items.AdvancedBiotechSigmaMKIUncommon</v>
      </c>
      <c r="F7" s="32" t="s">
        <v>20</v>
      </c>
    </row>
    <row r="8">
      <c r="A8" s="29" t="s">
        <v>92</v>
      </c>
      <c r="B8" s="10" t="s">
        <v>7</v>
      </c>
      <c r="C8" s="30" t="s">
        <v>105</v>
      </c>
      <c r="D8" s="14" t="s">
        <v>106</v>
      </c>
      <c r="E8" s="7" t="str">
        <f>IFERROR(__xludf.DUMMYFUNCTION("REGEXEXTRACT(C8, """"""([^""""]+)"""""")"),"Items.AdvancedSandevistanC2MK1")</f>
        <v>Items.AdvancedSandevistanC2MK1</v>
      </c>
      <c r="F8" s="32" t="s">
        <v>20</v>
      </c>
    </row>
    <row r="9">
      <c r="A9" s="29" t="s">
        <v>92</v>
      </c>
      <c r="B9" s="10" t="s">
        <v>7</v>
      </c>
      <c r="C9" s="30" t="s">
        <v>107</v>
      </c>
      <c r="D9" s="14" t="s">
        <v>108</v>
      </c>
      <c r="E9" s="7" t="str">
        <f>IFERROR(__xludf.DUMMYFUNCTION("REGEXEXTRACT(C9, """"""([^""""]+)"""""")"),"Items.AdvancedMilitechParalineMKIIUncommon")</f>
        <v>Items.AdvancedMilitechParalineMKIIUncommon</v>
      </c>
      <c r="F9" s="32" t="s">
        <v>20</v>
      </c>
    </row>
    <row r="10">
      <c r="A10" s="29" t="s">
        <v>92</v>
      </c>
      <c r="B10" s="10" t="s">
        <v>7</v>
      </c>
      <c r="C10" s="30" t="s">
        <v>109</v>
      </c>
      <c r="D10" s="14" t="s">
        <v>110</v>
      </c>
      <c r="E10" s="7" t="str">
        <f>IFERROR(__xludf.DUMMYFUNCTION("REGEXEXTRACT(C10, """"""([^""""]+)"""""")"),"Items.AdvancedBerserkC1MK1")</f>
        <v>Items.AdvancedBerserkC1MK1</v>
      </c>
      <c r="F10" s="32" t="s">
        <v>20</v>
      </c>
    </row>
    <row r="11">
      <c r="A11" s="29" t="s">
        <v>92</v>
      </c>
      <c r="B11" s="10" t="s">
        <v>7</v>
      </c>
      <c r="C11" s="30" t="s">
        <v>111</v>
      </c>
      <c r="D11" s="14" t="s">
        <v>112</v>
      </c>
      <c r="E11" s="7" t="str">
        <f>IFERROR(__xludf.DUMMYFUNCTION("REGEXEXTRACT(C11, """"""([^""""]+)"""""")"),"Items.AdvancedTetratronicRipplerMKIIUncommon")</f>
        <v>Items.AdvancedTetratronicRipplerMKIIUncommon</v>
      </c>
      <c r="F11" s="32" t="s">
        <v>20</v>
      </c>
    </row>
    <row r="12">
      <c r="A12" s="29" t="s">
        <v>92</v>
      </c>
      <c r="B12" s="10" t="s">
        <v>7</v>
      </c>
      <c r="C12" s="30" t="s">
        <v>113</v>
      </c>
      <c r="D12" s="14" t="s">
        <v>114</v>
      </c>
      <c r="E12" s="7" t="str">
        <f>IFERROR(__xludf.DUMMYFUNCTION("REGEXEXTRACT(C12, """"""([^""""]+)"""""")"),"Items.AdvancedSandevistanC1MK1")</f>
        <v>Items.AdvancedSandevistanC1MK1</v>
      </c>
      <c r="F12" s="32" t="s">
        <v>20</v>
      </c>
    </row>
    <row r="13">
      <c r="A13" s="29" t="s">
        <v>92</v>
      </c>
      <c r="B13" s="10" t="s">
        <v>7</v>
      </c>
      <c r="C13" s="30" t="s">
        <v>115</v>
      </c>
      <c r="D13" s="18" t="s">
        <v>116</v>
      </c>
      <c r="E13" s="7" t="str">
        <f>IFERROR(__xludf.DUMMYFUNCTION("REGEXEXTRACT(C13, """"""([^""""]+)"""""")"),"Items.AdvancedArasakaShadowMKIIIRare")</f>
        <v>Items.AdvancedArasakaShadowMKIIIRare</v>
      </c>
      <c r="F13" s="33" t="s">
        <v>37</v>
      </c>
    </row>
    <row r="14">
      <c r="A14" s="29" t="s">
        <v>92</v>
      </c>
      <c r="B14" s="10" t="s">
        <v>7</v>
      </c>
      <c r="C14" s="30" t="s">
        <v>117</v>
      </c>
      <c r="D14" s="18" t="s">
        <v>102</v>
      </c>
      <c r="E14" s="7" t="str">
        <f>IFERROR(__xludf.DUMMYFUNCTION("REGEXEXTRACT(C14, """"""([^""""]+)"""""")"),"Items.AdvancedBerserkC2MK2")</f>
        <v>Items.AdvancedBerserkC2MK2</v>
      </c>
      <c r="F14" s="33" t="s">
        <v>37</v>
      </c>
    </row>
    <row r="15">
      <c r="A15" s="29" t="s">
        <v>92</v>
      </c>
      <c r="B15" s="10" t="s">
        <v>7</v>
      </c>
      <c r="C15" s="30" t="s">
        <v>118</v>
      </c>
      <c r="D15" s="18" t="s">
        <v>119</v>
      </c>
      <c r="E15" s="7" t="str">
        <f>IFERROR(__xludf.DUMMYFUNCTION("REGEXEXTRACT(C15, """"""([^""""]+)"""""")"),"Items.AdvancedBiotechSigmaMKIIRare")</f>
        <v>Items.AdvancedBiotechSigmaMKIIRare</v>
      </c>
      <c r="F15" s="33" t="s">
        <v>37</v>
      </c>
    </row>
    <row r="16">
      <c r="A16" s="29" t="s">
        <v>92</v>
      </c>
      <c r="B16" s="10" t="s">
        <v>7</v>
      </c>
      <c r="C16" s="30" t="s">
        <v>120</v>
      </c>
      <c r="D16" s="18" t="s">
        <v>106</v>
      </c>
      <c r="E16" s="7" t="str">
        <f>IFERROR(__xludf.DUMMYFUNCTION("REGEXEXTRACT(C16, """"""([^""""]+)"""""")"),"Items.AdvancedSandevistanC2MK2")</f>
        <v>Items.AdvancedSandevistanC2MK2</v>
      </c>
      <c r="F16" s="33" t="s">
        <v>37</v>
      </c>
    </row>
    <row r="17">
      <c r="A17" s="29" t="s">
        <v>92</v>
      </c>
      <c r="B17" s="10" t="s">
        <v>7</v>
      </c>
      <c r="C17" s="30" t="s">
        <v>121</v>
      </c>
      <c r="D17" s="18" t="s">
        <v>122</v>
      </c>
      <c r="E17" s="7" t="str">
        <f>IFERROR(__xludf.DUMMYFUNCTION("REGEXEXTRACT(C17, """"""([^""""]+)"""""")"),"Items.AdvancedMilitechParalineMKIIIRare")</f>
        <v>Items.AdvancedMilitechParalineMKIIIRare</v>
      </c>
      <c r="F17" s="33" t="s">
        <v>37</v>
      </c>
    </row>
    <row r="18">
      <c r="A18" s="29" t="s">
        <v>92</v>
      </c>
      <c r="B18" s="10" t="s">
        <v>7</v>
      </c>
      <c r="C18" s="30" t="s">
        <v>123</v>
      </c>
      <c r="D18" s="18" t="s">
        <v>110</v>
      </c>
      <c r="E18" s="7" t="str">
        <f>IFERROR(__xludf.DUMMYFUNCTION("REGEXEXTRACT(C18, """"""([^""""]+)"""""")"),"Items.AdvancedBerserkC1MK2")</f>
        <v>Items.AdvancedBerserkC1MK2</v>
      </c>
      <c r="F18" s="33" t="s">
        <v>37</v>
      </c>
    </row>
    <row r="19">
      <c r="A19" s="29" t="s">
        <v>92</v>
      </c>
      <c r="B19" s="10" t="s">
        <v>7</v>
      </c>
      <c r="C19" s="30" t="s">
        <v>124</v>
      </c>
      <c r="D19" s="18" t="s">
        <v>125</v>
      </c>
      <c r="E19" s="7" t="str">
        <f>IFERROR(__xludf.DUMMYFUNCTION("REGEXEXTRACT(C19, """"""([^""""]+)"""""")"),"Items.AdvancedSandevistanC3MK3")</f>
        <v>Items.AdvancedSandevistanC3MK3</v>
      </c>
      <c r="F19" s="33" t="s">
        <v>37</v>
      </c>
    </row>
    <row r="20">
      <c r="A20" s="29" t="s">
        <v>92</v>
      </c>
      <c r="B20" s="10" t="s">
        <v>7</v>
      </c>
      <c r="C20" s="30" t="s">
        <v>126</v>
      </c>
      <c r="D20" s="18" t="s">
        <v>127</v>
      </c>
      <c r="E20" s="7" t="str">
        <f>IFERROR(__xludf.DUMMYFUNCTION("REGEXEXTRACT(C20, """"""([^""""]+)"""""")"),"Items.AdvancedRavenMicrocyberMKIRare")</f>
        <v>Items.AdvancedRavenMicrocyberMKIRare</v>
      </c>
      <c r="F20" s="33" t="s">
        <v>37</v>
      </c>
    </row>
    <row r="21">
      <c r="A21" s="29" t="s">
        <v>92</v>
      </c>
      <c r="B21" s="10" t="s">
        <v>7</v>
      </c>
      <c r="C21" s="30" t="s">
        <v>128</v>
      </c>
      <c r="D21" s="18" t="s">
        <v>129</v>
      </c>
      <c r="E21" s="7" t="str">
        <f>IFERROR(__xludf.DUMMYFUNCTION("REGEXEXTRACT(C21, """"""([^""""]+)"""""")"),"Items.AdvancedTetratronicRipplerMKIIIRare")</f>
        <v>Items.AdvancedTetratronicRipplerMKIIIRare</v>
      </c>
      <c r="F21" s="33" t="s">
        <v>37</v>
      </c>
    </row>
    <row r="22">
      <c r="A22" s="29" t="s">
        <v>92</v>
      </c>
      <c r="B22" s="10" t="s">
        <v>7</v>
      </c>
      <c r="C22" s="30" t="s">
        <v>130</v>
      </c>
      <c r="D22" s="18" t="s">
        <v>131</v>
      </c>
      <c r="E22" s="7" t="str">
        <f>IFERROR(__xludf.DUMMYFUNCTION("REGEXEXTRACT(C22, """"""([^""""]+)"""""")"),"Items.AdvancedBerserkC3MK3")</f>
        <v>Items.AdvancedBerserkC3MK3</v>
      </c>
      <c r="F22" s="33" t="s">
        <v>37</v>
      </c>
    </row>
    <row r="23">
      <c r="A23" s="29" t="s">
        <v>92</v>
      </c>
      <c r="B23" s="10" t="s">
        <v>7</v>
      </c>
      <c r="C23" s="30" t="s">
        <v>132</v>
      </c>
      <c r="D23" s="18" t="s">
        <v>114</v>
      </c>
      <c r="E23" s="7" t="str">
        <f>IFERROR(__xludf.DUMMYFUNCTION("REGEXEXTRACT(C23, """"""([^""""]+)"""""")"),"Items.AdvancedSandevistanC1MK2")</f>
        <v>Items.AdvancedSandevistanC1MK2</v>
      </c>
      <c r="F23" s="33" t="s">
        <v>37</v>
      </c>
    </row>
    <row r="24">
      <c r="A24" s="29" t="s">
        <v>92</v>
      </c>
      <c r="B24" s="10" t="s">
        <v>7</v>
      </c>
      <c r="C24" s="30" t="s">
        <v>133</v>
      </c>
      <c r="D24" s="20" t="s">
        <v>134</v>
      </c>
      <c r="E24" s="7" t="str">
        <f>IFERROR(__xludf.DUMMYFUNCTION("REGEXEXTRACT(C24, """"""([^""""]+)"""""")"),"Items.AdvancedArasakaShadowMKIVEpic")</f>
        <v>Items.AdvancedArasakaShadowMKIVEpic</v>
      </c>
      <c r="F24" s="34" t="s">
        <v>53</v>
      </c>
    </row>
    <row r="25">
      <c r="A25" s="29" t="s">
        <v>92</v>
      </c>
      <c r="B25" s="10" t="s">
        <v>7</v>
      </c>
      <c r="C25" s="30" t="s">
        <v>135</v>
      </c>
      <c r="D25" s="20" t="s">
        <v>102</v>
      </c>
      <c r="E25" s="7" t="str">
        <f>IFERROR(__xludf.DUMMYFUNCTION("REGEXEXTRACT(C25, """"""([^""""]+)"""""")"),"Items.AdvancedBerserkC2MK3")</f>
        <v>Items.AdvancedBerserkC2MK3</v>
      </c>
      <c r="F25" s="34" t="s">
        <v>53</v>
      </c>
    </row>
    <row r="26">
      <c r="A26" s="29" t="s">
        <v>92</v>
      </c>
      <c r="B26" s="10" t="s">
        <v>7</v>
      </c>
      <c r="C26" s="30" t="s">
        <v>136</v>
      </c>
      <c r="D26" s="20" t="s">
        <v>137</v>
      </c>
      <c r="E26" s="7" t="str">
        <f>IFERROR(__xludf.DUMMYFUNCTION("REGEXEXTRACT(C26, """"""([^""""]+)"""""")"),"Items.AdvancedBiotechSigmaMKIIIEpic")</f>
        <v>Items.AdvancedBiotechSigmaMKIIIEpic</v>
      </c>
      <c r="F26" s="34" t="s">
        <v>53</v>
      </c>
    </row>
    <row r="27">
      <c r="A27" s="29" t="s">
        <v>92</v>
      </c>
      <c r="B27" s="10" t="s">
        <v>7</v>
      </c>
      <c r="C27" s="30" t="s">
        <v>138</v>
      </c>
      <c r="D27" s="20" t="s">
        <v>106</v>
      </c>
      <c r="E27" s="7" t="str">
        <f>IFERROR(__xludf.DUMMYFUNCTION("REGEXEXTRACT(C27, """"""([^""""]+)"""""")"),"Items.AdvancedSandevistanC2MK3")</f>
        <v>Items.AdvancedSandevistanC2MK3</v>
      </c>
      <c r="F27" s="34" t="s">
        <v>53</v>
      </c>
    </row>
    <row r="28">
      <c r="A28" s="29" t="s">
        <v>92</v>
      </c>
      <c r="B28" s="10" t="s">
        <v>7</v>
      </c>
      <c r="C28" s="30" t="s">
        <v>139</v>
      </c>
      <c r="D28" s="20" t="s">
        <v>140</v>
      </c>
      <c r="E28" s="7" t="str">
        <f>IFERROR(__xludf.DUMMYFUNCTION("REGEXEXTRACT(C28, """"""([^""""]+)"""""")"),"Items.AdvancedMilitechParalineMKIVEpic")</f>
        <v>Items.AdvancedMilitechParalineMKIVEpic</v>
      </c>
      <c r="F28" s="34" t="s">
        <v>53</v>
      </c>
    </row>
    <row r="29">
      <c r="A29" s="29" t="s">
        <v>92</v>
      </c>
      <c r="B29" s="10" t="s">
        <v>7</v>
      </c>
      <c r="C29" s="30" t="s">
        <v>141</v>
      </c>
      <c r="D29" s="20" t="s">
        <v>110</v>
      </c>
      <c r="E29" s="7" t="str">
        <f>IFERROR(__xludf.DUMMYFUNCTION("REGEXEXTRACT(C29, """"""([^""""]+)"""""")"),"Items.AdvancedBerserkC1MK3")</f>
        <v>Items.AdvancedBerserkC1MK3</v>
      </c>
      <c r="F29" s="34" t="s">
        <v>53</v>
      </c>
    </row>
    <row r="30">
      <c r="A30" s="29" t="s">
        <v>92</v>
      </c>
      <c r="B30" s="10" t="s">
        <v>7</v>
      </c>
      <c r="C30" s="30" t="s">
        <v>142</v>
      </c>
      <c r="D30" s="20" t="s">
        <v>125</v>
      </c>
      <c r="E30" s="7" t="str">
        <f>IFERROR(__xludf.DUMMYFUNCTION("REGEXEXTRACT(C30, """"""([^""""]+)"""""")"),"Items.AdvancedSandevistanC3MK4")</f>
        <v>Items.AdvancedSandevistanC3MK4</v>
      </c>
      <c r="F30" s="34" t="s">
        <v>53</v>
      </c>
    </row>
    <row r="31">
      <c r="A31" s="29" t="s">
        <v>92</v>
      </c>
      <c r="B31" s="10" t="s">
        <v>7</v>
      </c>
      <c r="C31" s="30" t="s">
        <v>143</v>
      </c>
      <c r="D31" s="20" t="s">
        <v>144</v>
      </c>
      <c r="E31" s="7" t="str">
        <f>IFERROR(__xludf.DUMMYFUNCTION("REGEXEXTRACT(C31, """"""([^""""]+)"""""")"),"Items.AdvancedRavenMicrocyberMKIIEpic")</f>
        <v>Items.AdvancedRavenMicrocyberMKIIEpic</v>
      </c>
      <c r="F31" s="34" t="s">
        <v>53</v>
      </c>
    </row>
    <row r="32">
      <c r="A32" s="29" t="s">
        <v>92</v>
      </c>
      <c r="B32" s="10" t="s">
        <v>7</v>
      </c>
      <c r="C32" s="30" t="s">
        <v>145</v>
      </c>
      <c r="D32" s="20" t="s">
        <v>146</v>
      </c>
      <c r="E32" s="7" t="str">
        <f>IFERROR(__xludf.DUMMYFUNCTION("REGEXEXTRACT(C32, """"""([^""""]+)"""""")"),"Items.AdvancedTetratronicRipplerMKIVEpic")</f>
        <v>Items.AdvancedTetratronicRipplerMKIVEpic</v>
      </c>
      <c r="F32" s="34" t="s">
        <v>53</v>
      </c>
    </row>
    <row r="33">
      <c r="A33" s="29" t="s">
        <v>92</v>
      </c>
      <c r="B33" s="10" t="s">
        <v>7</v>
      </c>
      <c r="C33" s="30" t="s">
        <v>147</v>
      </c>
      <c r="D33" s="20" t="s">
        <v>131</v>
      </c>
      <c r="E33" s="7" t="str">
        <f>IFERROR(__xludf.DUMMYFUNCTION("REGEXEXTRACT(C33, """"""([^""""]+)"""""")"),"Items.AdvancedBerserkC3MK4")</f>
        <v>Items.AdvancedBerserkC3MK4</v>
      </c>
      <c r="F33" s="34" t="s">
        <v>53</v>
      </c>
    </row>
    <row r="34">
      <c r="A34" s="29" t="s">
        <v>92</v>
      </c>
      <c r="B34" s="10" t="s">
        <v>7</v>
      </c>
      <c r="C34" s="30" t="s">
        <v>148</v>
      </c>
      <c r="D34" s="20" t="s">
        <v>114</v>
      </c>
      <c r="E34" s="7" t="str">
        <f>IFERROR(__xludf.DUMMYFUNCTION("REGEXEXTRACT(C34, """"""([^""""]+)"""""")"),"Items.AdvancedSandevistanC1MK3")</f>
        <v>Items.AdvancedSandevistanC1MK3</v>
      </c>
      <c r="F34" s="34" t="s">
        <v>53</v>
      </c>
    </row>
    <row r="35">
      <c r="A35" s="29" t="s">
        <v>92</v>
      </c>
      <c r="B35" s="10" t="s">
        <v>7</v>
      </c>
      <c r="C35" s="30" t="s">
        <v>149</v>
      </c>
      <c r="D35" s="21" t="s">
        <v>150</v>
      </c>
      <c r="E35" s="7" t="str">
        <f>IFERROR(__xludf.DUMMYFUNCTION("REGEXEXTRACT(C35, """"""([^""""]+)"""""")"),"Items.AdvancedArasakaShadowMKVLegendary")</f>
        <v>Items.AdvancedArasakaShadowMKVLegendary</v>
      </c>
      <c r="F35" s="35" t="s">
        <v>75</v>
      </c>
    </row>
    <row r="36">
      <c r="A36" s="29" t="s">
        <v>92</v>
      </c>
      <c r="B36" s="10" t="s">
        <v>7</v>
      </c>
      <c r="C36" s="30" t="s">
        <v>151</v>
      </c>
      <c r="D36" s="21" t="s">
        <v>102</v>
      </c>
      <c r="E36" s="7" t="str">
        <f>IFERROR(__xludf.DUMMYFUNCTION("REGEXEXTRACT(C36, """"""([^""""]+)"""""")"),"Items.AdvancedBerserkC2MK4")</f>
        <v>Items.AdvancedBerserkC2MK4</v>
      </c>
      <c r="F36" s="35" t="s">
        <v>75</v>
      </c>
    </row>
    <row r="37">
      <c r="A37" s="29" t="s">
        <v>92</v>
      </c>
      <c r="B37" s="10" t="s">
        <v>7</v>
      </c>
      <c r="C37" s="30" t="s">
        <v>152</v>
      </c>
      <c r="D37" s="21" t="s">
        <v>153</v>
      </c>
      <c r="E37" s="7" t="str">
        <f>IFERROR(__xludf.DUMMYFUNCTION("REGEXEXTRACT(C37, """"""([^""""]+)"""""")"),"Items.AdvancedBiotechSigmaMKIVLegendary")</f>
        <v>Items.AdvancedBiotechSigmaMKIVLegendary</v>
      </c>
      <c r="F37" s="35" t="s">
        <v>75</v>
      </c>
    </row>
    <row r="38">
      <c r="A38" s="29" t="s">
        <v>92</v>
      </c>
      <c r="B38" s="10" t="s">
        <v>7</v>
      </c>
      <c r="C38" s="30" t="s">
        <v>154</v>
      </c>
      <c r="D38" s="21" t="s">
        <v>106</v>
      </c>
      <c r="E38" s="7" t="str">
        <f>IFERROR(__xludf.DUMMYFUNCTION("REGEXEXTRACT(C38, """"""([^""""]+)"""""")"),"Items.AdvancedSandevistanC2MK4")</f>
        <v>Items.AdvancedSandevistanC2MK4</v>
      </c>
      <c r="F38" s="35" t="s">
        <v>75</v>
      </c>
    </row>
    <row r="39">
      <c r="A39" s="29" t="s">
        <v>92</v>
      </c>
      <c r="B39" s="10" t="s">
        <v>7</v>
      </c>
      <c r="C39" s="30" t="s">
        <v>155</v>
      </c>
      <c r="D39" s="21" t="s">
        <v>140</v>
      </c>
      <c r="E39" s="7" t="str">
        <f>IFERROR(__xludf.DUMMYFUNCTION("REGEXEXTRACT(C39, """"""([^""""]+)"""""")"),"Items.AdvancedMilitechParalineMKVLegendary")</f>
        <v>Items.AdvancedMilitechParalineMKVLegendary</v>
      </c>
      <c r="F39" s="35" t="s">
        <v>75</v>
      </c>
    </row>
    <row r="40">
      <c r="A40" s="29" t="s">
        <v>92</v>
      </c>
      <c r="B40" s="10" t="s">
        <v>7</v>
      </c>
      <c r="C40" s="30" t="s">
        <v>156</v>
      </c>
      <c r="D40" s="21" t="s">
        <v>110</v>
      </c>
      <c r="E40" s="7" t="str">
        <f>IFERROR(__xludf.DUMMYFUNCTION("REGEXEXTRACT(C40, """"""([^""""]+)"""""")"),"Items.AdvancedBerserkC1MK4")</f>
        <v>Items.AdvancedBerserkC1MK4</v>
      </c>
      <c r="F40" s="35" t="s">
        <v>75</v>
      </c>
    </row>
    <row r="41">
      <c r="A41" s="29" t="s">
        <v>92</v>
      </c>
      <c r="B41" s="10" t="s">
        <v>7</v>
      </c>
      <c r="C41" s="30" t="s">
        <v>157</v>
      </c>
      <c r="D41" s="21" t="s">
        <v>125</v>
      </c>
      <c r="E41" s="7" t="str">
        <f>IFERROR(__xludf.DUMMYFUNCTION("REGEXEXTRACT(C41, """"""([^""""]+)"""""")"),"Items.AdvancedSandevistanC3MK5")</f>
        <v>Items.AdvancedSandevistanC3MK5</v>
      </c>
      <c r="F41" s="35" t="s">
        <v>75</v>
      </c>
    </row>
    <row r="42">
      <c r="A42" s="29" t="s">
        <v>92</v>
      </c>
      <c r="B42" s="10" t="s">
        <v>7</v>
      </c>
      <c r="C42" s="30" t="s">
        <v>158</v>
      </c>
      <c r="D42" s="21" t="s">
        <v>159</v>
      </c>
      <c r="E42" s="7" t="str">
        <f>IFERROR(__xludf.DUMMYFUNCTION("REGEXEXTRACT(C42, """"""([^""""]+)"""""")"),"Items.AdvancedRavenMicrocyberMKIIILegendary")</f>
        <v>Items.AdvancedRavenMicrocyberMKIIILegendary</v>
      </c>
      <c r="F42" s="35" t="s">
        <v>75</v>
      </c>
    </row>
    <row r="43">
      <c r="A43" s="29" t="s">
        <v>92</v>
      </c>
      <c r="B43" s="10" t="s">
        <v>7</v>
      </c>
      <c r="C43" s="30" t="s">
        <v>160</v>
      </c>
      <c r="D43" s="21" t="s">
        <v>161</v>
      </c>
      <c r="E43" s="7" t="str">
        <f>IFERROR(__xludf.DUMMYFUNCTION("REGEXEXTRACT(C43, """"""([^""""]+)"""""")"),"Items.AdvancedTetratronicRipplerMKVLegendary")</f>
        <v>Items.AdvancedTetratronicRipplerMKVLegendary</v>
      </c>
      <c r="F43" s="35" t="s">
        <v>75</v>
      </c>
    </row>
    <row r="44">
      <c r="A44" s="29" t="s">
        <v>92</v>
      </c>
      <c r="B44" s="10" t="s">
        <v>7</v>
      </c>
      <c r="C44" s="30" t="s">
        <v>162</v>
      </c>
      <c r="D44" s="21" t="s">
        <v>131</v>
      </c>
      <c r="E44" s="7" t="str">
        <f>IFERROR(__xludf.DUMMYFUNCTION("REGEXEXTRACT(C44, """"""([^""""]+)"""""")"),"Items.AdvancedBerserkC3MK5")</f>
        <v>Items.AdvancedBerserkC3MK5</v>
      </c>
      <c r="F44" s="35" t="s">
        <v>75</v>
      </c>
    </row>
    <row r="45">
      <c r="A45" s="29" t="s">
        <v>92</v>
      </c>
      <c r="B45" s="10" t="s">
        <v>7</v>
      </c>
      <c r="C45" s="30" t="s">
        <v>163</v>
      </c>
      <c r="D45" s="21" t="s">
        <v>114</v>
      </c>
      <c r="E45" s="7" t="str">
        <f>IFERROR(__xludf.DUMMYFUNCTION("REGEXEXTRACT(C45, """"""([^""""]+)"""""")"),"Items.AdvancedSandevistanC1MK4")</f>
        <v>Items.AdvancedSandevistanC1MK4</v>
      </c>
      <c r="F45" s="35" t="s">
        <v>75</v>
      </c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</sheetData>
  <autoFilter ref="$A$1:$F$900">
    <sortState ref="A1:F900">
      <sortCondition ref="F1:F900"/>
      <sortCondition ref="D1:D9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8.25"/>
    <col customWidth="1" min="3" max="3" width="59.38"/>
    <col customWidth="1" min="4" max="4" width="32.0"/>
    <col customWidth="1" min="5" max="5" width="49.88"/>
    <col customWidth="1" min="6" max="6" width="9.38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6" t="s">
        <v>164</v>
      </c>
      <c r="B2" s="10" t="s">
        <v>7</v>
      </c>
      <c r="C2" s="30" t="s">
        <v>165</v>
      </c>
      <c r="D2" s="12" t="s">
        <v>166</v>
      </c>
      <c r="E2" s="7" t="str">
        <f>IFERROR(__xludf.DUMMYFUNCTION("REGEXEXTRACT(C2, """"""([^""""]+)"""""")"),"Items.AdvancedKiroshiOpticsBareCommon")</f>
        <v>Items.AdvancedKiroshiOpticsBareCommon</v>
      </c>
      <c r="F2" s="31" t="s">
        <v>10</v>
      </c>
    </row>
    <row r="3">
      <c r="A3" s="36" t="s">
        <v>164</v>
      </c>
      <c r="B3" s="10" t="s">
        <v>7</v>
      </c>
      <c r="C3" s="30" t="s">
        <v>167</v>
      </c>
      <c r="D3" s="12" t="s">
        <v>168</v>
      </c>
      <c r="E3" s="7" t="str">
        <f>IFERROR(__xludf.DUMMYFUNCTION("REGEXEXTRACT(C3, """"""([^""""]+)"""""")"),"Items.AdvancedKiroshiOpticsWallhackCommon")</f>
        <v>Items.AdvancedKiroshiOpticsWallhackCommon</v>
      </c>
      <c r="F3" s="31" t="s">
        <v>10</v>
      </c>
    </row>
    <row r="4">
      <c r="A4" s="36" t="s">
        <v>164</v>
      </c>
      <c r="B4" s="10" t="s">
        <v>7</v>
      </c>
      <c r="C4" s="30" t="s">
        <v>169</v>
      </c>
      <c r="D4" s="12" t="s">
        <v>170</v>
      </c>
      <c r="E4" s="7" t="str">
        <f>IFERROR(__xludf.DUMMYFUNCTION("REGEXEXTRACT(C4, """"""([^""""]+)"""""")"),"Items.AdvancedKiroshiOpticsHunterCommon")</f>
        <v>Items.AdvancedKiroshiOpticsHunterCommon</v>
      </c>
      <c r="F4" s="31" t="s">
        <v>10</v>
      </c>
    </row>
    <row r="5">
      <c r="A5" s="36" t="s">
        <v>164</v>
      </c>
      <c r="B5" s="10" t="s">
        <v>7</v>
      </c>
      <c r="C5" s="30" t="s">
        <v>171</v>
      </c>
      <c r="D5" s="12" t="s">
        <v>172</v>
      </c>
      <c r="E5" s="7" t="str">
        <f>IFERROR(__xludf.DUMMYFUNCTION("REGEXEXTRACT(C5, """"""([^""""]+)"""""")"),"Items.AdvancedKiroshiOpticsSensorCommon")</f>
        <v>Items.AdvancedKiroshiOpticsSensorCommon</v>
      </c>
      <c r="F5" s="31" t="s">
        <v>10</v>
      </c>
    </row>
    <row r="6">
      <c r="A6" s="36" t="s">
        <v>164</v>
      </c>
      <c r="B6" s="10" t="s">
        <v>7</v>
      </c>
      <c r="C6" s="30" t="s">
        <v>173</v>
      </c>
      <c r="D6" s="12" t="s">
        <v>174</v>
      </c>
      <c r="E6" s="7" t="str">
        <f>IFERROR(__xludf.DUMMYFUNCTION("REGEXEXTRACT(C6, """"""([^""""]+)"""""")"),"Items.AdvancedKiroshiOpticsPiercingCommon")</f>
        <v>Items.AdvancedKiroshiOpticsPiercingCommon</v>
      </c>
      <c r="F6" s="31" t="s">
        <v>10</v>
      </c>
    </row>
    <row r="7">
      <c r="A7" s="36" t="s">
        <v>164</v>
      </c>
      <c r="B7" s="10" t="s">
        <v>7</v>
      </c>
      <c r="C7" s="30" t="s">
        <v>175</v>
      </c>
      <c r="D7" s="12" t="s">
        <v>176</v>
      </c>
      <c r="E7" s="7" t="str">
        <f>IFERROR(__xludf.DUMMYFUNCTION("REGEXEXTRACT(C7, """"""([^""""]+)"""""")"),"Items.AdvancedKiroshiOpticsCombinedCommon")</f>
        <v>Items.AdvancedKiroshiOpticsCombinedCommon</v>
      </c>
      <c r="F7" s="31" t="s">
        <v>10</v>
      </c>
    </row>
    <row r="8">
      <c r="A8" s="36" t="s">
        <v>164</v>
      </c>
      <c r="B8" s="10" t="s">
        <v>7</v>
      </c>
      <c r="C8" s="30" t="s">
        <v>177</v>
      </c>
      <c r="D8" s="14" t="s">
        <v>166</v>
      </c>
      <c r="E8" s="7" t="str">
        <f>IFERROR(__xludf.DUMMYFUNCTION("REGEXEXTRACT(C8, """"""([^""""]+)"""""")"),"Items.AdvancedKiroshiOpticsBareUncommon")</f>
        <v>Items.AdvancedKiroshiOpticsBareUncommon</v>
      </c>
      <c r="F8" s="32" t="s">
        <v>20</v>
      </c>
    </row>
    <row r="9">
      <c r="A9" s="36" t="s">
        <v>164</v>
      </c>
      <c r="B9" s="10" t="s">
        <v>7</v>
      </c>
      <c r="C9" s="30" t="s">
        <v>178</v>
      </c>
      <c r="D9" s="14" t="s">
        <v>168</v>
      </c>
      <c r="E9" s="7" t="str">
        <f>IFERROR(__xludf.DUMMYFUNCTION("REGEXEXTRACT(C9, """"""([^""""]+)"""""")"),"Items.AdvancedKiroshiOpticsWallhackUncommon")</f>
        <v>Items.AdvancedKiroshiOpticsWallhackUncommon</v>
      </c>
      <c r="F9" s="32" t="s">
        <v>20</v>
      </c>
    </row>
    <row r="10">
      <c r="A10" s="36" t="s">
        <v>164</v>
      </c>
      <c r="B10" s="10" t="s">
        <v>7</v>
      </c>
      <c r="C10" s="30" t="s">
        <v>179</v>
      </c>
      <c r="D10" s="14" t="s">
        <v>170</v>
      </c>
      <c r="E10" s="7" t="str">
        <f>IFERROR(__xludf.DUMMYFUNCTION("REGEXEXTRACT(C10, """"""([^""""]+)"""""")"),"Items.AdvancedKiroshiOpticsHunterUncommon")</f>
        <v>Items.AdvancedKiroshiOpticsHunterUncommon</v>
      </c>
      <c r="F10" s="32" t="s">
        <v>20</v>
      </c>
    </row>
    <row r="11">
      <c r="A11" s="36" t="s">
        <v>164</v>
      </c>
      <c r="B11" s="10" t="s">
        <v>7</v>
      </c>
      <c r="C11" s="30" t="s">
        <v>180</v>
      </c>
      <c r="D11" s="14" t="s">
        <v>172</v>
      </c>
      <c r="E11" s="7" t="str">
        <f>IFERROR(__xludf.DUMMYFUNCTION("REGEXEXTRACT(C11, """"""([^""""]+)"""""")"),"Items.AdvancedKiroshiOpticsSensor_Uncommon")</f>
        <v>Items.AdvancedKiroshiOpticsSensor_Uncommon</v>
      </c>
      <c r="F11" s="32" t="s">
        <v>20</v>
      </c>
    </row>
    <row r="12">
      <c r="A12" s="36" t="s">
        <v>164</v>
      </c>
      <c r="B12" s="10" t="s">
        <v>7</v>
      </c>
      <c r="C12" s="30" t="s">
        <v>181</v>
      </c>
      <c r="D12" s="14" t="s">
        <v>174</v>
      </c>
      <c r="E12" s="7" t="str">
        <f>IFERROR(__xludf.DUMMYFUNCTION("REGEXEXTRACT(C12, """"""([^""""]+)"""""")"),"Items.AdvancedKiroshiOpticsPiercingUncommon")</f>
        <v>Items.AdvancedKiroshiOpticsPiercingUncommon</v>
      </c>
      <c r="F12" s="32" t="s">
        <v>20</v>
      </c>
    </row>
    <row r="13">
      <c r="A13" s="36" t="s">
        <v>164</v>
      </c>
      <c r="B13" s="10" t="s">
        <v>7</v>
      </c>
      <c r="C13" s="30" t="s">
        <v>182</v>
      </c>
      <c r="D13" s="14" t="s">
        <v>176</v>
      </c>
      <c r="E13" s="7" t="str">
        <f>IFERROR(__xludf.DUMMYFUNCTION("REGEXEXTRACT(C13, """"""([^""""]+)"""""")"),"Items.AdvancedKiroshiOpticsCombinedUncommon")</f>
        <v>Items.AdvancedKiroshiOpticsCombinedUncommon</v>
      </c>
      <c r="F13" s="32" t="s">
        <v>20</v>
      </c>
    </row>
    <row r="14">
      <c r="A14" s="36" t="s">
        <v>164</v>
      </c>
      <c r="B14" s="10" t="s">
        <v>7</v>
      </c>
      <c r="C14" s="30" t="s">
        <v>183</v>
      </c>
      <c r="D14" s="18" t="s">
        <v>166</v>
      </c>
      <c r="E14" s="7" t="str">
        <f>IFERROR(__xludf.DUMMYFUNCTION("REGEXEXTRACT(C14, """"""([^""""]+)"""""")"),"Items.AdvancedKiroshiOpticsBareRare")</f>
        <v>Items.AdvancedKiroshiOpticsBareRare</v>
      </c>
      <c r="F14" s="33" t="s">
        <v>37</v>
      </c>
    </row>
    <row r="15">
      <c r="A15" s="36" t="s">
        <v>164</v>
      </c>
      <c r="B15" s="10" t="s">
        <v>7</v>
      </c>
      <c r="C15" s="30" t="s">
        <v>184</v>
      </c>
      <c r="D15" s="18" t="s">
        <v>168</v>
      </c>
      <c r="E15" s="7" t="str">
        <f>IFERROR(__xludf.DUMMYFUNCTION("REGEXEXTRACT(C15, """"""([^""""]+)"""""")"),"Items.AdvancedKiroshiOpticsWallhackRare")</f>
        <v>Items.AdvancedKiroshiOpticsWallhackRare</v>
      </c>
      <c r="F15" s="33" t="s">
        <v>37</v>
      </c>
    </row>
    <row r="16">
      <c r="A16" s="36" t="s">
        <v>164</v>
      </c>
      <c r="B16" s="10" t="s">
        <v>7</v>
      </c>
      <c r="C16" s="30" t="s">
        <v>185</v>
      </c>
      <c r="D16" s="18" t="s">
        <v>170</v>
      </c>
      <c r="E16" s="7" t="str">
        <f>IFERROR(__xludf.DUMMYFUNCTION("REGEXEXTRACT(C16, """"""([^""""]+)"""""")"),"Items.AdvancedKiroshiOpticsHunterRare")</f>
        <v>Items.AdvancedKiroshiOpticsHunterRare</v>
      </c>
      <c r="F16" s="33" t="s">
        <v>37</v>
      </c>
    </row>
    <row r="17">
      <c r="A17" s="36" t="s">
        <v>164</v>
      </c>
      <c r="B17" s="10" t="s">
        <v>7</v>
      </c>
      <c r="C17" s="30" t="s">
        <v>186</v>
      </c>
      <c r="D17" s="18" t="s">
        <v>172</v>
      </c>
      <c r="E17" s="7" t="str">
        <f>IFERROR(__xludf.DUMMYFUNCTION("REGEXEXTRACT(C17, """"""([^""""]+)"""""")"),"Items.AdvancedKiroshiOpticsSensorRare")</f>
        <v>Items.AdvancedKiroshiOpticsSensorRare</v>
      </c>
      <c r="F17" s="33" t="s">
        <v>37</v>
      </c>
    </row>
    <row r="18">
      <c r="A18" s="36" t="s">
        <v>164</v>
      </c>
      <c r="B18" s="10" t="s">
        <v>7</v>
      </c>
      <c r="C18" s="30" t="s">
        <v>187</v>
      </c>
      <c r="D18" s="18" t="s">
        <v>174</v>
      </c>
      <c r="E18" s="7" t="str">
        <f>IFERROR(__xludf.DUMMYFUNCTION("REGEXEXTRACT(C18, """"""([^""""]+)"""""")"),"Items.AdvancedKiroshiOpticsPiercingRare")</f>
        <v>Items.AdvancedKiroshiOpticsPiercingRare</v>
      </c>
      <c r="F18" s="33" t="s">
        <v>37</v>
      </c>
    </row>
    <row r="19">
      <c r="A19" s="36" t="s">
        <v>164</v>
      </c>
      <c r="B19" s="10" t="s">
        <v>7</v>
      </c>
      <c r="C19" s="30" t="s">
        <v>188</v>
      </c>
      <c r="D19" s="18" t="s">
        <v>176</v>
      </c>
      <c r="E19" s="7" t="str">
        <f>IFERROR(__xludf.DUMMYFUNCTION("REGEXEXTRACT(C19, """"""([^""""]+)"""""")"),"Items.AdvancedKiroshiOpticsCombinedRare")</f>
        <v>Items.AdvancedKiroshiOpticsCombinedRare</v>
      </c>
      <c r="F19" s="33" t="s">
        <v>37</v>
      </c>
    </row>
    <row r="20">
      <c r="A20" s="36" t="s">
        <v>164</v>
      </c>
      <c r="B20" s="10" t="s">
        <v>7</v>
      </c>
      <c r="C20" s="30" t="s">
        <v>189</v>
      </c>
      <c r="D20" s="20" t="s">
        <v>166</v>
      </c>
      <c r="E20" s="7" t="str">
        <f>IFERROR(__xludf.DUMMYFUNCTION("REGEXEXTRACT(C20, """"""([^""""]+)"""""")"),"Items.AdvancedKiroshiOpticsBareEpic")</f>
        <v>Items.AdvancedKiroshiOpticsBareEpic</v>
      </c>
      <c r="F20" s="34" t="s">
        <v>53</v>
      </c>
    </row>
    <row r="21">
      <c r="A21" s="36" t="s">
        <v>164</v>
      </c>
      <c r="B21" s="10" t="s">
        <v>7</v>
      </c>
      <c r="C21" s="30" t="s">
        <v>190</v>
      </c>
      <c r="D21" s="20" t="s">
        <v>168</v>
      </c>
      <c r="E21" s="7" t="str">
        <f>IFERROR(__xludf.DUMMYFUNCTION("REGEXEXTRACT(C21, """"""([^""""]+)"""""")"),"Items.AdvancedKiroshiOpticsWallhackEpic")</f>
        <v>Items.AdvancedKiroshiOpticsWallhackEpic</v>
      </c>
      <c r="F21" s="34" t="s">
        <v>53</v>
      </c>
    </row>
    <row r="22">
      <c r="A22" s="36" t="s">
        <v>164</v>
      </c>
      <c r="B22" s="10" t="s">
        <v>7</v>
      </c>
      <c r="C22" s="30" t="s">
        <v>191</v>
      </c>
      <c r="D22" s="20" t="s">
        <v>170</v>
      </c>
      <c r="E22" s="7" t="str">
        <f>IFERROR(__xludf.DUMMYFUNCTION("REGEXEXTRACT(C22, """"""([^""""]+)"""""")"),"Items.AdvancedKiroshiOpticsHunterEpic")</f>
        <v>Items.AdvancedKiroshiOpticsHunterEpic</v>
      </c>
      <c r="F22" s="34" t="s">
        <v>53</v>
      </c>
    </row>
    <row r="23">
      <c r="A23" s="36" t="s">
        <v>164</v>
      </c>
      <c r="B23" s="10" t="s">
        <v>7</v>
      </c>
      <c r="C23" s="30" t="s">
        <v>192</v>
      </c>
      <c r="D23" s="20" t="s">
        <v>172</v>
      </c>
      <c r="E23" s="7" t="str">
        <f>IFERROR(__xludf.DUMMYFUNCTION("REGEXEXTRACT(C23, """"""([^""""]+)"""""")"),"Items.AdvancedKiroshiOpticsSensorEpic")</f>
        <v>Items.AdvancedKiroshiOpticsSensorEpic</v>
      </c>
      <c r="F23" s="34" t="s">
        <v>53</v>
      </c>
    </row>
    <row r="24">
      <c r="A24" s="36" t="s">
        <v>164</v>
      </c>
      <c r="B24" s="10" t="s">
        <v>7</v>
      </c>
      <c r="C24" s="30" t="s">
        <v>193</v>
      </c>
      <c r="D24" s="20" t="s">
        <v>174</v>
      </c>
      <c r="E24" s="7" t="str">
        <f>IFERROR(__xludf.DUMMYFUNCTION("REGEXEXTRACT(C24, """"""([^""""]+)"""""")"),"Items.AdvancedKiroshiOpticsPiercingEpic")</f>
        <v>Items.AdvancedKiroshiOpticsPiercingEpic</v>
      </c>
      <c r="F24" s="34" t="s">
        <v>53</v>
      </c>
    </row>
    <row r="25">
      <c r="A25" s="36" t="s">
        <v>164</v>
      </c>
      <c r="B25" s="10" t="s">
        <v>7</v>
      </c>
      <c r="C25" s="30" t="s">
        <v>194</v>
      </c>
      <c r="D25" s="20" t="s">
        <v>176</v>
      </c>
      <c r="E25" s="7" t="str">
        <f>IFERROR(__xludf.DUMMYFUNCTION("REGEXEXTRACT(C25, """"""([^""""]+)"""""")"),"Items.AdvancedKiroshiOpticsCombinedEpic")</f>
        <v>Items.AdvancedKiroshiOpticsCombinedEpic</v>
      </c>
      <c r="F25" s="34" t="s">
        <v>53</v>
      </c>
    </row>
    <row r="26">
      <c r="A26" s="36" t="s">
        <v>164</v>
      </c>
      <c r="B26" s="10" t="s">
        <v>7</v>
      </c>
      <c r="C26" s="30" t="s">
        <v>195</v>
      </c>
      <c r="D26" s="21" t="s">
        <v>166</v>
      </c>
      <c r="E26" s="7" t="str">
        <f>IFERROR(__xludf.DUMMYFUNCTION("REGEXEXTRACT(C26, """"""([^""""]+)"""""")"),"Items.AdvancedKiroshiOpticsBareLegendary")</f>
        <v>Items.AdvancedKiroshiOpticsBareLegendary</v>
      </c>
      <c r="F26" s="35" t="s">
        <v>75</v>
      </c>
    </row>
    <row r="27">
      <c r="A27" s="36" t="s">
        <v>164</v>
      </c>
      <c r="B27" s="10" t="s">
        <v>7</v>
      </c>
      <c r="C27" s="30" t="s">
        <v>196</v>
      </c>
      <c r="D27" s="21" t="s">
        <v>168</v>
      </c>
      <c r="E27" s="7" t="str">
        <f>IFERROR(__xludf.DUMMYFUNCTION("REGEXEXTRACT(C27, """"""([^""""]+)"""""")"),"Items.AdvancedKiroshiOpticsWallhackLegendary")</f>
        <v>Items.AdvancedKiroshiOpticsWallhackLegendary</v>
      </c>
      <c r="F27" s="35" t="s">
        <v>75</v>
      </c>
    </row>
    <row r="28">
      <c r="A28" s="36" t="s">
        <v>164</v>
      </c>
      <c r="B28" s="10" t="s">
        <v>7</v>
      </c>
      <c r="C28" s="30" t="s">
        <v>197</v>
      </c>
      <c r="D28" s="21" t="s">
        <v>170</v>
      </c>
      <c r="E28" s="7" t="str">
        <f>IFERROR(__xludf.DUMMYFUNCTION("REGEXEXTRACT(C28, """"""([^""""]+)"""""")"),"Items.AdvancedKiroshiOpticsHunterLegendary")</f>
        <v>Items.AdvancedKiroshiOpticsHunterLegendary</v>
      </c>
      <c r="F28" s="35" t="s">
        <v>75</v>
      </c>
    </row>
    <row r="29">
      <c r="A29" s="36" t="s">
        <v>164</v>
      </c>
      <c r="B29" s="10" t="s">
        <v>7</v>
      </c>
      <c r="C29" s="30" t="s">
        <v>198</v>
      </c>
      <c r="D29" s="21" t="s">
        <v>172</v>
      </c>
      <c r="E29" s="7" t="str">
        <f>IFERROR(__xludf.DUMMYFUNCTION("REGEXEXTRACT(C29, """"""([^""""]+)"""""")"),"Items.AdvancedKiroshiOpticsSensorLegendary")</f>
        <v>Items.AdvancedKiroshiOpticsSensorLegendary</v>
      </c>
      <c r="F29" s="35" t="s">
        <v>75</v>
      </c>
    </row>
    <row r="30">
      <c r="A30" s="36" t="s">
        <v>164</v>
      </c>
      <c r="B30" s="10" t="s">
        <v>7</v>
      </c>
      <c r="C30" s="30" t="s">
        <v>199</v>
      </c>
      <c r="D30" s="21" t="s">
        <v>174</v>
      </c>
      <c r="E30" s="7" t="str">
        <f>IFERROR(__xludf.DUMMYFUNCTION("REGEXEXTRACT(C30, """"""([^""""]+)"""""")"),"Items.AdvancedKiroshiOpticsPiercingLegendary")</f>
        <v>Items.AdvancedKiroshiOpticsPiercingLegendary</v>
      </c>
      <c r="F30" s="35" t="s">
        <v>75</v>
      </c>
    </row>
    <row r="31">
      <c r="A31" s="36" t="s">
        <v>164</v>
      </c>
      <c r="B31" s="10" t="s">
        <v>7</v>
      </c>
      <c r="C31" s="30" t="s">
        <v>200</v>
      </c>
      <c r="D31" s="21" t="s">
        <v>176</v>
      </c>
      <c r="E31" s="7" t="str">
        <f>IFERROR(__xludf.DUMMYFUNCTION("REGEXEXTRACT(C31, """"""([^""""]+)"""""")"),"Items.AdvancedKiroshiOpticsCombinedLegendary")</f>
        <v>Items.AdvancedKiroshiOpticsCombinedLegendary</v>
      </c>
      <c r="F31" s="35" t="s">
        <v>75</v>
      </c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  <c r="F901" s="25"/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  <c r="F902" s="25"/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  <c r="F903" s="25"/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  <c r="F904" s="25"/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  <c r="F905" s="25"/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  <c r="F906" s="25"/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  <c r="F907" s="25"/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  <c r="F908" s="25"/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  <c r="F909" s="25"/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  <c r="F910" s="25"/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  <c r="F911" s="25"/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  <c r="F912" s="25"/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  <c r="F913" s="25"/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  <c r="F914" s="25"/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  <c r="F915" s="25"/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  <c r="F916" s="25"/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  <c r="F917" s="25"/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  <c r="F918" s="25"/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  <c r="F919" s="25"/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  <c r="F920" s="25"/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  <c r="F921" s="25"/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  <c r="F922" s="25"/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  <c r="F923" s="25"/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  <c r="F924" s="25"/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  <c r="F925" s="25"/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  <c r="F926" s="25"/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  <c r="F927" s="25"/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  <c r="F928" s="25"/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  <c r="F929" s="25"/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  <c r="F930" s="25"/>
    </row>
  </sheetData>
  <autoFilter ref="$A$1:$F$93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4" width="49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7" t="s">
        <v>201</v>
      </c>
      <c r="B2" s="4" t="s">
        <v>7</v>
      </c>
      <c r="C2" s="5" t="s">
        <v>202</v>
      </c>
      <c r="D2" s="6" t="s">
        <v>203</v>
      </c>
      <c r="E2" s="7" t="str">
        <f>IFERROR(__xludf.DUMMYFUNCTION("REGEXEXTRACT(C2, """"""([^""""]+)"""""")"),"Items.AdvancedPowerGripCommon")</f>
        <v>Items.AdvancedPowerGripCommon</v>
      </c>
      <c r="F2" s="28" t="s">
        <v>10</v>
      </c>
    </row>
    <row r="3">
      <c r="A3" s="38" t="s">
        <v>201</v>
      </c>
      <c r="B3" s="10" t="s">
        <v>7</v>
      </c>
      <c r="C3" s="11" t="s">
        <v>204</v>
      </c>
      <c r="D3" s="12" t="s">
        <v>205</v>
      </c>
      <c r="E3" s="7" t="str">
        <f>IFERROR(__xludf.DUMMYFUNCTION("REGEXEXTRACT(C3, """"""([^""""]+)"""""")"),"Items.AdvancedKnifeSharpenerCommon")</f>
        <v>Items.AdvancedKnifeSharpenerCommon</v>
      </c>
      <c r="F3" s="31" t="s">
        <v>10</v>
      </c>
    </row>
    <row r="4">
      <c r="A4" s="38" t="s">
        <v>201</v>
      </c>
      <c r="B4" s="10" t="s">
        <v>7</v>
      </c>
      <c r="C4" s="11" t="s">
        <v>206</v>
      </c>
      <c r="D4" s="12" t="s">
        <v>207</v>
      </c>
      <c r="E4" s="7" t="str">
        <f>IFERROR(__xludf.DUMMYFUNCTION("REGEXEXTRACT(C4, """"""([^""""]+)"""""")"),"Items.AdvancedMicroGeneratorCommon")</f>
        <v>Items.AdvancedMicroGeneratorCommon</v>
      </c>
      <c r="F4" s="31" t="s">
        <v>10</v>
      </c>
    </row>
    <row r="5">
      <c r="A5" s="38" t="s">
        <v>201</v>
      </c>
      <c r="B5" s="10" t="s">
        <v>7</v>
      </c>
      <c r="C5" s="11" t="s">
        <v>208</v>
      </c>
      <c r="D5" s="12" t="s">
        <v>209</v>
      </c>
      <c r="E5" s="7" t="str">
        <f>IFERROR(__xludf.DUMMYFUNCTION("REGEXEXTRACT(C5, """"""([^""""]+)"""""")"),"Items.AdvancedJointLockCommon")</f>
        <v>Items.AdvancedJointLockCommon</v>
      </c>
      <c r="F5" s="31" t="s">
        <v>10</v>
      </c>
    </row>
    <row r="6">
      <c r="A6" s="38" t="s">
        <v>201</v>
      </c>
      <c r="B6" s="10" t="s">
        <v>7</v>
      </c>
      <c r="C6" s="11" t="s">
        <v>210</v>
      </c>
      <c r="D6" s="12" t="s">
        <v>211</v>
      </c>
      <c r="E6" s="7" t="str">
        <f>IFERROR(__xludf.DUMMYFUNCTION("REGEXEXTRACT(C6, """"""([^""""]+)"""""")"),"Items.AdvancedSmartLinkCommon")</f>
        <v>Items.AdvancedSmartLinkCommon</v>
      </c>
      <c r="F6" s="31" t="s">
        <v>10</v>
      </c>
    </row>
    <row r="7">
      <c r="A7" s="38" t="s">
        <v>201</v>
      </c>
      <c r="B7" s="10" t="s">
        <v>7</v>
      </c>
      <c r="C7" s="11" t="s">
        <v>212</v>
      </c>
      <c r="D7" s="14" t="s">
        <v>203</v>
      </c>
      <c r="E7" s="7" t="str">
        <f>IFERROR(__xludf.DUMMYFUNCTION("REGEXEXTRACT(C7, """"""([^""""]+)"""""")"),"Items.AdvancedPowerGripUncommon")</f>
        <v>Items.AdvancedPowerGripUncommon</v>
      </c>
      <c r="F7" s="32" t="s">
        <v>20</v>
      </c>
    </row>
    <row r="8">
      <c r="A8" s="38" t="s">
        <v>201</v>
      </c>
      <c r="B8" s="10" t="s">
        <v>7</v>
      </c>
      <c r="C8" s="11" t="s">
        <v>213</v>
      </c>
      <c r="D8" s="14" t="s">
        <v>205</v>
      </c>
      <c r="E8" s="7" t="str">
        <f>IFERROR(__xludf.DUMMYFUNCTION("REGEXEXTRACT(C8, """"""([^""""]+)"""""")"),"Items.AdvancedKnifeSharpenerUncommon")</f>
        <v>Items.AdvancedKnifeSharpenerUncommon</v>
      </c>
      <c r="F8" s="32" t="s">
        <v>20</v>
      </c>
    </row>
    <row r="9">
      <c r="A9" s="38" t="s">
        <v>201</v>
      </c>
      <c r="B9" s="10" t="s">
        <v>7</v>
      </c>
      <c r="C9" s="11" t="s">
        <v>214</v>
      </c>
      <c r="D9" s="14" t="s">
        <v>207</v>
      </c>
      <c r="E9" s="7" t="str">
        <f>IFERROR(__xludf.DUMMYFUNCTION("REGEXEXTRACT(C9, """"""([^""""]+)"""""")"),"Items.AdvancedMicroGeneratorUncommon")</f>
        <v>Items.AdvancedMicroGeneratorUncommon</v>
      </c>
      <c r="F9" s="32" t="s">
        <v>20</v>
      </c>
    </row>
    <row r="10">
      <c r="A10" s="38" t="s">
        <v>201</v>
      </c>
      <c r="B10" s="10" t="s">
        <v>7</v>
      </c>
      <c r="C10" s="11" t="s">
        <v>215</v>
      </c>
      <c r="D10" s="14" t="s">
        <v>209</v>
      </c>
      <c r="E10" s="7" t="str">
        <f>IFERROR(__xludf.DUMMYFUNCTION("REGEXEXTRACT(C10, """"""([^""""]+)"""""")"),"Items.AdvancedJointLockUncommon")</f>
        <v>Items.AdvancedJointLockUncommon</v>
      </c>
      <c r="F10" s="32" t="s">
        <v>20</v>
      </c>
    </row>
    <row r="11">
      <c r="A11" s="38" t="s">
        <v>201</v>
      </c>
      <c r="B11" s="10" t="s">
        <v>7</v>
      </c>
      <c r="C11" s="11" t="s">
        <v>216</v>
      </c>
      <c r="D11" s="14" t="s">
        <v>211</v>
      </c>
      <c r="E11" s="7" t="str">
        <f>IFERROR(__xludf.DUMMYFUNCTION("REGEXEXTRACT(C11, """"""([^""""]+)"""""")"),"Items.AdvancedSmartLinkUncommon")</f>
        <v>Items.AdvancedSmartLinkUncommon</v>
      </c>
      <c r="F11" s="32" t="s">
        <v>20</v>
      </c>
    </row>
    <row r="12">
      <c r="A12" s="38" t="s">
        <v>201</v>
      </c>
      <c r="B12" s="10" t="s">
        <v>7</v>
      </c>
      <c r="C12" s="11" t="s">
        <v>217</v>
      </c>
      <c r="D12" s="18" t="s">
        <v>203</v>
      </c>
      <c r="E12" s="7" t="str">
        <f>IFERROR(__xludf.DUMMYFUNCTION("REGEXEXTRACT(C12, """"""([^""""]+)"""""")"),"Items.AdvancedPowerGripRare")</f>
        <v>Items.AdvancedPowerGripRare</v>
      </c>
      <c r="F12" s="33" t="s">
        <v>37</v>
      </c>
    </row>
    <row r="13">
      <c r="A13" s="38" t="s">
        <v>201</v>
      </c>
      <c r="B13" s="10" t="s">
        <v>7</v>
      </c>
      <c r="C13" s="11" t="s">
        <v>218</v>
      </c>
      <c r="D13" s="18" t="s">
        <v>205</v>
      </c>
      <c r="E13" s="7" t="str">
        <f>IFERROR(__xludf.DUMMYFUNCTION("REGEXEXTRACT(C13, """"""([^""""]+)"""""")"),"Items.AdvancedKnifeSharpenerRare")</f>
        <v>Items.AdvancedKnifeSharpenerRare</v>
      </c>
      <c r="F13" s="33" t="s">
        <v>37</v>
      </c>
    </row>
    <row r="14">
      <c r="A14" s="38" t="s">
        <v>201</v>
      </c>
      <c r="B14" s="10" t="s">
        <v>7</v>
      </c>
      <c r="C14" s="11" t="s">
        <v>219</v>
      </c>
      <c r="D14" s="18" t="s">
        <v>207</v>
      </c>
      <c r="E14" s="7" t="str">
        <f>IFERROR(__xludf.DUMMYFUNCTION("REGEXEXTRACT(C14, """"""([^""""]+)"""""")"),"Items.AdvancedMicroGeneratorRare")</f>
        <v>Items.AdvancedMicroGeneratorRare</v>
      </c>
      <c r="F14" s="33" t="s">
        <v>37</v>
      </c>
    </row>
    <row r="15">
      <c r="A15" s="38" t="s">
        <v>201</v>
      </c>
      <c r="B15" s="10" t="s">
        <v>7</v>
      </c>
      <c r="C15" s="11" t="s">
        <v>220</v>
      </c>
      <c r="D15" s="18" t="s">
        <v>209</v>
      </c>
      <c r="E15" s="7" t="str">
        <f>IFERROR(__xludf.DUMMYFUNCTION("REGEXEXTRACT(C15, """"""([^""""]+)"""""")"),"Items.AdvancedJointLockRare")</f>
        <v>Items.AdvancedJointLockRare</v>
      </c>
      <c r="F15" s="33" t="s">
        <v>37</v>
      </c>
    </row>
    <row r="16">
      <c r="A16" s="38" t="s">
        <v>201</v>
      </c>
      <c r="B16" s="10" t="s">
        <v>7</v>
      </c>
      <c r="C16" s="11" t="s">
        <v>221</v>
      </c>
      <c r="D16" s="18" t="s">
        <v>211</v>
      </c>
      <c r="E16" s="7" t="str">
        <f>IFERROR(__xludf.DUMMYFUNCTION("REGEXEXTRACT(C16, """"""([^""""]+)"""""")"),"Items.AdvancedSmartLinkRare")</f>
        <v>Items.AdvancedSmartLinkRare</v>
      </c>
      <c r="F16" s="33" t="s">
        <v>37</v>
      </c>
    </row>
    <row r="17">
      <c r="A17" s="38" t="s">
        <v>201</v>
      </c>
      <c r="B17" s="10" t="s">
        <v>7</v>
      </c>
      <c r="C17" s="11" t="s">
        <v>222</v>
      </c>
      <c r="D17" s="20" t="s">
        <v>203</v>
      </c>
      <c r="E17" s="7" t="str">
        <f>IFERROR(__xludf.DUMMYFUNCTION("REGEXEXTRACT(C17, """"""([^""""]+)"""""")"),"Items.AdvancedPowerGripEpic")</f>
        <v>Items.AdvancedPowerGripEpic</v>
      </c>
      <c r="F17" s="34" t="s">
        <v>53</v>
      </c>
    </row>
    <row r="18">
      <c r="A18" s="38" t="s">
        <v>201</v>
      </c>
      <c r="B18" s="10" t="s">
        <v>7</v>
      </c>
      <c r="C18" s="11" t="s">
        <v>223</v>
      </c>
      <c r="D18" s="20" t="s">
        <v>205</v>
      </c>
      <c r="E18" s="7" t="str">
        <f>IFERROR(__xludf.DUMMYFUNCTION("REGEXEXTRACT(C18, """"""([^""""]+)"""""")"),"Items.AdvancedKnifeSharpenerEpic")</f>
        <v>Items.AdvancedKnifeSharpenerEpic</v>
      </c>
      <c r="F18" s="34" t="s">
        <v>53</v>
      </c>
    </row>
    <row r="19">
      <c r="A19" s="38" t="s">
        <v>201</v>
      </c>
      <c r="B19" s="10" t="s">
        <v>7</v>
      </c>
      <c r="C19" s="11" t="s">
        <v>224</v>
      </c>
      <c r="D19" s="20" t="s">
        <v>207</v>
      </c>
      <c r="E19" s="7" t="str">
        <f>IFERROR(__xludf.DUMMYFUNCTION("REGEXEXTRACT(C19, """"""([^""""]+)"""""")"),"Items.AdvancedMicroGeneratorEpic")</f>
        <v>Items.AdvancedMicroGeneratorEpic</v>
      </c>
      <c r="F19" s="34" t="s">
        <v>53</v>
      </c>
    </row>
    <row r="20">
      <c r="A20" s="38" t="s">
        <v>201</v>
      </c>
      <c r="B20" s="10" t="s">
        <v>7</v>
      </c>
      <c r="C20" s="11" t="s">
        <v>225</v>
      </c>
      <c r="D20" s="20" t="s">
        <v>209</v>
      </c>
      <c r="E20" s="7" t="str">
        <f>IFERROR(__xludf.DUMMYFUNCTION("REGEXEXTRACT(C20, """"""([^""""]+)"""""")"),"Items.AdvancedJointLockEpic")</f>
        <v>Items.AdvancedJointLockEpic</v>
      </c>
      <c r="F20" s="34" t="s">
        <v>53</v>
      </c>
    </row>
    <row r="21">
      <c r="A21" s="38" t="s">
        <v>201</v>
      </c>
      <c r="B21" s="10" t="s">
        <v>7</v>
      </c>
      <c r="C21" s="11" t="s">
        <v>226</v>
      </c>
      <c r="D21" s="20" t="s">
        <v>211</v>
      </c>
      <c r="E21" s="7" t="str">
        <f>IFERROR(__xludf.DUMMYFUNCTION("REGEXEXTRACT(C21, """"""([^""""]+)"""""")"),"Items.AdvancedSmartLinkEpic")</f>
        <v>Items.AdvancedSmartLinkEpic</v>
      </c>
      <c r="F21" s="34" t="s">
        <v>53</v>
      </c>
    </row>
    <row r="22">
      <c r="A22" s="38" t="s">
        <v>201</v>
      </c>
      <c r="B22" s="10" t="s">
        <v>7</v>
      </c>
      <c r="C22" s="11" t="s">
        <v>227</v>
      </c>
      <c r="D22" s="21" t="s">
        <v>203</v>
      </c>
      <c r="E22" s="7" t="str">
        <f>IFERROR(__xludf.DUMMYFUNCTION("REGEXEXTRACT(C22, """"""([^""""]+)"""""")"),"Items.AdvancedPowerGripLegendary")</f>
        <v>Items.AdvancedPowerGripLegendary</v>
      </c>
      <c r="F22" s="35" t="s">
        <v>75</v>
      </c>
    </row>
    <row r="23">
      <c r="A23" s="38" t="s">
        <v>201</v>
      </c>
      <c r="B23" s="10" t="s">
        <v>7</v>
      </c>
      <c r="C23" s="11" t="s">
        <v>228</v>
      </c>
      <c r="D23" s="21" t="s">
        <v>205</v>
      </c>
      <c r="E23" s="7" t="str">
        <f>IFERROR(__xludf.DUMMYFUNCTION("REGEXEXTRACT(C23, """"""([^""""]+)"""""")"),"Items.AdvancedKnifeSharpenerLegendary")</f>
        <v>Items.AdvancedKnifeSharpenerLegendary</v>
      </c>
      <c r="F23" s="35" t="s">
        <v>75</v>
      </c>
    </row>
    <row r="24">
      <c r="A24" s="38" t="s">
        <v>201</v>
      </c>
      <c r="B24" s="10" t="s">
        <v>7</v>
      </c>
      <c r="C24" s="11" t="s">
        <v>229</v>
      </c>
      <c r="D24" s="21" t="s">
        <v>207</v>
      </c>
      <c r="E24" s="7" t="str">
        <f>IFERROR(__xludf.DUMMYFUNCTION("REGEXEXTRACT(C24, """"""([^""""]+)"""""")"),"Items.AdvancedMicroGeneratorLegendary")</f>
        <v>Items.AdvancedMicroGeneratorLegendary</v>
      </c>
      <c r="F24" s="35" t="s">
        <v>75</v>
      </c>
    </row>
    <row r="25">
      <c r="A25" s="38" t="s">
        <v>201</v>
      </c>
      <c r="B25" s="10" t="s">
        <v>7</v>
      </c>
      <c r="C25" s="11" t="s">
        <v>230</v>
      </c>
      <c r="D25" s="21" t="s">
        <v>209</v>
      </c>
      <c r="E25" s="7" t="str">
        <f>IFERROR(__xludf.DUMMYFUNCTION("REGEXEXTRACT(C25, """"""([^""""]+)"""""")"),"Items.AdvancedJointLockLegendary")</f>
        <v>Items.AdvancedJointLockLegendary</v>
      </c>
      <c r="F25" s="35" t="s">
        <v>75</v>
      </c>
    </row>
    <row r="26">
      <c r="A26" s="38" t="s">
        <v>201</v>
      </c>
      <c r="B26" s="10" t="s">
        <v>7</v>
      </c>
      <c r="C26" s="11" t="s">
        <v>231</v>
      </c>
      <c r="D26" s="21" t="s">
        <v>211</v>
      </c>
      <c r="E26" s="7" t="str">
        <f>IFERROR(__xludf.DUMMYFUNCTION("REGEXEXTRACT(C26, """"""([^""""]+)"""""")"),"Items.AdvancedSmartLinkLegendary")</f>
        <v>Items.AdvancedSmartLinkLegendary</v>
      </c>
      <c r="F26" s="35" t="s">
        <v>75</v>
      </c>
    </row>
    <row r="27">
      <c r="A27" s="23"/>
      <c r="B27" s="23"/>
      <c r="C27" s="24"/>
      <c r="D27" s="23"/>
      <c r="E27" s="25" t="str">
        <f>IFERROR(__xludf.DUMMYFUNCTION("REGEXEXTRACT(C27, """"""([^""""]+)"""""")"),"#N/A")</f>
        <v>#N/A</v>
      </c>
      <c r="F27" s="25"/>
    </row>
    <row r="28">
      <c r="A28" s="23"/>
      <c r="B28" s="23"/>
      <c r="C28" s="24"/>
      <c r="D28" s="23"/>
      <c r="E28" s="25" t="str">
        <f>IFERROR(__xludf.DUMMYFUNCTION("REGEXEXTRACT(C28, """"""([^""""]+)"""""")"),"#N/A")</f>
        <v>#N/A</v>
      </c>
      <c r="F28" s="25"/>
    </row>
    <row r="29">
      <c r="A29" s="23"/>
      <c r="B29" s="23"/>
      <c r="C29" s="24"/>
      <c r="D29" s="23"/>
      <c r="E29" s="25" t="str">
        <f>IFERROR(__xludf.DUMMYFUNCTION("REGEXEXTRACT(C29, """"""([^""""]+)"""""")"),"#N/A")</f>
        <v>#N/A</v>
      </c>
      <c r="F29" s="25"/>
    </row>
    <row r="30">
      <c r="A30" s="23"/>
      <c r="B30" s="23"/>
      <c r="C30" s="24"/>
      <c r="D30" s="23"/>
      <c r="E30" s="25" t="str">
        <f>IFERROR(__xludf.DUMMYFUNCTION("REGEXEXTRACT(C30, """"""([^""""]+)"""""")"),"#N/A")</f>
        <v>#N/A</v>
      </c>
      <c r="F30" s="25"/>
    </row>
    <row r="31">
      <c r="A31" s="23"/>
      <c r="B31" s="23"/>
      <c r="C31" s="24"/>
      <c r="D31" s="23"/>
      <c r="E31" s="25" t="str">
        <f>IFERROR(__xludf.DUMMYFUNCTION("REGEXEXTRACT(C31, """"""([^""""]+)"""""")"),"#N/A")</f>
        <v>#N/A</v>
      </c>
      <c r="F31" s="25"/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</sheetData>
  <autoFilter ref="$A$1:$F$86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7.38"/>
    <col customWidth="1" min="3" max="3" width="58.38"/>
    <col customWidth="1" min="4" max="4" width="23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9" t="s">
        <v>232</v>
      </c>
      <c r="B2" s="4" t="s">
        <v>7</v>
      </c>
      <c r="C2" s="5" t="s">
        <v>233</v>
      </c>
      <c r="D2" s="6" t="s">
        <v>234</v>
      </c>
      <c r="E2" s="7" t="str">
        <f>IFERROR(__xludf.DUMMYFUNCTION("REGEXEXTRACT(C2, """"""([^""""]+)"""""")"),"Items.AdvancedStaminaRegenBoosterCommon")</f>
        <v>Items.AdvancedStaminaRegenBoosterCommon</v>
      </c>
      <c r="F2" s="28" t="s">
        <v>10</v>
      </c>
    </row>
    <row r="3">
      <c r="A3" s="40" t="s">
        <v>232</v>
      </c>
      <c r="B3" s="10" t="s">
        <v>7</v>
      </c>
      <c r="C3" s="11" t="s">
        <v>235</v>
      </c>
      <c r="D3" s="12" t="s">
        <v>236</v>
      </c>
      <c r="E3" s="7" t="str">
        <f>IFERROR(__xludf.DUMMYFUNCTION("REGEXEXTRACT(C3, """"""([^""""]+)"""""")"),"Items.AdvancedViralVenomCommon")</f>
        <v>Items.AdvancedViralVenomCommon</v>
      </c>
      <c r="F3" s="31" t="s">
        <v>10</v>
      </c>
    </row>
    <row r="4">
      <c r="A4" s="40" t="s">
        <v>232</v>
      </c>
      <c r="B4" s="10" t="s">
        <v>7</v>
      </c>
      <c r="C4" s="11" t="s">
        <v>237</v>
      </c>
      <c r="D4" s="12" t="s">
        <v>238</v>
      </c>
      <c r="E4" s="7" t="str">
        <f>IFERROR(__xludf.DUMMYFUNCTION("REGEXEXTRACT(C4, """"""([^""""]+)"""""")"),"Items.AdvancedBloodPumpCommon")</f>
        <v>Items.AdvancedBloodPumpCommon</v>
      </c>
      <c r="F4" s="31" t="s">
        <v>10</v>
      </c>
    </row>
    <row r="5">
      <c r="A5" s="40" t="s">
        <v>232</v>
      </c>
      <c r="B5" s="10" t="s">
        <v>7</v>
      </c>
      <c r="C5" s="11" t="s">
        <v>239</v>
      </c>
      <c r="D5" s="12" t="s">
        <v>240</v>
      </c>
      <c r="E5" s="7" t="str">
        <f>IFERROR(__xludf.DUMMYFUNCTION("REGEXEXTRACT(C5, """"""([^""""]+)"""""")"),"Items.AdvancedShockAbsorberCommon")</f>
        <v>Items.AdvancedShockAbsorberCommon</v>
      </c>
      <c r="F5" s="31" t="s">
        <v>10</v>
      </c>
    </row>
    <row r="6">
      <c r="A6" s="40" t="s">
        <v>232</v>
      </c>
      <c r="B6" s="10" t="s">
        <v>7</v>
      </c>
      <c r="C6" s="11" t="s">
        <v>241</v>
      </c>
      <c r="D6" s="12" t="s">
        <v>242</v>
      </c>
      <c r="E6" s="7" t="str">
        <f>IFERROR(__xludf.DUMMYFUNCTION("REGEXEXTRACT(C6, """"""([^""""]+)"""""")"),"Items.AdvancedHealOnKillCommon")</f>
        <v>Items.AdvancedHealOnKillCommon</v>
      </c>
      <c r="F6" s="31" t="s">
        <v>10</v>
      </c>
    </row>
    <row r="7">
      <c r="A7" s="40" t="s">
        <v>232</v>
      </c>
      <c r="B7" s="10" t="s">
        <v>7</v>
      </c>
      <c r="C7" s="11" t="s">
        <v>243</v>
      </c>
      <c r="D7" s="12" t="s">
        <v>244</v>
      </c>
      <c r="E7" s="7" t="str">
        <f>IFERROR(__xludf.DUMMYFUNCTION("REGEXEXTRACT(C7, """"""([^""""]+)"""""")"),"Items.AdvancedCyberRotorsCommon")</f>
        <v>Items.AdvancedCyberRotorsCommon</v>
      </c>
      <c r="F7" s="31" t="s">
        <v>10</v>
      </c>
    </row>
    <row r="8">
      <c r="A8" s="40" t="s">
        <v>232</v>
      </c>
      <c r="B8" s="10" t="s">
        <v>7</v>
      </c>
      <c r="C8" s="11" t="s">
        <v>245</v>
      </c>
      <c r="D8" s="12" t="s">
        <v>246</v>
      </c>
      <c r="E8" s="7" t="str">
        <f>IFERROR(__xludf.DUMMYFUNCTION("REGEXEXTRACT(C8, """"""([^""""]+)"""""")"),"Items.AdvancedCatchMeIfYouCanCommon")</f>
        <v>Items.AdvancedCatchMeIfYouCanCommon</v>
      </c>
      <c r="F8" s="31" t="s">
        <v>10</v>
      </c>
    </row>
    <row r="9">
      <c r="A9" s="40" t="s">
        <v>232</v>
      </c>
      <c r="B9" s="10" t="s">
        <v>7</v>
      </c>
      <c r="C9" s="11" t="s">
        <v>247</v>
      </c>
      <c r="D9" s="14" t="s">
        <v>234</v>
      </c>
      <c r="E9" s="7" t="str">
        <f>IFERROR(__xludf.DUMMYFUNCTION("REGEXEXTRACT(C9, """"""([^""""]+)"""""")"),"Items.AdvancedStaminaRegenBoosterUncommon")</f>
        <v>Items.AdvancedStaminaRegenBoosterUncommon</v>
      </c>
      <c r="F9" s="32" t="s">
        <v>20</v>
      </c>
    </row>
    <row r="10">
      <c r="A10" s="40" t="s">
        <v>232</v>
      </c>
      <c r="B10" s="10" t="s">
        <v>7</v>
      </c>
      <c r="C10" s="11" t="s">
        <v>248</v>
      </c>
      <c r="D10" s="14" t="s">
        <v>236</v>
      </c>
      <c r="E10" s="7" t="str">
        <f>IFERROR(__xludf.DUMMYFUNCTION("REGEXEXTRACT(C10, """"""([^""""]+)"""""")"),"Items.AdvancedViralVenomUncommon")</f>
        <v>Items.AdvancedViralVenomUncommon</v>
      </c>
      <c r="F10" s="32" t="s">
        <v>20</v>
      </c>
    </row>
    <row r="11">
      <c r="A11" s="40" t="s">
        <v>232</v>
      </c>
      <c r="B11" s="10" t="s">
        <v>7</v>
      </c>
      <c r="C11" s="11" t="s">
        <v>249</v>
      </c>
      <c r="D11" s="14" t="s">
        <v>238</v>
      </c>
      <c r="E11" s="7" t="str">
        <f>IFERROR(__xludf.DUMMYFUNCTION("REGEXEXTRACT(C11, """"""([^""""]+)"""""")"),"Items.AdvancedBloodPumpUncommon")</f>
        <v>Items.AdvancedBloodPumpUncommon</v>
      </c>
      <c r="F11" s="32" t="s">
        <v>20</v>
      </c>
    </row>
    <row r="12">
      <c r="A12" s="40" t="s">
        <v>232</v>
      </c>
      <c r="B12" s="10" t="s">
        <v>7</v>
      </c>
      <c r="C12" s="11" t="s">
        <v>250</v>
      </c>
      <c r="D12" s="14" t="s">
        <v>240</v>
      </c>
      <c r="E12" s="7" t="str">
        <f>IFERROR(__xludf.DUMMYFUNCTION("REGEXEXTRACT(C12, """"""([^""""]+)"""""")"),"Items.AdvancedShockAbsorberUncommon")</f>
        <v>Items.AdvancedShockAbsorberUncommon</v>
      </c>
      <c r="F12" s="32" t="s">
        <v>20</v>
      </c>
    </row>
    <row r="13">
      <c r="A13" s="40" t="s">
        <v>232</v>
      </c>
      <c r="B13" s="10" t="s">
        <v>7</v>
      </c>
      <c r="C13" s="11" t="s">
        <v>251</v>
      </c>
      <c r="D13" s="14" t="s">
        <v>242</v>
      </c>
      <c r="E13" s="7" t="str">
        <f>IFERROR(__xludf.DUMMYFUNCTION("REGEXEXTRACT(C13, """"""([^""""]+)"""""")"),"Items.AdvancedHealOnKillUncommon")</f>
        <v>Items.AdvancedHealOnKillUncommon</v>
      </c>
      <c r="F13" s="32" t="s">
        <v>20</v>
      </c>
    </row>
    <row r="14">
      <c r="A14" s="40" t="s">
        <v>232</v>
      </c>
      <c r="B14" s="10" t="s">
        <v>7</v>
      </c>
      <c r="C14" s="11" t="s">
        <v>252</v>
      </c>
      <c r="D14" s="14" t="s">
        <v>244</v>
      </c>
      <c r="E14" s="7" t="str">
        <f>IFERROR(__xludf.DUMMYFUNCTION("REGEXEXTRACT(C14, """"""([^""""]+)"""""")"),"Items.AdvancedCyberRotorsUncommon")</f>
        <v>Items.AdvancedCyberRotorsUncommon</v>
      </c>
      <c r="F14" s="32" t="s">
        <v>20</v>
      </c>
    </row>
    <row r="15">
      <c r="A15" s="40" t="s">
        <v>232</v>
      </c>
      <c r="B15" s="10" t="s">
        <v>7</v>
      </c>
      <c r="C15" s="11" t="s">
        <v>253</v>
      </c>
      <c r="D15" s="14" t="s">
        <v>246</v>
      </c>
      <c r="E15" s="7" t="str">
        <f>IFERROR(__xludf.DUMMYFUNCTION("REGEXEXTRACT(C15, """"""([^""""]+)"""""")"),"Items.AdvancedCatchMeIfYouCanUncommon")</f>
        <v>Items.AdvancedCatchMeIfYouCanUncommon</v>
      </c>
      <c r="F15" s="32" t="s">
        <v>20</v>
      </c>
    </row>
    <row r="16">
      <c r="A16" s="40" t="s">
        <v>232</v>
      </c>
      <c r="B16" s="10" t="s">
        <v>7</v>
      </c>
      <c r="C16" s="11" t="s">
        <v>254</v>
      </c>
      <c r="D16" s="18" t="s">
        <v>234</v>
      </c>
      <c r="E16" s="7" t="str">
        <f>IFERROR(__xludf.DUMMYFUNCTION("REGEXEXTRACT(C16, """"""([^""""]+)"""""")"),"Items.AdvancedStaminaRegenBoosterRare")</f>
        <v>Items.AdvancedStaminaRegenBoosterRare</v>
      </c>
      <c r="F16" s="33" t="s">
        <v>37</v>
      </c>
    </row>
    <row r="17">
      <c r="A17" s="40" t="s">
        <v>232</v>
      </c>
      <c r="B17" s="10" t="s">
        <v>7</v>
      </c>
      <c r="C17" s="11" t="s">
        <v>255</v>
      </c>
      <c r="D17" s="18" t="s">
        <v>236</v>
      </c>
      <c r="E17" s="7" t="str">
        <f>IFERROR(__xludf.DUMMYFUNCTION("REGEXEXTRACT(C17, """"""([^""""]+)"""""")"),"Items.AdvancedViralVenomRare")</f>
        <v>Items.AdvancedViralVenomRare</v>
      </c>
      <c r="F17" s="33" t="s">
        <v>37</v>
      </c>
    </row>
    <row r="18">
      <c r="A18" s="40" t="s">
        <v>232</v>
      </c>
      <c r="B18" s="10" t="s">
        <v>7</v>
      </c>
      <c r="C18" s="11" t="s">
        <v>256</v>
      </c>
      <c r="D18" s="18" t="s">
        <v>238</v>
      </c>
      <c r="E18" s="7" t="str">
        <f>IFERROR(__xludf.DUMMYFUNCTION("REGEXEXTRACT(C18, """"""([^""""]+)"""""")"),"Items.AdvancedBloodPumpRare")</f>
        <v>Items.AdvancedBloodPumpRare</v>
      </c>
      <c r="F18" s="33" t="s">
        <v>37</v>
      </c>
    </row>
    <row r="19">
      <c r="A19" s="40" t="s">
        <v>232</v>
      </c>
      <c r="B19" s="10" t="s">
        <v>7</v>
      </c>
      <c r="C19" s="11" t="s">
        <v>257</v>
      </c>
      <c r="D19" s="18" t="s">
        <v>240</v>
      </c>
      <c r="E19" s="7" t="str">
        <f>IFERROR(__xludf.DUMMYFUNCTION("REGEXEXTRACT(C19, """"""([^""""]+)"""""")"),"Items.AdvancedShockAbsorberRare")</f>
        <v>Items.AdvancedShockAbsorberRare</v>
      </c>
      <c r="F19" s="33" t="s">
        <v>37</v>
      </c>
    </row>
    <row r="20">
      <c r="A20" s="40" t="s">
        <v>232</v>
      </c>
      <c r="B20" s="10" t="s">
        <v>7</v>
      </c>
      <c r="C20" s="11" t="s">
        <v>258</v>
      </c>
      <c r="D20" s="18" t="s">
        <v>259</v>
      </c>
      <c r="E20" s="7" t="str">
        <f>IFERROR(__xludf.DUMMYFUNCTION("REGEXEXTRACT(C20, """"""([^""""]+)"""""")"),"Items.AdvancedDischargeConnectorRare")</f>
        <v>Items.AdvancedDischargeConnectorRare</v>
      </c>
      <c r="F20" s="33" t="s">
        <v>37</v>
      </c>
    </row>
    <row r="21">
      <c r="A21" s="40" t="s">
        <v>232</v>
      </c>
      <c r="B21" s="10" t="s">
        <v>7</v>
      </c>
      <c r="C21" s="11" t="s">
        <v>260</v>
      </c>
      <c r="D21" s="18" t="s">
        <v>242</v>
      </c>
      <c r="E21" s="7" t="str">
        <f>IFERROR(__xludf.DUMMYFUNCTION("REGEXEXTRACT(C21, """"""([^""""]+)"""""")"),"Items.AdvancedHealOnKillRare")</f>
        <v>Items.AdvancedHealOnKillRare</v>
      </c>
      <c r="F21" s="33" t="s">
        <v>37</v>
      </c>
    </row>
    <row r="22">
      <c r="A22" s="40" t="s">
        <v>232</v>
      </c>
      <c r="B22" s="10" t="s">
        <v>7</v>
      </c>
      <c r="C22" s="11" t="s">
        <v>261</v>
      </c>
      <c r="D22" s="18" t="s">
        <v>244</v>
      </c>
      <c r="E22" s="7" t="str">
        <f>IFERROR(__xludf.DUMMYFUNCTION("REGEXEXTRACT(C22, """"""([^""""]+)"""""")"),"Items.AdvancedCyberRotorsRare")</f>
        <v>Items.AdvancedCyberRotorsRare</v>
      </c>
      <c r="F22" s="33" t="s">
        <v>37</v>
      </c>
    </row>
    <row r="23">
      <c r="A23" s="40" t="s">
        <v>232</v>
      </c>
      <c r="B23" s="10" t="s">
        <v>7</v>
      </c>
      <c r="C23" s="11" t="s">
        <v>262</v>
      </c>
      <c r="D23" s="18" t="s">
        <v>246</v>
      </c>
      <c r="E23" s="7" t="str">
        <f>IFERROR(__xludf.DUMMYFUNCTION("REGEXEXTRACT(C23, """"""([^""""]+)"""""")"),"Items.AdvancedCatchMeIfYouCanRare")</f>
        <v>Items.AdvancedCatchMeIfYouCanRare</v>
      </c>
      <c r="F23" s="33" t="s">
        <v>37</v>
      </c>
    </row>
    <row r="24">
      <c r="A24" s="40" t="s">
        <v>232</v>
      </c>
      <c r="B24" s="10" t="s">
        <v>7</v>
      </c>
      <c r="C24" s="11" t="s">
        <v>263</v>
      </c>
      <c r="D24" s="20" t="s">
        <v>234</v>
      </c>
      <c r="E24" s="7" t="str">
        <f>IFERROR(__xludf.DUMMYFUNCTION("REGEXEXTRACT(C24, """"""([^""""]+)"""""")"),"Items.AdvancedStaminaRegenBoosterEpic")</f>
        <v>Items.AdvancedStaminaRegenBoosterEpic</v>
      </c>
      <c r="F24" s="34" t="s">
        <v>53</v>
      </c>
    </row>
    <row r="25">
      <c r="A25" s="40" t="s">
        <v>232</v>
      </c>
      <c r="B25" s="10" t="s">
        <v>7</v>
      </c>
      <c r="C25" s="11" t="s">
        <v>264</v>
      </c>
      <c r="D25" s="20" t="s">
        <v>236</v>
      </c>
      <c r="E25" s="7" t="str">
        <f>IFERROR(__xludf.DUMMYFUNCTION("REGEXEXTRACT(C25, """"""([^""""]+)"""""")"),"Items.AdvancedViralVenomEpic")</f>
        <v>Items.AdvancedViralVenomEpic</v>
      </c>
      <c r="F25" s="34" t="s">
        <v>53</v>
      </c>
    </row>
    <row r="26">
      <c r="A26" s="40" t="s">
        <v>232</v>
      </c>
      <c r="B26" s="10" t="s">
        <v>7</v>
      </c>
      <c r="C26" s="11" t="s">
        <v>265</v>
      </c>
      <c r="D26" s="20" t="s">
        <v>238</v>
      </c>
      <c r="E26" s="7" t="str">
        <f>IFERROR(__xludf.DUMMYFUNCTION("REGEXEXTRACT(C26, """"""([^""""]+)"""""")"),"Items.AdvancedBloodPumpEpic")</f>
        <v>Items.AdvancedBloodPumpEpic</v>
      </c>
      <c r="F26" s="34" t="s">
        <v>53</v>
      </c>
    </row>
    <row r="27">
      <c r="A27" s="40" t="s">
        <v>232</v>
      </c>
      <c r="B27" s="10" t="s">
        <v>7</v>
      </c>
      <c r="C27" s="11" t="s">
        <v>266</v>
      </c>
      <c r="D27" s="20" t="s">
        <v>240</v>
      </c>
      <c r="E27" s="7" t="str">
        <f>IFERROR(__xludf.DUMMYFUNCTION("REGEXEXTRACT(C27, """"""([^""""]+)"""""")"),"Items.AdvancedShockAbsorberEpic")</f>
        <v>Items.AdvancedShockAbsorberEpic</v>
      </c>
      <c r="F27" s="34" t="s">
        <v>53</v>
      </c>
    </row>
    <row r="28">
      <c r="A28" s="40" t="s">
        <v>232</v>
      </c>
      <c r="B28" s="10" t="s">
        <v>7</v>
      </c>
      <c r="C28" s="11" t="s">
        <v>267</v>
      </c>
      <c r="D28" s="20" t="s">
        <v>259</v>
      </c>
      <c r="E28" s="7" t="str">
        <f>IFERROR(__xludf.DUMMYFUNCTION("REGEXEXTRACT(C28, """"""([^""""]+)"""""")"),"Items.AdvancedDischargeConnectorEpic")</f>
        <v>Items.AdvancedDischargeConnectorEpic</v>
      </c>
      <c r="F28" s="34" t="s">
        <v>53</v>
      </c>
    </row>
    <row r="29">
      <c r="A29" s="40" t="s">
        <v>232</v>
      </c>
      <c r="B29" s="10" t="s">
        <v>7</v>
      </c>
      <c r="C29" s="11" t="s">
        <v>268</v>
      </c>
      <c r="D29" s="20" t="s">
        <v>242</v>
      </c>
      <c r="E29" s="7" t="str">
        <f>IFERROR(__xludf.DUMMYFUNCTION("REGEXEXTRACT(C29, """"""([^""""]+)"""""")"),"Items.AdvancedHealOnKillEpic")</f>
        <v>Items.AdvancedHealOnKillEpic</v>
      </c>
      <c r="F29" s="34" t="s">
        <v>53</v>
      </c>
    </row>
    <row r="30">
      <c r="A30" s="40" t="s">
        <v>232</v>
      </c>
      <c r="B30" s="10" t="s">
        <v>7</v>
      </c>
      <c r="C30" s="11" t="s">
        <v>269</v>
      </c>
      <c r="D30" s="20" t="s">
        <v>244</v>
      </c>
      <c r="E30" s="7" t="str">
        <f>IFERROR(__xludf.DUMMYFUNCTION("REGEXEXTRACT(C30, """"""([^""""]+)"""""")"),"Items.AdvancedCyberRotorsEpic")</f>
        <v>Items.AdvancedCyberRotorsEpic</v>
      </c>
      <c r="F30" s="34" t="s">
        <v>53</v>
      </c>
    </row>
    <row r="31">
      <c r="A31" s="40" t="s">
        <v>232</v>
      </c>
      <c r="B31" s="10" t="s">
        <v>7</v>
      </c>
      <c r="C31" s="11" t="s">
        <v>270</v>
      </c>
      <c r="D31" s="20" t="s">
        <v>271</v>
      </c>
      <c r="E31" s="7" t="str">
        <f>IFERROR(__xludf.DUMMYFUNCTION("REGEXEXTRACT(C31, """"""([^""""]+)"""""")"),"Items.AdvancedSecondHeartEpic")</f>
        <v>Items.AdvancedSecondHeartEpic</v>
      </c>
      <c r="F31" s="34" t="s">
        <v>53</v>
      </c>
    </row>
    <row r="32">
      <c r="A32" s="40" t="s">
        <v>232</v>
      </c>
      <c r="B32" s="10" t="s">
        <v>7</v>
      </c>
      <c r="C32" s="11" t="s">
        <v>272</v>
      </c>
      <c r="D32" s="20" t="s">
        <v>246</v>
      </c>
      <c r="E32" s="7" t="str">
        <f>IFERROR(__xludf.DUMMYFUNCTION("REGEXEXTRACT(C32, """"""([^""""]+)"""""")"),"Items.AdvancedCatchMeIfYouCanEpic")</f>
        <v>Items.AdvancedCatchMeIfYouCanEpic</v>
      </c>
      <c r="F32" s="34" t="s">
        <v>53</v>
      </c>
    </row>
    <row r="33">
      <c r="A33" s="40" t="s">
        <v>232</v>
      </c>
      <c r="B33" s="10" t="s">
        <v>7</v>
      </c>
      <c r="C33" s="11" t="s">
        <v>273</v>
      </c>
      <c r="D33" s="21" t="s">
        <v>234</v>
      </c>
      <c r="E33" s="7" t="str">
        <f>IFERROR(__xludf.DUMMYFUNCTION("REGEXEXTRACT(C33, """"""([^""""]+)"""""")"),"Items.AdvancedStaminaRegenBoosterLegendary")</f>
        <v>Items.AdvancedStaminaRegenBoosterLegendary</v>
      </c>
      <c r="F33" s="35" t="s">
        <v>75</v>
      </c>
    </row>
    <row r="34">
      <c r="A34" s="40" t="s">
        <v>232</v>
      </c>
      <c r="B34" s="10" t="s">
        <v>7</v>
      </c>
      <c r="C34" s="11" t="s">
        <v>274</v>
      </c>
      <c r="D34" s="21" t="s">
        <v>236</v>
      </c>
      <c r="E34" s="7" t="str">
        <f>IFERROR(__xludf.DUMMYFUNCTION("REGEXEXTRACT(C34, """"""([^""""]+)"""""")"),"Items.AdvancedViralVenomLegendary")</f>
        <v>Items.AdvancedViralVenomLegendary</v>
      </c>
      <c r="F34" s="35" t="s">
        <v>75</v>
      </c>
    </row>
    <row r="35">
      <c r="A35" s="40" t="s">
        <v>232</v>
      </c>
      <c r="B35" s="10" t="s">
        <v>7</v>
      </c>
      <c r="C35" s="11" t="s">
        <v>275</v>
      </c>
      <c r="D35" s="21" t="s">
        <v>238</v>
      </c>
      <c r="E35" s="7" t="str">
        <f>IFERROR(__xludf.DUMMYFUNCTION("REGEXEXTRACT(C35, """"""([^""""]+)"""""")"),"Items.AdvancedBloodPumpLegendary")</f>
        <v>Items.AdvancedBloodPumpLegendary</v>
      </c>
      <c r="F35" s="35" t="s">
        <v>75</v>
      </c>
    </row>
    <row r="36">
      <c r="A36" s="40" t="s">
        <v>232</v>
      </c>
      <c r="B36" s="10" t="s">
        <v>7</v>
      </c>
      <c r="C36" s="11" t="s">
        <v>276</v>
      </c>
      <c r="D36" s="21" t="s">
        <v>240</v>
      </c>
      <c r="E36" s="7" t="str">
        <f>IFERROR(__xludf.DUMMYFUNCTION("REGEXEXTRACT(C36, """"""([^""""]+)"""""")"),"Items.AdvancedShockAbsorberLegendary")</f>
        <v>Items.AdvancedShockAbsorberLegendary</v>
      </c>
      <c r="F36" s="35" t="s">
        <v>75</v>
      </c>
    </row>
    <row r="37">
      <c r="A37" s="40" t="s">
        <v>232</v>
      </c>
      <c r="B37" s="10" t="s">
        <v>7</v>
      </c>
      <c r="C37" s="11" t="s">
        <v>277</v>
      </c>
      <c r="D37" s="21" t="s">
        <v>259</v>
      </c>
      <c r="E37" s="7" t="str">
        <f>IFERROR(__xludf.DUMMYFUNCTION("REGEXEXTRACT(C37, """"""([^""""]+)"""""")"),"Items.AdvancedDischargeConnectorLegendary")</f>
        <v>Items.AdvancedDischargeConnectorLegendary</v>
      </c>
      <c r="F37" s="35" t="s">
        <v>75</v>
      </c>
    </row>
    <row r="38">
      <c r="A38" s="40" t="s">
        <v>232</v>
      </c>
      <c r="B38" s="10" t="s">
        <v>7</v>
      </c>
      <c r="C38" s="11" t="s">
        <v>278</v>
      </c>
      <c r="D38" s="21" t="s">
        <v>242</v>
      </c>
      <c r="E38" s="7" t="str">
        <f>IFERROR(__xludf.DUMMYFUNCTION("REGEXEXTRACT(C38, """"""([^""""]+)"""""")"),"Items.AdvancedHealOnKillLegendary")</f>
        <v>Items.AdvancedHealOnKillLegendary</v>
      </c>
      <c r="F38" s="35" t="s">
        <v>75</v>
      </c>
    </row>
    <row r="39">
      <c r="A39" s="40" t="s">
        <v>232</v>
      </c>
      <c r="B39" s="10" t="s">
        <v>7</v>
      </c>
      <c r="C39" s="11" t="s">
        <v>279</v>
      </c>
      <c r="D39" s="21" t="s">
        <v>244</v>
      </c>
      <c r="E39" s="7" t="str">
        <f>IFERROR(__xludf.DUMMYFUNCTION("REGEXEXTRACT(C39, """"""([^""""]+)"""""")"),"Items.AdvancedCyberRotorsLegendary")</f>
        <v>Items.AdvancedCyberRotorsLegendary</v>
      </c>
      <c r="F39" s="35" t="s">
        <v>75</v>
      </c>
    </row>
    <row r="40">
      <c r="A40" s="40" t="s">
        <v>232</v>
      </c>
      <c r="B40" s="10" t="s">
        <v>7</v>
      </c>
      <c r="C40" s="11" t="s">
        <v>280</v>
      </c>
      <c r="D40" s="21" t="s">
        <v>271</v>
      </c>
      <c r="E40" s="7" t="str">
        <f>IFERROR(__xludf.DUMMYFUNCTION("REGEXEXTRACT(C40, """"""([^""""]+)"""""")"),"Items.AdvancedSecondHeartLegendary")</f>
        <v>Items.AdvancedSecondHeartLegendary</v>
      </c>
      <c r="F40" s="35" t="s">
        <v>75</v>
      </c>
    </row>
    <row r="41">
      <c r="A41" s="40" t="s">
        <v>232</v>
      </c>
      <c r="B41" s="10" t="s">
        <v>7</v>
      </c>
      <c r="C41" s="11" t="s">
        <v>281</v>
      </c>
      <c r="D41" s="21" t="s">
        <v>246</v>
      </c>
      <c r="E41" s="7" t="str">
        <f>IFERROR(__xludf.DUMMYFUNCTION("REGEXEXTRACT(C41, """"""([^""""]+)"""""")"),"Items.AdvancedCatchMeIfYouCanLegendary")</f>
        <v>Items.AdvancedCatchMeIfYouCanLegendary</v>
      </c>
      <c r="F41" s="35" t="s">
        <v>75</v>
      </c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</sheetData>
  <autoFilter ref="$A$1:$F$88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6.13"/>
    <col customWidth="1" min="4" max="4" width="30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1" t="s">
        <v>282</v>
      </c>
      <c r="B2" s="4" t="s">
        <v>7</v>
      </c>
      <c r="C2" s="5" t="s">
        <v>283</v>
      </c>
      <c r="D2" s="6" t="s">
        <v>284</v>
      </c>
      <c r="E2" s="7" t="str">
        <f>IFERROR(__xludf.DUMMYFUNCTION("REGEXEXTRACT(C2, """"""([^""""]+)"""""")"),"Items.AdvancedJenkinsTendonsCommon")</f>
        <v>Items.AdvancedJenkinsTendonsCommon</v>
      </c>
      <c r="F2" s="28" t="s">
        <v>10</v>
      </c>
    </row>
    <row r="3">
      <c r="A3" s="15" t="s">
        <v>282</v>
      </c>
      <c r="B3" s="10" t="s">
        <v>7</v>
      </c>
      <c r="C3" s="11" t="s">
        <v>285</v>
      </c>
      <c r="D3" s="14" t="s">
        <v>286</v>
      </c>
      <c r="E3" s="7" t="str">
        <f>IFERROR(__xludf.DUMMYFUNCTION("REGEXEXTRACT(C3, """"""([^""""]+)"""""")"),"Items.AdvancedReinforcedMusclesUncommon")</f>
        <v>Items.AdvancedReinforcedMusclesUncommon</v>
      </c>
      <c r="F3" s="32" t="s">
        <v>20</v>
      </c>
    </row>
    <row r="4">
      <c r="A4" s="15" t="s">
        <v>282</v>
      </c>
      <c r="B4" s="10" t="s">
        <v>7</v>
      </c>
      <c r="C4" s="11" t="s">
        <v>287</v>
      </c>
      <c r="D4" s="14" t="s">
        <v>284</v>
      </c>
      <c r="E4" s="7" t="str">
        <f>IFERROR(__xludf.DUMMYFUNCTION("REGEXEXTRACT(C4, """"""([^""""]+)"""""")"),"Items.AdvancedJenkinsTendonsUncommon")</f>
        <v>Items.AdvancedJenkinsTendonsUncommon</v>
      </c>
      <c r="F4" s="32" t="s">
        <v>20</v>
      </c>
    </row>
    <row r="5">
      <c r="A5" s="15" t="s">
        <v>282</v>
      </c>
      <c r="B5" s="10" t="s">
        <v>7</v>
      </c>
      <c r="C5" s="11" t="s">
        <v>288</v>
      </c>
      <c r="D5" s="14" t="s">
        <v>289</v>
      </c>
      <c r="E5" s="7" t="str">
        <f>IFERROR(__xludf.DUMMYFUNCTION("REGEXEXTRACT(C5, """"""([^""""]+)"""""")"),"Items.AdvancedCatPawsUncommon")</f>
        <v>Items.AdvancedCatPawsUncommon</v>
      </c>
      <c r="F5" s="32" t="s">
        <v>20</v>
      </c>
    </row>
    <row r="6">
      <c r="A6" s="15" t="s">
        <v>282</v>
      </c>
      <c r="B6" s="10" t="s">
        <v>7</v>
      </c>
      <c r="C6" s="11" t="s">
        <v>290</v>
      </c>
      <c r="D6" s="14" t="s">
        <v>291</v>
      </c>
      <c r="E6" s="7" t="str">
        <f>IFERROR(__xludf.DUMMYFUNCTION("REGEXEXTRACT(C6, """"""([^""""]+)"""""")"),"Items.AdvancedBoostedTendonsUncommon")</f>
        <v>Items.AdvancedBoostedTendonsUncommon</v>
      </c>
      <c r="F6" s="32" t="s">
        <v>20</v>
      </c>
    </row>
    <row r="7">
      <c r="A7" s="15" t="s">
        <v>282</v>
      </c>
      <c r="B7" s="10" t="s">
        <v>7</v>
      </c>
      <c r="C7" s="11" t="s">
        <v>292</v>
      </c>
      <c r="D7" s="18" t="s">
        <v>286</v>
      </c>
      <c r="E7" s="7" t="str">
        <f>IFERROR(__xludf.DUMMYFUNCTION("REGEXEXTRACT(C7, """"""([^""""]+)"""""")"),"Items.AdvancedReinforcedMusclesRare")</f>
        <v>Items.AdvancedReinforcedMusclesRare</v>
      </c>
      <c r="F7" s="33" t="s">
        <v>37</v>
      </c>
    </row>
    <row r="8">
      <c r="A8" s="15" t="s">
        <v>282</v>
      </c>
      <c r="B8" s="10" t="s">
        <v>7</v>
      </c>
      <c r="C8" s="11" t="s">
        <v>293</v>
      </c>
      <c r="D8" s="18" t="s">
        <v>284</v>
      </c>
      <c r="E8" s="7" t="str">
        <f>IFERROR(__xludf.DUMMYFUNCTION("REGEXEXTRACT(C8, """"""([^""""]+)"""""")"),"Items.AdvancedJenkinsTendonsRare")</f>
        <v>Items.AdvancedJenkinsTendonsRare</v>
      </c>
      <c r="F8" s="33" t="s">
        <v>37</v>
      </c>
    </row>
    <row r="9">
      <c r="A9" s="15" t="s">
        <v>282</v>
      </c>
      <c r="B9" s="10" t="s">
        <v>7</v>
      </c>
      <c r="C9" s="11" t="s">
        <v>294</v>
      </c>
      <c r="D9" s="18" t="s">
        <v>289</v>
      </c>
      <c r="E9" s="7" t="str">
        <f>IFERROR(__xludf.DUMMYFUNCTION("REGEXEXTRACT(C9, """"""([^""""]+)"""""")"),"Items.AdvancedCatPawsRare")</f>
        <v>Items.AdvancedCatPawsRare</v>
      </c>
      <c r="F9" s="33" t="s">
        <v>37</v>
      </c>
    </row>
    <row r="10">
      <c r="A10" s="15" t="s">
        <v>282</v>
      </c>
      <c r="B10" s="10" t="s">
        <v>7</v>
      </c>
      <c r="C10" s="11" t="s">
        <v>295</v>
      </c>
      <c r="D10" s="18" t="s">
        <v>291</v>
      </c>
      <c r="E10" s="7" t="str">
        <f>IFERROR(__xludf.DUMMYFUNCTION("REGEXEXTRACT(C10, """"""([^""""]+)"""""")"),"Items.AdvancedBoostedTendonsRare")</f>
        <v>Items.AdvancedBoostedTendonsRare</v>
      </c>
      <c r="F10" s="33" t="s">
        <v>37</v>
      </c>
    </row>
    <row r="11">
      <c r="A11" s="15" t="s">
        <v>282</v>
      </c>
      <c r="B11" s="10" t="s">
        <v>7</v>
      </c>
      <c r="C11" s="11" t="s">
        <v>296</v>
      </c>
      <c r="D11" s="20" t="s">
        <v>286</v>
      </c>
      <c r="E11" s="7" t="str">
        <f>IFERROR(__xludf.DUMMYFUNCTION("REGEXEXTRACT(C11, """"""([^""""]+)"""""")"),"Items.AdvancedReinforcedMusclesEpic")</f>
        <v>Items.AdvancedReinforcedMusclesEpic</v>
      </c>
      <c r="F11" s="34" t="s">
        <v>53</v>
      </c>
    </row>
    <row r="12">
      <c r="A12" s="15" t="s">
        <v>282</v>
      </c>
      <c r="B12" s="10" t="s">
        <v>7</v>
      </c>
      <c r="C12" s="11" t="s">
        <v>297</v>
      </c>
      <c r="D12" s="20" t="s">
        <v>284</v>
      </c>
      <c r="E12" s="7" t="str">
        <f>IFERROR(__xludf.DUMMYFUNCTION("REGEXEXTRACT(C12, """"""([^""""]+)"""""")"),"Items.AdvancedJenkinsTendonsEpic")</f>
        <v>Items.AdvancedJenkinsTendonsEpic</v>
      </c>
      <c r="F12" s="34" t="s">
        <v>53</v>
      </c>
    </row>
    <row r="13">
      <c r="A13" s="15" t="s">
        <v>282</v>
      </c>
      <c r="B13" s="10" t="s">
        <v>7</v>
      </c>
      <c r="C13" s="11" t="s">
        <v>298</v>
      </c>
      <c r="D13" s="20" t="s">
        <v>289</v>
      </c>
      <c r="E13" s="7" t="str">
        <f>IFERROR(__xludf.DUMMYFUNCTION("REGEXEXTRACT(C13, """"""([^""""]+)"""""")"),"Items.AdvancedCatPawsEpic")</f>
        <v>Items.AdvancedCatPawsEpic</v>
      </c>
      <c r="F13" s="34" t="s">
        <v>53</v>
      </c>
    </row>
    <row r="14">
      <c r="A14" s="15" t="s">
        <v>282</v>
      </c>
      <c r="B14" s="10" t="s">
        <v>7</v>
      </c>
      <c r="C14" s="11" t="s">
        <v>299</v>
      </c>
      <c r="D14" s="20" t="s">
        <v>291</v>
      </c>
      <c r="E14" s="7" t="str">
        <f>IFERROR(__xludf.DUMMYFUNCTION("REGEXEXTRACT(C14, """"""([^""""]+)"""""")"),"Items.AdvancedBoostedTendonsEpic")</f>
        <v>Items.AdvancedBoostedTendonsEpic</v>
      </c>
      <c r="F14" s="34" t="s">
        <v>53</v>
      </c>
    </row>
    <row r="15">
      <c r="A15" s="15" t="s">
        <v>282</v>
      </c>
      <c r="B15" s="10" t="s">
        <v>7</v>
      </c>
      <c r="C15" s="11" t="s">
        <v>300</v>
      </c>
      <c r="D15" s="21" t="s">
        <v>286</v>
      </c>
      <c r="E15" s="7" t="str">
        <f>IFERROR(__xludf.DUMMYFUNCTION("REGEXEXTRACT(C15, """"""([^""""]+)"""""")"),"Items.AdvancedReinforcedMusclesLegendary")</f>
        <v>Items.AdvancedReinforcedMusclesLegendary</v>
      </c>
      <c r="F15" s="35" t="s">
        <v>75</v>
      </c>
    </row>
    <row r="16">
      <c r="A16" s="15" t="s">
        <v>282</v>
      </c>
      <c r="B16" s="10" t="s">
        <v>7</v>
      </c>
      <c r="C16" s="11" t="s">
        <v>301</v>
      </c>
      <c r="D16" s="21" t="s">
        <v>284</v>
      </c>
      <c r="E16" s="7" t="str">
        <f>IFERROR(__xludf.DUMMYFUNCTION("REGEXEXTRACT(C16, """"""([^""""]+)"""""")"),"Items.AdvancedJenkinsTendonsLegendary")</f>
        <v>Items.AdvancedJenkinsTendonsLegendary</v>
      </c>
      <c r="F16" s="35" t="s">
        <v>75</v>
      </c>
    </row>
    <row r="17">
      <c r="A17" s="15" t="s">
        <v>282</v>
      </c>
      <c r="B17" s="10" t="s">
        <v>7</v>
      </c>
      <c r="C17" s="11" t="s">
        <v>302</v>
      </c>
      <c r="D17" s="21" t="s">
        <v>289</v>
      </c>
      <c r="E17" s="7" t="str">
        <f>IFERROR(__xludf.DUMMYFUNCTION("REGEXEXTRACT(C17, """"""([^""""]+)"""""")"),"Items.AdvancedCatPawsLegendary")</f>
        <v>Items.AdvancedCatPawsLegendary</v>
      </c>
      <c r="F17" s="35" t="s">
        <v>75</v>
      </c>
    </row>
    <row r="18">
      <c r="A18" s="15" t="s">
        <v>282</v>
      </c>
      <c r="B18" s="10" t="s">
        <v>7</v>
      </c>
      <c r="C18" s="11" t="s">
        <v>303</v>
      </c>
      <c r="D18" s="21" t="s">
        <v>291</v>
      </c>
      <c r="E18" s="7" t="str">
        <f>IFERROR(__xludf.DUMMYFUNCTION("REGEXEXTRACT(C18, """"""([^""""]+)"""""")"),"Items.AdvancedBoostedTendonsLegendary")</f>
        <v>Items.AdvancedBoostedTendonsLegendary</v>
      </c>
      <c r="F18" s="35" t="s">
        <v>75</v>
      </c>
    </row>
    <row r="19">
      <c r="A19" s="23"/>
      <c r="B19" s="23"/>
      <c r="C19" s="24"/>
      <c r="D19" s="23"/>
      <c r="E19" s="25" t="str">
        <f>IFERROR(__xludf.DUMMYFUNCTION("REGEXEXTRACT(C19, """"""([^""""]+)"""""")"),"#N/A")</f>
        <v>#N/A</v>
      </c>
      <c r="F19" s="25"/>
    </row>
    <row r="20">
      <c r="A20" s="23"/>
      <c r="B20" s="23"/>
      <c r="C20" s="24"/>
      <c r="D20" s="23"/>
      <c r="E20" s="25" t="str">
        <f>IFERROR(__xludf.DUMMYFUNCTION("REGEXEXTRACT(C20, """"""([^""""]+)"""""")"),"#N/A")</f>
        <v>#N/A</v>
      </c>
      <c r="F20" s="25"/>
    </row>
    <row r="21">
      <c r="A21" s="23"/>
      <c r="B21" s="23"/>
      <c r="C21" s="24"/>
      <c r="D21" s="23"/>
      <c r="E21" s="25" t="str">
        <f>IFERROR(__xludf.DUMMYFUNCTION("REGEXEXTRACT(C21, """"""([^""""]+)"""""")"),"#N/A")</f>
        <v>#N/A</v>
      </c>
      <c r="F21" s="25"/>
    </row>
    <row r="22">
      <c r="A22" s="23"/>
      <c r="B22" s="23"/>
      <c r="C22" s="24"/>
      <c r="D22" s="23"/>
      <c r="E22" s="25" t="str">
        <f>IFERROR(__xludf.DUMMYFUNCTION("REGEXEXTRACT(C22, """"""([^""""]+)"""""")"),"#N/A")</f>
        <v>#N/A</v>
      </c>
      <c r="F22" s="25"/>
    </row>
    <row r="23">
      <c r="A23" s="23"/>
      <c r="B23" s="23"/>
      <c r="C23" s="24"/>
      <c r="D23" s="23"/>
      <c r="E23" s="25" t="str">
        <f>IFERROR(__xludf.DUMMYFUNCTION("REGEXEXTRACT(C23, """"""([^""""]+)"""""")"),"#N/A")</f>
        <v>#N/A</v>
      </c>
      <c r="F23" s="25"/>
    </row>
    <row r="24">
      <c r="A24" s="23"/>
      <c r="B24" s="23"/>
      <c r="C24" s="24"/>
      <c r="D24" s="23"/>
      <c r="E24" s="25" t="str">
        <f>IFERROR(__xludf.DUMMYFUNCTION("REGEXEXTRACT(C24, """"""([^""""]+)"""""")"),"#N/A")</f>
        <v>#N/A</v>
      </c>
      <c r="F24" s="25"/>
    </row>
    <row r="25">
      <c r="A25" s="23"/>
      <c r="B25" s="23"/>
      <c r="C25" s="24"/>
      <c r="D25" s="23"/>
      <c r="E25" s="25" t="str">
        <f>IFERROR(__xludf.DUMMYFUNCTION("REGEXEXTRACT(C25, """"""([^""""]+)"""""")"),"#N/A")</f>
        <v>#N/A</v>
      </c>
      <c r="F25" s="25"/>
    </row>
    <row r="26">
      <c r="A26" s="23"/>
      <c r="B26" s="23"/>
      <c r="C26" s="24"/>
      <c r="D26" s="23"/>
      <c r="E26" s="25" t="str">
        <f>IFERROR(__xludf.DUMMYFUNCTION("REGEXEXTRACT(C26, """"""([^""""]+)"""""")"),"#N/A")</f>
        <v>#N/A</v>
      </c>
      <c r="F26" s="25"/>
    </row>
    <row r="27">
      <c r="A27" s="23"/>
      <c r="B27" s="23"/>
      <c r="C27" s="24"/>
      <c r="D27" s="23"/>
      <c r="E27" s="25" t="str">
        <f>IFERROR(__xludf.DUMMYFUNCTION("REGEXEXTRACT(C27, """"""([^""""]+)"""""")"),"#N/A")</f>
        <v>#N/A</v>
      </c>
      <c r="F27" s="25"/>
    </row>
    <row r="28">
      <c r="A28" s="23"/>
      <c r="B28" s="23"/>
      <c r="C28" s="24"/>
      <c r="D28" s="23"/>
      <c r="E28" s="25" t="str">
        <f>IFERROR(__xludf.DUMMYFUNCTION("REGEXEXTRACT(C28, """"""([^""""]+)"""""")"),"#N/A")</f>
        <v>#N/A</v>
      </c>
      <c r="F28" s="25"/>
    </row>
    <row r="29">
      <c r="A29" s="23"/>
      <c r="B29" s="23"/>
      <c r="C29" s="24"/>
      <c r="D29" s="23"/>
      <c r="E29" s="25" t="str">
        <f>IFERROR(__xludf.DUMMYFUNCTION("REGEXEXTRACT(C29, """"""([^""""]+)"""""")"),"#N/A")</f>
        <v>#N/A</v>
      </c>
      <c r="F29" s="25"/>
    </row>
    <row r="30">
      <c r="A30" s="23"/>
      <c r="B30" s="23"/>
      <c r="C30" s="24"/>
      <c r="D30" s="23"/>
      <c r="E30" s="25" t="str">
        <f>IFERROR(__xludf.DUMMYFUNCTION("REGEXEXTRACT(C30, """"""([^""""]+)"""""")"),"#N/A")</f>
        <v>#N/A</v>
      </c>
      <c r="F30" s="25"/>
    </row>
    <row r="31">
      <c r="A31" s="23"/>
      <c r="B31" s="23"/>
      <c r="C31" s="24"/>
      <c r="D31" s="23"/>
      <c r="E31" s="25" t="str">
        <f>IFERROR(__xludf.DUMMYFUNCTION("REGEXEXTRACT(C31, """"""([^""""]+)"""""")"),"#N/A")</f>
        <v>#N/A</v>
      </c>
      <c r="F31" s="25"/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  <c r="F901" s="25"/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  <c r="F902" s="25"/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  <c r="F903" s="25"/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  <c r="F904" s="25"/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  <c r="F905" s="25"/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  <c r="F906" s="25"/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  <c r="F907" s="25"/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  <c r="F908" s="25"/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  <c r="F909" s="25"/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  <c r="F910" s="25"/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  <c r="F911" s="25"/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  <c r="F912" s="25"/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  <c r="F913" s="25"/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  <c r="F914" s="25"/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  <c r="F915" s="25"/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  <c r="F916" s="25"/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  <c r="F917" s="25"/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  <c r="F918" s="25"/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  <c r="F919" s="25"/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  <c r="F920" s="25"/>
    </row>
  </sheetData>
  <autoFilter ref="$A$1:$F$92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7.38"/>
    <col customWidth="1" min="3" max="3" width="60.13"/>
    <col customWidth="1" min="4" max="4" width="24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2" t="s">
        <v>304</v>
      </c>
      <c r="B2" s="4" t="s">
        <v>7</v>
      </c>
      <c r="C2" s="5" t="s">
        <v>305</v>
      </c>
      <c r="D2" s="6" t="s">
        <v>306</v>
      </c>
      <c r="E2" s="7" t="str">
        <f>IFERROR(__xludf.DUMMYFUNCTION("REGEXEXTRACT(C2, """"""([^""""]+)"""""")"),"Items.AdvancedWeirdTankyPlatingCommon")</f>
        <v>Items.AdvancedWeirdTankyPlatingCommon</v>
      </c>
      <c r="F2" s="28" t="s">
        <v>10</v>
      </c>
    </row>
    <row r="3">
      <c r="A3" s="43" t="s">
        <v>304</v>
      </c>
      <c r="B3" s="10" t="s">
        <v>7</v>
      </c>
      <c r="C3" s="11" t="s">
        <v>307</v>
      </c>
      <c r="D3" s="12" t="s">
        <v>308</v>
      </c>
      <c r="E3" s="7" t="str">
        <f>IFERROR(__xludf.DUMMYFUNCTION("REGEXEXTRACT(C3, """"""([^""""]+)"""""")"),"Items.AdvancedAdaptiveStemCellsCommon")</f>
        <v>Items.AdvancedAdaptiveStemCellsCommon</v>
      </c>
      <c r="F3" s="31" t="s">
        <v>10</v>
      </c>
    </row>
    <row r="4">
      <c r="A4" s="43" t="s">
        <v>304</v>
      </c>
      <c r="B4" s="10" t="s">
        <v>7</v>
      </c>
      <c r="C4" s="11" t="s">
        <v>309</v>
      </c>
      <c r="D4" s="12" t="s">
        <v>310</v>
      </c>
      <c r="E4" s="7" t="str">
        <f>IFERROR(__xludf.DUMMYFUNCTION("REGEXEXTRACT(C4, """"""([^""""]+)"""""")"),"Items.AdvancedSuddenAidCommon")</f>
        <v>Items.AdvancedSuddenAidCommon</v>
      </c>
      <c r="F4" s="31" t="s">
        <v>10</v>
      </c>
    </row>
    <row r="5">
      <c r="A5" s="43" t="s">
        <v>304</v>
      </c>
      <c r="B5" s="10" t="s">
        <v>7</v>
      </c>
      <c r="C5" s="11" t="s">
        <v>311</v>
      </c>
      <c r="D5" s="12" t="s">
        <v>312</v>
      </c>
      <c r="E5" s="7" t="str">
        <f>IFERROR(__xludf.DUMMYFUNCTION("REGEXEXTRACT(C5, """"""([^""""]+)"""""")"),"Items.AdvancedPlatingGlitchCommon")</f>
        <v>Items.AdvancedPlatingGlitchCommon</v>
      </c>
      <c r="F5" s="31" t="s">
        <v>10</v>
      </c>
    </row>
    <row r="6">
      <c r="A6" s="43" t="s">
        <v>304</v>
      </c>
      <c r="B6" s="10" t="s">
        <v>7</v>
      </c>
      <c r="C6" s="11" t="s">
        <v>313</v>
      </c>
      <c r="D6" s="12" t="s">
        <v>314</v>
      </c>
      <c r="E6" s="7" t="str">
        <f>IFERROR(__xludf.DUMMYFUNCTION("REGEXEXTRACT(C6, """"""([^""""]+)"""""")"),"Items.AdvancedNanoTechPlatesCommon")</f>
        <v>Items.AdvancedNanoTechPlatesCommon</v>
      </c>
      <c r="F6" s="31" t="s">
        <v>10</v>
      </c>
    </row>
    <row r="7">
      <c r="A7" s="43" t="s">
        <v>304</v>
      </c>
      <c r="B7" s="10" t="s">
        <v>7</v>
      </c>
      <c r="C7" s="11" t="s">
        <v>315</v>
      </c>
      <c r="D7" s="12" t="s">
        <v>316</v>
      </c>
      <c r="E7" s="7" t="str">
        <f>IFERROR(__xludf.DUMMYFUNCTION("REGEXEXTRACT(C7, """"""([^""""]+)"""""")"),"Items.AdvancedOpticalCamoCommon")</f>
        <v>Items.AdvancedOpticalCamoCommon</v>
      </c>
      <c r="F7" s="31" t="s">
        <v>10</v>
      </c>
    </row>
    <row r="8">
      <c r="A8" s="43" t="s">
        <v>304</v>
      </c>
      <c r="B8" s="10" t="s">
        <v>7</v>
      </c>
      <c r="C8" s="11" t="s">
        <v>317</v>
      </c>
      <c r="D8" s="12" t="s">
        <v>318</v>
      </c>
      <c r="E8" s="7" t="str">
        <f>IFERROR(__xludf.DUMMYFUNCTION("REGEXEXTRACT(C8, """"""([^""""]+)"""""")"),"Items.AdvancedBloodDepleterCommon")</f>
        <v>Items.AdvancedBloodDepleterCommon</v>
      </c>
      <c r="F8" s="31" t="s">
        <v>10</v>
      </c>
    </row>
    <row r="9">
      <c r="A9" s="43" t="s">
        <v>304</v>
      </c>
      <c r="B9" s="10" t="s">
        <v>7</v>
      </c>
      <c r="C9" s="11" t="s">
        <v>319</v>
      </c>
      <c r="D9" s="12" t="s">
        <v>320</v>
      </c>
      <c r="E9" s="7" t="str">
        <f>IFERROR(__xludf.DUMMYFUNCTION("REGEXEXTRACT(C9, """"""([^""""]+)"""""")"),"Items.AdvancedProximityReducerCommon")</f>
        <v>Items.AdvancedProximityReducerCommon</v>
      </c>
      <c r="F9" s="31" t="s">
        <v>10</v>
      </c>
    </row>
    <row r="10">
      <c r="A10" s="43" t="s">
        <v>304</v>
      </c>
      <c r="B10" s="10" t="s">
        <v>7</v>
      </c>
      <c r="C10" s="11" t="s">
        <v>321</v>
      </c>
      <c r="D10" s="12" t="s">
        <v>322</v>
      </c>
      <c r="E10" s="7" t="str">
        <f>IFERROR(__xludf.DUMMYFUNCTION("REGEXEXTRACT(C10, """"""([^""""]+)"""""")"),"Items.AdvancedChargeSystemCommon")</f>
        <v>Items.AdvancedChargeSystemCommon</v>
      </c>
      <c r="F10" s="31" t="s">
        <v>10</v>
      </c>
    </row>
    <row r="11">
      <c r="A11" s="43" t="s">
        <v>304</v>
      </c>
      <c r="B11" s="10" t="s">
        <v>7</v>
      </c>
      <c r="C11" s="11" t="s">
        <v>323</v>
      </c>
      <c r="D11" s="12" t="s">
        <v>324</v>
      </c>
      <c r="E11" s="7" t="str">
        <f>IFERROR(__xludf.DUMMYFUNCTION("REGEXEXTRACT(C11, """"""([^""""]+)"""""")"),"Items.AdvancedElectroshockMechanismCommon")</f>
        <v>Items.AdvancedElectroshockMechanismCommon</v>
      </c>
      <c r="F11" s="31" t="s">
        <v>10</v>
      </c>
    </row>
    <row r="12">
      <c r="A12" s="43" t="s">
        <v>304</v>
      </c>
      <c r="B12" s="10" t="s">
        <v>7</v>
      </c>
      <c r="C12" s="11" t="s">
        <v>325</v>
      </c>
      <c r="D12" s="12" t="s">
        <v>326</v>
      </c>
      <c r="E12" s="7" t="str">
        <f>IFERROR(__xludf.DUMMYFUNCTION("REGEXEXTRACT(C12, """"""([^""""]+)"""""")"),"Items.AdvancedBoringPlatingCommon")</f>
        <v>Items.AdvancedBoringPlatingCommon</v>
      </c>
      <c r="F12" s="31" t="s">
        <v>10</v>
      </c>
    </row>
    <row r="13">
      <c r="A13" s="43" t="s">
        <v>304</v>
      </c>
      <c r="B13" s="10" t="s">
        <v>7</v>
      </c>
      <c r="C13" s="11" t="s">
        <v>327</v>
      </c>
      <c r="D13" s="14" t="s">
        <v>306</v>
      </c>
      <c r="E13" s="7" t="str">
        <f>IFERROR(__xludf.DUMMYFUNCTION("REGEXEXTRACT(C13, """"""([^""""]+)"""""")"),"Items.AdvancedWeirdTankyPlatingUncommon")</f>
        <v>Items.AdvancedWeirdTankyPlatingUncommon</v>
      </c>
      <c r="F13" s="32" t="s">
        <v>20</v>
      </c>
    </row>
    <row r="14">
      <c r="A14" s="43" t="s">
        <v>304</v>
      </c>
      <c r="B14" s="10" t="s">
        <v>7</v>
      </c>
      <c r="C14" s="11" t="s">
        <v>328</v>
      </c>
      <c r="D14" s="14" t="s">
        <v>308</v>
      </c>
      <c r="E14" s="7" t="str">
        <f>IFERROR(__xludf.DUMMYFUNCTION("REGEXEXTRACT(C14, """"""([^""""]+)"""""")"),"Items.AdvancedAdaptiveStemCellsUncommon")</f>
        <v>Items.AdvancedAdaptiveStemCellsUncommon</v>
      </c>
      <c r="F14" s="32" t="s">
        <v>20</v>
      </c>
    </row>
    <row r="15">
      <c r="A15" s="43" t="s">
        <v>304</v>
      </c>
      <c r="B15" s="10" t="s">
        <v>7</v>
      </c>
      <c r="C15" s="11" t="s">
        <v>329</v>
      </c>
      <c r="D15" s="14" t="s">
        <v>310</v>
      </c>
      <c r="E15" s="7" t="str">
        <f>IFERROR(__xludf.DUMMYFUNCTION("REGEXEXTRACT(C15, """"""([^""""]+)"""""")"),"Items.AdvancedSuddenAidUncommon")</f>
        <v>Items.AdvancedSuddenAidUncommon</v>
      </c>
      <c r="F15" s="32" t="s">
        <v>20</v>
      </c>
    </row>
    <row r="16">
      <c r="A16" s="43" t="s">
        <v>304</v>
      </c>
      <c r="B16" s="10" t="s">
        <v>7</v>
      </c>
      <c r="C16" s="11" t="s">
        <v>330</v>
      </c>
      <c r="D16" s="14" t="s">
        <v>312</v>
      </c>
      <c r="E16" s="7" t="str">
        <f>IFERROR(__xludf.DUMMYFUNCTION("REGEXEXTRACT(C16, """"""([^""""]+)"""""")"),"Items.AdvancedPlatingGlitchUncommon")</f>
        <v>Items.AdvancedPlatingGlitchUncommon</v>
      </c>
      <c r="F16" s="32" t="s">
        <v>20</v>
      </c>
    </row>
    <row r="17">
      <c r="A17" s="43" t="s">
        <v>304</v>
      </c>
      <c r="B17" s="10" t="s">
        <v>7</v>
      </c>
      <c r="C17" s="11" t="s">
        <v>331</v>
      </c>
      <c r="D17" s="14" t="s">
        <v>314</v>
      </c>
      <c r="E17" s="7" t="str">
        <f>IFERROR(__xludf.DUMMYFUNCTION("REGEXEXTRACT(C17, """"""([^""""]+)"""""")"),"Items.AdvancedNanoTechPlatesUncommon")</f>
        <v>Items.AdvancedNanoTechPlatesUncommon</v>
      </c>
      <c r="F17" s="32" t="s">
        <v>20</v>
      </c>
    </row>
    <row r="18">
      <c r="A18" s="43" t="s">
        <v>304</v>
      </c>
      <c r="B18" s="10" t="s">
        <v>7</v>
      </c>
      <c r="C18" s="11" t="s">
        <v>332</v>
      </c>
      <c r="D18" s="14" t="s">
        <v>316</v>
      </c>
      <c r="E18" s="7" t="str">
        <f>IFERROR(__xludf.DUMMYFUNCTION("REGEXEXTRACT(C18, """"""([^""""]+)"""""")"),"Items.AdvancedOpticalCamoUncommon")</f>
        <v>Items.AdvancedOpticalCamoUncommon</v>
      </c>
      <c r="F18" s="32" t="s">
        <v>20</v>
      </c>
    </row>
    <row r="19">
      <c r="A19" s="43" t="s">
        <v>304</v>
      </c>
      <c r="B19" s="10" t="s">
        <v>7</v>
      </c>
      <c r="C19" s="11" t="s">
        <v>333</v>
      </c>
      <c r="D19" s="14" t="s">
        <v>318</v>
      </c>
      <c r="E19" s="7" t="str">
        <f>IFERROR(__xludf.DUMMYFUNCTION("REGEXEXTRACT(C19, """"""([^""""]+)"""""")"),"Items.AdvancedBloodDepleterUncommon")</f>
        <v>Items.AdvancedBloodDepleterUncommon</v>
      </c>
      <c r="F19" s="32" t="s">
        <v>20</v>
      </c>
    </row>
    <row r="20">
      <c r="A20" s="43" t="s">
        <v>304</v>
      </c>
      <c r="B20" s="10" t="s">
        <v>7</v>
      </c>
      <c r="C20" s="11" t="s">
        <v>334</v>
      </c>
      <c r="D20" s="14" t="s">
        <v>320</v>
      </c>
      <c r="E20" s="7" t="str">
        <f>IFERROR(__xludf.DUMMYFUNCTION("REGEXEXTRACT(C20, """"""([^""""]+)"""""")"),"Items.AdvancedProximityReducerUncommon")</f>
        <v>Items.AdvancedProximityReducerUncommon</v>
      </c>
      <c r="F20" s="32" t="s">
        <v>20</v>
      </c>
    </row>
    <row r="21">
      <c r="A21" s="43" t="s">
        <v>304</v>
      </c>
      <c r="B21" s="10" t="s">
        <v>7</v>
      </c>
      <c r="C21" s="11" t="s">
        <v>335</v>
      </c>
      <c r="D21" s="14" t="s">
        <v>322</v>
      </c>
      <c r="E21" s="7" t="str">
        <f>IFERROR(__xludf.DUMMYFUNCTION("REGEXEXTRACT(C21, """"""([^""""]+)"""""")"),"Items.AdvancedChargeSystemUncommon")</f>
        <v>Items.AdvancedChargeSystemUncommon</v>
      </c>
      <c r="F21" s="32" t="s">
        <v>20</v>
      </c>
    </row>
    <row r="22">
      <c r="A22" s="43" t="s">
        <v>304</v>
      </c>
      <c r="B22" s="10" t="s">
        <v>7</v>
      </c>
      <c r="C22" s="11" t="s">
        <v>336</v>
      </c>
      <c r="D22" s="14" t="s">
        <v>324</v>
      </c>
      <c r="E22" s="7" t="str">
        <f>IFERROR(__xludf.DUMMYFUNCTION("REGEXEXTRACT(C22, """"""([^""""]+)"""""")"),"Items.AdvancedElectroshockMechanismUncommon")</f>
        <v>Items.AdvancedElectroshockMechanismUncommon</v>
      </c>
      <c r="F22" s="32" t="s">
        <v>20</v>
      </c>
    </row>
    <row r="23">
      <c r="A23" s="43" t="s">
        <v>304</v>
      </c>
      <c r="B23" s="10" t="s">
        <v>7</v>
      </c>
      <c r="C23" s="11" t="s">
        <v>337</v>
      </c>
      <c r="D23" s="14" t="s">
        <v>326</v>
      </c>
      <c r="E23" s="7" t="str">
        <f>IFERROR(__xludf.DUMMYFUNCTION("REGEXEXTRACT(C23, """"""([^""""]+)"""""")"),"Items.AdvancedBoringPlatingUncommon")</f>
        <v>Items.AdvancedBoringPlatingUncommon</v>
      </c>
      <c r="F23" s="32" t="s">
        <v>20</v>
      </c>
    </row>
    <row r="24">
      <c r="A24" s="43" t="s">
        <v>304</v>
      </c>
      <c r="B24" s="10" t="s">
        <v>7</v>
      </c>
      <c r="C24" s="11" t="s">
        <v>338</v>
      </c>
      <c r="D24" s="18" t="s">
        <v>306</v>
      </c>
      <c r="E24" s="7" t="str">
        <f>IFERROR(__xludf.DUMMYFUNCTION("REGEXEXTRACT(C24, """"""([^""""]+)"""""")"),"Items.AdvancedWeirdTankyPlatingRare")</f>
        <v>Items.AdvancedWeirdTankyPlatingRare</v>
      </c>
      <c r="F24" s="33" t="s">
        <v>37</v>
      </c>
    </row>
    <row r="25">
      <c r="A25" s="43" t="s">
        <v>304</v>
      </c>
      <c r="B25" s="10" t="s">
        <v>7</v>
      </c>
      <c r="C25" s="11" t="s">
        <v>339</v>
      </c>
      <c r="D25" s="18" t="s">
        <v>308</v>
      </c>
      <c r="E25" s="7" t="str">
        <f>IFERROR(__xludf.DUMMYFUNCTION("REGEXEXTRACT(C25, """"""([^""""]+)"""""")"),"Items.AdvancedAdaptiveStemCellsRare")</f>
        <v>Items.AdvancedAdaptiveStemCellsRare</v>
      </c>
      <c r="F25" s="33" t="s">
        <v>37</v>
      </c>
    </row>
    <row r="26">
      <c r="A26" s="43" t="s">
        <v>304</v>
      </c>
      <c r="B26" s="10" t="s">
        <v>7</v>
      </c>
      <c r="C26" s="11" t="s">
        <v>340</v>
      </c>
      <c r="D26" s="18" t="s">
        <v>310</v>
      </c>
      <c r="E26" s="7" t="str">
        <f>IFERROR(__xludf.DUMMYFUNCTION("REGEXEXTRACT(C26, """"""([^""""]+)"""""")"),"Items.AdvancedSuddenAidRare")</f>
        <v>Items.AdvancedSuddenAidRare</v>
      </c>
      <c r="F26" s="33" t="s">
        <v>37</v>
      </c>
    </row>
    <row r="27">
      <c r="A27" s="43" t="s">
        <v>304</v>
      </c>
      <c r="B27" s="10" t="s">
        <v>7</v>
      </c>
      <c r="C27" s="11" t="s">
        <v>341</v>
      </c>
      <c r="D27" s="18" t="s">
        <v>312</v>
      </c>
      <c r="E27" s="7" t="str">
        <f>IFERROR(__xludf.DUMMYFUNCTION("REGEXEXTRACT(C27, """"""([^""""]+)"""""")"),"Items.AdvancedPlatingGlitchRare")</f>
        <v>Items.AdvancedPlatingGlitchRare</v>
      </c>
      <c r="F27" s="33" t="s">
        <v>37</v>
      </c>
    </row>
    <row r="28">
      <c r="A28" s="43" t="s">
        <v>304</v>
      </c>
      <c r="B28" s="10" t="s">
        <v>7</v>
      </c>
      <c r="C28" s="11" t="s">
        <v>342</v>
      </c>
      <c r="D28" s="18" t="s">
        <v>314</v>
      </c>
      <c r="E28" s="7" t="str">
        <f>IFERROR(__xludf.DUMMYFUNCTION("REGEXEXTRACT(C28, """"""([^""""]+)"""""")"),"Items.AdvancedNanoTechPlatesRare")</f>
        <v>Items.AdvancedNanoTechPlatesRare</v>
      </c>
      <c r="F28" s="33" t="s">
        <v>37</v>
      </c>
    </row>
    <row r="29">
      <c r="A29" s="43" t="s">
        <v>304</v>
      </c>
      <c r="B29" s="10" t="s">
        <v>7</v>
      </c>
      <c r="C29" s="11" t="s">
        <v>343</v>
      </c>
      <c r="D29" s="18" t="s">
        <v>316</v>
      </c>
      <c r="E29" s="7" t="str">
        <f>IFERROR(__xludf.DUMMYFUNCTION("REGEXEXTRACT(C29, """"""([^""""]+)"""""")"),"Items.AdvancedOpticalCamoRare")</f>
        <v>Items.AdvancedOpticalCamoRare</v>
      </c>
      <c r="F29" s="33" t="s">
        <v>37</v>
      </c>
    </row>
    <row r="30">
      <c r="A30" s="43" t="s">
        <v>304</v>
      </c>
      <c r="B30" s="10" t="s">
        <v>7</v>
      </c>
      <c r="C30" s="11" t="s">
        <v>344</v>
      </c>
      <c r="D30" s="18" t="s">
        <v>318</v>
      </c>
      <c r="E30" s="7" t="str">
        <f>IFERROR(__xludf.DUMMYFUNCTION("REGEXEXTRACT(C30, """"""([^""""]+)"""""")"),"Items.AdvancedBloodDepleterRare")</f>
        <v>Items.AdvancedBloodDepleterRare</v>
      </c>
      <c r="F30" s="33" t="s">
        <v>37</v>
      </c>
    </row>
    <row r="31">
      <c r="A31" s="43" t="s">
        <v>304</v>
      </c>
      <c r="B31" s="10" t="s">
        <v>7</v>
      </c>
      <c r="C31" s="11" t="s">
        <v>345</v>
      </c>
      <c r="D31" s="18" t="s">
        <v>320</v>
      </c>
      <c r="E31" s="7" t="str">
        <f>IFERROR(__xludf.DUMMYFUNCTION("REGEXEXTRACT(C31, """"""([^""""]+)"""""")"),"Items.AdvancedProximityReducerRare")</f>
        <v>Items.AdvancedProximityReducerRare</v>
      </c>
      <c r="F31" s="33" t="s">
        <v>37</v>
      </c>
    </row>
    <row r="32">
      <c r="A32" s="43" t="s">
        <v>304</v>
      </c>
      <c r="B32" s="10" t="s">
        <v>7</v>
      </c>
      <c r="C32" s="11" t="s">
        <v>346</v>
      </c>
      <c r="D32" s="18" t="s">
        <v>322</v>
      </c>
      <c r="E32" s="7" t="str">
        <f>IFERROR(__xludf.DUMMYFUNCTION("REGEXEXTRACT(C32, """"""([^""""]+)"""""")"),"Items.AdvancedChargeSystemRare")</f>
        <v>Items.AdvancedChargeSystemRare</v>
      </c>
      <c r="F32" s="33" t="s">
        <v>37</v>
      </c>
    </row>
    <row r="33">
      <c r="A33" s="43" t="s">
        <v>304</v>
      </c>
      <c r="B33" s="10" t="s">
        <v>7</v>
      </c>
      <c r="C33" s="11" t="s">
        <v>347</v>
      </c>
      <c r="D33" s="18" t="s">
        <v>324</v>
      </c>
      <c r="E33" s="7" t="str">
        <f>IFERROR(__xludf.DUMMYFUNCTION("REGEXEXTRACT(C33, """"""([^""""]+)"""""")"),"Items.AdvancedElectroshockMechanismRare")</f>
        <v>Items.AdvancedElectroshockMechanismRare</v>
      </c>
      <c r="F33" s="33" t="s">
        <v>37</v>
      </c>
    </row>
    <row r="34">
      <c r="A34" s="43" t="s">
        <v>304</v>
      </c>
      <c r="B34" s="10" t="s">
        <v>7</v>
      </c>
      <c r="C34" s="11" t="s">
        <v>348</v>
      </c>
      <c r="D34" s="18" t="s">
        <v>326</v>
      </c>
      <c r="E34" s="7" t="str">
        <f>IFERROR(__xludf.DUMMYFUNCTION("REGEXEXTRACT(C34, """"""([^""""]+)"""""")"),"Items.AdvancedBoringPlatingRare")</f>
        <v>Items.AdvancedBoringPlatingRare</v>
      </c>
      <c r="F34" s="33" t="s">
        <v>37</v>
      </c>
    </row>
    <row r="35">
      <c r="A35" s="43" t="s">
        <v>304</v>
      </c>
      <c r="B35" s="10" t="s">
        <v>7</v>
      </c>
      <c r="C35" s="11" t="s">
        <v>349</v>
      </c>
      <c r="D35" s="20" t="s">
        <v>306</v>
      </c>
      <c r="E35" s="7" t="str">
        <f>IFERROR(__xludf.DUMMYFUNCTION("REGEXEXTRACT(C35, """"""([^""""]+)"""""")"),"Items.AdvancedWeirdTankyPlatingEpic")</f>
        <v>Items.AdvancedWeirdTankyPlatingEpic</v>
      </c>
      <c r="F35" s="34" t="s">
        <v>53</v>
      </c>
    </row>
    <row r="36">
      <c r="A36" s="43" t="s">
        <v>304</v>
      </c>
      <c r="B36" s="10" t="s">
        <v>7</v>
      </c>
      <c r="C36" s="11" t="s">
        <v>350</v>
      </c>
      <c r="D36" s="20" t="s">
        <v>308</v>
      </c>
      <c r="E36" s="7" t="str">
        <f>IFERROR(__xludf.DUMMYFUNCTION("REGEXEXTRACT(C36, """"""([^""""]+)"""""")"),"Items.AdvancedAdaptiveStemCellsEpic")</f>
        <v>Items.AdvancedAdaptiveStemCellsEpic</v>
      </c>
      <c r="F36" s="34" t="s">
        <v>53</v>
      </c>
    </row>
    <row r="37">
      <c r="A37" s="43" t="s">
        <v>304</v>
      </c>
      <c r="B37" s="10" t="s">
        <v>7</v>
      </c>
      <c r="C37" s="11" t="s">
        <v>351</v>
      </c>
      <c r="D37" s="20" t="s">
        <v>310</v>
      </c>
      <c r="E37" s="7" t="str">
        <f>IFERROR(__xludf.DUMMYFUNCTION("REGEXEXTRACT(C37, """"""([^""""]+)"""""")"),"Items.AdvancedSuddenAidEpic")</f>
        <v>Items.AdvancedSuddenAidEpic</v>
      </c>
      <c r="F37" s="34" t="s">
        <v>53</v>
      </c>
    </row>
    <row r="38">
      <c r="A38" s="43" t="s">
        <v>304</v>
      </c>
      <c r="B38" s="10" t="s">
        <v>7</v>
      </c>
      <c r="C38" s="11" t="s">
        <v>352</v>
      </c>
      <c r="D38" s="20" t="s">
        <v>312</v>
      </c>
      <c r="E38" s="7" t="str">
        <f>IFERROR(__xludf.DUMMYFUNCTION("REGEXEXTRACT(C38, """"""([^""""]+)"""""")"),"Items.AdvancedPlatingGlitchEpic")</f>
        <v>Items.AdvancedPlatingGlitchEpic</v>
      </c>
      <c r="F38" s="34" t="s">
        <v>53</v>
      </c>
    </row>
    <row r="39">
      <c r="A39" s="43" t="s">
        <v>304</v>
      </c>
      <c r="B39" s="10" t="s">
        <v>7</v>
      </c>
      <c r="C39" s="11" t="s">
        <v>353</v>
      </c>
      <c r="D39" s="20" t="s">
        <v>314</v>
      </c>
      <c r="E39" s="7" t="str">
        <f>IFERROR(__xludf.DUMMYFUNCTION("REGEXEXTRACT(C39, """"""([^""""]+)"""""")"),"Items.AdvancedNanoTechPlatesEpic")</f>
        <v>Items.AdvancedNanoTechPlatesEpic</v>
      </c>
      <c r="F39" s="34" t="s">
        <v>53</v>
      </c>
    </row>
    <row r="40">
      <c r="A40" s="43" t="s">
        <v>304</v>
      </c>
      <c r="B40" s="10" t="s">
        <v>7</v>
      </c>
      <c r="C40" s="11" t="s">
        <v>354</v>
      </c>
      <c r="D40" s="20" t="s">
        <v>316</v>
      </c>
      <c r="E40" s="7" t="str">
        <f>IFERROR(__xludf.DUMMYFUNCTION("REGEXEXTRACT(C40, """"""([^""""]+)"""""")"),"Items.AdvancedOpticalCamoEpic")</f>
        <v>Items.AdvancedOpticalCamoEpic</v>
      </c>
      <c r="F40" s="34" t="s">
        <v>53</v>
      </c>
    </row>
    <row r="41">
      <c r="A41" s="43" t="s">
        <v>304</v>
      </c>
      <c r="B41" s="10" t="s">
        <v>7</v>
      </c>
      <c r="C41" s="11" t="s">
        <v>355</v>
      </c>
      <c r="D41" s="20" t="s">
        <v>356</v>
      </c>
      <c r="E41" s="7" t="str">
        <f>IFERROR(__xludf.DUMMYFUNCTION("REGEXEXTRACT(C41, """"""([^""""]+)"""""")"),"Items.AdvancedPainReductorEpic")</f>
        <v>Items.AdvancedPainReductorEpic</v>
      </c>
      <c r="F41" s="34" t="s">
        <v>53</v>
      </c>
    </row>
    <row r="42">
      <c r="A42" s="43" t="s">
        <v>304</v>
      </c>
      <c r="B42" s="10" t="s">
        <v>7</v>
      </c>
      <c r="C42" s="11" t="s">
        <v>357</v>
      </c>
      <c r="D42" s="20" t="s">
        <v>318</v>
      </c>
      <c r="E42" s="7" t="str">
        <f>IFERROR(__xludf.DUMMYFUNCTION("REGEXEXTRACT(C42, """"""([^""""]+)"""""")"),"Items.AdvancedBloodDepleterEpic")</f>
        <v>Items.AdvancedBloodDepleterEpic</v>
      </c>
      <c r="F42" s="34" t="s">
        <v>53</v>
      </c>
    </row>
    <row r="43">
      <c r="A43" s="43" t="s">
        <v>304</v>
      </c>
      <c r="B43" s="10" t="s">
        <v>7</v>
      </c>
      <c r="C43" s="11" t="s">
        <v>358</v>
      </c>
      <c r="D43" s="20" t="s">
        <v>320</v>
      </c>
      <c r="E43" s="7" t="str">
        <f>IFERROR(__xludf.DUMMYFUNCTION("REGEXEXTRACT(C43, """"""([^""""]+)"""""")"),"Items.AdvancedProximityReducerEpic")</f>
        <v>Items.AdvancedProximityReducerEpic</v>
      </c>
      <c r="F43" s="34" t="s">
        <v>53</v>
      </c>
    </row>
    <row r="44">
      <c r="A44" s="43" t="s">
        <v>304</v>
      </c>
      <c r="B44" s="10" t="s">
        <v>7</v>
      </c>
      <c r="C44" s="11" t="s">
        <v>359</v>
      </c>
      <c r="D44" s="20" t="s">
        <v>322</v>
      </c>
      <c r="E44" s="7" t="str">
        <f>IFERROR(__xludf.DUMMYFUNCTION("REGEXEXTRACT(C44, """"""([^""""]+)"""""")"),"Items.AdvancedChargeSystemEpic")</f>
        <v>Items.AdvancedChargeSystemEpic</v>
      </c>
      <c r="F44" s="34" t="s">
        <v>53</v>
      </c>
    </row>
    <row r="45">
      <c r="A45" s="43" t="s">
        <v>304</v>
      </c>
      <c r="B45" s="10" t="s">
        <v>7</v>
      </c>
      <c r="C45" s="11" t="s">
        <v>360</v>
      </c>
      <c r="D45" s="20" t="s">
        <v>324</v>
      </c>
      <c r="E45" s="7" t="str">
        <f>IFERROR(__xludf.DUMMYFUNCTION("REGEXEXTRACT(C45, """"""([^""""]+)"""""")"),"Items.AdvancedElectroshockMechanismEpic")</f>
        <v>Items.AdvancedElectroshockMechanismEpic</v>
      </c>
      <c r="F45" s="34" t="s">
        <v>53</v>
      </c>
    </row>
    <row r="46">
      <c r="A46" s="43" t="s">
        <v>304</v>
      </c>
      <c r="B46" s="10" t="s">
        <v>7</v>
      </c>
      <c r="C46" s="11" t="s">
        <v>361</v>
      </c>
      <c r="D46" s="20" t="s">
        <v>326</v>
      </c>
      <c r="E46" s="7" t="str">
        <f>IFERROR(__xludf.DUMMYFUNCTION("REGEXEXTRACT(C46, """"""([^""""]+)"""""")"),"Items.AdvancedBoringPlatingEpic")</f>
        <v>Items.AdvancedBoringPlatingEpic</v>
      </c>
      <c r="F46" s="34" t="s">
        <v>53</v>
      </c>
    </row>
    <row r="47">
      <c r="A47" s="43" t="s">
        <v>304</v>
      </c>
      <c r="B47" s="10" t="s">
        <v>7</v>
      </c>
      <c r="C47" s="11" t="s">
        <v>362</v>
      </c>
      <c r="D47" s="21" t="s">
        <v>306</v>
      </c>
      <c r="E47" s="7" t="str">
        <f>IFERROR(__xludf.DUMMYFUNCTION("REGEXEXTRACT(C47, """"""([^""""]+)"""""")"),"Items.AdvancedWeirdTankyPlatingLegendary")</f>
        <v>Items.AdvancedWeirdTankyPlatingLegendary</v>
      </c>
      <c r="F47" s="35" t="s">
        <v>75</v>
      </c>
    </row>
    <row r="48">
      <c r="A48" s="43" t="s">
        <v>304</v>
      </c>
      <c r="B48" s="10" t="s">
        <v>7</v>
      </c>
      <c r="C48" s="11" t="s">
        <v>363</v>
      </c>
      <c r="D48" s="21" t="s">
        <v>308</v>
      </c>
      <c r="E48" s="7" t="str">
        <f>IFERROR(__xludf.DUMMYFUNCTION("REGEXEXTRACT(C48, """"""([^""""]+)"""""")"),"Items.AdvancedAdaptiveStemCellsLegendary")</f>
        <v>Items.AdvancedAdaptiveStemCellsLegendary</v>
      </c>
      <c r="F48" s="35" t="s">
        <v>75</v>
      </c>
    </row>
    <row r="49">
      <c r="A49" s="43" t="s">
        <v>304</v>
      </c>
      <c r="B49" s="10" t="s">
        <v>7</v>
      </c>
      <c r="C49" s="11" t="s">
        <v>364</v>
      </c>
      <c r="D49" s="21" t="s">
        <v>310</v>
      </c>
      <c r="E49" s="7" t="str">
        <f>IFERROR(__xludf.DUMMYFUNCTION("REGEXEXTRACT(C49, """"""([^""""]+)"""""")"),"Items.AdvancedSuddenAidLegendary")</f>
        <v>Items.AdvancedSuddenAidLegendary</v>
      </c>
      <c r="F49" s="35" t="s">
        <v>75</v>
      </c>
    </row>
    <row r="50">
      <c r="A50" s="43" t="s">
        <v>304</v>
      </c>
      <c r="B50" s="10" t="s">
        <v>7</v>
      </c>
      <c r="C50" s="11" t="s">
        <v>365</v>
      </c>
      <c r="D50" s="21" t="s">
        <v>312</v>
      </c>
      <c r="E50" s="7" t="str">
        <f>IFERROR(__xludf.DUMMYFUNCTION("REGEXEXTRACT(C50, """"""([^""""]+)"""""")"),"Items.AdvancedPlatingGlitchLegendary")</f>
        <v>Items.AdvancedPlatingGlitchLegendary</v>
      </c>
      <c r="F50" s="35" t="s">
        <v>75</v>
      </c>
    </row>
    <row r="51">
      <c r="A51" s="43" t="s">
        <v>304</v>
      </c>
      <c r="B51" s="10" t="s">
        <v>7</v>
      </c>
      <c r="C51" s="11" t="s">
        <v>366</v>
      </c>
      <c r="D51" s="21" t="s">
        <v>314</v>
      </c>
      <c r="E51" s="7" t="str">
        <f>IFERROR(__xludf.DUMMYFUNCTION("REGEXEXTRACT(C51, """"""([^""""]+)"""""")"),"Items.AdvancedNanoTechPlatesLegendary")</f>
        <v>Items.AdvancedNanoTechPlatesLegendary</v>
      </c>
      <c r="F51" s="35" t="s">
        <v>75</v>
      </c>
    </row>
    <row r="52">
      <c r="A52" s="43" t="s">
        <v>304</v>
      </c>
      <c r="B52" s="10" t="s">
        <v>7</v>
      </c>
      <c r="C52" s="11" t="s">
        <v>367</v>
      </c>
      <c r="D52" s="21" t="s">
        <v>316</v>
      </c>
      <c r="E52" s="7" t="str">
        <f>IFERROR(__xludf.DUMMYFUNCTION("REGEXEXTRACT(C52, """"""([^""""]+)"""""")"),"Items.AdvancedOpticalCamoLegendary")</f>
        <v>Items.AdvancedOpticalCamoLegendary</v>
      </c>
      <c r="F52" s="35" t="s">
        <v>75</v>
      </c>
    </row>
    <row r="53">
      <c r="A53" s="43" t="s">
        <v>304</v>
      </c>
      <c r="B53" s="10" t="s">
        <v>7</v>
      </c>
      <c r="C53" s="11" t="s">
        <v>368</v>
      </c>
      <c r="D53" s="21" t="s">
        <v>356</v>
      </c>
      <c r="E53" s="7" t="str">
        <f>IFERROR(__xludf.DUMMYFUNCTION("REGEXEXTRACT(C53, """"""([^""""]+)"""""")"),"Items.AdvancedPainReductorLegendary")</f>
        <v>Items.AdvancedPainReductorLegendary</v>
      </c>
      <c r="F53" s="35" t="s">
        <v>75</v>
      </c>
    </row>
    <row r="54">
      <c r="A54" s="43" t="s">
        <v>304</v>
      </c>
      <c r="B54" s="10" t="s">
        <v>7</v>
      </c>
      <c r="C54" s="11" t="s">
        <v>369</v>
      </c>
      <c r="D54" s="21" t="s">
        <v>318</v>
      </c>
      <c r="E54" s="7" t="str">
        <f>IFERROR(__xludf.DUMMYFUNCTION("REGEXEXTRACT(C54, """"""([^""""]+)"""""")"),"Items.AdvancedBloodDepleterLegendary")</f>
        <v>Items.AdvancedBloodDepleterLegendary</v>
      </c>
      <c r="F54" s="35" t="s">
        <v>75</v>
      </c>
    </row>
    <row r="55">
      <c r="A55" s="43" t="s">
        <v>304</v>
      </c>
      <c r="B55" s="10" t="s">
        <v>7</v>
      </c>
      <c r="C55" s="11" t="s">
        <v>370</v>
      </c>
      <c r="D55" s="21" t="s">
        <v>320</v>
      </c>
      <c r="E55" s="7" t="str">
        <f>IFERROR(__xludf.DUMMYFUNCTION("REGEXEXTRACT(C55, """"""([^""""]+)"""""")"),"Items.AdvancedProximityReducerLegendary")</f>
        <v>Items.AdvancedProximityReducerLegendary</v>
      </c>
      <c r="F55" s="35" t="s">
        <v>75</v>
      </c>
    </row>
    <row r="56">
      <c r="A56" s="43" t="s">
        <v>304</v>
      </c>
      <c r="B56" s="10" t="s">
        <v>7</v>
      </c>
      <c r="C56" s="11" t="s">
        <v>371</v>
      </c>
      <c r="D56" s="21" t="s">
        <v>322</v>
      </c>
      <c r="E56" s="7" t="str">
        <f>IFERROR(__xludf.DUMMYFUNCTION("REGEXEXTRACT(C56, """"""([^""""]+)"""""")"),"Items.AdvancedChargeSystemLegendary")</f>
        <v>Items.AdvancedChargeSystemLegendary</v>
      </c>
      <c r="F56" s="35" t="s">
        <v>75</v>
      </c>
    </row>
    <row r="57">
      <c r="A57" s="43" t="s">
        <v>304</v>
      </c>
      <c r="B57" s="10" t="s">
        <v>7</v>
      </c>
      <c r="C57" s="11" t="s">
        <v>372</v>
      </c>
      <c r="D57" s="21" t="s">
        <v>324</v>
      </c>
      <c r="E57" s="7" t="str">
        <f>IFERROR(__xludf.DUMMYFUNCTION("REGEXEXTRACT(C57, """"""([^""""]+)"""""")"),"Items.AdvancedElectroshockMechanismLegendary")</f>
        <v>Items.AdvancedElectroshockMechanismLegendary</v>
      </c>
      <c r="F57" s="35" t="s">
        <v>75</v>
      </c>
    </row>
    <row r="58">
      <c r="A58" s="43" t="s">
        <v>304</v>
      </c>
      <c r="B58" s="10" t="s">
        <v>7</v>
      </c>
      <c r="C58" s="11" t="s">
        <v>373</v>
      </c>
      <c r="D58" s="21" t="s">
        <v>326</v>
      </c>
      <c r="E58" s="7" t="str">
        <f>IFERROR(__xludf.DUMMYFUNCTION("REGEXEXTRACT(C58, """"""([^""""]+)"""""")"),"Items.AdvancedBoringPlatingLegendary")</f>
        <v>Items.AdvancedBoringPlatingLegendary</v>
      </c>
      <c r="F58" s="35" t="s">
        <v>75</v>
      </c>
    </row>
    <row r="59">
      <c r="A59" s="44" t="s">
        <v>304</v>
      </c>
      <c r="B59" s="45" t="s">
        <v>374</v>
      </c>
      <c r="C59" s="46" t="s">
        <v>375</v>
      </c>
      <c r="D59" s="47" t="s">
        <v>376</v>
      </c>
      <c r="E59" s="48" t="str">
        <f>IFERROR(__xludf.DUMMYFUNCTION("REGEXEXTRACT(C59, """"""([^""""]+)"""""")"),"Items.AdvancedCogitoFrameCommon")</f>
        <v>Items.AdvancedCogitoFrameCommon</v>
      </c>
      <c r="F59" s="49" t="s">
        <v>10</v>
      </c>
    </row>
    <row r="60">
      <c r="A60" s="50" t="s">
        <v>304</v>
      </c>
      <c r="B60" s="51" t="s">
        <v>374</v>
      </c>
      <c r="C60" s="52" t="s">
        <v>377</v>
      </c>
      <c r="D60" s="53" t="s">
        <v>376</v>
      </c>
      <c r="E60" s="54" t="str">
        <f>IFERROR(__xludf.DUMMYFUNCTION("REGEXEXTRACT(C60, """"""([^""""]+)"""""")"),"Items.AdvancedCogitoFrameUncommon")</f>
        <v>Items.AdvancedCogitoFrameUncommon</v>
      </c>
      <c r="F60" s="55" t="s">
        <v>20</v>
      </c>
    </row>
    <row r="61">
      <c r="A61" s="50" t="s">
        <v>304</v>
      </c>
      <c r="B61" s="51" t="s">
        <v>374</v>
      </c>
      <c r="C61" s="52" t="s">
        <v>378</v>
      </c>
      <c r="D61" s="56" t="s">
        <v>376</v>
      </c>
      <c r="E61" s="54" t="str">
        <f>IFERROR(__xludf.DUMMYFUNCTION("REGEXEXTRACT(C61, """"""([^""""]+)"""""")"),"Items.AdvancedCogitoFrameRare")</f>
        <v>Items.AdvancedCogitoFrameRare</v>
      </c>
      <c r="F61" s="57" t="s">
        <v>37</v>
      </c>
    </row>
    <row r="62">
      <c r="A62" s="50" t="s">
        <v>304</v>
      </c>
      <c r="B62" s="51" t="s">
        <v>374</v>
      </c>
      <c r="C62" s="52" t="s">
        <v>379</v>
      </c>
      <c r="D62" s="58" t="s">
        <v>376</v>
      </c>
      <c r="E62" s="54" t="str">
        <f>IFERROR(__xludf.DUMMYFUNCTION("REGEXEXTRACT(C62, """"""([^""""]+)"""""")"),"Items.AdvancedCogitoFrameEpic")</f>
        <v>Items.AdvancedCogitoFrameEpic</v>
      </c>
      <c r="F62" s="59" t="s">
        <v>53</v>
      </c>
    </row>
    <row r="63">
      <c r="A63" s="50" t="s">
        <v>304</v>
      </c>
      <c r="B63" s="51" t="s">
        <v>374</v>
      </c>
      <c r="C63" s="52" t="s">
        <v>380</v>
      </c>
      <c r="D63" s="60" t="s">
        <v>376</v>
      </c>
      <c r="E63" s="54" t="str">
        <f>IFERROR(__xludf.DUMMYFUNCTION("REGEXEXTRACT(C63, """"""([^""""]+)"""""")"),"Items.AdvancedCogitoFrameLegendary")</f>
        <v>Items.AdvancedCogitoFrameLegendary</v>
      </c>
      <c r="F63" s="61" t="s">
        <v>75</v>
      </c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</sheetData>
  <autoFilter ref="$A$1:$F$843">
    <sortState ref="A1:F843">
      <sortCondition ref="B1:B843"/>
      <sortCondition ref="F1:F84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7.25"/>
    <col customWidth="1" min="4" max="4" width="31.7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62" t="s">
        <v>381</v>
      </c>
      <c r="B2" s="4" t="s">
        <v>7</v>
      </c>
      <c r="C2" s="4" t="s">
        <v>382</v>
      </c>
      <c r="D2" s="6" t="s">
        <v>383</v>
      </c>
      <c r="E2" s="7" t="str">
        <f>IFERROR(__xludf.DUMMYFUNCTION("REGEXEXTRACT(C2, """"""([^""""]+)"""""")"),"Items.AdvancedDetectorRushCommon")</f>
        <v>Items.AdvancedDetectorRushCommon</v>
      </c>
      <c r="F2" s="28" t="s">
        <v>10</v>
      </c>
    </row>
    <row r="3">
      <c r="A3" s="63" t="s">
        <v>381</v>
      </c>
      <c r="B3" s="10" t="s">
        <v>7</v>
      </c>
      <c r="C3" s="10" t="s">
        <v>384</v>
      </c>
      <c r="D3" s="12" t="s">
        <v>385</v>
      </c>
      <c r="E3" s="7" t="str">
        <f>IFERROR(__xludf.DUMMYFUNCTION("REGEXEXTRACT(C3, """"""([^""""]+)"""""")"),"Items.AdvancedTroubleFinderCommon")</f>
        <v>Items.AdvancedTroubleFinderCommon</v>
      </c>
      <c r="F3" s="31" t="s">
        <v>10</v>
      </c>
    </row>
    <row r="4">
      <c r="A4" s="63" t="s">
        <v>381</v>
      </c>
      <c r="B4" s="10" t="s">
        <v>7</v>
      </c>
      <c r="C4" s="10" t="s">
        <v>386</v>
      </c>
      <c r="D4" s="12" t="s">
        <v>387</v>
      </c>
      <c r="E4" s="7" t="str">
        <f>IFERROR(__xludf.DUMMYFUNCTION("REGEXEXTRACT(C4, """"""([^""""]+)"""""")"),"Items.AdvancedKerenzikovCommon")</f>
        <v>Items.AdvancedKerenzikovCommon</v>
      </c>
      <c r="F4" s="31" t="s">
        <v>10</v>
      </c>
    </row>
    <row r="5">
      <c r="A5" s="63" t="s">
        <v>381</v>
      </c>
      <c r="B5" s="10" t="s">
        <v>7</v>
      </c>
      <c r="C5" s="10" t="s">
        <v>388</v>
      </c>
      <c r="D5" s="12" t="s">
        <v>389</v>
      </c>
      <c r="E5" s="7" t="str">
        <f>IFERROR(__xludf.DUMMYFUNCTION("REGEXEXTRACT(C5, """"""([^""""]+)"""""")"),"Items.AdvancedNeoFiberCommon")</f>
        <v>Items.AdvancedNeoFiberCommon</v>
      </c>
      <c r="F5" s="31" t="s">
        <v>10</v>
      </c>
    </row>
    <row r="6">
      <c r="A6" s="63" t="s">
        <v>381</v>
      </c>
      <c r="B6" s="10" t="s">
        <v>7</v>
      </c>
      <c r="C6" s="10" t="s">
        <v>390</v>
      </c>
      <c r="D6" s="12" t="s">
        <v>391</v>
      </c>
      <c r="E6" s="7" t="str">
        <f>IFERROR(__xludf.DUMMYFUNCTION("REGEXEXTRACT(C6, """"""([^""""]+)"""""")"),"Items.AdvancedReflexRecorderCommon")</f>
        <v>Items.AdvancedReflexRecorderCommon</v>
      </c>
      <c r="F6" s="31" t="s">
        <v>10</v>
      </c>
    </row>
    <row r="7">
      <c r="A7" s="63" t="s">
        <v>381</v>
      </c>
      <c r="B7" s="10" t="s">
        <v>7</v>
      </c>
      <c r="C7" s="10" t="s">
        <v>392</v>
      </c>
      <c r="D7" s="12" t="s">
        <v>393</v>
      </c>
      <c r="E7" s="7" t="str">
        <f>IFERROR(__xludf.DUMMYFUNCTION("REGEXEXTRACT(C7, """"""([^""""]+)"""""")"),"Items.AdvancedOilDispenserCommon")</f>
        <v>Items.AdvancedOilDispenserCommon</v>
      </c>
      <c r="F7" s="31" t="s">
        <v>10</v>
      </c>
    </row>
    <row r="8">
      <c r="A8" s="63" t="s">
        <v>381</v>
      </c>
      <c r="B8" s="10" t="s">
        <v>7</v>
      </c>
      <c r="C8" s="10" t="s">
        <v>394</v>
      </c>
      <c r="D8" s="12" t="s">
        <v>395</v>
      </c>
      <c r="E8" s="7" t="str">
        <f>IFERROR(__xludf.DUMMYFUNCTION("REGEXEXTRACT(C8, """"""([^""""]+)"""""")"),"Items.AdvancedSynapticAcceleratorCommon")</f>
        <v>Items.AdvancedSynapticAcceleratorCommon</v>
      </c>
      <c r="F8" s="31" t="s">
        <v>10</v>
      </c>
    </row>
    <row r="9">
      <c r="A9" s="63" t="s">
        <v>381</v>
      </c>
      <c r="B9" s="10" t="s">
        <v>7</v>
      </c>
      <c r="C9" s="10" t="s">
        <v>396</v>
      </c>
      <c r="D9" s="12" t="s">
        <v>397</v>
      </c>
      <c r="E9" s="7" t="str">
        <f>IFERROR(__xludf.DUMMYFUNCTION("REGEXEXTRACT(C9, """"""([^""""]+)"""""")"),"Items.AdvancedTyrosineInjectorCommon")</f>
        <v>Items.AdvancedTyrosineInjectorCommon</v>
      </c>
      <c r="F9" s="31" t="s">
        <v>10</v>
      </c>
    </row>
    <row r="10">
      <c r="A10" s="63" t="s">
        <v>381</v>
      </c>
      <c r="B10" s="10" t="s">
        <v>7</v>
      </c>
      <c r="C10" s="10" t="s">
        <v>398</v>
      </c>
      <c r="D10" s="12" t="s">
        <v>399</v>
      </c>
      <c r="E10" s="7" t="str">
        <f>IFERROR(__xludf.DUMMYFUNCTION("REGEXEXTRACT(C10, """"""([^""""]+)"""""")"),"Items.AdvancedVisualCortexSupportCommon")</f>
        <v>Items.AdvancedVisualCortexSupportCommon</v>
      </c>
      <c r="F10" s="31" t="s">
        <v>10</v>
      </c>
    </row>
    <row r="11">
      <c r="A11" s="63" t="s">
        <v>381</v>
      </c>
      <c r="B11" s="10" t="s">
        <v>7</v>
      </c>
      <c r="C11" s="10" t="s">
        <v>400</v>
      </c>
      <c r="D11" s="14" t="s">
        <v>383</v>
      </c>
      <c r="E11" s="7" t="str">
        <f>IFERROR(__xludf.DUMMYFUNCTION("REGEXEXTRACT(C11, """"""([^""""]+)"""""")"),"Items.AdvancedDetectorRushUncommon")</f>
        <v>Items.AdvancedDetectorRushUncommon</v>
      </c>
      <c r="F11" s="32" t="s">
        <v>20</v>
      </c>
    </row>
    <row r="12">
      <c r="A12" s="63" t="s">
        <v>381</v>
      </c>
      <c r="B12" s="10" t="s">
        <v>7</v>
      </c>
      <c r="C12" s="10" t="s">
        <v>401</v>
      </c>
      <c r="D12" s="14" t="s">
        <v>385</v>
      </c>
      <c r="E12" s="7" t="str">
        <f>IFERROR(__xludf.DUMMYFUNCTION("REGEXEXTRACT(C12, """"""([^""""]+)"""""")"),"Items.AdvancedTroubleFinderUncommon")</f>
        <v>Items.AdvancedTroubleFinderUncommon</v>
      </c>
      <c r="F12" s="32" t="s">
        <v>20</v>
      </c>
    </row>
    <row r="13">
      <c r="A13" s="63" t="s">
        <v>381</v>
      </c>
      <c r="B13" s="10" t="s">
        <v>7</v>
      </c>
      <c r="C13" s="10" t="s">
        <v>402</v>
      </c>
      <c r="D13" s="14" t="s">
        <v>387</v>
      </c>
      <c r="E13" s="7" t="str">
        <f>IFERROR(__xludf.DUMMYFUNCTION("REGEXEXTRACT(C13, """"""([^""""]+)"""""")"),"Items.AdvancedKerenzikovUncommon")</f>
        <v>Items.AdvancedKerenzikovUncommon</v>
      </c>
      <c r="F13" s="32" t="s">
        <v>20</v>
      </c>
    </row>
    <row r="14">
      <c r="A14" s="63" t="s">
        <v>381</v>
      </c>
      <c r="B14" s="10" t="s">
        <v>7</v>
      </c>
      <c r="C14" s="10" t="s">
        <v>403</v>
      </c>
      <c r="D14" s="14" t="s">
        <v>389</v>
      </c>
      <c r="E14" s="7" t="str">
        <f>IFERROR(__xludf.DUMMYFUNCTION("REGEXEXTRACT(C14, """"""([^""""]+)"""""")"),"Items.AdvancedNeoFiberUncommon")</f>
        <v>Items.AdvancedNeoFiberUncommon</v>
      </c>
      <c r="F14" s="32" t="s">
        <v>20</v>
      </c>
    </row>
    <row r="15">
      <c r="A15" s="63" t="s">
        <v>381</v>
      </c>
      <c r="B15" s="10" t="s">
        <v>7</v>
      </c>
      <c r="C15" s="10" t="s">
        <v>404</v>
      </c>
      <c r="D15" s="14" t="s">
        <v>391</v>
      </c>
      <c r="E15" s="7" t="str">
        <f>IFERROR(__xludf.DUMMYFUNCTION("REGEXEXTRACT(C15, """"""([^""""]+)"""""")"),"Items.AdvancedReflexRecorderUncommon")</f>
        <v>Items.AdvancedReflexRecorderUncommon</v>
      </c>
      <c r="F15" s="32" t="s">
        <v>20</v>
      </c>
    </row>
    <row r="16">
      <c r="A16" s="63" t="s">
        <v>381</v>
      </c>
      <c r="B16" s="10" t="s">
        <v>7</v>
      </c>
      <c r="C16" s="10" t="s">
        <v>405</v>
      </c>
      <c r="D16" s="14" t="s">
        <v>393</v>
      </c>
      <c r="E16" s="7" t="str">
        <f>IFERROR(__xludf.DUMMYFUNCTION("REGEXEXTRACT(C16, """"""([^""""]+)"""""")"),"Items.AdvancedOilDispenserUncommon")</f>
        <v>Items.AdvancedOilDispenserUncommon</v>
      </c>
      <c r="F16" s="32" t="s">
        <v>20</v>
      </c>
    </row>
    <row r="17">
      <c r="A17" s="63" t="s">
        <v>381</v>
      </c>
      <c r="B17" s="10" t="s">
        <v>7</v>
      </c>
      <c r="C17" s="10" t="s">
        <v>406</v>
      </c>
      <c r="D17" s="14" t="s">
        <v>395</v>
      </c>
      <c r="E17" s="7" t="str">
        <f>IFERROR(__xludf.DUMMYFUNCTION("REGEXEXTRACT(C17, """"""([^""""]+)"""""")"),"Items.AdvancedSynapticAcceleratorUncommon")</f>
        <v>Items.AdvancedSynapticAcceleratorUncommon</v>
      </c>
      <c r="F17" s="32" t="s">
        <v>20</v>
      </c>
    </row>
    <row r="18">
      <c r="A18" s="63" t="s">
        <v>381</v>
      </c>
      <c r="B18" s="10" t="s">
        <v>7</v>
      </c>
      <c r="C18" s="10" t="s">
        <v>407</v>
      </c>
      <c r="D18" s="14" t="s">
        <v>397</v>
      </c>
      <c r="E18" s="7" t="str">
        <f>IFERROR(__xludf.DUMMYFUNCTION("REGEXEXTRACT(C18, """"""([^""""]+)"""""")"),"Items.AdvancedTyrosineInjectorUncommon")</f>
        <v>Items.AdvancedTyrosineInjectorUncommon</v>
      </c>
      <c r="F18" s="32" t="s">
        <v>20</v>
      </c>
    </row>
    <row r="19">
      <c r="A19" s="63" t="s">
        <v>381</v>
      </c>
      <c r="B19" s="10" t="s">
        <v>7</v>
      </c>
      <c r="C19" s="10" t="s">
        <v>408</v>
      </c>
      <c r="D19" s="14" t="s">
        <v>399</v>
      </c>
      <c r="E19" s="7" t="str">
        <f>IFERROR(__xludf.DUMMYFUNCTION("REGEXEXTRACT(C19, """"""([^""""]+)"""""")"),"Items.AdvancedVisualCortexSupportUncommon")</f>
        <v>Items.AdvancedVisualCortexSupportUncommon</v>
      </c>
      <c r="F19" s="32" t="s">
        <v>20</v>
      </c>
    </row>
    <row r="20">
      <c r="A20" s="63" t="s">
        <v>381</v>
      </c>
      <c r="B20" s="10" t="s">
        <v>7</v>
      </c>
      <c r="C20" s="10" t="s">
        <v>409</v>
      </c>
      <c r="D20" s="18" t="s">
        <v>383</v>
      </c>
      <c r="E20" s="7" t="str">
        <f>IFERROR(__xludf.DUMMYFUNCTION("REGEXEXTRACT(C20, """"""([^""""]+)"""""")"),"Items.AdvancedDetectorRushRare")</f>
        <v>Items.AdvancedDetectorRushRare</v>
      </c>
      <c r="F20" s="33" t="s">
        <v>37</v>
      </c>
    </row>
    <row r="21">
      <c r="A21" s="63" t="s">
        <v>381</v>
      </c>
      <c r="B21" s="10" t="s">
        <v>7</v>
      </c>
      <c r="C21" s="10" t="s">
        <v>410</v>
      </c>
      <c r="D21" s="18" t="s">
        <v>385</v>
      </c>
      <c r="E21" s="7" t="str">
        <f>IFERROR(__xludf.DUMMYFUNCTION("REGEXEXTRACT(C21, """"""([^""""]+)"""""")"),"Items.AdvancedTroubleFinderRare")</f>
        <v>Items.AdvancedTroubleFinderRare</v>
      </c>
      <c r="F21" s="33" t="s">
        <v>37</v>
      </c>
    </row>
    <row r="22">
      <c r="A22" s="63" t="s">
        <v>381</v>
      </c>
      <c r="B22" s="10" t="s">
        <v>7</v>
      </c>
      <c r="C22" s="10" t="s">
        <v>411</v>
      </c>
      <c r="D22" s="18" t="s">
        <v>387</v>
      </c>
      <c r="E22" s="7" t="str">
        <f>IFERROR(__xludf.DUMMYFUNCTION("REGEXEXTRACT(C22, """"""([^""""]+)"""""")"),"Items.AdvancedKerenzikovRare")</f>
        <v>Items.AdvancedKerenzikovRare</v>
      </c>
      <c r="F22" s="33" t="s">
        <v>37</v>
      </c>
    </row>
    <row r="23">
      <c r="A23" s="63" t="s">
        <v>381</v>
      </c>
      <c r="B23" s="10" t="s">
        <v>7</v>
      </c>
      <c r="C23" s="10" t="s">
        <v>412</v>
      </c>
      <c r="D23" s="18" t="s">
        <v>389</v>
      </c>
      <c r="E23" s="7" t="str">
        <f>IFERROR(__xludf.DUMMYFUNCTION("REGEXEXTRACT(C23, """"""([^""""]+)"""""")"),"Items.AdvancedNeoFiberRare")</f>
        <v>Items.AdvancedNeoFiberRare</v>
      </c>
      <c r="F23" s="33" t="s">
        <v>37</v>
      </c>
    </row>
    <row r="24">
      <c r="A24" s="63" t="s">
        <v>381</v>
      </c>
      <c r="B24" s="10" t="s">
        <v>7</v>
      </c>
      <c r="C24" s="10" t="s">
        <v>413</v>
      </c>
      <c r="D24" s="18" t="s">
        <v>391</v>
      </c>
      <c r="E24" s="7" t="str">
        <f>IFERROR(__xludf.DUMMYFUNCTION("REGEXEXTRACT(C24, """"""([^""""]+)"""""")"),"Items.AdvancedReflexRecorderRare")</f>
        <v>Items.AdvancedReflexRecorderRare</v>
      </c>
      <c r="F24" s="33" t="s">
        <v>37</v>
      </c>
    </row>
    <row r="25">
      <c r="A25" s="63" t="s">
        <v>381</v>
      </c>
      <c r="B25" s="10" t="s">
        <v>7</v>
      </c>
      <c r="C25" s="10" t="s">
        <v>414</v>
      </c>
      <c r="D25" s="18" t="s">
        <v>393</v>
      </c>
      <c r="E25" s="7" t="str">
        <f>IFERROR(__xludf.DUMMYFUNCTION("REGEXEXTRACT(C25, """"""([^""""]+)"""""")"),"Items.AdvancedOilDispenserRare")</f>
        <v>Items.AdvancedOilDispenserRare</v>
      </c>
      <c r="F25" s="33" t="s">
        <v>37</v>
      </c>
    </row>
    <row r="26">
      <c r="A26" s="63" t="s">
        <v>381</v>
      </c>
      <c r="B26" s="10" t="s">
        <v>7</v>
      </c>
      <c r="C26" s="10" t="s">
        <v>415</v>
      </c>
      <c r="D26" s="18" t="s">
        <v>395</v>
      </c>
      <c r="E26" s="7" t="str">
        <f>IFERROR(__xludf.DUMMYFUNCTION("REGEXEXTRACT(C26, """"""([^""""]+)"""""")"),"Items.AdvancedSynapticAcceleratorRare")</f>
        <v>Items.AdvancedSynapticAcceleratorRare</v>
      </c>
      <c r="F26" s="33" t="s">
        <v>37</v>
      </c>
    </row>
    <row r="27">
      <c r="A27" s="63" t="s">
        <v>381</v>
      </c>
      <c r="B27" s="10" t="s">
        <v>7</v>
      </c>
      <c r="C27" s="10" t="s">
        <v>416</v>
      </c>
      <c r="D27" s="18" t="s">
        <v>397</v>
      </c>
      <c r="E27" s="7" t="str">
        <f>IFERROR(__xludf.DUMMYFUNCTION("REGEXEXTRACT(C27, """"""([^""""]+)"""""")"),"Items.AdvancedTyrosineInjectorRare")</f>
        <v>Items.AdvancedTyrosineInjectorRare</v>
      </c>
      <c r="F27" s="33" t="s">
        <v>37</v>
      </c>
    </row>
    <row r="28">
      <c r="A28" s="63" t="s">
        <v>381</v>
      </c>
      <c r="B28" s="10" t="s">
        <v>7</v>
      </c>
      <c r="C28" s="10" t="s">
        <v>417</v>
      </c>
      <c r="D28" s="18" t="s">
        <v>399</v>
      </c>
      <c r="E28" s="7" t="str">
        <f>IFERROR(__xludf.DUMMYFUNCTION("REGEXEXTRACT(C28, """"""([^""""]+)"""""")"),"Items.AdvancedVisualCortexSupportRare")</f>
        <v>Items.AdvancedVisualCortexSupportRare</v>
      </c>
      <c r="F28" s="33" t="s">
        <v>37</v>
      </c>
    </row>
    <row r="29">
      <c r="A29" s="63" t="s">
        <v>381</v>
      </c>
      <c r="B29" s="10" t="s">
        <v>7</v>
      </c>
      <c r="C29" s="10" t="s">
        <v>418</v>
      </c>
      <c r="D29" s="20" t="s">
        <v>383</v>
      </c>
      <c r="E29" s="7" t="str">
        <f>IFERROR(__xludf.DUMMYFUNCTION("REGEXEXTRACT(C29, """"""([^""""]+)"""""")"),"Items.AdvancedDetectorRushEpic")</f>
        <v>Items.AdvancedDetectorRushEpic</v>
      </c>
      <c r="F29" s="34" t="s">
        <v>53</v>
      </c>
    </row>
    <row r="30">
      <c r="A30" s="63" t="s">
        <v>381</v>
      </c>
      <c r="B30" s="10" t="s">
        <v>7</v>
      </c>
      <c r="C30" s="10" t="s">
        <v>419</v>
      </c>
      <c r="D30" s="20" t="s">
        <v>385</v>
      </c>
      <c r="E30" s="7" t="str">
        <f>IFERROR(__xludf.DUMMYFUNCTION("REGEXEXTRACT(C30, """"""([^""""]+)"""""")"),"Items.AdvancedTroubleFinderEpic")</f>
        <v>Items.AdvancedTroubleFinderEpic</v>
      </c>
      <c r="F30" s="34" t="s">
        <v>53</v>
      </c>
    </row>
    <row r="31">
      <c r="A31" s="63" t="s">
        <v>381</v>
      </c>
      <c r="B31" s="10" t="s">
        <v>7</v>
      </c>
      <c r="C31" s="10" t="s">
        <v>420</v>
      </c>
      <c r="D31" s="20" t="s">
        <v>387</v>
      </c>
      <c r="E31" s="7" t="str">
        <f>IFERROR(__xludf.DUMMYFUNCTION("REGEXEXTRACT(C31, """"""([^""""]+)"""""")"),"Items.AdvancedKerenzikovEpic")</f>
        <v>Items.AdvancedKerenzikovEpic</v>
      </c>
      <c r="F31" s="34" t="s">
        <v>53</v>
      </c>
    </row>
    <row r="32">
      <c r="A32" s="63" t="s">
        <v>381</v>
      </c>
      <c r="B32" s="10" t="s">
        <v>7</v>
      </c>
      <c r="C32" s="10" t="s">
        <v>421</v>
      </c>
      <c r="D32" s="20" t="s">
        <v>389</v>
      </c>
      <c r="E32" s="7" t="str">
        <f>IFERROR(__xludf.DUMMYFUNCTION("REGEXEXTRACT(C32, """"""([^""""]+)"""""")"),"Items.AdvancedNeoFiberEpic")</f>
        <v>Items.AdvancedNeoFiberEpic</v>
      </c>
      <c r="F32" s="34" t="s">
        <v>53</v>
      </c>
    </row>
    <row r="33">
      <c r="A33" s="63" t="s">
        <v>381</v>
      </c>
      <c r="B33" s="10" t="s">
        <v>7</v>
      </c>
      <c r="C33" s="10" t="s">
        <v>422</v>
      </c>
      <c r="D33" s="20" t="s">
        <v>391</v>
      </c>
      <c r="E33" s="7" t="str">
        <f>IFERROR(__xludf.DUMMYFUNCTION("REGEXEXTRACT(C33, """"""([^""""]+)"""""")"),"Items.AdvancedReflexRecorderEpic")</f>
        <v>Items.AdvancedReflexRecorderEpic</v>
      </c>
      <c r="F33" s="34" t="s">
        <v>53</v>
      </c>
    </row>
    <row r="34">
      <c r="A34" s="63" t="s">
        <v>381</v>
      </c>
      <c r="B34" s="10" t="s">
        <v>7</v>
      </c>
      <c r="C34" s="10" t="s">
        <v>423</v>
      </c>
      <c r="D34" s="20" t="s">
        <v>393</v>
      </c>
      <c r="E34" s="7" t="str">
        <f>IFERROR(__xludf.DUMMYFUNCTION("REGEXEXTRACT(C34, """"""([^""""]+)"""""")"),"Items.AdvancedOilDispenserEpic")</f>
        <v>Items.AdvancedOilDispenserEpic</v>
      </c>
      <c r="F34" s="34" t="s">
        <v>53</v>
      </c>
    </row>
    <row r="35">
      <c r="A35" s="63" t="s">
        <v>381</v>
      </c>
      <c r="B35" s="10" t="s">
        <v>7</v>
      </c>
      <c r="C35" s="10" t="s">
        <v>424</v>
      </c>
      <c r="D35" s="20" t="s">
        <v>395</v>
      </c>
      <c r="E35" s="7" t="str">
        <f>IFERROR(__xludf.DUMMYFUNCTION("REGEXEXTRACT(C35, """"""([^""""]+)"""""")"),"Items.AdvancedSynapticAcceleratorEpic")</f>
        <v>Items.AdvancedSynapticAcceleratorEpic</v>
      </c>
      <c r="F35" s="34" t="s">
        <v>53</v>
      </c>
    </row>
    <row r="36">
      <c r="A36" s="63" t="s">
        <v>381</v>
      </c>
      <c r="B36" s="10" t="s">
        <v>7</v>
      </c>
      <c r="C36" s="10" t="s">
        <v>425</v>
      </c>
      <c r="D36" s="20" t="s">
        <v>397</v>
      </c>
      <c r="E36" s="7" t="str">
        <f>IFERROR(__xludf.DUMMYFUNCTION("REGEXEXTRACT(C36, """"""([^""""]+)"""""")"),"Items.AdvancedTyrosineInjectorEpic")</f>
        <v>Items.AdvancedTyrosineInjectorEpic</v>
      </c>
      <c r="F36" s="34" t="s">
        <v>53</v>
      </c>
    </row>
    <row r="37">
      <c r="A37" s="63" t="s">
        <v>381</v>
      </c>
      <c r="B37" s="10" t="s">
        <v>7</v>
      </c>
      <c r="C37" s="10" t="s">
        <v>426</v>
      </c>
      <c r="D37" s="20" t="s">
        <v>399</v>
      </c>
      <c r="E37" s="7" t="str">
        <f>IFERROR(__xludf.DUMMYFUNCTION("REGEXEXTRACT(C37, """"""([^""""]+)"""""")"),"Items.AdvancedVisualCortexSupportEpic")</f>
        <v>Items.AdvancedVisualCortexSupportEpic</v>
      </c>
      <c r="F37" s="34" t="s">
        <v>53</v>
      </c>
    </row>
    <row r="38">
      <c r="A38" s="63" t="s">
        <v>381</v>
      </c>
      <c r="B38" s="10" t="s">
        <v>7</v>
      </c>
      <c r="C38" s="10" t="s">
        <v>427</v>
      </c>
      <c r="D38" s="21" t="s">
        <v>383</v>
      </c>
      <c r="E38" s="7" t="str">
        <f>IFERROR(__xludf.DUMMYFUNCTION("REGEXEXTRACT(C38, """"""([^""""]+)"""""")"),"Items.AdvancedDetectorRushLegendary")</f>
        <v>Items.AdvancedDetectorRushLegendary</v>
      </c>
      <c r="F38" s="35" t="s">
        <v>75</v>
      </c>
    </row>
    <row r="39">
      <c r="A39" s="63" t="s">
        <v>381</v>
      </c>
      <c r="B39" s="10" t="s">
        <v>7</v>
      </c>
      <c r="C39" s="10" t="s">
        <v>428</v>
      </c>
      <c r="D39" s="21" t="s">
        <v>385</v>
      </c>
      <c r="E39" s="7" t="str">
        <f>IFERROR(__xludf.DUMMYFUNCTION("REGEXEXTRACT(C39, """"""([^""""]+)"""""")"),"Items.AdvancedTroubleFinderLegendary")</f>
        <v>Items.AdvancedTroubleFinderLegendary</v>
      </c>
      <c r="F39" s="35" t="s">
        <v>75</v>
      </c>
    </row>
    <row r="40">
      <c r="A40" s="63" t="s">
        <v>381</v>
      </c>
      <c r="B40" s="10" t="s">
        <v>7</v>
      </c>
      <c r="C40" s="10" t="s">
        <v>429</v>
      </c>
      <c r="D40" s="21" t="s">
        <v>387</v>
      </c>
      <c r="E40" s="7" t="str">
        <f>IFERROR(__xludf.DUMMYFUNCTION("REGEXEXTRACT(C40, """"""([^""""]+)"""""")"),"Items.AdvancedKerenzikovLegendary")</f>
        <v>Items.AdvancedKerenzikovLegendary</v>
      </c>
      <c r="F40" s="35" t="s">
        <v>75</v>
      </c>
    </row>
    <row r="41">
      <c r="A41" s="63" t="s">
        <v>381</v>
      </c>
      <c r="B41" s="10" t="s">
        <v>7</v>
      </c>
      <c r="C41" s="10" t="s">
        <v>430</v>
      </c>
      <c r="D41" s="21" t="s">
        <v>389</v>
      </c>
      <c r="E41" s="7" t="str">
        <f>IFERROR(__xludf.DUMMYFUNCTION("REGEXEXTRACT(C41, """"""([^""""]+)"""""")"),"Items.AdvancedNeoFiberLegendary")</f>
        <v>Items.AdvancedNeoFiberLegendary</v>
      </c>
      <c r="F41" s="35" t="s">
        <v>75</v>
      </c>
    </row>
    <row r="42">
      <c r="A42" s="63" t="s">
        <v>381</v>
      </c>
      <c r="B42" s="10" t="s">
        <v>7</v>
      </c>
      <c r="C42" s="10" t="s">
        <v>431</v>
      </c>
      <c r="D42" s="21" t="s">
        <v>391</v>
      </c>
      <c r="E42" s="7" t="str">
        <f>IFERROR(__xludf.DUMMYFUNCTION("REGEXEXTRACT(C42, """"""([^""""]+)"""""")"),"Items.AdvancedReflexRecorderLegendary")</f>
        <v>Items.AdvancedReflexRecorderLegendary</v>
      </c>
      <c r="F42" s="35" t="s">
        <v>75</v>
      </c>
    </row>
    <row r="43">
      <c r="A43" s="63" t="s">
        <v>381</v>
      </c>
      <c r="B43" s="10" t="s">
        <v>7</v>
      </c>
      <c r="C43" s="10" t="s">
        <v>432</v>
      </c>
      <c r="D43" s="21" t="s">
        <v>393</v>
      </c>
      <c r="E43" s="7" t="str">
        <f>IFERROR(__xludf.DUMMYFUNCTION("REGEXEXTRACT(C43, """"""([^""""]+)"""""")"),"Items.AdvancedOilDispenserLegendary")</f>
        <v>Items.AdvancedOilDispenserLegendary</v>
      </c>
      <c r="F43" s="35" t="s">
        <v>75</v>
      </c>
    </row>
    <row r="44">
      <c r="A44" s="63" t="s">
        <v>381</v>
      </c>
      <c r="B44" s="10" t="s">
        <v>7</v>
      </c>
      <c r="C44" s="10" t="s">
        <v>433</v>
      </c>
      <c r="D44" s="21" t="s">
        <v>395</v>
      </c>
      <c r="E44" s="7" t="str">
        <f>IFERROR(__xludf.DUMMYFUNCTION("REGEXEXTRACT(C44, """"""([^""""]+)"""""")"),"Items.AdvancedSynapticAcceleratorLegendary")</f>
        <v>Items.AdvancedSynapticAcceleratorLegendary</v>
      </c>
      <c r="F44" s="35" t="s">
        <v>75</v>
      </c>
    </row>
    <row r="45">
      <c r="A45" s="63" t="s">
        <v>381</v>
      </c>
      <c r="B45" s="10" t="s">
        <v>7</v>
      </c>
      <c r="C45" s="10" t="s">
        <v>434</v>
      </c>
      <c r="D45" s="21" t="s">
        <v>397</v>
      </c>
      <c r="E45" s="7" t="str">
        <f>IFERROR(__xludf.DUMMYFUNCTION("REGEXEXTRACT(C45, """"""([^""""]+)"""""")"),"Items.AdvancedTyrosineInjectorLegendary")</f>
        <v>Items.AdvancedTyrosineInjectorLegendary</v>
      </c>
      <c r="F45" s="35" t="s">
        <v>75</v>
      </c>
    </row>
    <row r="46">
      <c r="A46" s="63" t="s">
        <v>381</v>
      </c>
      <c r="B46" s="10" t="s">
        <v>7</v>
      </c>
      <c r="C46" s="10" t="s">
        <v>435</v>
      </c>
      <c r="D46" s="21" t="s">
        <v>399</v>
      </c>
      <c r="E46" s="7" t="str">
        <f>IFERROR(__xludf.DUMMYFUNCTION("REGEXEXTRACT(C46, """"""([^""""]+)"""""")"),"Items.AdvancedVisualCortexSupportLegendary")</f>
        <v>Items.AdvancedVisualCortexSupportLegendary</v>
      </c>
      <c r="F46" s="35" t="s">
        <v>75</v>
      </c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</sheetData>
  <autoFilter ref="$A$1:$F$84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8.63"/>
    <col customWidth="1" min="4" max="4" width="30.2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64" t="s">
        <v>436</v>
      </c>
      <c r="B2" s="10" t="s">
        <v>7</v>
      </c>
      <c r="C2" s="11" t="s">
        <v>437</v>
      </c>
      <c r="D2" s="12" t="s">
        <v>438</v>
      </c>
      <c r="E2" s="7" t="str">
        <f>IFERROR(__xludf.DUMMYFUNCTION("REGEXEXTRACT(C2, """"""([^""""]+)"""""")"),"Items.AdvancedBionicJointsCommon")</f>
        <v>Items.AdvancedBionicJointsCommon</v>
      </c>
      <c r="F2" s="31" t="s">
        <v>10</v>
      </c>
    </row>
    <row r="3">
      <c r="A3" s="64" t="s">
        <v>436</v>
      </c>
      <c r="B3" s="10" t="s">
        <v>7</v>
      </c>
      <c r="C3" s="11" t="s">
        <v>439</v>
      </c>
      <c r="D3" s="12" t="s">
        <v>440</v>
      </c>
      <c r="E3" s="7" t="str">
        <f>IFERROR(__xludf.DUMMYFUNCTION("REGEXEXTRACT(C3, """"""([^""""]+)"""""")"),"Items.AdvancedDenseMarrowCommon")</f>
        <v>Items.AdvancedDenseMarrowCommon</v>
      </c>
      <c r="F3" s="31" t="s">
        <v>10</v>
      </c>
    </row>
    <row r="4">
      <c r="A4" s="64" t="s">
        <v>436</v>
      </c>
      <c r="B4" s="10" t="s">
        <v>7</v>
      </c>
      <c r="C4" s="11" t="s">
        <v>441</v>
      </c>
      <c r="D4" s="12" t="s">
        <v>442</v>
      </c>
      <c r="E4" s="7" t="str">
        <f>IFERROR(__xludf.DUMMYFUNCTION("REGEXEXTRACT(C4, """"""([^""""]+)"""""")"),"Items.AdvancedBoneMarrowCellsCommon")</f>
        <v>Items.AdvancedBoneMarrowCellsCommon</v>
      </c>
      <c r="F4" s="31" t="s">
        <v>10</v>
      </c>
    </row>
    <row r="5">
      <c r="A5" s="64" t="s">
        <v>436</v>
      </c>
      <c r="B5" s="10" t="s">
        <v>7</v>
      </c>
      <c r="C5" s="11" t="s">
        <v>443</v>
      </c>
      <c r="D5" s="12" t="s">
        <v>444</v>
      </c>
      <c r="E5" s="7" t="str">
        <f>IFERROR(__xludf.DUMMYFUNCTION("REGEXEXTRACT(C5, """"""([^""""]+)"""""")"),"Items.AdvancedT1000Common")</f>
        <v>Items.AdvancedT1000Common</v>
      </c>
      <c r="F5" s="31" t="s">
        <v>10</v>
      </c>
    </row>
    <row r="6">
      <c r="A6" s="64" t="s">
        <v>436</v>
      </c>
      <c r="B6" s="10" t="s">
        <v>7</v>
      </c>
      <c r="C6" s="11" t="s">
        <v>445</v>
      </c>
      <c r="D6" s="12" t="s">
        <v>446</v>
      </c>
      <c r="E6" s="7" t="str">
        <f>IFERROR(__xludf.DUMMYFUNCTION("REGEXEXTRACT(C6, """"""([^""""]+)"""""")"),"Items.AdvancedCompilingSkeletonCommon")</f>
        <v>Items.AdvancedCompilingSkeletonCommon</v>
      </c>
      <c r="F6" s="31" t="s">
        <v>10</v>
      </c>
    </row>
    <row r="7">
      <c r="A7" s="64" t="s">
        <v>436</v>
      </c>
      <c r="B7" s="10" t="s">
        <v>7</v>
      </c>
      <c r="C7" s="11" t="s">
        <v>447</v>
      </c>
      <c r="D7" s="12" t="s">
        <v>448</v>
      </c>
      <c r="E7" s="7" t="str">
        <f>IFERROR(__xludf.DUMMYFUNCTION("REGEXEXTRACT(C7, """"""([^""""]+)"""""")"),"Items.AdvancedNoPainNoGainCommon")</f>
        <v>Items.AdvancedNoPainNoGainCommon</v>
      </c>
      <c r="F7" s="31" t="s">
        <v>10</v>
      </c>
    </row>
    <row r="8">
      <c r="A8" s="64" t="s">
        <v>436</v>
      </c>
      <c r="B8" s="10" t="s">
        <v>7</v>
      </c>
      <c r="C8" s="11" t="s">
        <v>449</v>
      </c>
      <c r="D8" s="12" t="s">
        <v>450</v>
      </c>
      <c r="E8" s="7" t="str">
        <f>IFERROR(__xludf.DUMMYFUNCTION("REGEXEXTRACT(C8, """"""([^""""]+)"""""")"),"Items.AdvancedRapidMuscleNurishCommon")</f>
        <v>Items.AdvancedRapidMuscleNurishCommon</v>
      </c>
      <c r="F8" s="31" t="s">
        <v>10</v>
      </c>
    </row>
    <row r="9">
      <c r="A9" s="64" t="s">
        <v>436</v>
      </c>
      <c r="B9" s="10" t="s">
        <v>7</v>
      </c>
      <c r="C9" s="11" t="s">
        <v>451</v>
      </c>
      <c r="D9" s="12" t="s">
        <v>452</v>
      </c>
      <c r="E9" s="7" t="str">
        <f>IFERROR(__xludf.DUMMYFUNCTION("REGEXEXTRACT(C9, """"""([^""""]+)"""""")"),"Items.AdvancedAgileJointsCommon")</f>
        <v>Items.AdvancedAgileJointsCommon</v>
      </c>
      <c r="F9" s="31" t="s">
        <v>10</v>
      </c>
    </row>
    <row r="10">
      <c r="A10" s="64" t="s">
        <v>436</v>
      </c>
      <c r="B10" s="10" t="s">
        <v>7</v>
      </c>
      <c r="C10" s="11" t="s">
        <v>453</v>
      </c>
      <c r="D10" s="12" t="s">
        <v>454</v>
      </c>
      <c r="E10" s="7" t="str">
        <f>IFERROR(__xludf.DUMMYFUNCTION("REGEXEXTRACT(C10, """"""([^""""]+)"""""")"),"Items.AdvancedTitaniumInfusedBonesCommon")</f>
        <v>Items.AdvancedTitaniumInfusedBonesCommon</v>
      </c>
      <c r="F10" s="31" t="s">
        <v>10</v>
      </c>
    </row>
    <row r="11">
      <c r="A11" s="64" t="s">
        <v>436</v>
      </c>
      <c r="B11" s="10" t="s">
        <v>7</v>
      </c>
      <c r="C11" s="11" t="s">
        <v>455</v>
      </c>
      <c r="D11" s="12" t="s">
        <v>456</v>
      </c>
      <c r="E11" s="7" t="str">
        <f>IFERROR(__xludf.DUMMYFUNCTION("REGEXEXTRACT(C11, """"""([^""""]+)"""""")"),"Items.AdvancedPainDistributorCommon")</f>
        <v>Items.AdvancedPainDistributorCommon</v>
      </c>
      <c r="F11" s="31" t="s">
        <v>10</v>
      </c>
    </row>
    <row r="12">
      <c r="A12" s="65" t="s">
        <v>436</v>
      </c>
      <c r="B12" s="66" t="s">
        <v>374</v>
      </c>
      <c r="C12" s="67" t="s">
        <v>457</v>
      </c>
      <c r="D12" s="68" t="s">
        <v>458</v>
      </c>
      <c r="E12" s="69" t="str">
        <f>IFERROR(__xludf.DUMMYFUNCTION("REGEXEXTRACT(C12, """"""([^""""]+)"""""")"),"Items.AdvancedNeuroMatrixCommon")</f>
        <v>Items.AdvancedNeuroMatrixCommon</v>
      </c>
      <c r="F12" s="70" t="s">
        <v>10</v>
      </c>
    </row>
    <row r="13">
      <c r="A13" s="64" t="s">
        <v>436</v>
      </c>
      <c r="B13" s="10" t="s">
        <v>7</v>
      </c>
      <c r="C13" s="11" t="s">
        <v>459</v>
      </c>
      <c r="D13" s="71" t="s">
        <v>438</v>
      </c>
      <c r="E13" s="7" t="str">
        <f>IFERROR(__xludf.DUMMYFUNCTION("REGEXEXTRACT(C13, """"""([^""""]+)"""""")"),"Items.AdvancedBionicJointsUncommon")</f>
        <v>Items.AdvancedBionicJointsUncommon</v>
      </c>
      <c r="F13" s="32" t="s">
        <v>20</v>
      </c>
    </row>
    <row r="14">
      <c r="A14" s="64" t="s">
        <v>436</v>
      </c>
      <c r="B14" s="10" t="s">
        <v>7</v>
      </c>
      <c r="C14" s="11" t="s">
        <v>460</v>
      </c>
      <c r="D14" s="14" t="s">
        <v>440</v>
      </c>
      <c r="E14" s="7" t="str">
        <f>IFERROR(__xludf.DUMMYFUNCTION("REGEXEXTRACT(C14, """"""([^""""]+)"""""")"),"Items.AdvancedDenseMarrowUncommon")</f>
        <v>Items.AdvancedDenseMarrowUncommon</v>
      </c>
      <c r="F14" s="32" t="s">
        <v>20</v>
      </c>
    </row>
    <row r="15">
      <c r="A15" s="64" t="s">
        <v>436</v>
      </c>
      <c r="B15" s="10" t="s">
        <v>7</v>
      </c>
      <c r="C15" s="11" t="s">
        <v>461</v>
      </c>
      <c r="D15" s="14" t="s">
        <v>442</v>
      </c>
      <c r="E15" s="7" t="str">
        <f>IFERROR(__xludf.DUMMYFUNCTION("REGEXEXTRACT(C15, """"""([^""""]+)"""""")"),"Items.AdvancedBoneMarrowCellsUncommon")</f>
        <v>Items.AdvancedBoneMarrowCellsUncommon</v>
      </c>
      <c r="F15" s="32" t="s">
        <v>20</v>
      </c>
    </row>
    <row r="16">
      <c r="A16" s="64" t="s">
        <v>436</v>
      </c>
      <c r="B16" s="10" t="s">
        <v>7</v>
      </c>
      <c r="C16" s="11" t="s">
        <v>462</v>
      </c>
      <c r="D16" s="14" t="s">
        <v>444</v>
      </c>
      <c r="E16" s="7" t="str">
        <f>IFERROR(__xludf.DUMMYFUNCTION("REGEXEXTRACT(C16, """"""([^""""]+)"""""")"),"Items.AdvancedT1000Uncommon")</f>
        <v>Items.AdvancedT1000Uncommon</v>
      </c>
      <c r="F16" s="32" t="s">
        <v>20</v>
      </c>
    </row>
    <row r="17">
      <c r="A17" s="64" t="s">
        <v>436</v>
      </c>
      <c r="B17" s="10" t="s">
        <v>7</v>
      </c>
      <c r="C17" s="11" t="s">
        <v>463</v>
      </c>
      <c r="D17" s="14" t="s">
        <v>446</v>
      </c>
      <c r="E17" s="7" t="str">
        <f>IFERROR(__xludf.DUMMYFUNCTION("REGEXEXTRACT(C17, """"""([^""""]+)"""""")"),"Items.AdvancedCompilingSkeletonUncommon")</f>
        <v>Items.AdvancedCompilingSkeletonUncommon</v>
      </c>
      <c r="F17" s="32" t="s">
        <v>20</v>
      </c>
    </row>
    <row r="18">
      <c r="A18" s="64" t="s">
        <v>436</v>
      </c>
      <c r="B18" s="10" t="s">
        <v>7</v>
      </c>
      <c r="C18" s="11" t="s">
        <v>464</v>
      </c>
      <c r="D18" s="14" t="s">
        <v>448</v>
      </c>
      <c r="E18" s="7" t="str">
        <f>IFERROR(__xludf.DUMMYFUNCTION("REGEXEXTRACT(C18, """"""([^""""]+)"""""")"),"Items.AdvancedNoPainNoGainUncommon")</f>
        <v>Items.AdvancedNoPainNoGainUncommon</v>
      </c>
      <c r="F18" s="32" t="s">
        <v>20</v>
      </c>
    </row>
    <row r="19">
      <c r="A19" s="64" t="s">
        <v>436</v>
      </c>
      <c r="B19" s="10" t="s">
        <v>7</v>
      </c>
      <c r="C19" s="11" t="s">
        <v>465</v>
      </c>
      <c r="D19" s="14" t="s">
        <v>450</v>
      </c>
      <c r="E19" s="7" t="str">
        <f>IFERROR(__xludf.DUMMYFUNCTION("REGEXEXTRACT(C19, """"""([^""""]+)"""""")"),"Items.AdvancedRapidMuscleNurishUncommon")</f>
        <v>Items.AdvancedRapidMuscleNurishUncommon</v>
      </c>
      <c r="F19" s="32" t="s">
        <v>20</v>
      </c>
    </row>
    <row r="20">
      <c r="A20" s="64" t="s">
        <v>436</v>
      </c>
      <c r="B20" s="10" t="s">
        <v>7</v>
      </c>
      <c r="C20" s="11" t="s">
        <v>466</v>
      </c>
      <c r="D20" s="71" t="s">
        <v>467</v>
      </c>
      <c r="E20" s="7" t="str">
        <f>IFERROR(__xludf.DUMMYFUNCTION("REGEXEXTRACT(C20, """"""([^""""]+)"""""")"),"Items.AdvancedAgileJointsUncommon")</f>
        <v>Items.AdvancedAgileJointsUncommon</v>
      </c>
      <c r="F20" s="32" t="s">
        <v>20</v>
      </c>
    </row>
    <row r="21">
      <c r="A21" s="64" t="s">
        <v>436</v>
      </c>
      <c r="B21" s="10" t="s">
        <v>7</v>
      </c>
      <c r="C21" s="11" t="s">
        <v>468</v>
      </c>
      <c r="D21" s="14" t="s">
        <v>454</v>
      </c>
      <c r="E21" s="7" t="str">
        <f>IFERROR(__xludf.DUMMYFUNCTION("REGEXEXTRACT(C21, """"""([^""""]+)"""""")"),"Items.AdvancedTitaniumInfusedBonesUncommon")</f>
        <v>Items.AdvancedTitaniumInfusedBonesUncommon</v>
      </c>
      <c r="F21" s="32" t="s">
        <v>20</v>
      </c>
    </row>
    <row r="22">
      <c r="A22" s="64" t="s">
        <v>436</v>
      </c>
      <c r="B22" s="10" t="s">
        <v>7</v>
      </c>
      <c r="C22" s="11" t="s">
        <v>469</v>
      </c>
      <c r="D22" s="14" t="s">
        <v>456</v>
      </c>
      <c r="E22" s="7" t="str">
        <f>IFERROR(__xludf.DUMMYFUNCTION("REGEXEXTRACT(C22, """"""([^""""]+)"""""")"),"Items.AdvancedPainDistributorUncommon")</f>
        <v>Items.AdvancedPainDistributorUncommon</v>
      </c>
      <c r="F22" s="32" t="s">
        <v>20</v>
      </c>
    </row>
    <row r="23">
      <c r="A23" s="65" t="s">
        <v>436</v>
      </c>
      <c r="B23" s="66" t="s">
        <v>374</v>
      </c>
      <c r="C23" s="67" t="s">
        <v>470</v>
      </c>
      <c r="D23" s="55" t="s">
        <v>458</v>
      </c>
      <c r="E23" s="69" t="str">
        <f>IFERROR(__xludf.DUMMYFUNCTION("REGEXEXTRACT(C23, """"""([^""""]+)"""""")"),"Items.AdvancedNeuroMatrixUncommon")</f>
        <v>Items.AdvancedNeuroMatrixUncommon</v>
      </c>
      <c r="F23" s="72" t="s">
        <v>20</v>
      </c>
    </row>
    <row r="24">
      <c r="A24" s="64" t="s">
        <v>436</v>
      </c>
      <c r="B24" s="10" t="s">
        <v>7</v>
      </c>
      <c r="C24" s="11" t="s">
        <v>471</v>
      </c>
      <c r="D24" s="18" t="s">
        <v>438</v>
      </c>
      <c r="E24" s="7" t="str">
        <f>IFERROR(__xludf.DUMMYFUNCTION("REGEXEXTRACT(C24, """"""([^""""]+)"""""")"),"Items.AdvancedBionicJointsRare")</f>
        <v>Items.AdvancedBionicJointsRare</v>
      </c>
      <c r="F24" s="33" t="s">
        <v>37</v>
      </c>
    </row>
    <row r="25">
      <c r="A25" s="64" t="s">
        <v>436</v>
      </c>
      <c r="B25" s="10" t="s">
        <v>7</v>
      </c>
      <c r="C25" s="11" t="s">
        <v>472</v>
      </c>
      <c r="D25" s="18" t="s">
        <v>440</v>
      </c>
      <c r="E25" s="7" t="str">
        <f>IFERROR(__xludf.DUMMYFUNCTION("REGEXEXTRACT(C25, """"""([^""""]+)"""""")"),"Items.AdvancedDenseMarrowRare")</f>
        <v>Items.AdvancedDenseMarrowRare</v>
      </c>
      <c r="F25" s="33" t="s">
        <v>37</v>
      </c>
    </row>
    <row r="26">
      <c r="A26" s="64" t="s">
        <v>436</v>
      </c>
      <c r="B26" s="10" t="s">
        <v>7</v>
      </c>
      <c r="C26" s="11" t="s">
        <v>473</v>
      </c>
      <c r="D26" s="18" t="s">
        <v>442</v>
      </c>
      <c r="E26" s="7" t="str">
        <f>IFERROR(__xludf.DUMMYFUNCTION("REGEXEXTRACT(C26, """"""([^""""]+)"""""")"),"Items.AdvancedBoneMarrowCellsRare")</f>
        <v>Items.AdvancedBoneMarrowCellsRare</v>
      </c>
      <c r="F26" s="33" t="s">
        <v>37</v>
      </c>
    </row>
    <row r="27">
      <c r="A27" s="64" t="s">
        <v>436</v>
      </c>
      <c r="B27" s="10" t="s">
        <v>7</v>
      </c>
      <c r="C27" s="11" t="s">
        <v>474</v>
      </c>
      <c r="D27" s="18" t="s">
        <v>444</v>
      </c>
      <c r="E27" s="7" t="str">
        <f>IFERROR(__xludf.DUMMYFUNCTION("REGEXEXTRACT(C27, """"""([^""""]+)"""""")"),"Items.AdvancedT1000Rare")</f>
        <v>Items.AdvancedT1000Rare</v>
      </c>
      <c r="F27" s="33" t="s">
        <v>37</v>
      </c>
    </row>
    <row r="28">
      <c r="A28" s="64" t="s">
        <v>436</v>
      </c>
      <c r="B28" s="10" t="s">
        <v>7</v>
      </c>
      <c r="C28" s="11" t="s">
        <v>475</v>
      </c>
      <c r="D28" s="18" t="s">
        <v>446</v>
      </c>
      <c r="E28" s="7" t="str">
        <f>IFERROR(__xludf.DUMMYFUNCTION("REGEXEXTRACT(C28, """"""([^""""]+)"""""")"),"Items.AdvancedCompilingSkeletonRare")</f>
        <v>Items.AdvancedCompilingSkeletonRare</v>
      </c>
      <c r="F28" s="33" t="s">
        <v>37</v>
      </c>
    </row>
    <row r="29">
      <c r="A29" s="64" t="s">
        <v>436</v>
      </c>
      <c r="B29" s="10" t="s">
        <v>7</v>
      </c>
      <c r="C29" s="11" t="s">
        <v>476</v>
      </c>
      <c r="D29" s="18" t="s">
        <v>448</v>
      </c>
      <c r="E29" s="7" t="str">
        <f>IFERROR(__xludf.DUMMYFUNCTION("REGEXEXTRACT(C29, """"""([^""""]+)"""""")"),"Items.AdvancedNoPainNoGainRare")</f>
        <v>Items.AdvancedNoPainNoGainRare</v>
      </c>
      <c r="F29" s="33" t="s">
        <v>37</v>
      </c>
    </row>
    <row r="30">
      <c r="A30" s="64" t="s">
        <v>436</v>
      </c>
      <c r="B30" s="10" t="s">
        <v>7</v>
      </c>
      <c r="C30" s="11" t="s">
        <v>477</v>
      </c>
      <c r="D30" s="18" t="s">
        <v>450</v>
      </c>
      <c r="E30" s="7" t="str">
        <f>IFERROR(__xludf.DUMMYFUNCTION("REGEXEXTRACT(C30, """"""([^""""]+)"""""")"),"Items.AdvancedRapidMuscleNurishRare")</f>
        <v>Items.AdvancedRapidMuscleNurishRare</v>
      </c>
      <c r="F30" s="33" t="s">
        <v>37</v>
      </c>
    </row>
    <row r="31">
      <c r="A31" s="64" t="s">
        <v>436</v>
      </c>
      <c r="B31" s="10" t="s">
        <v>7</v>
      </c>
      <c r="C31" s="11" t="s">
        <v>478</v>
      </c>
      <c r="D31" s="18" t="s">
        <v>452</v>
      </c>
      <c r="E31" s="7" t="str">
        <f>IFERROR(__xludf.DUMMYFUNCTION("REGEXEXTRACT(C31, """"""([^""""]+)"""""")"),"Items.AdvancedAgileJointsRare")</f>
        <v>Items.AdvancedAgileJointsRare</v>
      </c>
      <c r="F31" s="33" t="s">
        <v>37</v>
      </c>
    </row>
    <row r="32">
      <c r="A32" s="64" t="s">
        <v>436</v>
      </c>
      <c r="B32" s="10" t="s">
        <v>7</v>
      </c>
      <c r="C32" s="11" t="s">
        <v>479</v>
      </c>
      <c r="D32" s="18" t="s">
        <v>454</v>
      </c>
      <c r="E32" s="7" t="str">
        <f>IFERROR(__xludf.DUMMYFUNCTION("REGEXEXTRACT(C32, """"""([^""""]+)"""""")"),"Items.AdvancedTitaniumInfusedBonesRare")</f>
        <v>Items.AdvancedTitaniumInfusedBonesRare</v>
      </c>
      <c r="F32" s="33" t="s">
        <v>37</v>
      </c>
    </row>
    <row r="33">
      <c r="A33" s="64" t="s">
        <v>436</v>
      </c>
      <c r="B33" s="10" t="s">
        <v>7</v>
      </c>
      <c r="C33" s="11" t="s">
        <v>480</v>
      </c>
      <c r="D33" s="18" t="s">
        <v>456</v>
      </c>
      <c r="E33" s="7" t="str">
        <f>IFERROR(__xludf.DUMMYFUNCTION("REGEXEXTRACT(C33, """"""([^""""]+)"""""")"),"Items.AdvancedPainDistributorRare")</f>
        <v>Items.AdvancedPainDistributorRare</v>
      </c>
      <c r="F33" s="33" t="s">
        <v>37</v>
      </c>
    </row>
    <row r="34">
      <c r="A34" s="65" t="s">
        <v>436</v>
      </c>
      <c r="B34" s="66" t="s">
        <v>374</v>
      </c>
      <c r="C34" s="67" t="s">
        <v>481</v>
      </c>
      <c r="D34" s="57" t="s">
        <v>458</v>
      </c>
      <c r="E34" s="69" t="str">
        <f>IFERROR(__xludf.DUMMYFUNCTION("REGEXEXTRACT(C34, """"""([^""""]+)"""""")"),"Items.AdvancedNeuroMatrixRare")</f>
        <v>Items.AdvancedNeuroMatrixRare</v>
      </c>
      <c r="F34" s="73" t="s">
        <v>37</v>
      </c>
    </row>
    <row r="35">
      <c r="A35" s="64" t="s">
        <v>436</v>
      </c>
      <c r="B35" s="10" t="s">
        <v>7</v>
      </c>
      <c r="C35" s="11" t="s">
        <v>482</v>
      </c>
      <c r="D35" s="20" t="s">
        <v>438</v>
      </c>
      <c r="E35" s="7" t="str">
        <f>IFERROR(__xludf.DUMMYFUNCTION("REGEXEXTRACT(C35, """"""([^""""]+)"""""")"),"Items.AdvancedBionicJointsEpic")</f>
        <v>Items.AdvancedBionicJointsEpic</v>
      </c>
      <c r="F35" s="34" t="s">
        <v>53</v>
      </c>
    </row>
    <row r="36">
      <c r="A36" s="64" t="s">
        <v>436</v>
      </c>
      <c r="B36" s="10" t="s">
        <v>7</v>
      </c>
      <c r="C36" s="11" t="s">
        <v>483</v>
      </c>
      <c r="D36" s="20" t="s">
        <v>440</v>
      </c>
      <c r="E36" s="7" t="str">
        <f>IFERROR(__xludf.DUMMYFUNCTION("REGEXEXTRACT(C36, """"""([^""""]+)"""""")"),"Items.AdvancedDenseMarrowEpic")</f>
        <v>Items.AdvancedDenseMarrowEpic</v>
      </c>
      <c r="F36" s="34" t="s">
        <v>53</v>
      </c>
    </row>
    <row r="37">
      <c r="A37" s="64" t="s">
        <v>436</v>
      </c>
      <c r="B37" s="10" t="s">
        <v>7</v>
      </c>
      <c r="C37" s="11" t="s">
        <v>484</v>
      </c>
      <c r="D37" s="20" t="s">
        <v>485</v>
      </c>
      <c r="E37" s="7" t="str">
        <f>IFERROR(__xludf.DUMMYFUNCTION("REGEXEXTRACT(C37, """"""([^""""]+)"""""")"),"Items.AdvancedEndoskeletonEpic")</f>
        <v>Items.AdvancedEndoskeletonEpic</v>
      </c>
      <c r="F37" s="34" t="s">
        <v>53</v>
      </c>
    </row>
    <row r="38">
      <c r="A38" s="64" t="s">
        <v>436</v>
      </c>
      <c r="B38" s="10" t="s">
        <v>7</v>
      </c>
      <c r="C38" s="11" t="s">
        <v>486</v>
      </c>
      <c r="D38" s="20" t="s">
        <v>442</v>
      </c>
      <c r="E38" s="7" t="str">
        <f>IFERROR(__xludf.DUMMYFUNCTION("REGEXEXTRACT(C38, """"""([^""""]+)"""""")"),"Items.AdvancedBoneMarrowCellsEpic")</f>
        <v>Items.AdvancedBoneMarrowCellsEpic</v>
      </c>
      <c r="F38" s="34" t="s">
        <v>53</v>
      </c>
    </row>
    <row r="39">
      <c r="A39" s="64" t="s">
        <v>436</v>
      </c>
      <c r="B39" s="10" t="s">
        <v>7</v>
      </c>
      <c r="C39" s="11" t="s">
        <v>487</v>
      </c>
      <c r="D39" s="20" t="s">
        <v>444</v>
      </c>
      <c r="E39" s="7" t="str">
        <f>IFERROR(__xludf.DUMMYFUNCTION("REGEXEXTRACT(C39, """"""([^""""]+)"""""")"),"Items.AdvancedT1000Epic")</f>
        <v>Items.AdvancedT1000Epic</v>
      </c>
      <c r="F39" s="34" t="s">
        <v>53</v>
      </c>
    </row>
    <row r="40">
      <c r="A40" s="64" t="s">
        <v>436</v>
      </c>
      <c r="B40" s="10" t="s">
        <v>7</v>
      </c>
      <c r="C40" s="11" t="s">
        <v>488</v>
      </c>
      <c r="D40" s="20" t="s">
        <v>446</v>
      </c>
      <c r="E40" s="7" t="str">
        <f>IFERROR(__xludf.DUMMYFUNCTION("REGEXEXTRACT(C40, """"""([^""""]+)"""""")"),"Items.AdvancedCompilingSkeletonEpic")</f>
        <v>Items.AdvancedCompilingSkeletonEpic</v>
      </c>
      <c r="F40" s="34" t="s">
        <v>53</v>
      </c>
    </row>
    <row r="41">
      <c r="A41" s="64" t="s">
        <v>436</v>
      </c>
      <c r="B41" s="10" t="s">
        <v>7</v>
      </c>
      <c r="C41" s="11" t="s">
        <v>489</v>
      </c>
      <c r="D41" s="20" t="s">
        <v>448</v>
      </c>
      <c r="E41" s="7" t="str">
        <f>IFERROR(__xludf.DUMMYFUNCTION("REGEXEXTRACT(C41, """"""([^""""]+)"""""")"),"Items.AdvancedNoPainNoGainEpic")</f>
        <v>Items.AdvancedNoPainNoGainEpic</v>
      </c>
      <c r="F41" s="34" t="s">
        <v>53</v>
      </c>
    </row>
    <row r="42">
      <c r="A42" s="64" t="s">
        <v>436</v>
      </c>
      <c r="B42" s="10" t="s">
        <v>7</v>
      </c>
      <c r="C42" s="11" t="s">
        <v>490</v>
      </c>
      <c r="D42" s="20" t="s">
        <v>450</v>
      </c>
      <c r="E42" s="7" t="str">
        <f>IFERROR(__xludf.DUMMYFUNCTION("REGEXEXTRACT(C42, """"""([^""""]+)"""""")"),"Items.AdvancedRapidMuscleNurishEpic")</f>
        <v>Items.AdvancedRapidMuscleNurishEpic</v>
      </c>
      <c r="F42" s="34" t="s">
        <v>53</v>
      </c>
    </row>
    <row r="43">
      <c r="A43" s="64" t="s">
        <v>436</v>
      </c>
      <c r="B43" s="10" t="s">
        <v>7</v>
      </c>
      <c r="C43" s="11" t="s">
        <v>491</v>
      </c>
      <c r="D43" s="20" t="s">
        <v>452</v>
      </c>
      <c r="E43" s="7" t="str">
        <f>IFERROR(__xludf.DUMMYFUNCTION("REGEXEXTRACT(C43, """"""([^""""]+)"""""")"),"Items.AdvancedAgileJointsEpic")</f>
        <v>Items.AdvancedAgileJointsEpic</v>
      </c>
      <c r="F43" s="34" t="s">
        <v>53</v>
      </c>
    </row>
    <row r="44">
      <c r="A44" s="64" t="s">
        <v>436</v>
      </c>
      <c r="B44" s="10" t="s">
        <v>7</v>
      </c>
      <c r="C44" s="11" t="s">
        <v>492</v>
      </c>
      <c r="D44" s="20" t="s">
        <v>454</v>
      </c>
      <c r="E44" s="7" t="str">
        <f>IFERROR(__xludf.DUMMYFUNCTION("REGEXEXTRACT(C44, """"""([^""""]+)"""""")"),"Items.AdvancedTitaniumInfusedBonesEpic")</f>
        <v>Items.AdvancedTitaniumInfusedBonesEpic</v>
      </c>
      <c r="F44" s="34" t="s">
        <v>53</v>
      </c>
    </row>
    <row r="45">
      <c r="A45" s="64" t="s">
        <v>436</v>
      </c>
      <c r="B45" s="10" t="s">
        <v>7</v>
      </c>
      <c r="C45" s="11" t="s">
        <v>493</v>
      </c>
      <c r="D45" s="20" t="s">
        <v>456</v>
      </c>
      <c r="E45" s="7" t="str">
        <f>IFERROR(__xludf.DUMMYFUNCTION("REGEXEXTRACT(C45, """"""([^""""]+)"""""")"),"Items.AdvancedPainDistributorEpic")</f>
        <v>Items.AdvancedPainDistributorEpic</v>
      </c>
      <c r="F45" s="34" t="s">
        <v>53</v>
      </c>
    </row>
    <row r="46">
      <c r="A46" s="65" t="s">
        <v>436</v>
      </c>
      <c r="B46" s="66" t="s">
        <v>374</v>
      </c>
      <c r="C46" s="67" t="s">
        <v>494</v>
      </c>
      <c r="D46" s="59" t="s">
        <v>458</v>
      </c>
      <c r="E46" s="69" t="str">
        <f>IFERROR(__xludf.DUMMYFUNCTION("REGEXEXTRACT(C46, """"""([^""""]+)"""""")"),"Items.AdvancedNeuroMatrixEpic")</f>
        <v>Items.AdvancedNeuroMatrixEpic</v>
      </c>
      <c r="F46" s="74" t="s">
        <v>53</v>
      </c>
    </row>
    <row r="47">
      <c r="A47" s="64" t="s">
        <v>436</v>
      </c>
      <c r="B47" s="10" t="s">
        <v>7</v>
      </c>
      <c r="C47" s="11" t="s">
        <v>495</v>
      </c>
      <c r="D47" s="21" t="s">
        <v>438</v>
      </c>
      <c r="E47" s="7" t="str">
        <f>IFERROR(__xludf.DUMMYFUNCTION("REGEXEXTRACT(C47, """"""([^""""]+)"""""")"),"Items.AdvancedBionicJointsLegendary")</f>
        <v>Items.AdvancedBionicJointsLegendary</v>
      </c>
      <c r="F47" s="35" t="s">
        <v>75</v>
      </c>
    </row>
    <row r="48">
      <c r="A48" s="64" t="s">
        <v>436</v>
      </c>
      <c r="B48" s="10" t="s">
        <v>7</v>
      </c>
      <c r="C48" s="11" t="s">
        <v>496</v>
      </c>
      <c r="D48" s="21" t="s">
        <v>440</v>
      </c>
      <c r="E48" s="7" t="str">
        <f>IFERROR(__xludf.DUMMYFUNCTION("REGEXEXTRACT(C48, """"""([^""""]+)"""""")"),"Items.AdvancedDenseMarrowLegendary")</f>
        <v>Items.AdvancedDenseMarrowLegendary</v>
      </c>
      <c r="F48" s="35" t="s">
        <v>75</v>
      </c>
    </row>
    <row r="49">
      <c r="A49" s="64" t="s">
        <v>436</v>
      </c>
      <c r="B49" s="10" t="s">
        <v>7</v>
      </c>
      <c r="C49" s="11" t="s">
        <v>497</v>
      </c>
      <c r="D49" s="21" t="s">
        <v>485</v>
      </c>
      <c r="E49" s="7" t="str">
        <f>IFERROR(__xludf.DUMMYFUNCTION("REGEXEXTRACT(C49, """"""([^""""]+)"""""")"),"Items.AdvancedEndoskeletonLegendary")</f>
        <v>Items.AdvancedEndoskeletonLegendary</v>
      </c>
      <c r="F49" s="35" t="s">
        <v>75</v>
      </c>
    </row>
    <row r="50">
      <c r="A50" s="64" t="s">
        <v>436</v>
      </c>
      <c r="B50" s="10" t="s">
        <v>7</v>
      </c>
      <c r="C50" s="11" t="s">
        <v>498</v>
      </c>
      <c r="D50" s="21" t="s">
        <v>442</v>
      </c>
      <c r="E50" s="7" t="str">
        <f>IFERROR(__xludf.DUMMYFUNCTION("REGEXEXTRACT(C50, """"""([^""""]+)"""""")"),"Items.AdvancedBoneMarrowCellsLegendary")</f>
        <v>Items.AdvancedBoneMarrowCellsLegendary</v>
      </c>
      <c r="F50" s="35" t="s">
        <v>75</v>
      </c>
    </row>
    <row r="51">
      <c r="A51" s="64" t="s">
        <v>436</v>
      </c>
      <c r="B51" s="10" t="s">
        <v>7</v>
      </c>
      <c r="C51" s="11" t="s">
        <v>499</v>
      </c>
      <c r="D51" s="21" t="s">
        <v>444</v>
      </c>
      <c r="E51" s="7" t="str">
        <f>IFERROR(__xludf.DUMMYFUNCTION("REGEXEXTRACT(C51, """"""([^""""]+)"""""")"),"Items.AdvancedT1000Legendary")</f>
        <v>Items.AdvancedT1000Legendary</v>
      </c>
      <c r="F51" s="35" t="s">
        <v>75</v>
      </c>
    </row>
    <row r="52">
      <c r="A52" s="64" t="s">
        <v>436</v>
      </c>
      <c r="B52" s="10" t="s">
        <v>7</v>
      </c>
      <c r="C52" s="11" t="s">
        <v>500</v>
      </c>
      <c r="D52" s="21" t="s">
        <v>446</v>
      </c>
      <c r="E52" s="7" t="str">
        <f>IFERROR(__xludf.DUMMYFUNCTION("REGEXEXTRACT(C52, """"""([^""""]+)"""""")"),"Items.AdvancedCompilingSkeletonLegendary")</f>
        <v>Items.AdvancedCompilingSkeletonLegendary</v>
      </c>
      <c r="F52" s="35" t="s">
        <v>75</v>
      </c>
    </row>
    <row r="53">
      <c r="A53" s="64" t="s">
        <v>436</v>
      </c>
      <c r="B53" s="10" t="s">
        <v>7</v>
      </c>
      <c r="C53" s="11" t="s">
        <v>501</v>
      </c>
      <c r="D53" s="21" t="s">
        <v>448</v>
      </c>
      <c r="E53" s="7" t="str">
        <f>IFERROR(__xludf.DUMMYFUNCTION("REGEXEXTRACT(C53, """"""([^""""]+)"""""")"),"Items.AdvancedNoPainNoGain_Legendary")</f>
        <v>Items.AdvancedNoPainNoGain_Legendary</v>
      </c>
      <c r="F53" s="35" t="s">
        <v>75</v>
      </c>
    </row>
    <row r="54">
      <c r="A54" s="75" t="s">
        <v>436</v>
      </c>
      <c r="B54" s="27" t="s">
        <v>7</v>
      </c>
      <c r="C54" s="76" t="s">
        <v>502</v>
      </c>
      <c r="D54" s="77" t="s">
        <v>450</v>
      </c>
      <c r="E54" s="78" t="str">
        <f>IFERROR(__xludf.DUMMYFUNCTION("REGEXEXTRACT(C54, """"""([^""""]+)"""""")"),"Items.AdvancedRapidMuscleNurishLegendary")</f>
        <v>Items.AdvancedRapidMuscleNurishLegendary</v>
      </c>
      <c r="F54" s="79" t="s">
        <v>75</v>
      </c>
    </row>
    <row r="55">
      <c r="A55" s="64" t="s">
        <v>436</v>
      </c>
      <c r="B55" s="30" t="s">
        <v>7</v>
      </c>
      <c r="C55" s="80" t="s">
        <v>503</v>
      </c>
      <c r="D55" s="81" t="s">
        <v>452</v>
      </c>
      <c r="E55" s="82" t="str">
        <f>IFERROR(__xludf.DUMMYFUNCTION("REGEXEXTRACT(C55, """"""([^""""]+)"""""")"),"Items.AdvancedAgileJointsLegendary")</f>
        <v>Items.AdvancedAgileJointsLegendary</v>
      </c>
      <c r="F55" s="21" t="s">
        <v>75</v>
      </c>
    </row>
    <row r="56">
      <c r="A56" s="64" t="s">
        <v>436</v>
      </c>
      <c r="B56" s="30" t="s">
        <v>7</v>
      </c>
      <c r="C56" s="80" t="s">
        <v>504</v>
      </c>
      <c r="D56" s="81" t="s">
        <v>454</v>
      </c>
      <c r="E56" s="82" t="str">
        <f>IFERROR(__xludf.DUMMYFUNCTION("REGEXEXTRACT(C56, """"""([^""""]+)"""""")"),"Items.AdvancedTitaniumInfusedBonesLegendary")</f>
        <v>Items.AdvancedTitaniumInfusedBonesLegendary</v>
      </c>
      <c r="F56" s="21" t="s">
        <v>75</v>
      </c>
    </row>
    <row r="57">
      <c r="A57" s="64" t="s">
        <v>436</v>
      </c>
      <c r="B57" s="30" t="s">
        <v>7</v>
      </c>
      <c r="C57" s="80" t="s">
        <v>505</v>
      </c>
      <c r="D57" s="81" t="s">
        <v>456</v>
      </c>
      <c r="E57" s="82" t="str">
        <f>IFERROR(__xludf.DUMMYFUNCTION("REGEXEXTRACT(C57, """"""([^""""]+)"""""")"),"Items.AdvancedPainDistributorLegendary")</f>
        <v>Items.AdvancedPainDistributorLegendary</v>
      </c>
      <c r="F57" s="21" t="s">
        <v>75</v>
      </c>
    </row>
    <row r="58">
      <c r="A58" s="83" t="s">
        <v>436</v>
      </c>
      <c r="B58" s="84" t="s">
        <v>374</v>
      </c>
      <c r="C58" s="52" t="s">
        <v>506</v>
      </c>
      <c r="D58" s="85" t="s">
        <v>458</v>
      </c>
      <c r="E58" s="54" t="str">
        <f>IFERROR(__xludf.DUMMYFUNCTION("REGEXEXTRACT(C58, """"""([^""""]+)"""""")"),"Items.AdvancedNeuroMatrixLegendary")</f>
        <v>Items.AdvancedNeuroMatrixLegendary</v>
      </c>
      <c r="F58" s="86" t="s">
        <v>75</v>
      </c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</sheetData>
  <autoFilter ref="$A$1:$F$725">
    <sortState ref="A1:F725">
      <sortCondition ref="F1:F725"/>
    </sortState>
  </autoFilter>
  <drawing r:id="rId1"/>
</worksheet>
</file>