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7265375a49d5c208/Desktop/"/>
    </mc:Choice>
  </mc:AlternateContent>
  <xr:revisionPtr revIDLastSave="90" documentId="8_{05E99CAA-B359-45DC-A111-EF04409D49A4}" xr6:coauthVersionLast="47" xr6:coauthVersionMax="47" xr10:uidLastSave="{A6864360-B14B-4DB5-B72D-60653B5672A5}"/>
  <bookViews>
    <workbookView xWindow="3900" yWindow="144" windowWidth="17280" windowHeight="11868" activeTab="1" xr2:uid="{A2C27F6A-31B6-4E9D-99E6-B8C492A94B18}"/>
  </bookViews>
  <sheets>
    <sheet name="Amazon Graphs" sheetId="4" r:id="rId1"/>
    <sheet name="AmazonSalesData Analysis" sheetId="1" r:id="rId2"/>
    <sheet name="Conversion" sheetId="5" r:id="rId3"/>
  </sheet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2" i="1" l="1"/>
  <c r="AH23" i="1"/>
  <c r="AH21" i="1"/>
  <c r="AH19" i="1"/>
  <c r="AH18" i="1"/>
  <c r="AI8" i="1"/>
  <c r="AI7" i="1"/>
  <c r="AI6" i="1"/>
  <c r="AI5" i="1"/>
  <c r="AI4" i="1"/>
  <c r="N102" i="1"/>
  <c r="R35" i="1"/>
  <c r="R36" i="1"/>
  <c r="R30" i="1"/>
  <c r="P2" i="1" a="1"/>
  <c r="P2" i="1"/>
  <c r="R2" i="1" s="1" a="1"/>
  <c r="R2" i="1" s="1"/>
  <c r="AA11" i="1"/>
  <c r="AA10" i="1"/>
  <c r="AA9" i="1"/>
  <c r="AA3" i="1"/>
  <c r="Z3" i="1"/>
  <c r="W2" i="1" a="1"/>
  <c r="W2" i="1"/>
  <c r="X2" i="1" a="1"/>
  <c r="X2" i="1" s="1"/>
  <c r="Q22" i="1"/>
  <c r="S22" i="1" s="1"/>
  <c r="T22" i="1" s="1"/>
  <c r="Q21" i="1"/>
  <c r="S21" i="1" s="1"/>
  <c r="T21" i="1" s="1"/>
  <c r="Q25" i="1"/>
  <c r="Q26" i="1" s="1"/>
  <c r="S26" i="1" s="1"/>
  <c r="T26" i="1" s="1"/>
  <c r="Q23" i="1"/>
  <c r="AA8" i="1"/>
  <c r="AA7" i="1"/>
  <c r="Q2" i="1" a="1"/>
  <c r="Q2" i="1" s="1"/>
  <c r="H105" i="1"/>
  <c r="F8" i="5"/>
  <c r="E8" i="5"/>
  <c r="D105" i="1"/>
  <c r="C5" i="5"/>
  <c r="C2" i="5"/>
  <c r="C3" i="5"/>
  <c r="C4" i="5"/>
  <c r="N106" i="1"/>
  <c r="N107" i="1"/>
  <c r="Z2" i="1" l="1"/>
  <c r="AA2" i="1"/>
  <c r="Q24" i="1"/>
  <c r="S24" i="1" s="1"/>
  <c r="T24" i="1" s="1"/>
  <c r="S23" i="1"/>
  <c r="T23" i="1" s="1"/>
  <c r="F4" i="5"/>
  <c r="E4" i="5"/>
  <c r="F3" i="5"/>
  <c r="E3" i="5"/>
  <c r="F2" i="5"/>
  <c r="E2" i="5"/>
  <c r="F5" i="5"/>
  <c r="E5" i="5"/>
  <c r="F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<sst xmlns="http://schemas.openxmlformats.org/spreadsheetml/2006/main" count="616" uniqueCount="186">
  <si>
    <t>Row Labels</t>
  </si>
  <si>
    <t>Sum of Total Profit</t>
  </si>
  <si>
    <t>Asia</t>
  </si>
  <si>
    <t>Australia and Oceania</t>
  </si>
  <si>
    <t>Central America and the Caribbean</t>
  </si>
  <si>
    <t>Europe</t>
  </si>
  <si>
    <t>Middle East and North Africa</t>
  </si>
  <si>
    <t>North America</t>
  </si>
  <si>
    <t>Sub-Saharan Africa</t>
  </si>
  <si>
    <t>Grand Total</t>
  </si>
  <si>
    <t>Baby Food</t>
  </si>
  <si>
    <t>Beverages</t>
  </si>
  <si>
    <t>Cereal</t>
  </si>
  <si>
    <t>Clothes</t>
  </si>
  <si>
    <t>Cosmetics</t>
  </si>
  <si>
    <t>Fruits</t>
  </si>
  <si>
    <t>Household</t>
  </si>
  <si>
    <t>Meat</t>
  </si>
  <si>
    <t>Office Supplies</t>
  </si>
  <si>
    <t>Personal Care</t>
  </si>
  <si>
    <t>Snacks</t>
  </si>
  <si>
    <t>Vegetables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</si>
  <si>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</si>
  <si>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</si>
  <si>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</si>
  <si>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</si>
  <si>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</si>
  <si>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</si>
  <si>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</si>
  <si>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</si>
  <si>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</si>
  <si>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</si>
  <si>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</si>
  <si>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</si>
  <si>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</si>
  <si>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</si>
  <si>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Item Types</t>
  </si>
  <si>
    <t>Item Amount</t>
  </si>
  <si>
    <t>Item Types Total Profit</t>
  </si>
  <si>
    <t>US-Mean</t>
  </si>
  <si>
    <t>(US-Mean)^2</t>
  </si>
  <si>
    <t>Variance (Sample)</t>
  </si>
  <si>
    <t>Standard Deviation (sd)</t>
  </si>
  <si>
    <t>Tuvalu</t>
  </si>
  <si>
    <t>Offline</t>
  </si>
  <si>
    <t>H</t>
  </si>
  <si>
    <t>Grenada</t>
  </si>
  <si>
    <t>Online</t>
  </si>
  <si>
    <t>C</t>
  </si>
  <si>
    <t>Russia</t>
  </si>
  <si>
    <t>L</t>
  </si>
  <si>
    <t>Sao Tome and Principe</t>
  </si>
  <si>
    <t>Rwanda</t>
  </si>
  <si>
    <t>Summary (Units Sold)</t>
  </si>
  <si>
    <t>Solomon Islands</t>
  </si>
  <si>
    <t>Mean</t>
  </si>
  <si>
    <t>Angola</t>
  </si>
  <si>
    <t>M</t>
  </si>
  <si>
    <t>Median</t>
  </si>
  <si>
    <t>Burkina Faso</t>
  </si>
  <si>
    <t>Mode</t>
  </si>
  <si>
    <t>Republic of the Congo</t>
  </si>
  <si>
    <t>Max</t>
  </si>
  <si>
    <t>Senegal</t>
  </si>
  <si>
    <t>Min</t>
  </si>
  <si>
    <t>Kyrgyzstan</t>
  </si>
  <si>
    <t>Cape Verde</t>
  </si>
  <si>
    <t>On Average, the amount of Units Sold is 5128, with a deviation of 2794.</t>
  </si>
  <si>
    <t>Bangladesh</t>
  </si>
  <si>
    <t>The units sold to range from (2334,7922), showing it has a good variaebility.</t>
  </si>
  <si>
    <t>Honduras</t>
  </si>
  <si>
    <t>Mongolia</t>
  </si>
  <si>
    <t>For the following table, since we do not have a Budget, let's pretend the total cost is the budget.</t>
  </si>
  <si>
    <t>Bulgaria</t>
  </si>
  <si>
    <t xml:space="preserve"> Since we have a low profit margin, we can see that we do not have record breaking profits.</t>
  </si>
  <si>
    <t>Sri Lanka</t>
  </si>
  <si>
    <t>Cameroon</t>
  </si>
  <si>
    <t>Turkmenistan</t>
  </si>
  <si>
    <t>Key Metrics</t>
  </si>
  <si>
    <t>Results</t>
  </si>
  <si>
    <t>Target</t>
  </si>
  <si>
    <t>Actual-Target</t>
  </si>
  <si>
    <t>Actual-Target%</t>
  </si>
  <si>
    <t>East Timor</t>
  </si>
  <si>
    <t>Norway</t>
  </si>
  <si>
    <t>Budget</t>
  </si>
  <si>
    <t>Portugal</t>
  </si>
  <si>
    <t>Profit-Loss (Total Profit)</t>
  </si>
  <si>
    <t>Profit Margin (TP/Budget)</t>
  </si>
  <si>
    <t>New Zealand</t>
  </si>
  <si>
    <t>Revenue of Cosmetics</t>
  </si>
  <si>
    <t>N/A</t>
  </si>
  <si>
    <t xml:space="preserve">Moldova </t>
  </si>
  <si>
    <t>Market Share of Cosmetics in Data</t>
  </si>
  <si>
    <t>France</t>
  </si>
  <si>
    <t>Kiribati</t>
  </si>
  <si>
    <t>Mali</t>
  </si>
  <si>
    <t xml:space="preserve">In 2020, Amazon made 386 billion USD while the total e-commerce industry made 815 billion USD. </t>
  </si>
  <si>
    <t>Market Share in 2020(Billions, USD):</t>
  </si>
  <si>
    <t>The Gambia</t>
  </si>
  <si>
    <t>Switzerland</t>
  </si>
  <si>
    <t>South Sudan</t>
  </si>
  <si>
    <t>Findings: Amazon made up almost half of all profits within the e-commerce industry.</t>
  </si>
  <si>
    <t>Australia</t>
  </si>
  <si>
    <t>Myanmar</t>
  </si>
  <si>
    <t>Correlation Between Unit Price over Unit Sold:</t>
  </si>
  <si>
    <t>Djibouti</t>
  </si>
  <si>
    <t>Correlation Between Units Sold and Total Profit:</t>
  </si>
  <si>
    <t>Costa 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</si>
  <si>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</si>
  <si>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</si>
  <si>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</si>
  <si>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</si>
  <si>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</si>
  <si>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</si>
  <si>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</si>
  <si>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</si>
  <si>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</si>
  <si>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</si>
  <si>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</si>
  <si>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</si>
  <si>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</si>
  <si>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</si>
  <si>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</si>
  <si>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</si>
  <si>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</si>
  <si>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</si>
  <si>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</si>
  <si>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</si>
  <si>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</si>
  <si>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</si>
  <si>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</si>
  <si>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</si>
  <si>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</si>
  <si>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</si>
  <si>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</si>
  <si>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</si>
  <si>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</si>
  <si>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</si>
  <si>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</si>
  <si>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</si>
  <si>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</si>
  <si>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</si>
  <si>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</si>
  <si>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</si>
  <si>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</si>
  <si>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</si>
  <si>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</si>
  <si>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</si>
  <si>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</si>
  <si>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</si>
  <si>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Total</t>
  </si>
  <si>
    <t>Amount of Cosmetics:</t>
  </si>
  <si>
    <t xml:space="preserve">Total Amount of Sales: </t>
  </si>
  <si>
    <t>Sum of Total Profits:</t>
  </si>
  <si>
    <t>Credits: https://www.youtube.com/watch?v=npgbI8KYvN8&amp;t=1s</t>
  </si>
  <si>
    <t>Amount</t>
  </si>
  <si>
    <t>Unit</t>
  </si>
  <si>
    <t>Amount (millions)</t>
  </si>
  <si>
    <t>currency name</t>
  </si>
  <si>
    <t>currency USD</t>
  </si>
  <si>
    <t>currency MEX</t>
  </si>
  <si>
    <t>Billions</t>
  </si>
  <si>
    <t>USD</t>
  </si>
  <si>
    <t>Millions</t>
  </si>
  <si>
    <t>MEX</t>
  </si>
  <si>
    <t>Practicing Conversions</t>
  </si>
  <si>
    <t>Since we have over 30 samples, the data should be almost normally distributed.</t>
  </si>
  <si>
    <t>Observation</t>
  </si>
  <si>
    <t>Skeweness</t>
  </si>
  <si>
    <t>Kurtosis</t>
  </si>
  <si>
    <t>JB</t>
  </si>
  <si>
    <t>Pvalue</t>
  </si>
  <si>
    <t xml:space="preserve">ALTERNATE HYPOTHESIS: It is likely that the data is not normally distributed. </t>
  </si>
  <si>
    <t>NULL HYPOTHESIS: The data is likely normally distributed.</t>
  </si>
  <si>
    <t>Since the p-value &gt; 0.05, we fail to reject the null hypothes. This shows that the data may be normally distributed.</t>
  </si>
  <si>
    <t>https://www.statology.org/normality-test-excel/</t>
  </si>
  <si>
    <t>Now we will see the upper and lower percentiles of Units Sold</t>
  </si>
  <si>
    <t>Mean:</t>
  </si>
  <si>
    <t>SD:</t>
  </si>
  <si>
    <t>Let's perform a Normality Test just in case. Keep in mind that since we are looking at normal distribution,</t>
  </si>
  <si>
    <t>If the data is normally distributed, we treat the calculations as if it were the population data.</t>
  </si>
  <si>
    <t>x &lt; or equal to 5128 (mean)</t>
  </si>
  <si>
    <t>x &gt; 7000</t>
  </si>
  <si>
    <t>x &lt; 7000</t>
  </si>
  <si>
    <t>https://www.statology.org/normal-distribution-probability-excel/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</si>
</sst>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164" formatCode="[$$-80A]#,##0.00"/>
    <numFmt numFmtId="165" formatCode="_([$$-409]* #,##0.00_);_([$$-409]* \(#,##0.00\);_([$$-409]* &quot;-&quot;??_);_(@_)"/>
    <numFmt numFmtId="166" formatCode="&quot;$&quot;#,##0"/>
    <numFmt numFmtId="167" formatCode="&quot;$&quot;#,##0.00"/>
  </numFmts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  <font>
      <u/>
      <sz val="11"/>
      <color theme="1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19" fillId="35" borderId="10" xfId="0" applyFont="1" applyFill="1" applyBorder="1"/>
    <xf numFmtId="0" fontId="19" fillId="0" borderId="10" xfId="0" applyFont="1" applyBorder="1"/>
    <xf numFmtId="0" fontId="18" fillId="34" borderId="11" xfId="0" applyFont="1" applyFill="1" applyBorder="1"/>
    <xf numFmtId="0" fontId="19" fillId="35" borderId="12" xfId="0" applyFont="1" applyFill="1" applyBorder="1"/>
    <xf numFmtId="0" fontId="0" fillId="0" borderId="12" xfId="0" applyBorder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36" borderId="0" xfId="0" applyFill="1"/>
    <xf numFmtId="0" fontId="20" fillId="33" borderId="0" xfId="0" applyFont="1" applyFill="1"/>
    <xf numFmtId="2" fontId="0" fillId="0" borderId="0" xfId="0" applyNumberFormat="1"/>
    <xf numFmtId="8" fontId="0" fillId="0" borderId="0" xfId="0" applyNumberFormat="1"/>
    <xf numFmtId="6" fontId="0" fillId="0" borderId="0" xfId="0" applyNumberFormat="1"/>
    <xf numFmtId="0" fontId="21" fillId="0" borderId="0" xfId="0" applyFont="1"/>
    <xf numFmtId="0" fontId="20" fillId="0" borderId="0" xfId="0" applyFont="1"/>
    <xf numFmtId="0" fontId="22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diagonalUp="0" diagonalDown="0" outline="0">
        <left/>
        <right/>
        <top style="thin">
          <color rgb="FF44B3E1"/>
        </top>
        <bottom/>
      </border>
    </dxf>
    <dxf>
      <numFmt numFmtId="0" formatCode="General"/>
    </dxf>
    <dxf>
      <border diagonalUp="0" diagonalDown="0" outline="0">
        <left/>
        <right/>
        <top style="thin">
          <color rgb="FF44B3E1"/>
        </top>
        <bottom/>
      </border>
    </dxf>
    <dxf>
      <numFmt numFmtId="0" formatCode="General"/>
    </dxf>
    <dxf>
      <border diagonalUp="0" diagonalDown="0" outline="0">
        <left/>
        <right/>
        <top style="thin">
          <color rgb="FF44B3E1"/>
        </top>
        <bottom/>
      </border>
    </dxf>
    <dxf>
      <border diagonalUp="0" diagonalDown="0" outline="0">
        <left/>
        <right/>
        <top style="thin">
          <color rgb="FF44B3E1"/>
        </top>
        <bottom/>
      </border>
    </dxf>
    <dxf>
      <numFmt numFmtId="0" formatCode="General"/>
    </dxf>
    <dxf>
      <border diagonalUp="0" diagonalDown="0" outline="0">
        <left/>
        <right/>
        <top style="thin">
          <color rgb="FF44B3E1"/>
        </top>
        <bottom/>
      </border>
    </dxf>
    <dxf>
      <border diagonalUp="0" diagonalDown="0" outline="0">
        <left/>
        <right/>
        <top style="thin">
          <color rgb="FF44B3E1"/>
        </top>
        <bottom/>
      </border>
    </dxf>
    <dxf>
      <border outline="0">
        <top style="thin">
          <color rgb="FF44B3E1"/>
        </top>
      </border>
    </dxf>
    <dxf>
      <border outline="0">
        <left style="thin">
          <color rgb="FF44B3E1"/>
        </left>
        <right style="thin">
          <color rgb="FF44B3E1"/>
        </right>
        <top style="thin">
          <color rgb="FF44B3E1"/>
        </top>
        <bottom style="thin">
          <color rgb="FF44B3E1"/>
        </bottom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ptos Narrow"/>
        <family val="2"/>
        <scheme val="none"/>
      </font>
      <fill>
        <patternFill patternType="solid">
          <fgColor rgb="FF156082"/>
          <bgColor rgb="FF156082"/>
        </patternFill>
      </fill>
      <alignment horizontal="general" vertical="bottom" textRotation="0" wrapText="0" indent="0" justifyLastLine="0" shrinkToFit="0" readingOrder="0"/>
    </dxf>
    <dxf>
      <numFmt numFmtId="19" formatCode="m/d/yyyy"/>
    </dxf>
    <dxf>
      <numFmt numFmtId="19" formatCode="m/d/yyyy"/>
    </dxf>
    <dxf>
      <fill>
        <patternFill patternType="solid">
          <fgColor indexed="64"/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[AmazonSalesData - Analysis.xlsx]Amazon Graphs!PivotTable30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'Amazon Graphs'!$B$3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'Amazon Graphs'!$A$4:$A$11</c:f>
              <c:strCache>
                <c:ptCount val="7"/>
                <c:pt idx="0">
                  <c:v>Asia</c:v>
                </c:pt>
                <c:pt idx="1">
                  <c:v>Australia and Oceania</c:v>
                </c:pt>
                <c:pt idx="2">
                  <c:v>Central America and the Caribbean</c:v>
                </c:pt>
                <c:pt idx="3">
                  <c:v>Europe</c:v>
                </c:pt>
                <c:pt idx="4">
                  <c:v>Middle East and North Africa</c:v>
                </c:pt>
                <c:pt idx="5">
                  <c:v>North America</c:v>
                </c:pt>
                <c:pt idx="6">
                  <c:v>Sub-Saharan Africa</c:v>
                </c:pt>
              </c:strCache>
            </c:strRef>
          </c:cat>
          <c:val>
            <c:numRef>
              <c:f>'Amazon Graphs'!$B$4:$B$11</c:f>
              <c:numCache>
                <c:formatCode>General</c:formatCode>
                <c:ptCount val="7"/>
                <c:pt idx="0">
                  <c:v>6113845.8700000001</c:v>
                </c:pt>
                <c:pt idx="1">
                  <c:v>4722160.03</c:v>
                </c:pt>
                <c:pt idx="2">
                  <c:v>2846907.85</c:v>
                </c:pt>
                <c:pt idx="3">
                  <c:v>11082938.629999999</c:v>
                </c:pt>
                <c:pt idx="4">
                  <c:v>5761191.8599999994</c:v>
                </c:pt>
                <c:pt idx="5">
                  <c:v>1457942.76</c:v>
                </c:pt>
                <c:pt idx="6">
                  <c:v>12183211.400000004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D9-4068-8C9C-C12F4B46E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242303"/>
        <c:axId val="1075244223"/>
      </c:barChart>
      <c:catAx>
        <c:axId val="107524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44223"/>
        <c:crosses val="autoZero"/>
        <c:auto val="1"/>
        <c:lblAlgn val="ctr"/>
        <c:lblOffset val="100"/>
        <c:noMultiLvlLbl val="0"/>
      </c:catAx>
      <c:valAx>
        <c:axId val="107524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4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[AmazonSalesData - Analysis.xlsx]Amazon Graphs!PivotTable31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'Amazon Graphs'!$B$19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'Amazon Graphs'!$A$20:$A$32</c:f>
              <c:strCache>
                <c:ptCount val="12"/>
                <c:pt idx="0">
                  <c:v>Baby Food</c:v>
                </c:pt>
                <c:pt idx="1">
                  <c:v>Beverages</c:v>
                </c:pt>
                <c:pt idx="2">
                  <c:v>Cereal</c:v>
                </c:pt>
                <c:pt idx="3">
                  <c:v>Clothes</c:v>
                </c:pt>
                <c:pt idx="4">
                  <c:v>Cosmetics</c:v>
                </c:pt>
                <c:pt idx="5">
                  <c:v>Fruits</c:v>
                </c:pt>
                <c:pt idx="6">
                  <c:v>Household</c:v>
                </c:pt>
                <c:pt idx="7">
                  <c:v>Meat</c:v>
                </c:pt>
                <c:pt idx="8">
                  <c:v>Office Supplies</c:v>
                </c:pt>
                <c:pt idx="9">
                  <c:v>Personal Care</c:v>
                </c:pt>
                <c:pt idx="10">
                  <c:v>Snacks</c:v>
                </c:pt>
                <c:pt idx="11">
                  <c:v>Vegetables</c:v>
                </c:pt>
              </c:strCache>
            </c:strRef>
          </c:cat>
          <c:val>
            <c:numRef>
              <c:f>'Amazon Graphs'!$B$20:$B$32</c:f>
              <c:numCache>
                <c:formatCode>General</c:formatCode>
                <c:ptCount val="12"/>
                <c:pt idx="0">
                  <c:v>3886643.7</c:v>
                </c:pt>
                <c:pt idx="1">
                  <c:v>888047.27999999991</c:v>
                </c:pt>
                <c:pt idx="2">
                  <c:v>2292443.4299999997</c:v>
                </c:pt>
                <c:pt idx="3">
                  <c:v>5233334.4000000004</c:v>
                </c:pt>
                <c:pt idx="4">
                  <c:v>14556048.66</c:v>
                </c:pt>
                <c:pt idx="5">
                  <c:v>120495.18</c:v>
                </c:pt>
                <c:pt idx="6">
                  <c:v>7412605.7100000009</c:v>
                </c:pt>
                <c:pt idx="7">
                  <c:v>610610</c:v>
                </c:pt>
                <c:pt idx="8">
                  <c:v>5929583.75</c:v>
                </c:pt>
                <c:pt idx="9">
                  <c:v>1220622.48</c:v>
                </c:pt>
                <c:pt idx="10">
                  <c:v>751944.18</c:v>
                </c:pt>
                <c:pt idx="11">
                  <c:v>1265819.6300000001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E3-4ECE-9F70-735BEDE4A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32050063"/>
        <c:axId val="1832051023"/>
      </c:barChart>
      <c:catAx>
        <c:axId val="1832050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051023"/>
        <c:crosses val="autoZero"/>
        <c:auto val="1"/>
        <c:lblAlgn val="ctr"/>
        <c:lblOffset val="100"/>
        <c:noMultiLvlLbl val="0"/>
      </c:catAx>
      <c:valAx>
        <c:axId val="183205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05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'AmazonSalesData Analysis'!$Q$1</c:f>
              <c:strCache>
                <c:ptCount val="1"/>
                <c:pt idx="0">
                  <c:v>Item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55-4D27-B92A-9B1EC2D361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55-4D27-B92A-9B1EC2D361A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E55-4D27-B92A-9B1EC2D361A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E55-4D27-B92A-9B1EC2D361A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E55-4D27-B92A-9B1EC2D361A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E55-4D27-B92A-9B1EC2D361A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E55-4D27-B92A-9B1EC2D361A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E55-4D27-B92A-9B1EC2D361A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BE55-4D27-B92A-9B1EC2D361A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BE55-4D27-B92A-9B1EC2D361A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BE55-4D27-B92A-9B1EC2D361A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BE55-4D27-B92A-9B1EC2D361A3}"/>
              </c:ext>
            </c:extLst>
          </c:dPt>
          <c:cat>
            <c:strRef>
              <c:f>'AmazonSalesData Analysis'!$P$2:$P$13</c:f>
              <c:strCache>
                <c:ptCount val="12"/>
                <c:pt idx="0">
                  <c:v>Baby Food</c:v>
                </c:pt>
                <c:pt idx="1">
                  <c:v>Cereal</c:v>
                </c:pt>
                <c:pt idx="2">
                  <c:v>Office Supplies</c:v>
                </c:pt>
                <c:pt idx="3">
                  <c:v>Fruits</c:v>
                </c:pt>
                <c:pt idx="4">
                  <c:v>Household</c:v>
                </c:pt>
                <c:pt idx="5">
                  <c:v>Vegetables</c:v>
                </c:pt>
                <c:pt idx="6">
                  <c:v>Personal Care</c:v>
                </c:pt>
                <c:pt idx="7">
                  <c:v>Clothes</c:v>
                </c:pt>
                <c:pt idx="8">
                  <c:v>Cosmetics</c:v>
                </c:pt>
                <c:pt idx="9">
                  <c:v>Beverages</c:v>
                </c:pt>
                <c:pt idx="10">
                  <c:v>Meat</c:v>
                </c:pt>
                <c:pt idx="11">
                  <c:v>Snacks</c:v>
                </c:pt>
              </c:strCache>
            </c:strRef>
          </c:cat>
          <c:val>
            <c:numRef>
              <c:f>'AmazonSalesData Analysis'!$Q$2:$Q$13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12</c:v>
                </c:pt>
                <c:pt idx="3">
                  <c:v>10</c:v>
                </c:pt>
                <c:pt idx="4">
                  <c:v>9</c:v>
                </c:pt>
                <c:pt idx="5">
                  <c:v>6</c:v>
                </c:pt>
                <c:pt idx="6">
                  <c:v>10</c:v>
                </c:pt>
                <c:pt idx="7">
                  <c:v>13</c:v>
                </c:pt>
                <c:pt idx="8">
                  <c:v>13</c:v>
                </c:pt>
                <c:pt idx="9">
                  <c:v>8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E55-4D27-B92A-9B1EC2D36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between Unit Prices and 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'AmazonSalesData Analysis'!$J$1</c:f>
              <c:strCache>
                <c:ptCount val="1"/>
                <c:pt idx="0">
                  <c:v>Unit Price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9922790901137356"/>
                  <c:y val="-0.230560294546515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'AmazonSalesData Analysis'!$I$2:$I$143</c:f>
              <c:numCache>
                <c:formatCode>General</c:formatCode>
                <c:ptCount val="142"/>
                <c:pt idx="0">
                  <c:v>9925</c:v>
                </c:pt>
                <c:pt idx="1">
                  <c:v>2804</c:v>
                </c:pt>
                <c:pt idx="2">
                  <c:v>1779</c:v>
                </c:pt>
                <c:pt idx="3">
                  <c:v>8102</c:v>
                </c:pt>
                <c:pt idx="4">
                  <c:v>5062</c:v>
                </c:pt>
                <c:pt idx="5">
                  <c:v>2974</c:v>
                </c:pt>
                <c:pt idx="6">
                  <c:v>4187</c:v>
                </c:pt>
                <c:pt idx="7">
                  <c:v>8082</c:v>
                </c:pt>
                <c:pt idx="8">
                  <c:v>6070</c:v>
                </c:pt>
                <c:pt idx="9">
                  <c:v>6593</c:v>
                </c:pt>
                <c:pt idx="10">
                  <c:v>124</c:v>
                </c:pt>
                <c:pt idx="11">
                  <c:v>4168</c:v>
                </c:pt>
                <c:pt idx="12">
                  <c:v>8263</c:v>
                </c:pt>
                <c:pt idx="13">
                  <c:v>8974</c:v>
                </c:pt>
                <c:pt idx="14">
                  <c:v>4901</c:v>
                </c:pt>
                <c:pt idx="15">
                  <c:v>1673</c:v>
                </c:pt>
                <c:pt idx="16">
                  <c:v>6952</c:v>
                </c:pt>
                <c:pt idx="17">
                  <c:v>5430</c:v>
                </c:pt>
                <c:pt idx="18">
                  <c:v>3830</c:v>
                </c:pt>
                <c:pt idx="19">
                  <c:v>5908</c:v>
                </c:pt>
                <c:pt idx="20">
                  <c:v>7450</c:v>
                </c:pt>
                <c:pt idx="21">
                  <c:v>1273</c:v>
                </c:pt>
                <c:pt idx="22">
                  <c:v>2225</c:v>
                </c:pt>
                <c:pt idx="23">
                  <c:v>2187</c:v>
                </c:pt>
                <c:pt idx="24">
                  <c:v>5070</c:v>
                </c:pt>
                <c:pt idx="25">
                  <c:v>1815</c:v>
                </c:pt>
                <c:pt idx="26">
                  <c:v>5398</c:v>
                </c:pt>
                <c:pt idx="27">
                  <c:v>5822</c:v>
                </c:pt>
                <c:pt idx="28">
                  <c:v>5124</c:v>
                </c:pt>
                <c:pt idx="29">
                  <c:v>2370</c:v>
                </c:pt>
                <c:pt idx="30">
                  <c:v>8661</c:v>
                </c:pt>
                <c:pt idx="31">
                  <c:v>2125</c:v>
                </c:pt>
                <c:pt idx="32">
                  <c:v>2924</c:v>
                </c:pt>
                <c:pt idx="33">
                  <c:v>8250</c:v>
                </c:pt>
                <c:pt idx="34">
                  <c:v>7327</c:v>
                </c:pt>
                <c:pt idx="35">
                  <c:v>6409</c:v>
                </c:pt>
                <c:pt idx="36">
                  <c:v>3784</c:v>
                </c:pt>
                <c:pt idx="37">
                  <c:v>4767</c:v>
                </c:pt>
                <c:pt idx="38">
                  <c:v>6708</c:v>
                </c:pt>
                <c:pt idx="39">
                  <c:v>3987</c:v>
                </c:pt>
                <c:pt idx="40">
                  <c:v>3015</c:v>
                </c:pt>
                <c:pt idx="41">
                  <c:v>7234</c:v>
                </c:pt>
                <c:pt idx="42">
                  <c:v>2117</c:v>
                </c:pt>
                <c:pt idx="43">
                  <c:v>171</c:v>
                </c:pt>
                <c:pt idx="44">
                  <c:v>5930</c:v>
                </c:pt>
                <c:pt idx="45">
                  <c:v>962</c:v>
                </c:pt>
                <c:pt idx="46">
                  <c:v>8867</c:v>
                </c:pt>
                <c:pt idx="47">
                  <c:v>273</c:v>
                </c:pt>
                <c:pt idx="48">
                  <c:v>7842</c:v>
                </c:pt>
                <c:pt idx="49">
                  <c:v>1266</c:v>
                </c:pt>
                <c:pt idx="50">
                  <c:v>2269</c:v>
                </c:pt>
                <c:pt idx="51">
                  <c:v>9606</c:v>
                </c:pt>
                <c:pt idx="52">
                  <c:v>4063</c:v>
                </c:pt>
                <c:pt idx="53">
                  <c:v>3457</c:v>
                </c:pt>
                <c:pt idx="54">
                  <c:v>7637</c:v>
                </c:pt>
                <c:pt idx="55">
                  <c:v>3482</c:v>
                </c:pt>
                <c:pt idx="56">
                  <c:v>9905</c:v>
                </c:pt>
                <c:pt idx="57">
                  <c:v>2847</c:v>
                </c:pt>
                <c:pt idx="58">
                  <c:v>282</c:v>
                </c:pt>
                <c:pt idx="59">
                  <c:v>7215</c:v>
                </c:pt>
                <c:pt idx="60">
                  <c:v>682</c:v>
                </c:pt>
                <c:pt idx="61">
                  <c:v>4750</c:v>
                </c:pt>
                <c:pt idx="62">
                  <c:v>5518</c:v>
                </c:pt>
                <c:pt idx="63">
                  <c:v>6116</c:v>
                </c:pt>
                <c:pt idx="64">
                  <c:v>1705</c:v>
                </c:pt>
                <c:pt idx="65">
                  <c:v>4477</c:v>
                </c:pt>
                <c:pt idx="66">
                  <c:v>8656</c:v>
                </c:pt>
                <c:pt idx="67">
                  <c:v>5498</c:v>
                </c:pt>
                <c:pt idx="68">
                  <c:v>8287</c:v>
                </c:pt>
                <c:pt idx="69">
                  <c:v>7342</c:v>
                </c:pt>
                <c:pt idx="70">
                  <c:v>5010</c:v>
                </c:pt>
                <c:pt idx="71">
                  <c:v>673</c:v>
                </c:pt>
                <c:pt idx="72">
                  <c:v>5741</c:v>
                </c:pt>
                <c:pt idx="73">
                  <c:v>8656</c:v>
                </c:pt>
                <c:pt idx="74">
                  <c:v>9892</c:v>
                </c:pt>
                <c:pt idx="75">
                  <c:v>6954</c:v>
                </c:pt>
                <c:pt idx="76">
                  <c:v>9379</c:v>
                </c:pt>
                <c:pt idx="77">
                  <c:v>3732</c:v>
                </c:pt>
                <c:pt idx="78">
                  <c:v>8614</c:v>
                </c:pt>
                <c:pt idx="79">
                  <c:v>9654</c:v>
                </c:pt>
                <c:pt idx="80">
                  <c:v>4513</c:v>
                </c:pt>
                <c:pt idx="81">
                  <c:v>7884</c:v>
                </c:pt>
                <c:pt idx="82">
                  <c:v>6489</c:v>
                </c:pt>
                <c:pt idx="83">
                  <c:v>4085</c:v>
                </c:pt>
                <c:pt idx="84">
                  <c:v>6457</c:v>
                </c:pt>
                <c:pt idx="85">
                  <c:v>6422</c:v>
                </c:pt>
                <c:pt idx="86">
                  <c:v>8829</c:v>
                </c:pt>
                <c:pt idx="87">
                  <c:v>5559</c:v>
                </c:pt>
                <c:pt idx="88">
                  <c:v>522</c:v>
                </c:pt>
                <c:pt idx="89">
                  <c:v>4660</c:v>
                </c:pt>
                <c:pt idx="90">
                  <c:v>948</c:v>
                </c:pt>
                <c:pt idx="91">
                  <c:v>9389</c:v>
                </c:pt>
                <c:pt idx="92">
                  <c:v>2021</c:v>
                </c:pt>
                <c:pt idx="93">
                  <c:v>7910</c:v>
                </c:pt>
                <c:pt idx="94">
                  <c:v>8156</c:v>
                </c:pt>
                <c:pt idx="95">
                  <c:v>888</c:v>
                </c:pt>
                <c:pt idx="96">
                  <c:v>6267</c:v>
                </c:pt>
                <c:pt idx="97">
                  <c:v>1485</c:v>
                </c:pt>
                <c:pt idx="98">
                  <c:v>5767</c:v>
                </c:pt>
                <c:pt idx="99">
                  <c:v>5367</c:v>
                </c:pt>
              </c:numCache>
            </c:numRef>
          </c:xVal>
          <c:yVal>
            <c:numRef>
              <c:f>'AmazonSalesData Analysis'!$J$2:$J$143</c:f>
              <c:numCache>
                <c:formatCode>General</c:formatCode>
                <c:ptCount val="142"/>
                <c:pt idx="0">
                  <c:v>255.28</c:v>
                </c:pt>
                <c:pt idx="1">
                  <c:v>205.7</c:v>
                </c:pt>
                <c:pt idx="2">
                  <c:v>651.21</c:v>
                </c:pt>
                <c:pt idx="3">
                  <c:v>9.33</c:v>
                </c:pt>
                <c:pt idx="4">
                  <c:v>651.21</c:v>
                </c:pt>
                <c:pt idx="5">
                  <c:v>255.28</c:v>
                </c:pt>
                <c:pt idx="6">
                  <c:v>668.27</c:v>
                </c:pt>
                <c:pt idx="7">
                  <c:v>154.06</c:v>
                </c:pt>
                <c:pt idx="8">
                  <c:v>81.73</c:v>
                </c:pt>
                <c:pt idx="9">
                  <c:v>205.7</c:v>
                </c:pt>
                <c:pt idx="10">
                  <c:v>154.06</c:v>
                </c:pt>
                <c:pt idx="11">
                  <c:v>109.28</c:v>
                </c:pt>
                <c:pt idx="12">
                  <c:v>109.28</c:v>
                </c:pt>
                <c:pt idx="13">
                  <c:v>668.27</c:v>
                </c:pt>
                <c:pt idx="14">
                  <c:v>81.73</c:v>
                </c:pt>
                <c:pt idx="15">
                  <c:v>109.28</c:v>
                </c:pt>
                <c:pt idx="16">
                  <c:v>437.2</c:v>
                </c:pt>
                <c:pt idx="17">
                  <c:v>47.45</c:v>
                </c:pt>
                <c:pt idx="18">
                  <c:v>668.27</c:v>
                </c:pt>
                <c:pt idx="19">
                  <c:v>421.89</c:v>
                </c:pt>
                <c:pt idx="20">
                  <c:v>255.28</c:v>
                </c:pt>
                <c:pt idx="21">
                  <c:v>255.28</c:v>
                </c:pt>
                <c:pt idx="22">
                  <c:v>152.58000000000001</c:v>
                </c:pt>
                <c:pt idx="23">
                  <c:v>9.33</c:v>
                </c:pt>
                <c:pt idx="24">
                  <c:v>81.73</c:v>
                </c:pt>
                <c:pt idx="25">
                  <c:v>437.2</c:v>
                </c:pt>
                <c:pt idx="26">
                  <c:v>9.33</c:v>
                </c:pt>
                <c:pt idx="27">
                  <c:v>9.33</c:v>
                </c:pt>
                <c:pt idx="28">
                  <c:v>47.45</c:v>
                </c:pt>
                <c:pt idx="29">
                  <c:v>668.27</c:v>
                </c:pt>
                <c:pt idx="30">
                  <c:v>437.2</c:v>
                </c:pt>
                <c:pt idx="31">
                  <c:v>81.73</c:v>
                </c:pt>
                <c:pt idx="32">
                  <c:v>651.21</c:v>
                </c:pt>
                <c:pt idx="33">
                  <c:v>668.27</c:v>
                </c:pt>
                <c:pt idx="34">
                  <c:v>152.58000000000001</c:v>
                </c:pt>
                <c:pt idx="35">
                  <c:v>81.73</c:v>
                </c:pt>
                <c:pt idx="36">
                  <c:v>9.33</c:v>
                </c:pt>
                <c:pt idx="37">
                  <c:v>421.89</c:v>
                </c:pt>
                <c:pt idx="38">
                  <c:v>651.21</c:v>
                </c:pt>
                <c:pt idx="39">
                  <c:v>651.21</c:v>
                </c:pt>
                <c:pt idx="40">
                  <c:v>81.73</c:v>
                </c:pt>
                <c:pt idx="41">
                  <c:v>437.2</c:v>
                </c:pt>
                <c:pt idx="42">
                  <c:v>205.7</c:v>
                </c:pt>
                <c:pt idx="43">
                  <c:v>154.06</c:v>
                </c:pt>
                <c:pt idx="44">
                  <c:v>109.28</c:v>
                </c:pt>
                <c:pt idx="45">
                  <c:v>205.7</c:v>
                </c:pt>
                <c:pt idx="46">
                  <c:v>437.2</c:v>
                </c:pt>
                <c:pt idx="47">
                  <c:v>81.73</c:v>
                </c:pt>
                <c:pt idx="48">
                  <c:v>109.28</c:v>
                </c:pt>
                <c:pt idx="49">
                  <c:v>651.21</c:v>
                </c:pt>
                <c:pt idx="50">
                  <c:v>109.28</c:v>
                </c:pt>
                <c:pt idx="51">
                  <c:v>9.33</c:v>
                </c:pt>
                <c:pt idx="52">
                  <c:v>205.7</c:v>
                </c:pt>
                <c:pt idx="53">
                  <c:v>651.21</c:v>
                </c:pt>
                <c:pt idx="54">
                  <c:v>9.33</c:v>
                </c:pt>
                <c:pt idx="55">
                  <c:v>109.28</c:v>
                </c:pt>
                <c:pt idx="56">
                  <c:v>109.28</c:v>
                </c:pt>
                <c:pt idx="57">
                  <c:v>437.2</c:v>
                </c:pt>
                <c:pt idx="58">
                  <c:v>668.27</c:v>
                </c:pt>
                <c:pt idx="59">
                  <c:v>437.2</c:v>
                </c:pt>
                <c:pt idx="60">
                  <c:v>205.7</c:v>
                </c:pt>
                <c:pt idx="61">
                  <c:v>255.28</c:v>
                </c:pt>
                <c:pt idx="62">
                  <c:v>651.21</c:v>
                </c:pt>
                <c:pt idx="63">
                  <c:v>109.28</c:v>
                </c:pt>
                <c:pt idx="64">
                  <c:v>437.2</c:v>
                </c:pt>
                <c:pt idx="65">
                  <c:v>437.2</c:v>
                </c:pt>
                <c:pt idx="66">
                  <c:v>81.73</c:v>
                </c:pt>
                <c:pt idx="67">
                  <c:v>109.28</c:v>
                </c:pt>
                <c:pt idx="68">
                  <c:v>651.21</c:v>
                </c:pt>
                <c:pt idx="69">
                  <c:v>109.28</c:v>
                </c:pt>
                <c:pt idx="70">
                  <c:v>651.21</c:v>
                </c:pt>
                <c:pt idx="71">
                  <c:v>9.33</c:v>
                </c:pt>
                <c:pt idx="72">
                  <c:v>47.45</c:v>
                </c:pt>
                <c:pt idx="73">
                  <c:v>205.7</c:v>
                </c:pt>
                <c:pt idx="74">
                  <c:v>437.2</c:v>
                </c:pt>
                <c:pt idx="75">
                  <c:v>668.27</c:v>
                </c:pt>
                <c:pt idx="76">
                  <c:v>47.45</c:v>
                </c:pt>
                <c:pt idx="77">
                  <c:v>154.06</c:v>
                </c:pt>
                <c:pt idx="78">
                  <c:v>255.28</c:v>
                </c:pt>
                <c:pt idx="79">
                  <c:v>437.2</c:v>
                </c:pt>
                <c:pt idx="80">
                  <c:v>668.27</c:v>
                </c:pt>
                <c:pt idx="81">
                  <c:v>109.28</c:v>
                </c:pt>
                <c:pt idx="82">
                  <c:v>437.2</c:v>
                </c:pt>
                <c:pt idx="83">
                  <c:v>152.58000000000001</c:v>
                </c:pt>
                <c:pt idx="84">
                  <c:v>154.06</c:v>
                </c:pt>
                <c:pt idx="85">
                  <c:v>81.73</c:v>
                </c:pt>
                <c:pt idx="86">
                  <c:v>47.45</c:v>
                </c:pt>
                <c:pt idx="87">
                  <c:v>255.28</c:v>
                </c:pt>
                <c:pt idx="88">
                  <c:v>9.33</c:v>
                </c:pt>
                <c:pt idx="89">
                  <c:v>47.45</c:v>
                </c:pt>
                <c:pt idx="90">
                  <c:v>651.21</c:v>
                </c:pt>
                <c:pt idx="91">
                  <c:v>47.45</c:v>
                </c:pt>
                <c:pt idx="92">
                  <c:v>651.21</c:v>
                </c:pt>
                <c:pt idx="93">
                  <c:v>437.2</c:v>
                </c:pt>
                <c:pt idx="94">
                  <c:v>47.45</c:v>
                </c:pt>
                <c:pt idx="95">
                  <c:v>109.28</c:v>
                </c:pt>
                <c:pt idx="96">
                  <c:v>9.33</c:v>
                </c:pt>
                <c:pt idx="97">
                  <c:v>154.06</c:v>
                </c:pt>
                <c:pt idx="98">
                  <c:v>81.73</c:v>
                </c:pt>
                <c:pt idx="99">
                  <c:v>668.27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FD-43FD-9E9C-8CF93EA81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684296"/>
        <c:axId val="1742575112"/>
      </c:scatterChart>
      <c:valAx>
        <c:axId val="1676684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070BF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 Prices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575112"/>
        <c:crosses val="autoZero"/>
        <c:crossBetween val="midCat"/>
      </c:valAx>
      <c:valAx>
        <c:axId val="1742575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684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</xdr:row>
      <xdr:rowOff>171450</xdr:rowOff>
    </xdr:from>
    <xdr:to>
      <xdr:col>9</xdr:col>
      <xdr:colOff>327660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3FC0C-8E56-E583-3F60-DA3B74D69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68580</xdr:colOff>
      <xdr:row>17</xdr:row>
      <xdr:rowOff>83820</xdr:rowOff>
    </xdr:from>
    <xdr:to>
      <xdr:col>9</xdr:col>
      <xdr:colOff>373380</xdr:colOff>
      <xdr:row>32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6A890E-28EC-4071-ACD8-D975EA19E798}"/>
            </a:ext>
            <a:ext uri="{147F2762-F138-4A5C-976F-8EAC2B608ADB}">
              <a16:predDERef xmlns:a16="http://schemas.microsoft.com/office/drawing/2014/main" pred="{BEA3FC0C-8E56-E583-3F60-DA3B74D69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0</xdr:row>
      <xdr:rowOff>133350</xdr:rowOff>
    </xdr:from>
    <xdr:to>
      <xdr:col>22</xdr:col>
      <xdr:colOff>142875</xdr:colOff>
      <xdr:row>15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96F407-AEDF-4323-AE7D-B5CB9C6C011D}"/>
            </a:ext>
            <a:ext uri="{147F2762-F138-4A5C-976F-8EAC2B608ADB}">
              <a16:predDERef xmlns:a16="http://schemas.microsoft.com/office/drawing/2014/main" pred="{1D6A890E-28EC-4071-ACD8-D975EA19E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38</xdr:row>
      <xdr:rowOff>180975</xdr:rowOff>
    </xdr:from>
    <xdr:to>
      <xdr:col>18</xdr:col>
      <xdr:colOff>990600</xdr:colOff>
      <xdr:row>59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44FDB1-CE94-2010-6788-502297F2E5CB}"/>
            </a:ext>
            <a:ext uri="{147F2762-F138-4A5C-976F-8EAC2B608ADB}">
              <a16:predDERef xmlns:a16="http://schemas.microsoft.com/office/drawing/2014/main" pred="{A20F0D2D-0FC5-B381-24B7-EBB8068519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98.833054861112" createdVersion="8" refreshedVersion="8" minRefreshableVersion="3" recordCount="100" xr:uid="{61ADBC66-330F-44B6-94A6-2113EB75C9BB}">
  <cacheSource type="worksheet">
    <worksheetSource name="AmazonSales"/>
  </cacheSource>
  <cacheFields count="14">
    <cacheField name="Region" numFmtId="0">
      <sharedItems count="7">
        <s v="Australia and Oceania"/>
        <s v="Central America and the Caribbean"/>
        <s v="Europe"/>
        <s v="Sub-Saharan Africa"/>
        <s v="Asia"/>
        <s v="Middle East and North Africa"/>
        <s v="North America"/>
      </sharedItems>
    </cacheField>
    <cacheField name="Country" numFmtId="0">
      <sharedItems/>
    </cacheField>
    <cacheField name="Item Type" numFmtId="0">
      <sharedItems count="12">
        <s v="Baby Food"/>
        <s v="Cereal"/>
        <s v="Office Supplies"/>
        <s v="Fruits"/>
        <s v="Household"/>
        <s v="Vegetables"/>
        <s v="Personal Care"/>
        <s v="Clothes"/>
        <s v="Cosmetics"/>
        <s v="Beverages"/>
        <s v="Meat"/>
        <s v="Snacks"/>
      </sharedItems>
    </cacheField>
    <cacheField name="Sales Channel" numFmtId="0">
      <sharedItems/>
    </cacheField>
    <cacheField name="Order Priority" numFmtId="0">
      <sharedItems/>
    </cacheField>
    <cacheField name="Order Date" numFmtId="14">
      <sharedItems containsSemiMixedTypes="0" containsNonDate="0" containsDate="1" containsString="0" minDate="2010-02-02T00:00:00" maxDate="2017-05-23T00:00:00"/>
    </cacheField>
    <cacheField name="Order Id" numFmtId="0">
      <sharedItems containsSemiMixedTypes="0" containsString="0" containsNumber="1" containsInteger="1" minValue="114606559" maxValue="994022214"/>
    </cacheField>
    <cacheField name="Ship Date" numFmtId="14">
      <sharedItems containsSemiMixedTypes="0" containsNonDate="0" containsDate="1" containsString="0" minDate="2010-02-25T00:00:00" maxDate="2017-06-18T00:00:00"/>
    </cacheField>
    <cacheField name="Units Sold" numFmtId="0">
      <sharedItems containsSemiMixedTypes="0" containsString="0" containsNumber="1" containsInteger="1" minValue="124" maxValue="9925" count="99">
        <n v="9925"/>
        <n v="2804"/>
        <n v="1779"/>
        <n v="8102"/>
        <n v="5062"/>
        <n v="2974"/>
        <n v="4187"/>
        <n v="8082"/>
        <n v="6070"/>
        <n v="6593"/>
        <n v="124"/>
        <n v="4168"/>
        <n v="8263"/>
        <n v="8974"/>
        <n v="4901"/>
        <n v="1673"/>
        <n v="6952"/>
        <n v="5430"/>
        <n v="3830"/>
        <n v="5908"/>
        <n v="7450"/>
        <n v="1273"/>
        <n v="2225"/>
        <n v="2187"/>
        <n v="5070"/>
        <n v="1815"/>
        <n v="5398"/>
        <n v="5822"/>
        <n v="5124"/>
        <n v="2370"/>
        <n v="8661"/>
        <n v="2125"/>
        <n v="2924"/>
        <n v="8250"/>
        <n v="7327"/>
        <n v="6409"/>
        <n v="3784"/>
        <n v="4767"/>
        <n v="6708"/>
        <n v="3987"/>
        <n v="3015"/>
        <n v="7234"/>
        <n v="2117"/>
        <n v="171"/>
        <n v="5930"/>
        <n v="962"/>
        <n v="8867"/>
        <n v="273"/>
        <n v="7842"/>
        <n v="1266"/>
        <n v="2269"/>
        <n v="9606"/>
        <n v="4063"/>
        <n v="3457"/>
        <n v="7637"/>
        <n v="3482"/>
        <n v="9905"/>
        <n v="2847"/>
        <n v="282"/>
        <n v="7215"/>
        <n v="682"/>
        <n v="4750"/>
        <n v="5518"/>
        <n v="6116"/>
        <n v="1705"/>
        <n v="4477"/>
        <n v="8656"/>
        <n v="5498"/>
        <n v="8287"/>
        <n v="7342"/>
        <n v="5010"/>
        <n v="673"/>
        <n v="5741"/>
        <n v="9892"/>
        <n v="6954"/>
        <n v="9379"/>
        <n v="3732"/>
        <n v="8614"/>
        <n v="9654"/>
        <n v="4513"/>
        <n v="7884"/>
        <n v="6489"/>
        <n v="4085"/>
        <n v="6457"/>
        <n v="6422"/>
        <n v="8829"/>
        <n v="5559"/>
        <n v="522"/>
        <n v="4660"/>
        <n v="948"/>
        <n v="9389"/>
        <n v="2021"/>
        <n v="7910"/>
        <n v="8156"/>
        <n v="888"/>
        <n v="6267"/>
        <n v="1485"/>
        <n v="5767"/>
        <n v="5367"/>
      </sharedItems>
    </cacheField>
    <cacheField name="Unit Price" numFmtId="0">
      <sharedItems containsSemiMixedTypes="0" containsString="0" containsNumber="1" minValue="9.33" maxValue="668.27" count="12">
        <n v="255.28"/>
        <n v="205.7"/>
        <n v="651.21"/>
        <n v="9.33"/>
        <n v="668.27"/>
        <n v="154.06"/>
        <n v="81.73"/>
        <n v="109.28"/>
        <n v="437.2"/>
        <n v="47.45"/>
        <n v="421.89"/>
        <n v="152.58000000000001"/>
      </sharedItems>
    </cacheField>
    <cacheField name="Unit Cost" numFmtId="0">
      <sharedItems containsSemiMixedTypes="0" containsString="0" containsNumber="1" minValue="6.92" maxValue="524.96"/>
    </cacheField>
    <cacheField name="Total Revenue" numFmtId="0">
      <sharedItems containsSemiMixedTypes="0" containsString="0" containsNumber="1" minValue="4870.26" maxValue="5997054.9800000004"/>
    </cacheField>
    <cacheField name="Total Cost" numFmtId="0">
      <sharedItems containsSemiMixedTypes="0" containsString="0" containsNumber="1" minValue="3612.24" maxValue="4509793.96"/>
    </cacheField>
    <cacheField name="Total Profit" numFmtId="0">
      <sharedItems containsSemiMixedTypes="0" containsString="0" containsNumber="1" minValue="1258.02" maxValue="1719922.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Tuvalu"/>
    <x v="0"/>
    <s v="Offline"/>
    <s v="H"/>
    <d v="2010-05-28T00:00:00"/>
    <n v="669165933"/>
    <d v="2010-06-27T00:00:00"/>
    <x v="0"/>
    <x v="0"/>
    <n v="159.41999999999999"/>
    <n v="2533654"/>
    <n v="1582243.5"/>
    <n v="951410.5"/>
  </r>
  <r>
    <x v="1"/>
    <s v="Grenada"/>
    <x v="1"/>
    <s v="Online"/>
    <s v="C"/>
    <d v="2012-08-22T00:00:00"/>
    <n v="963881480"/>
    <d v="2012-09-15T00:00:00"/>
    <x v="1"/>
    <x v="1"/>
    <n v="117.11"/>
    <n v="576782.80000000005"/>
    <n v="328376.44"/>
    <n v="248406.36"/>
  </r>
  <r>
    <x v="2"/>
    <s v="Russia"/>
    <x v="2"/>
    <s v="Offline"/>
    <s v="L"/>
    <d v="2014-05-02T00:00:00"/>
    <n v="341417157"/>
    <d v="2014-05-08T00:00:00"/>
    <x v="2"/>
    <x v="2"/>
    <n v="524.96"/>
    <n v="1158502.5900000001"/>
    <n v="933903.84"/>
    <n v="224598.75"/>
  </r>
  <r>
    <x v="3"/>
    <s v="Sao Tome and Principe"/>
    <x v="3"/>
    <s v="Online"/>
    <s v="C"/>
    <d v="2014-06-20T00:00:00"/>
    <n v="514321792"/>
    <d v="2014-07-05T00:00:00"/>
    <x v="3"/>
    <x v="3"/>
    <n v="6.92"/>
    <n v="75591.66"/>
    <n v="56065.84"/>
    <n v="19525.82"/>
  </r>
  <r>
    <x v="3"/>
    <s v="Rwanda"/>
    <x v="2"/>
    <s v="Offline"/>
    <s v="L"/>
    <d v="2013-02-01T00:00:00"/>
    <n v="115456712"/>
    <d v="2013-02-06T00:00:00"/>
    <x v="4"/>
    <x v="2"/>
    <n v="524.96"/>
    <n v="3296425.02"/>
    <n v="2657347.52"/>
    <n v="639077.5"/>
  </r>
  <r>
    <x v="0"/>
    <s v="Solomon Islands"/>
    <x v="0"/>
    <s v="Online"/>
    <s v="C"/>
    <d v="2015-02-04T00:00:00"/>
    <n v="547995746"/>
    <d v="2015-02-21T00:00:00"/>
    <x v="5"/>
    <x v="0"/>
    <n v="159.41999999999999"/>
    <n v="759202.72"/>
    <n v="474115.08"/>
    <n v="285087.64"/>
  </r>
  <r>
    <x v="3"/>
    <s v="Angola"/>
    <x v="4"/>
    <s v="Offline"/>
    <s v="M"/>
    <d v="2011-04-23T00:00:00"/>
    <n v="135425221"/>
    <d v="2011-04-27T00:00:00"/>
    <x v="6"/>
    <x v="4"/>
    <n v="502.54"/>
    <n v="2798046.49"/>
    <n v="2104134.98"/>
    <n v="693911.51"/>
  </r>
  <r>
    <x v="3"/>
    <s v="Burkina Faso"/>
    <x v="5"/>
    <s v="Online"/>
    <s v="H"/>
    <d v="2012-07-17T00:00:00"/>
    <n v="871543967"/>
    <d v="2012-07-27T00:00:00"/>
    <x v="7"/>
    <x v="5"/>
    <n v="90.93"/>
    <n v="1245112.92"/>
    <n v="734896.26"/>
    <n v="510216.66"/>
  </r>
  <r>
    <x v="3"/>
    <s v="Republic of the Congo"/>
    <x v="6"/>
    <s v="Offline"/>
    <s v="M"/>
    <d v="2015-07-14T00:00:00"/>
    <n v="770463311"/>
    <d v="2015-08-25T00:00:00"/>
    <x v="8"/>
    <x v="6"/>
    <n v="56.67"/>
    <n v="496101.1"/>
    <n v="343986.9"/>
    <n v="152114.20000000001"/>
  </r>
  <r>
    <x v="3"/>
    <s v="Senegal"/>
    <x v="1"/>
    <s v="Online"/>
    <s v="H"/>
    <d v="2014-04-18T00:00:00"/>
    <n v="616607081"/>
    <d v="2014-05-30T00:00:00"/>
    <x v="9"/>
    <x v="1"/>
    <n v="117.11"/>
    <n v="1356180.1"/>
    <n v="772106.23"/>
    <n v="584073.87"/>
  </r>
  <r>
    <x v="4"/>
    <s v="Kyrgyzstan"/>
    <x v="5"/>
    <s v="Online"/>
    <s v="H"/>
    <d v="2011-06-24T00:00:00"/>
    <n v="814711606"/>
    <d v="2011-07-12T00:00:00"/>
    <x v="10"/>
    <x v="5"/>
    <n v="90.93"/>
    <n v="19103.439999999999"/>
    <n v="11275.32"/>
    <n v="7828.12"/>
  </r>
  <r>
    <x v="3"/>
    <s v="Cape Verde"/>
    <x v="7"/>
    <s v="Offline"/>
    <s v="H"/>
    <d v="2014-08-02T00:00:00"/>
    <n v="939825713"/>
    <d v="2014-08-19T00:00:00"/>
    <x v="11"/>
    <x v="7"/>
    <n v="35.840000000000003"/>
    <n v="455479.03999999998"/>
    <n v="149381.12"/>
    <n v="306097.91999999998"/>
  </r>
  <r>
    <x v="4"/>
    <s v="Bangladesh"/>
    <x v="7"/>
    <s v="Online"/>
    <s v="L"/>
    <d v="2017-01-13T00:00:00"/>
    <n v="187310731"/>
    <d v="2017-03-01T00:00:00"/>
    <x v="12"/>
    <x v="7"/>
    <n v="35.840000000000003"/>
    <n v="902980.64"/>
    <n v="296145.91999999998"/>
    <n v="606834.72"/>
  </r>
  <r>
    <x v="1"/>
    <s v="Honduras"/>
    <x v="4"/>
    <s v="Offline"/>
    <s v="H"/>
    <d v="2017-02-08T00:00:00"/>
    <n v="522840487"/>
    <d v="2017-02-13T00:00:00"/>
    <x v="13"/>
    <x v="4"/>
    <n v="502.54"/>
    <n v="5997054.9800000004"/>
    <n v="4509793.96"/>
    <n v="1487261.02"/>
  </r>
  <r>
    <x v="4"/>
    <s v="Mongolia"/>
    <x v="6"/>
    <s v="Offline"/>
    <s v="C"/>
    <d v="2014-02-19T00:00:00"/>
    <n v="832401311"/>
    <d v="2014-02-23T00:00:00"/>
    <x v="14"/>
    <x v="6"/>
    <n v="56.67"/>
    <n v="400558.73"/>
    <n v="277739.67"/>
    <n v="122819.06"/>
  </r>
  <r>
    <x v="2"/>
    <s v="Bulgaria"/>
    <x v="7"/>
    <s v="Online"/>
    <s v="M"/>
    <d v="2012-04-23T00:00:00"/>
    <n v="972292029"/>
    <d v="2012-06-03T00:00:00"/>
    <x v="15"/>
    <x v="7"/>
    <n v="35.840000000000003"/>
    <n v="182825.44"/>
    <n v="59960.32"/>
    <n v="122865.12"/>
  </r>
  <r>
    <x v="4"/>
    <s v="Sri Lanka"/>
    <x v="8"/>
    <s v="Offline"/>
    <s v="M"/>
    <d v="2016-11-19T00:00:00"/>
    <n v="419123971"/>
    <d v="2016-12-18T00:00:00"/>
    <x v="16"/>
    <x v="8"/>
    <n v="263.33"/>
    <n v="3039414.4"/>
    <n v="1830670.16"/>
    <n v="1208744.24"/>
  </r>
  <r>
    <x v="3"/>
    <s v="Cameroon"/>
    <x v="9"/>
    <s v="Offline"/>
    <s v="C"/>
    <d v="2015-04-01T00:00:00"/>
    <n v="519820964"/>
    <d v="2015-04-18T00:00:00"/>
    <x v="17"/>
    <x v="9"/>
    <n v="31.79"/>
    <n v="257653.5"/>
    <n v="172619.7"/>
    <n v="85033.8"/>
  </r>
  <r>
    <x v="4"/>
    <s v="Turkmenistan"/>
    <x v="4"/>
    <s v="Offline"/>
    <s v="L"/>
    <d v="2010-12-30T00:00:00"/>
    <n v="441619336"/>
    <d v="2011-01-20T00:00:00"/>
    <x v="18"/>
    <x v="4"/>
    <n v="502.54"/>
    <n v="2559474.1"/>
    <n v="1924728.2"/>
    <n v="634745.9"/>
  </r>
  <r>
    <x v="0"/>
    <s v="East Timor"/>
    <x v="10"/>
    <s v="Online"/>
    <s v="L"/>
    <d v="2012-07-31T00:00:00"/>
    <n v="322067916"/>
    <d v="2012-09-11T00:00:00"/>
    <x v="19"/>
    <x v="10"/>
    <n v="364.69"/>
    <n v="2492526.12"/>
    <n v="2154588.52"/>
    <n v="337937.6"/>
  </r>
  <r>
    <x v="2"/>
    <s v="Norway"/>
    <x v="0"/>
    <s v="Online"/>
    <s v="L"/>
    <d v="2014-05-14T00:00:00"/>
    <n v="819028031"/>
    <d v="2014-06-28T00:00:00"/>
    <x v="20"/>
    <x v="0"/>
    <n v="159.41999999999999"/>
    <n v="1901836"/>
    <n v="1187679"/>
    <n v="714157"/>
  </r>
  <r>
    <x v="2"/>
    <s v="Portugal"/>
    <x v="0"/>
    <s v="Online"/>
    <s v="H"/>
    <d v="2015-07-31T00:00:00"/>
    <n v="860673511"/>
    <d v="2015-09-03T00:00:00"/>
    <x v="21"/>
    <x v="0"/>
    <n v="159.41999999999999"/>
    <n v="324971.44"/>
    <n v="202941.66"/>
    <n v="122029.78"/>
  </r>
  <r>
    <x v="1"/>
    <s v="Honduras"/>
    <x v="11"/>
    <s v="Online"/>
    <s v="L"/>
    <d v="2016-06-30T00:00:00"/>
    <n v="795490682"/>
    <d v="2016-07-26T00:00:00"/>
    <x v="22"/>
    <x v="11"/>
    <n v="97.44"/>
    <n v="339490.5"/>
    <n v="216804"/>
    <n v="122686.5"/>
  </r>
  <r>
    <x v="0"/>
    <s v="New Zealand"/>
    <x v="3"/>
    <s v="Online"/>
    <s v="H"/>
    <d v="2014-09-08T00:00:00"/>
    <n v="142278373"/>
    <d v="2014-10-04T00:00:00"/>
    <x v="23"/>
    <x v="3"/>
    <n v="6.92"/>
    <n v="20404.71"/>
    <n v="15134.04"/>
    <n v="5270.67"/>
  </r>
  <r>
    <x v="2"/>
    <s v="Moldova "/>
    <x v="6"/>
    <s v="Online"/>
    <s v="L"/>
    <d v="2016-05-07T00:00:00"/>
    <n v="740147912"/>
    <d v="2016-05-10T00:00:00"/>
    <x v="24"/>
    <x v="6"/>
    <n v="56.67"/>
    <n v="414371.1"/>
    <n v="287316.90000000002"/>
    <n v="127054.2"/>
  </r>
  <r>
    <x v="2"/>
    <s v="France"/>
    <x v="8"/>
    <s v="Online"/>
    <s v="H"/>
    <d v="2017-05-22T00:00:00"/>
    <n v="898523128"/>
    <d v="2017-06-05T00:00:00"/>
    <x v="25"/>
    <x v="8"/>
    <n v="263.33"/>
    <n v="793518"/>
    <n v="477943.95"/>
    <n v="315574.05"/>
  </r>
  <r>
    <x v="0"/>
    <s v="Kiribati"/>
    <x v="3"/>
    <s v="Online"/>
    <s v="M"/>
    <d v="2014-10-13T00:00:00"/>
    <n v="347140347"/>
    <d v="2014-11-10T00:00:00"/>
    <x v="26"/>
    <x v="3"/>
    <n v="6.92"/>
    <n v="50363.34"/>
    <n v="37354.160000000003"/>
    <n v="13009.18"/>
  </r>
  <r>
    <x v="3"/>
    <s v="Mali"/>
    <x v="3"/>
    <s v="Online"/>
    <s v="L"/>
    <d v="2010-05-07T00:00:00"/>
    <n v="686048400"/>
    <d v="2010-05-10T00:00:00"/>
    <x v="27"/>
    <x v="3"/>
    <n v="6.92"/>
    <n v="54319.26"/>
    <n v="40288.239999999998"/>
    <n v="14031.02"/>
  </r>
  <r>
    <x v="2"/>
    <s v="Norway"/>
    <x v="9"/>
    <s v="Offline"/>
    <s v="C"/>
    <d v="2014-07-18T00:00:00"/>
    <n v="435608613"/>
    <d v="2014-07-30T00:00:00"/>
    <x v="28"/>
    <x v="9"/>
    <n v="31.79"/>
    <n v="243133.8"/>
    <n v="162891.96"/>
    <n v="80241.84"/>
  </r>
  <r>
    <x v="3"/>
    <s v="The Gambia"/>
    <x v="4"/>
    <s v="Offline"/>
    <s v="L"/>
    <d v="2012-05-26T00:00:00"/>
    <n v="886494815"/>
    <d v="2012-06-09T00:00:00"/>
    <x v="29"/>
    <x v="4"/>
    <n v="502.54"/>
    <n v="1583799.9"/>
    <n v="1191019.8"/>
    <n v="392780.1"/>
  </r>
  <r>
    <x v="2"/>
    <s v="Switzerland"/>
    <x v="8"/>
    <s v="Offline"/>
    <s v="M"/>
    <d v="2012-09-17T00:00:00"/>
    <n v="249693334"/>
    <d v="2012-10-20T00:00:00"/>
    <x v="30"/>
    <x v="8"/>
    <n v="263.33"/>
    <n v="3786589.2"/>
    <n v="2280701.13"/>
    <n v="1505888.07"/>
  </r>
  <r>
    <x v="3"/>
    <s v="South Sudan"/>
    <x v="6"/>
    <s v="Offline"/>
    <s v="C"/>
    <d v="2013-12-29T00:00:00"/>
    <n v="406502997"/>
    <d v="2014-01-28T00:00:00"/>
    <x v="31"/>
    <x v="6"/>
    <n v="56.67"/>
    <n v="173676.25"/>
    <n v="120423.75"/>
    <n v="53252.5"/>
  </r>
  <r>
    <x v="0"/>
    <s v="Australia"/>
    <x v="2"/>
    <s v="Online"/>
    <s v="C"/>
    <d v="2015-10-27T00:00:00"/>
    <n v="158535134"/>
    <d v="2015-11-25T00:00:00"/>
    <x v="32"/>
    <x v="2"/>
    <n v="524.96"/>
    <n v="1904138.04"/>
    <n v="1534983.04"/>
    <n v="369155"/>
  </r>
  <r>
    <x v="4"/>
    <s v="Myanmar"/>
    <x v="4"/>
    <s v="Offline"/>
    <s v="H"/>
    <d v="2015-01-16T00:00:00"/>
    <n v="177713572"/>
    <d v="2015-03-01T00:00:00"/>
    <x v="33"/>
    <x v="4"/>
    <n v="502.54"/>
    <n v="5513227.5"/>
    <n v="4145955"/>
    <n v="1367272.5"/>
  </r>
  <r>
    <x v="3"/>
    <s v="Djibouti"/>
    <x v="11"/>
    <s v="Online"/>
    <s v="M"/>
    <d v="2017-02-25T00:00:00"/>
    <n v="756274640"/>
    <d v="2017-02-25T00:00:00"/>
    <x v="34"/>
    <x v="11"/>
    <n v="97.44"/>
    <n v="1117953.6599999999"/>
    <n v="713942.88"/>
    <n v="404010.78"/>
  </r>
  <r>
    <x v="1"/>
    <s v="Costa Rica"/>
    <x v="6"/>
    <s v="Offline"/>
    <s v="L"/>
    <d v="2017-05-08T00:00:00"/>
    <n v="456767165"/>
    <d v="2017-05-21T00:00:00"/>
    <x v="35"/>
    <x v="6"/>
    <n v="56.67"/>
    <n v="523807.57"/>
    <n v="363198.03"/>
    <n v="160609.54"/>
  </r>
  <r>
    <x v="5"/>
    <s v="Syria"/>
    <x v="3"/>
    <s v="Online"/>
    <s v="L"/>
    <d v="2011-11-22T00:00:00"/>
    <n v="162052476"/>
    <d v="2011-12-03T00:00:00"/>
    <x v="36"/>
    <x v="3"/>
    <n v="6.92"/>
    <n v="35304.720000000001"/>
    <n v="26185.279999999999"/>
    <n v="9119.44"/>
  </r>
  <r>
    <x v="3"/>
    <s v="The Gambia"/>
    <x v="10"/>
    <s v="Online"/>
    <s v="M"/>
    <d v="2017-01-14T00:00:00"/>
    <n v="825304400"/>
    <d v="2017-01-23T00:00:00"/>
    <x v="37"/>
    <x v="10"/>
    <n v="364.69"/>
    <n v="2011149.63"/>
    <n v="1738477.23"/>
    <n v="272672.40000000002"/>
  </r>
  <r>
    <x v="4"/>
    <s v="Brunei"/>
    <x v="2"/>
    <s v="Online"/>
    <s v="L"/>
    <d v="2012-04-01T00:00:00"/>
    <n v="320009267"/>
    <d v="2012-05-08T00:00:00"/>
    <x v="38"/>
    <x v="2"/>
    <n v="524.96"/>
    <n v="4368316.68"/>
    <n v="3521431.68"/>
    <n v="846885"/>
  </r>
  <r>
    <x v="2"/>
    <s v="Bulgaria"/>
    <x v="2"/>
    <s v="Online"/>
    <s v="M"/>
    <d v="2012-02-16T00:00:00"/>
    <n v="189965903"/>
    <d v="2012-02-28T00:00:00"/>
    <x v="39"/>
    <x v="2"/>
    <n v="524.96"/>
    <n v="2596374.27"/>
    <n v="2093015.52"/>
    <n v="503358.75"/>
  </r>
  <r>
    <x v="3"/>
    <s v="Niger"/>
    <x v="6"/>
    <s v="Online"/>
    <s v="H"/>
    <d v="2017-03-11T00:00:00"/>
    <n v="699285638"/>
    <d v="2017-03-28T00:00:00"/>
    <x v="40"/>
    <x v="6"/>
    <n v="56.67"/>
    <n v="246415.95"/>
    <n v="170860.05"/>
    <n v="75555.899999999994"/>
  </r>
  <r>
    <x v="5"/>
    <s v="Azerbaijan"/>
    <x v="8"/>
    <s v="Online"/>
    <s v="M"/>
    <d v="2010-02-06T00:00:00"/>
    <n v="382392299"/>
    <d v="2010-02-25T00:00:00"/>
    <x v="41"/>
    <x v="8"/>
    <n v="263.33"/>
    <n v="3162704.8"/>
    <n v="1904929.22"/>
    <n v="1257775.58"/>
  </r>
  <r>
    <x v="3"/>
    <s v="The Gambia"/>
    <x v="1"/>
    <s v="Offline"/>
    <s v="H"/>
    <d v="2012-06-07T00:00:00"/>
    <n v="994022214"/>
    <d v="2012-06-08T00:00:00"/>
    <x v="42"/>
    <x v="1"/>
    <n v="117.11"/>
    <n v="435466.9"/>
    <n v="247921.87"/>
    <n v="187545.03"/>
  </r>
  <r>
    <x v="2"/>
    <s v="Slovakia"/>
    <x v="5"/>
    <s v="Online"/>
    <s v="H"/>
    <d v="2012-10-06T00:00:00"/>
    <n v="759224212"/>
    <d v="2012-11-10T00:00:00"/>
    <x v="43"/>
    <x v="5"/>
    <n v="90.93"/>
    <n v="26344.26"/>
    <n v="15549.03"/>
    <n v="10795.23"/>
  </r>
  <r>
    <x v="4"/>
    <s v="Myanmar"/>
    <x v="7"/>
    <s v="Online"/>
    <s v="H"/>
    <d v="2015-11-14T00:00:00"/>
    <n v="223359620"/>
    <d v="2015-11-18T00:00:00"/>
    <x v="44"/>
    <x v="7"/>
    <n v="35.840000000000003"/>
    <n v="648030.4"/>
    <n v="212531.20000000001"/>
    <n v="435499.2"/>
  </r>
  <r>
    <x v="3"/>
    <s v="Comoros"/>
    <x v="1"/>
    <s v="Offline"/>
    <s v="H"/>
    <d v="2016-03-29T00:00:00"/>
    <n v="902102267"/>
    <d v="2016-04-29T00:00:00"/>
    <x v="45"/>
    <x v="1"/>
    <n v="117.11"/>
    <n v="197883.4"/>
    <n v="112659.82"/>
    <n v="85223.58"/>
  </r>
  <r>
    <x v="2"/>
    <s v="Iceland"/>
    <x v="8"/>
    <s v="Online"/>
    <s v="C"/>
    <d v="2016-12-31T00:00:00"/>
    <n v="331438481"/>
    <d v="2016-12-31T00:00:00"/>
    <x v="46"/>
    <x v="8"/>
    <n v="263.33"/>
    <n v="3876652.4"/>
    <n v="2334947.11"/>
    <n v="1541705.29"/>
  </r>
  <r>
    <x v="2"/>
    <s v="Switzerland"/>
    <x v="6"/>
    <s v="Online"/>
    <s v="M"/>
    <d v="2010-12-23T00:00:00"/>
    <n v="617667090"/>
    <d v="2011-01-31T00:00:00"/>
    <x v="47"/>
    <x v="6"/>
    <n v="56.67"/>
    <n v="22312.29"/>
    <n v="15470.91"/>
    <n v="6841.38"/>
  </r>
  <r>
    <x v="2"/>
    <s v="Macedonia"/>
    <x v="7"/>
    <s v="Offline"/>
    <s v="C"/>
    <d v="2014-10-14T00:00:00"/>
    <n v="787399423"/>
    <d v="2014-11-14T00:00:00"/>
    <x v="48"/>
    <x v="7"/>
    <n v="35.840000000000003"/>
    <n v="856973.76"/>
    <n v="281057.28000000003"/>
    <n v="575916.48"/>
  </r>
  <r>
    <x v="3"/>
    <s v="Mauritania"/>
    <x v="2"/>
    <s v="Offline"/>
    <s v="C"/>
    <d v="2012-01-11T00:00:00"/>
    <n v="837559306"/>
    <d v="2012-01-13T00:00:00"/>
    <x v="49"/>
    <x v="2"/>
    <n v="524.96"/>
    <n v="824431.86"/>
    <n v="664599.36"/>
    <n v="159832.5"/>
  </r>
  <r>
    <x v="2"/>
    <s v="Albania"/>
    <x v="7"/>
    <s v="Online"/>
    <s v="C"/>
    <d v="2010-02-02T00:00:00"/>
    <n v="385383069"/>
    <d v="2010-03-18T00:00:00"/>
    <x v="50"/>
    <x v="7"/>
    <n v="35.840000000000003"/>
    <n v="247956.32"/>
    <n v="81320.960000000006"/>
    <n v="166635.35999999999"/>
  </r>
  <r>
    <x v="3"/>
    <s v="Lesotho"/>
    <x v="3"/>
    <s v="Online"/>
    <s v="L"/>
    <d v="2013-08-18T00:00:00"/>
    <n v="918419539"/>
    <d v="2013-09-18T00:00:00"/>
    <x v="51"/>
    <x v="3"/>
    <n v="6.92"/>
    <n v="89623.98"/>
    <n v="66473.52"/>
    <n v="23150.46"/>
  </r>
  <r>
    <x v="5"/>
    <s v="Saudi Arabia"/>
    <x v="1"/>
    <s v="Online"/>
    <s v="M"/>
    <d v="2013-03-25T00:00:00"/>
    <n v="844530045"/>
    <d v="2013-03-28T00:00:00"/>
    <x v="52"/>
    <x v="1"/>
    <n v="117.11"/>
    <n v="835759.1"/>
    <n v="475817.93"/>
    <n v="359941.17"/>
  </r>
  <r>
    <x v="3"/>
    <s v="Sierra Leone"/>
    <x v="2"/>
    <s v="Offline"/>
    <s v="M"/>
    <d v="2011-11-26T00:00:00"/>
    <n v="441888415"/>
    <d v="2012-01-07T00:00:00"/>
    <x v="53"/>
    <x v="2"/>
    <n v="524.96"/>
    <n v="2251232.9700000002"/>
    <n v="1814786.72"/>
    <n v="436446.25"/>
  </r>
  <r>
    <x v="3"/>
    <s v="Sao Tome and Principe"/>
    <x v="3"/>
    <s v="Offline"/>
    <s v="H"/>
    <d v="2013-09-17T00:00:00"/>
    <n v="508980977"/>
    <d v="2013-10-24T00:00:00"/>
    <x v="54"/>
    <x v="3"/>
    <n v="6.92"/>
    <n v="71253.210000000006"/>
    <n v="52848.04"/>
    <n v="18405.169999999998"/>
  </r>
  <r>
    <x v="3"/>
    <s v="Cote d'Ivoire"/>
    <x v="7"/>
    <s v="Online"/>
    <s v="C"/>
    <d v="2012-06-08T00:00:00"/>
    <n v="114606559"/>
    <d v="2012-06-27T00:00:00"/>
    <x v="55"/>
    <x v="7"/>
    <n v="35.840000000000003"/>
    <n v="380512.96"/>
    <n v="124794.88"/>
    <n v="255718.08"/>
  </r>
  <r>
    <x v="0"/>
    <s v="Fiji"/>
    <x v="7"/>
    <s v="Offline"/>
    <s v="C"/>
    <d v="2010-06-30T00:00:00"/>
    <n v="647876489"/>
    <d v="2010-08-01T00:00:00"/>
    <x v="56"/>
    <x v="7"/>
    <n v="35.840000000000003"/>
    <n v="1082418.3999999999"/>
    <n v="354995.20000000001"/>
    <n v="727423.2"/>
  </r>
  <r>
    <x v="2"/>
    <s v="Austria"/>
    <x v="8"/>
    <s v="Offline"/>
    <s v="H"/>
    <d v="2015-02-23T00:00:00"/>
    <n v="868214595"/>
    <d v="2015-03-02T00:00:00"/>
    <x v="57"/>
    <x v="8"/>
    <n v="263.33"/>
    <n v="1244708.3999999999"/>
    <n v="749700.51"/>
    <n v="495007.89"/>
  </r>
  <r>
    <x v="2"/>
    <s v="United Kingdom"/>
    <x v="4"/>
    <s v="Online"/>
    <s v="L"/>
    <d v="2012-01-05T00:00:00"/>
    <n v="955357205"/>
    <d v="2012-02-14T00:00:00"/>
    <x v="58"/>
    <x v="4"/>
    <n v="502.54"/>
    <n v="188452.14"/>
    <n v="141716.28"/>
    <n v="46735.86"/>
  </r>
  <r>
    <x v="3"/>
    <s v="Djibouti"/>
    <x v="8"/>
    <s v="Offline"/>
    <s v="H"/>
    <d v="2014-04-07T00:00:00"/>
    <n v="259353148"/>
    <d v="2014-04-19T00:00:00"/>
    <x v="59"/>
    <x v="8"/>
    <n v="263.33"/>
    <n v="3154398"/>
    <n v="1899925.95"/>
    <n v="1254472.05"/>
  </r>
  <r>
    <x v="0"/>
    <s v="Australia"/>
    <x v="1"/>
    <s v="Offline"/>
    <s v="H"/>
    <d v="2013-06-09T00:00:00"/>
    <n v="450563752"/>
    <d v="2013-07-02T00:00:00"/>
    <x v="60"/>
    <x v="1"/>
    <n v="117.11"/>
    <n v="140287.4"/>
    <n v="79869.02"/>
    <n v="60418.38"/>
  </r>
  <r>
    <x v="2"/>
    <s v="San Marino"/>
    <x v="0"/>
    <s v="Online"/>
    <s v="L"/>
    <d v="2013-06-26T00:00:00"/>
    <n v="569662845"/>
    <d v="2013-07-01T00:00:00"/>
    <x v="61"/>
    <x v="0"/>
    <n v="159.41999999999999"/>
    <n v="1212580"/>
    <n v="757245"/>
    <n v="455335"/>
  </r>
  <r>
    <x v="3"/>
    <s v="Cameroon"/>
    <x v="2"/>
    <s v="Online"/>
    <s v="M"/>
    <d v="2011-11-07T00:00:00"/>
    <n v="177636754"/>
    <d v="2011-11-15T00:00:00"/>
    <x v="62"/>
    <x v="2"/>
    <n v="524.96"/>
    <n v="3593376.78"/>
    <n v="2896729.28"/>
    <n v="696647.5"/>
  </r>
  <r>
    <x v="5"/>
    <s v="Libya"/>
    <x v="7"/>
    <s v="Offline"/>
    <s v="H"/>
    <d v="2010-10-30T00:00:00"/>
    <n v="705784308"/>
    <d v="2010-11-17T00:00:00"/>
    <x v="63"/>
    <x v="7"/>
    <n v="35.840000000000003"/>
    <n v="668356.48"/>
    <n v="219197.44"/>
    <n v="449159.04"/>
  </r>
  <r>
    <x v="1"/>
    <s v="Haiti"/>
    <x v="8"/>
    <s v="Offline"/>
    <s v="H"/>
    <d v="2013-10-13T00:00:00"/>
    <n v="505716836"/>
    <d v="2013-11-16T00:00:00"/>
    <x v="64"/>
    <x v="8"/>
    <n v="263.33"/>
    <n v="745426"/>
    <n v="448977.65"/>
    <n v="296448.34999999998"/>
  </r>
  <r>
    <x v="3"/>
    <s v="Rwanda"/>
    <x v="8"/>
    <s v="Offline"/>
    <s v="H"/>
    <d v="2013-10-11T00:00:00"/>
    <n v="699358165"/>
    <d v="2013-11-25T00:00:00"/>
    <x v="65"/>
    <x v="8"/>
    <n v="263.33"/>
    <n v="1957344.4"/>
    <n v="1178928.4099999999"/>
    <n v="778415.99"/>
  </r>
  <r>
    <x v="3"/>
    <s v="Gabon"/>
    <x v="6"/>
    <s v="Offline"/>
    <s v="L"/>
    <d v="2012-07-08T00:00:00"/>
    <n v="228944623"/>
    <d v="2012-07-09T00:00:00"/>
    <x v="66"/>
    <x v="6"/>
    <n v="56.67"/>
    <n v="707454.88"/>
    <n v="490535.52"/>
    <n v="216919.36"/>
  </r>
  <r>
    <x v="1"/>
    <s v="Belize"/>
    <x v="7"/>
    <s v="Offline"/>
    <s v="M"/>
    <d v="2016-07-25T00:00:00"/>
    <n v="807025039"/>
    <d v="2016-09-07T00:00:00"/>
    <x v="67"/>
    <x v="7"/>
    <n v="35.840000000000003"/>
    <n v="600821.43999999994"/>
    <n v="197048.32000000001"/>
    <n v="403773.12"/>
  </r>
  <r>
    <x v="2"/>
    <s v="Lithuania"/>
    <x v="2"/>
    <s v="Offline"/>
    <s v="H"/>
    <d v="2010-10-24T00:00:00"/>
    <n v="166460740"/>
    <d v="2010-11-17T00:00:00"/>
    <x v="68"/>
    <x v="2"/>
    <n v="524.96"/>
    <n v="5396577.2699999996"/>
    <n v="4350343.5199999996"/>
    <n v="1046233.75"/>
  </r>
  <r>
    <x v="3"/>
    <s v="Madagascar"/>
    <x v="7"/>
    <s v="Offline"/>
    <s v="L"/>
    <d v="2015-04-25T00:00:00"/>
    <n v="610425555"/>
    <d v="2015-05-28T00:00:00"/>
    <x v="69"/>
    <x v="7"/>
    <n v="35.840000000000003"/>
    <n v="802333.76"/>
    <n v="263137.28000000003"/>
    <n v="539196.48"/>
  </r>
  <r>
    <x v="4"/>
    <s v="Turkmenistan"/>
    <x v="2"/>
    <s v="Online"/>
    <s v="M"/>
    <d v="2013-04-23T00:00:00"/>
    <n v="462405812"/>
    <d v="2013-05-20T00:00:00"/>
    <x v="70"/>
    <x v="2"/>
    <n v="524.96"/>
    <n v="3262562.1"/>
    <n v="2630049.6"/>
    <n v="632512.5"/>
  </r>
  <r>
    <x v="5"/>
    <s v="Libya"/>
    <x v="3"/>
    <s v="Online"/>
    <s v="L"/>
    <d v="2015-08-14T00:00:00"/>
    <n v="816200339"/>
    <d v="2015-09-30T00:00:00"/>
    <x v="71"/>
    <x v="3"/>
    <n v="6.92"/>
    <n v="6279.09"/>
    <n v="4657.16"/>
    <n v="1621.93"/>
  </r>
  <r>
    <x v="3"/>
    <s v="Democratic Republic of the Congo"/>
    <x v="9"/>
    <s v="Online"/>
    <s v="C"/>
    <d v="2011-05-26T00:00:00"/>
    <n v="585920464"/>
    <d v="2011-07-15T00:00:00"/>
    <x v="72"/>
    <x v="9"/>
    <n v="31.79"/>
    <n v="272410.45"/>
    <n v="182506.39"/>
    <n v="89904.06"/>
  </r>
  <r>
    <x v="3"/>
    <s v="Djibouti"/>
    <x v="1"/>
    <s v="Online"/>
    <s v="H"/>
    <d v="2017-05-20T00:00:00"/>
    <n v="555990016"/>
    <d v="2017-06-17T00:00:00"/>
    <x v="66"/>
    <x v="1"/>
    <n v="117.11"/>
    <n v="1780539.2"/>
    <n v="1013704.16"/>
    <n v="766835.04"/>
  </r>
  <r>
    <x v="5"/>
    <s v="Pakistan"/>
    <x v="8"/>
    <s v="Offline"/>
    <s v="L"/>
    <d v="2013-07-05T00:00:00"/>
    <n v="231145322"/>
    <d v="2013-08-16T00:00:00"/>
    <x v="73"/>
    <x v="8"/>
    <n v="263.33"/>
    <n v="4324782.4000000004"/>
    <n v="2604860.36"/>
    <n v="1719922.04"/>
  </r>
  <r>
    <x v="6"/>
    <s v="Mexico"/>
    <x v="4"/>
    <s v="Offline"/>
    <s v="C"/>
    <d v="2014-11-06T00:00:00"/>
    <n v="986435210"/>
    <d v="2014-12-12T00:00:00"/>
    <x v="74"/>
    <x v="4"/>
    <n v="502.54"/>
    <n v="4647149.58"/>
    <n v="3494663.16"/>
    <n v="1152486.42"/>
  </r>
  <r>
    <x v="0"/>
    <s v="Federated States of Micronesia"/>
    <x v="9"/>
    <s v="Online"/>
    <s v="C"/>
    <d v="2014-10-28T00:00:00"/>
    <n v="217221009"/>
    <d v="2014-11-15T00:00:00"/>
    <x v="75"/>
    <x v="9"/>
    <n v="31.79"/>
    <n v="445033.55"/>
    <n v="298158.40999999997"/>
    <n v="146875.14000000001"/>
  </r>
  <r>
    <x v="4"/>
    <s v="Laos"/>
    <x v="5"/>
    <s v="Offline"/>
    <s v="C"/>
    <d v="2011-09-15T00:00:00"/>
    <n v="789176547"/>
    <d v="2011-10-23T00:00:00"/>
    <x v="76"/>
    <x v="5"/>
    <n v="90.93"/>
    <n v="574951.92000000004"/>
    <n v="339350.76"/>
    <n v="235601.16"/>
  </r>
  <r>
    <x v="2"/>
    <s v="Monaco"/>
    <x v="0"/>
    <s v="Offline"/>
    <s v="H"/>
    <d v="2012-05-29T00:00:00"/>
    <n v="688288152"/>
    <d v="2012-06-02T00:00:00"/>
    <x v="77"/>
    <x v="0"/>
    <n v="159.41999999999999"/>
    <n v="2198981.92"/>
    <n v="1373243.88"/>
    <n v="825738.04"/>
  </r>
  <r>
    <x v="0"/>
    <s v="Samoa "/>
    <x v="8"/>
    <s v="Online"/>
    <s v="H"/>
    <d v="2013-07-20T00:00:00"/>
    <n v="670854651"/>
    <d v="2013-08-07T00:00:00"/>
    <x v="78"/>
    <x v="8"/>
    <n v="263.33"/>
    <n v="4220728.8"/>
    <n v="2542187.8199999998"/>
    <n v="1678540.98"/>
  </r>
  <r>
    <x v="2"/>
    <s v="Spain"/>
    <x v="4"/>
    <s v="Offline"/>
    <s v="L"/>
    <d v="2012-10-21T00:00:00"/>
    <n v="213487374"/>
    <d v="2012-11-30T00:00:00"/>
    <x v="79"/>
    <x v="4"/>
    <n v="502.54"/>
    <n v="3015902.51"/>
    <n v="2267963.02"/>
    <n v="747939.49"/>
  </r>
  <r>
    <x v="5"/>
    <s v="Lebanon"/>
    <x v="7"/>
    <s v="Online"/>
    <s v="L"/>
    <d v="2012-09-18T00:00:00"/>
    <n v="663110148"/>
    <d v="2012-10-08T00:00:00"/>
    <x v="80"/>
    <x v="7"/>
    <n v="35.840000000000003"/>
    <n v="861563.52"/>
    <n v="282562.56"/>
    <n v="579000.96"/>
  </r>
  <r>
    <x v="5"/>
    <s v="Iran"/>
    <x v="8"/>
    <s v="Online"/>
    <s v="H"/>
    <d v="2016-11-15T00:00:00"/>
    <n v="286959302"/>
    <d v="2016-12-08T00:00:00"/>
    <x v="81"/>
    <x v="8"/>
    <n v="263.33"/>
    <n v="2836990.8"/>
    <n v="1708748.37"/>
    <n v="1128242.43"/>
  </r>
  <r>
    <x v="3"/>
    <s v="Zambia"/>
    <x v="11"/>
    <s v="Online"/>
    <s v="L"/>
    <d v="2011-01-04T00:00:00"/>
    <n v="122583663"/>
    <d v="2011-01-05T00:00:00"/>
    <x v="82"/>
    <x v="11"/>
    <n v="97.44"/>
    <n v="623289.30000000005"/>
    <n v="398042.4"/>
    <n v="225246.9"/>
  </r>
  <r>
    <x v="3"/>
    <s v="Kenya"/>
    <x v="5"/>
    <s v="Online"/>
    <s v="L"/>
    <d v="2012-03-18T00:00:00"/>
    <n v="827844560"/>
    <d v="2012-04-07T00:00:00"/>
    <x v="83"/>
    <x v="5"/>
    <n v="90.93"/>
    <n v="994765.42"/>
    <n v="587135.01"/>
    <n v="407630.41"/>
  </r>
  <r>
    <x v="6"/>
    <s v="Mexico"/>
    <x v="6"/>
    <s v="Offline"/>
    <s v="L"/>
    <d v="2012-02-17T00:00:00"/>
    <n v="430915820"/>
    <d v="2012-03-20T00:00:00"/>
    <x v="84"/>
    <x v="6"/>
    <n v="56.67"/>
    <n v="524870.06000000006"/>
    <n v="363934.74"/>
    <n v="160935.32"/>
  </r>
  <r>
    <x v="3"/>
    <s v="Sao Tome and Principe"/>
    <x v="9"/>
    <s v="Offline"/>
    <s v="C"/>
    <d v="2011-01-16T00:00:00"/>
    <n v="180283772"/>
    <d v="2011-01-21T00:00:00"/>
    <x v="85"/>
    <x v="9"/>
    <n v="31.79"/>
    <n v="418936.05"/>
    <n v="280673.90999999997"/>
    <n v="138262.14000000001"/>
  </r>
  <r>
    <x v="3"/>
    <s v="The Gambia"/>
    <x v="0"/>
    <s v="Offline"/>
    <s v="M"/>
    <d v="2014-02-03T00:00:00"/>
    <n v="494747245"/>
    <d v="2014-03-20T00:00:00"/>
    <x v="86"/>
    <x v="0"/>
    <n v="159.41999999999999"/>
    <n v="1419101.52"/>
    <n v="886215.78"/>
    <n v="532885.74"/>
  </r>
  <r>
    <x v="5"/>
    <s v="Kuwait"/>
    <x v="3"/>
    <s v="Online"/>
    <s v="M"/>
    <d v="2012-04-30T00:00:00"/>
    <n v="513417565"/>
    <d v="2012-05-18T00:00:00"/>
    <x v="87"/>
    <x v="3"/>
    <n v="6.92"/>
    <n v="4870.26"/>
    <n v="3612.24"/>
    <n v="1258.02"/>
  </r>
  <r>
    <x v="2"/>
    <s v="Slovenia"/>
    <x v="9"/>
    <s v="Offline"/>
    <s v="C"/>
    <d v="2016-10-23T00:00:00"/>
    <n v="345718562"/>
    <d v="2016-11-25T00:00:00"/>
    <x v="88"/>
    <x v="9"/>
    <n v="31.79"/>
    <n v="221117"/>
    <n v="148141.4"/>
    <n v="72975.600000000006"/>
  </r>
  <r>
    <x v="3"/>
    <s v="Sierra Leone"/>
    <x v="2"/>
    <s v="Offline"/>
    <s v="H"/>
    <d v="2016-12-06T00:00:00"/>
    <n v="621386563"/>
    <d v="2016-12-14T00:00:00"/>
    <x v="89"/>
    <x v="2"/>
    <n v="524.96"/>
    <n v="617347.07999999996"/>
    <n v="497662.08"/>
    <n v="119685"/>
  </r>
  <r>
    <x v="0"/>
    <s v="Australia"/>
    <x v="9"/>
    <s v="Offline"/>
    <s v="H"/>
    <d v="2014-07-07T00:00:00"/>
    <n v="240470397"/>
    <d v="2014-07-11T00:00:00"/>
    <x v="90"/>
    <x v="9"/>
    <n v="31.79"/>
    <n v="445508.05"/>
    <n v="298476.31"/>
    <n v="147031.74"/>
  </r>
  <r>
    <x v="5"/>
    <s v="Azerbaijan"/>
    <x v="2"/>
    <s v="Online"/>
    <s v="M"/>
    <d v="2012-06-13T00:00:00"/>
    <n v="423331391"/>
    <d v="2012-07-24T00:00:00"/>
    <x v="91"/>
    <x v="2"/>
    <n v="524.96"/>
    <n v="1316095.4099999999"/>
    <n v="1060944.1599999999"/>
    <n v="255151.25"/>
  </r>
  <r>
    <x v="2"/>
    <s v="Romania"/>
    <x v="8"/>
    <s v="Online"/>
    <s v="H"/>
    <d v="2010-11-26T00:00:00"/>
    <n v="660643374"/>
    <d v="2010-12-25T00:00:00"/>
    <x v="92"/>
    <x v="8"/>
    <n v="263.33"/>
    <n v="3458252"/>
    <n v="2082940.3"/>
    <n v="1375311.7"/>
  </r>
  <r>
    <x v="1"/>
    <s v="Nicaragua"/>
    <x v="9"/>
    <s v="Offline"/>
    <s v="C"/>
    <d v="2011-02-08T00:00:00"/>
    <n v="963392674"/>
    <d v="2011-03-21T00:00:00"/>
    <x v="93"/>
    <x v="9"/>
    <n v="31.79"/>
    <n v="387002.2"/>
    <n v="259279.24"/>
    <n v="127722.96"/>
  </r>
  <r>
    <x v="3"/>
    <s v="Mali"/>
    <x v="7"/>
    <s v="Online"/>
    <s v="M"/>
    <d v="2011-07-26T00:00:00"/>
    <n v="512878119"/>
    <d v="2011-09-03T00:00:00"/>
    <x v="94"/>
    <x v="7"/>
    <n v="35.840000000000003"/>
    <n v="97040.639999999999"/>
    <n v="31825.919999999998"/>
    <n v="65214.720000000001"/>
  </r>
  <r>
    <x v="4"/>
    <s v="Malaysia"/>
    <x v="3"/>
    <s v="Offline"/>
    <s v="L"/>
    <d v="2011-11-11T00:00:00"/>
    <n v="810711038"/>
    <d v="2011-12-28T00:00:00"/>
    <x v="95"/>
    <x v="3"/>
    <n v="6.92"/>
    <n v="58471.11"/>
    <n v="43367.64"/>
    <n v="15103.47"/>
  </r>
  <r>
    <x v="3"/>
    <s v="Sierra Leone"/>
    <x v="5"/>
    <s v="Offline"/>
    <s v="C"/>
    <d v="2016-06-01T00:00:00"/>
    <n v="728815257"/>
    <d v="2016-06-29T00:00:00"/>
    <x v="96"/>
    <x v="5"/>
    <n v="90.93"/>
    <n v="228779.1"/>
    <n v="135031.04999999999"/>
    <n v="93748.05"/>
  </r>
  <r>
    <x v="6"/>
    <s v="Mexico"/>
    <x v="6"/>
    <s v="Offline"/>
    <s v="M"/>
    <d v="2015-07-30T00:00:00"/>
    <n v="559427106"/>
    <d v="2015-08-08T00:00:00"/>
    <x v="97"/>
    <x v="6"/>
    <n v="56.67"/>
    <n v="471336.91"/>
    <n v="326815.89"/>
    <n v="144521.01999999999"/>
  </r>
  <r>
    <x v="3"/>
    <s v="Mozambique"/>
    <x v="4"/>
    <s v="Offline"/>
    <s v="L"/>
    <d v="2012-02-10T00:00:00"/>
    <n v="665095412"/>
    <d v="2012-02-15T00:00:00"/>
    <x v="98"/>
    <x v="4"/>
    <n v="502.54"/>
    <n v="3586605.09"/>
    <n v="2697132.18"/>
    <n v="889472.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E1293F-5B58-4337-86D9-DF1001082425}" name="PivotTable3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1" firstHeaderRow="1" firstDataRow="1" firstDataCol="1"/>
  <pivotFields count="14">
    <pivotField axis="axisRow" showAll="0">
      <items count="8">
        <item x="4"/>
        <item x="0"/>
        <item x="1"/>
        <item x="2"/>
        <item x="5"/>
        <item x="6"/>
        <item x="3"/>
        <item t="default"/>
      </items>
    </pivotField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 Profit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D5456E-C8F7-4A98-99C7-AF8C4FFF1A75}" name="PivotTable3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9:B32" firstHeaderRow="1" firstDataRow="1" firstDataCol="1"/>
  <pivotFields count="14">
    <pivotField showAll="0"/>
    <pivotField showAll="0"/>
    <pivotField axis="axisRow" showAll="0">
      <items count="13">
        <item x="0"/>
        <item x="9"/>
        <item x="1"/>
        <item x="7"/>
        <item x="8"/>
        <item x="3"/>
        <item x="4"/>
        <item x="10"/>
        <item x="2"/>
        <item x="6"/>
        <item x="11"/>
        <item x="5"/>
        <item t="default"/>
      </items>
    </pivotField>
    <pivotField showAll="0"/>
    <pivotField showAll="0"/>
    <pivotField numFmtId="14" showAll="0"/>
    <pivotField showAll="0"/>
    <pivotField numFmtId="14"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Profit" fld="1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4DF894-138D-4AC0-BA88-97F2FAD17101}" name="AmazonSales" displayName="AmazonSales" ref="A1:N102" totalsRowCount="1" headerRowDxfId="21">
  <autoFilter ref="A1:N101" xr:uid="{C44DF894-138D-4AC0-BA88-97F2FAD17101}"/>
  <tableColumns count="14">
    <tableColumn id="1" xr3:uid="{AB58BC69-6261-407F-878A-790D674132C9}" name="Region" totalsRowLabel="Total"/>
    <tableColumn id="2" xr3:uid="{9D0A7BF8-07A7-4D8E-A6E8-01D111694CA0}" name="Country"/>
    <tableColumn id="3" xr3:uid="{95664130-1CC4-409A-A2E2-48D128F143D3}" name="Item Type"/>
    <tableColumn id="4" xr3:uid="{5268FE95-9F8D-4112-A0DD-82DB2D52F6EF}" name="Sales Channel"/>
    <tableColumn id="5" xr3:uid="{43ED6EED-59C2-4CB9-AC57-8E4D94CB7850}" name="Order Priority"/>
    <tableColumn id="6" xr3:uid="{98A46F1F-AA0F-495E-8E68-581F0C3586CD}" name="Order Date" dataDxfId="20"/>
    <tableColumn id="7" xr3:uid="{3CEEF207-4284-47FC-B781-0359F8346648}" name="Order Id"/>
    <tableColumn id="8" xr3:uid="{668AAB44-8B3C-407D-8488-42167A80C07F}" name="Ship Date" dataDxfId="19"/>
    <tableColumn id="9" xr3:uid="{A2C49F20-E228-4126-A9D9-5B0AD5A47BB7}" name="Units Sold"/>
    <tableColumn id="10" xr3:uid="{908F819B-76AF-40D7-A81B-F4649DF031B8}" name="Unit Price"/>
    <tableColumn id="11" xr3:uid="{3273381A-DFB7-4ED5-A522-E7A1AB0A60A5}" name="Unit Cost"/>
    <tableColumn id="12" xr3:uid="{AEA946FE-43D6-438E-A155-C25460CE8D14}" name="Total Revenue"/>
    <tableColumn id="13" xr3:uid="{10510B86-4FBA-4811-81D4-D8AAE84FB8C8}" name="Total Cost"/>
    <tableColumn id="14" xr3:uid="{994189FB-4ECB-4C92-B3DF-85D0C551B9AA}" name="Total Profit" totalsRowFunction="aver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5167C3-0576-4789-906F-928C22FB8B79}" name="Conversion" displayName="Conversion" ref="A1:F6" totalsRowCount="1" headerRowDxfId="18" headerRowBorderDxfId="17" tableBorderDxfId="16" totalsRowBorderDxfId="15">
  <autoFilter ref="A1:F5" xr:uid="{155167C3-0576-4789-906F-928C22FB8B79}"/>
  <tableColumns count="6">
    <tableColumn id="1" xr3:uid="{04AE2D95-340B-41DE-8D70-95F1CEB82FAE}" name="Amount" totalsRowLabel="Total" totalsRowDxfId="14"/>
    <tableColumn id="2" xr3:uid="{8774CAC0-FD52-4BD0-BDE6-AB0384C858BE}" name="Unit" totalsRowDxfId="13"/>
    <tableColumn id="3" xr3:uid="{AB8E353E-AFA8-40B3-B600-EAD107D77342}" name="Amount (millions)" dataDxfId="12" totalsRowDxfId="11">
      <calculatedColumnFormula>IF(Conversion[[#This Row],[Unit]]="Billions", Conversion[[#This Row],[Amount]]*1000,Conversion[[#This Row],[Amount]])</calculatedColumnFormula>
    </tableColumn>
    <tableColumn id="4" xr3:uid="{C8B772C7-C9CE-4C85-A6D4-A76BDBC27596}" name="currency name" totalsRowDxfId="10"/>
    <tableColumn id="6" xr3:uid="{0A31F20A-0786-4169-91DC-0CCF0AB87685}" name="currency USD" dataDxfId="9" totalsRowDxfId="8">
      <calculatedColumnFormula>IF(Conversion[[#This Row],[currency name]] = "MEX",Conversion[[#This Row],[Amount (millions)]]/18.24,Conversion[[#This Row],[Amount (millions)]])</calculatedColumnFormula>
    </tableColumn>
    <tableColumn id="5" xr3:uid="{3B7CCE45-4F62-4009-A1BB-26D64C37A301}" name="currency MEX" totalsRowFunction="custom" dataDxfId="7" totalsRowDxfId="6">
      <calculatedColumnFormula>IF(Conversion[[#This Row],[currency name]] = "USD",Conversion[[#This Row],[Amount (millions)]]*18,Conversion[[#This Row],[Amount (millions)]])</calculatedColumnFormula>
      <totalsRowFormula>SUBTOTAL(109,F2:F5)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statology.org/normal-distribution-probability-excel/" TargetMode="External"/><Relationship Id="rId1" Type="http://schemas.openxmlformats.org/officeDocument/2006/relationships/hyperlink" Target="https://www.statology.org/normality-test-excel/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03D3-8EFA-40C9-8440-9AC4D1FF6DBA}">
  <dimension ref="A3:B32"/>
  <sheetViews>
    <sheetView zoomScale="85" workbookViewId="0">
      <selection activeCell="L21" sqref="L21"/>
    </sheetView>
  </sheetViews>
  <sheetFormatPr defaultRowHeight="14.4"/>
  <cols>
    <col min="1" max="1" width="14.33203125" bestFit="1" customWidth="1"/>
    <col min="2" max="2" width="17.5546875" bestFit="1" customWidth="1"/>
    <col min="11" max="11" width="7.6640625" bestFit="1" customWidth="1"/>
    <col min="12" max="13" width="13.33203125" bestFit="1" customWidth="1"/>
    <col min="14" max="22" width="4.44140625" bestFit="1" customWidth="1"/>
    <col min="23" max="111" width="5.44140625" bestFit="1" customWidth="1"/>
    <col min="112" max="112" width="11.44140625" bestFit="1" customWidth="1"/>
  </cols>
  <sheetData>
    <row r="3" spans="1:2">
      <c r="A3" s="3" t="s">
        <v>0</v>
      </c>
      <c r="B3" t="s">
        <v>1</v>
      </c>
    </row>
    <row r="4" spans="1:2">
      <c r="A4" s="4" t="s">
        <v>2</v>
      </c>
      <c r="B4">
        <v>6113845.8700000001</v>
      </c>
    </row>
    <row r="5" spans="1:2">
      <c r="A5" s="4" t="s">
        <v>3</v>
      </c>
      <c r="B5">
        <v>4722160.03</v>
      </c>
    </row>
    <row r="6" spans="1:2">
      <c r="A6" s="4" t="s">
        <v>4</v>
      </c>
      <c r="B6">
        <v>2846907.85</v>
      </c>
    </row>
    <row r="7" spans="1:2">
      <c r="A7" s="4" t="s">
        <v>5</v>
      </c>
      <c r="B7">
        <v>11082938.629999999</v>
      </c>
    </row>
    <row r="8" spans="1:2">
      <c r="A8" s="4" t="s">
        <v>6</v>
      </c>
      <c r="B8">
        <v>5761191.8599999994</v>
      </c>
    </row>
    <row r="9" spans="1:2">
      <c r="A9" s="4" t="s">
        <v>7</v>
      </c>
      <c r="B9">
        <v>1457942.76</v>
      </c>
    </row>
    <row r="10" spans="1:2">
      <c r="A10" s="4" t="s">
        <v>8</v>
      </c>
      <c r="B10">
        <v>12183211.400000004</v>
      </c>
    </row>
    <row r="11" spans="1:2">
      <c r="A11" s="4" t="s">
        <v>9</v>
      </c>
      <c r="B11">
        <v>44168198.400000006</v>
      </c>
    </row>
    <row r="19" spans="1:2">
      <c r="A19" s="3" t="s">
        <v>0</v>
      </c>
      <c r="B19" t="s">
        <v>1</v>
      </c>
    </row>
    <row r="20" spans="1:2">
      <c r="A20" s="4" t="s">
        <v>10</v>
      </c>
      <c r="B20">
        <v>3886643.7</v>
      </c>
    </row>
    <row r="21" spans="1:2">
      <c r="A21" s="4" t="s">
        <v>11</v>
      </c>
      <c r="B21">
        <v>888047.27999999991</v>
      </c>
    </row>
    <row r="22" spans="1:2">
      <c r="A22" s="4" t="s">
        <v>12</v>
      </c>
      <c r="B22">
        <v>2292443.4299999997</v>
      </c>
    </row>
    <row r="23" spans="1:2">
      <c r="A23" s="4" t="s">
        <v>13</v>
      </c>
      <c r="B23">
        <v>5233334.4000000004</v>
      </c>
    </row>
    <row r="24" spans="1:2">
      <c r="A24" s="4" t="s">
        <v>14</v>
      </c>
      <c r="B24">
        <v>14556048.66</v>
      </c>
    </row>
    <row r="25" spans="1:2">
      <c r="A25" s="4" t="s">
        <v>15</v>
      </c>
      <c r="B25">
        <v>120495.18</v>
      </c>
    </row>
    <row r="26" spans="1:2">
      <c r="A26" s="4" t="s">
        <v>16</v>
      </c>
      <c r="B26">
        <v>7412605.7100000009</v>
      </c>
    </row>
    <row r="27" spans="1:2">
      <c r="A27" s="4" t="s">
        <v>17</v>
      </c>
      <c r="B27">
        <v>610610</v>
      </c>
    </row>
    <row r="28" spans="1:2">
      <c r="A28" s="4" t="s">
        <v>18</v>
      </c>
      <c r="B28">
        <v>5929583.75</v>
      </c>
    </row>
    <row r="29" spans="1:2">
      <c r="A29" s="4" t="s">
        <v>19</v>
      </c>
      <c r="B29">
        <v>1220622.48</v>
      </c>
    </row>
    <row r="30" spans="1:2">
      <c r="A30" s="4" t="s">
        <v>20</v>
      </c>
      <c r="B30">
        <v>751944.18</v>
      </c>
    </row>
    <row r="31" spans="1:2">
      <c r="A31" s="4" t="s">
        <v>21</v>
      </c>
      <c r="B31">
        <v>1265819.6300000001</v>
      </c>
    </row>
    <row r="32" spans="1:2">
      <c r="A32" s="4" t="s">
        <v>9</v>
      </c>
      <c r="B32">
        <v>44168198.399999999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1E21-32B9-4183-AC22-8E521191F2F9}">
  <dimension ref="A1:AI143"/>
  <sheetViews>
    <sheetView tabSelected="1" topLeftCell="X1" zoomScale="53" zoomScaleNormal="70" workbookViewId="0">
      <selection activeCell="AO23" sqref="AO23"/>
    </sheetView>
  </sheetViews>
  <sheetFormatPr defaultRowHeight="15" customHeight="1"/>
  <cols>
    <col min="2" max="2" width="9.6640625" customWidth="1"/>
    <col min="3" max="3" width="11.33203125" customWidth="1"/>
    <col min="4" max="4" width="15.33203125" customWidth="1"/>
    <col min="5" max="5" width="14.33203125" customWidth="1"/>
    <col min="6" max="6" width="16.109375" customWidth="1"/>
    <col min="7" max="7" width="13.5546875" customWidth="1"/>
    <col min="8" max="8" width="14.33203125" customWidth="1"/>
    <col min="9" max="9" width="11.6640625" customWidth="1"/>
    <col min="10" max="10" width="11.33203125" customWidth="1"/>
    <col min="11" max="11" width="10.88671875" customWidth="1"/>
    <col min="12" max="12" width="15.109375" customWidth="1"/>
    <col min="13" max="13" width="11.5546875" customWidth="1"/>
    <col min="14" max="14" width="12.33203125" customWidth="1"/>
    <col min="16" max="16" width="33.109375" customWidth="1"/>
    <col min="17" max="17" width="18.5546875" customWidth="1"/>
    <col min="18" max="18" width="22.5546875" customWidth="1"/>
    <col min="19" max="19" width="15.44140625" customWidth="1"/>
    <col min="20" max="20" width="13" customWidth="1"/>
    <col min="23" max="23" width="19.5546875" customWidth="1"/>
    <col min="24" max="24" width="22.33203125" customWidth="1"/>
    <col min="26" max="26" width="23.5546875" customWidth="1"/>
    <col min="27" max="27" width="20.5546875" customWidth="1"/>
    <col min="33" max="33" width="20.44140625" customWidth="1"/>
    <col min="35" max="35" width="13.33203125" bestFit="1" customWidth="1"/>
  </cols>
  <sheetData>
    <row r="1" spans="1: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P1" s="15" t="s">
        <v>36</v>
      </c>
      <c r="Q1" s="15" t="s">
        <v>37</v>
      </c>
      <c r="R1" s="15" t="s">
        <v>38</v>
      </c>
      <c r="V1" s="2" t="s">
        <v>30</v>
      </c>
      <c r="W1" s="2" t="s">
        <v>39</v>
      </c>
      <c r="X1" s="16" t="s">
        <v>40</v>
      </c>
      <c r="Z1" s="2" t="s">
        <v>41</v>
      </c>
      <c r="AA1" s="2" t="s">
        <v>42</v>
      </c>
      <c r="AG1" t="s">
        <v>167</v>
      </c>
    </row>
    <row r="2" spans="1:35">
      <c r="A2" t="s">
        <v>3</v>
      </c>
      <c r="B2" t="s">
        <v>43</v>
      </c>
      <c r="C2" t="s">
        <v>10</v>
      </c>
      <c r="D2" t="s">
        <v>44</v>
      </c>
      <c r="E2" t="s">
        <v>45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  <c r="P2" t="str" cm="1">
        <f t="array" ref="P2:P13">_xlfn.UNIQUE(AmazonSales[Item Type])</f>
        <v>Baby Food</v>
      </c>
      <c r="Q2" cm="1">
        <f t="array" ref="Q2:Q13">COUNTIF(AmazonSales[Item Type], P2:P13)</f>
        <v>7</v>
      </c>
      <c r="R2" cm="1">
        <f t="array" ref="R2:R13">SUMIF(AmazonSales[Item Type],P2:P13,AmazonSales[Total Profit])</f>
        <v>3886643.7</v>
      </c>
      <c r="V2">
        <v>9925</v>
      </c>
      <c r="W2" cm="1">
        <f t="array" ref="W2:W101">V2:V101-AVERAGE(AmazonSales[Units Sold])</f>
        <v>4796.29</v>
      </c>
      <c r="X2" cm="1">
        <f t="array" ref="X2:X101">(W2:W101)^(2)</f>
        <v>23004397.7641</v>
      </c>
      <c r="Z2" s="17">
        <f>(SUM(X2:X1029))/(COUNT(X2:X102)-1)</f>
        <v>7809143.9655555543</v>
      </c>
      <c r="AA2">
        <f>SQRT(Z2)</f>
        <v>2794.4845616956904</v>
      </c>
      <c r="AG2" t="s">
        <v>180</v>
      </c>
    </row>
    <row r="3" spans="1:35">
      <c r="A3" t="s">
        <v>4</v>
      </c>
      <c r="B3" t="s">
        <v>46</v>
      </c>
      <c r="C3" t="s">
        <v>12</v>
      </c>
      <c r="D3" t="s">
        <v>47</v>
      </c>
      <c r="E3" t="s">
        <v>48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  <c r="P3" t="str">
        <v>Cereal</v>
      </c>
      <c r="Q3">
        <v>7</v>
      </c>
      <c r="R3">
        <v>2292443.4299999997</v>
      </c>
      <c r="V3">
        <v>2804</v>
      </c>
      <c r="W3">
        <v>-2324.71</v>
      </c>
      <c r="X3">
        <v>5404276.5841000006</v>
      </c>
      <c r="Z3">
        <f>_xlfn.VAR.S(AmazonSales[Units Sold])</f>
        <v>7809143.965555557</v>
      </c>
      <c r="AA3">
        <f>_xlfn.STDEV.S(AmazonSales[Units Sold])</f>
        <v>2794.4845616956909</v>
      </c>
      <c r="AG3" t="s">
        <v>181</v>
      </c>
    </row>
    <row r="4" spans="1:35">
      <c r="A4" t="s">
        <v>5</v>
      </c>
      <c r="B4" t="s">
        <v>49</v>
      </c>
      <c r="C4" t="s">
        <v>18</v>
      </c>
      <c r="D4" t="s">
        <v>44</v>
      </c>
      <c r="E4" t="s">
        <v>50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  <c r="P4" t="str">
        <v>Office Supplies</v>
      </c>
      <c r="Q4">
        <v>12</v>
      </c>
      <c r="R4">
        <v>5929583.75</v>
      </c>
      <c r="V4">
        <v>1779</v>
      </c>
      <c r="W4">
        <v>-3349.71</v>
      </c>
      <c r="X4">
        <v>11220557.084100001</v>
      </c>
      <c r="AG4" t="s">
        <v>168</v>
      </c>
      <c r="AI4">
        <f>COUNTA(AmazonSales[Units Sold])</f>
        <v>100</v>
      </c>
    </row>
    <row r="5" spans="1:35">
      <c r="A5" t="s">
        <v>8</v>
      </c>
      <c r="B5" t="s">
        <v>51</v>
      </c>
      <c r="C5" t="s">
        <v>15</v>
      </c>
      <c r="D5" t="s">
        <v>47</v>
      </c>
      <c r="E5" t="s">
        <v>48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  <c r="P5" t="str">
        <v>Fruits</v>
      </c>
      <c r="Q5">
        <v>10</v>
      </c>
      <c r="R5">
        <v>120495.18</v>
      </c>
      <c r="V5">
        <v>8102</v>
      </c>
      <c r="W5">
        <v>2973.29</v>
      </c>
      <c r="X5">
        <v>8840453.4241000004</v>
      </c>
      <c r="AG5" t="s">
        <v>169</v>
      </c>
      <c r="AI5">
        <f>SKEW(AmazonSales[Units Sold])</f>
        <v>-9.9952712353047465E-2</v>
      </c>
    </row>
    <row r="6" spans="1:35">
      <c r="A6" t="s">
        <v>8</v>
      </c>
      <c r="B6" t="s">
        <v>52</v>
      </c>
      <c r="C6" t="s">
        <v>18</v>
      </c>
      <c r="D6" t="s">
        <v>44</v>
      </c>
      <c r="E6" t="s">
        <v>50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  <c r="P6" t="str">
        <v>Household</v>
      </c>
      <c r="Q6">
        <v>9</v>
      </c>
      <c r="R6">
        <v>7412605.7100000009</v>
      </c>
      <c r="V6">
        <v>5062</v>
      </c>
      <c r="W6">
        <v>-66.710000000000036</v>
      </c>
      <c r="X6">
        <v>4450.2241000000049</v>
      </c>
      <c r="Z6" s="15" t="s">
        <v>53</v>
      </c>
      <c r="AA6" s="15"/>
      <c r="AG6" t="s">
        <v>170</v>
      </c>
      <c r="AI6">
        <f>KURT(AmazonSales[Units Sold])</f>
        <v>-1.0705275088565545</v>
      </c>
    </row>
    <row r="7" spans="1:35">
      <c r="A7" t="s">
        <v>3</v>
      </c>
      <c r="B7" t="s">
        <v>54</v>
      </c>
      <c r="C7" t="s">
        <v>10</v>
      </c>
      <c r="D7" t="s">
        <v>47</v>
      </c>
      <c r="E7" t="s">
        <v>48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  <c r="P7" t="str">
        <v>Vegetables</v>
      </c>
      <c r="Q7">
        <v>6</v>
      </c>
      <c r="R7">
        <v>1265819.6300000001</v>
      </c>
      <c r="V7">
        <v>2974</v>
      </c>
      <c r="W7">
        <v>-2154.71</v>
      </c>
      <c r="X7">
        <v>4642775.1841000002</v>
      </c>
      <c r="Z7" t="s">
        <v>55</v>
      </c>
      <c r="AA7">
        <f>AVERAGE(AmazonSales[Units Sold])</f>
        <v>5128.71</v>
      </c>
      <c r="AG7" t="s">
        <v>171</v>
      </c>
      <c r="AI7">
        <f>(AI4/6)*((AI5^2)+(AI6^2)/4)</f>
        <v>4.9416305251897699</v>
      </c>
    </row>
    <row r="8" spans="1:35">
      <c r="A8" t="s">
        <v>8</v>
      </c>
      <c r="B8" t="s">
        <v>56</v>
      </c>
      <c r="C8" t="s">
        <v>16</v>
      </c>
      <c r="D8" t="s">
        <v>44</v>
      </c>
      <c r="E8" t="s">
        <v>57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  <c r="P8" t="str">
        <v>Personal Care</v>
      </c>
      <c r="Q8">
        <v>10</v>
      </c>
      <c r="R8">
        <v>1220622.48</v>
      </c>
      <c r="V8">
        <v>4187</v>
      </c>
      <c r="W8">
        <v>-941.71</v>
      </c>
      <c r="X8">
        <v>886817.72410000011</v>
      </c>
      <c r="Z8" t="s">
        <v>58</v>
      </c>
      <c r="AA8">
        <f>MEDIAN(AmazonSales[Units Sold])</f>
        <v>5382.5</v>
      </c>
      <c r="AG8" t="s">
        <v>172</v>
      </c>
      <c r="AI8">
        <f>_xlfn.CHISQ.DIST.RT(AI7,2)</f>
        <v>8.4515928232084037E-2</v>
      </c>
    </row>
    <row r="9" spans="1:35">
      <c r="A9" t="s">
        <v>8</v>
      </c>
      <c r="B9" t="s">
        <v>59</v>
      </c>
      <c r="C9" t="s">
        <v>21</v>
      </c>
      <c r="D9" t="s">
        <v>47</v>
      </c>
      <c r="E9" t="s">
        <v>45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  <c r="P9" t="str">
        <v>Clothes</v>
      </c>
      <c r="Q9">
        <v>13</v>
      </c>
      <c r="R9">
        <v>5233334.4000000004</v>
      </c>
      <c r="V9">
        <v>8082</v>
      </c>
      <c r="W9">
        <v>2953.29</v>
      </c>
      <c r="X9">
        <v>8721921.8240999989</v>
      </c>
      <c r="Z9" t="s">
        <v>60</v>
      </c>
      <c r="AA9">
        <f>MODE(AmazonSales[Units Sold])</f>
        <v>8656</v>
      </c>
    </row>
    <row r="10" spans="1:35">
      <c r="A10" t="s">
        <v>8</v>
      </c>
      <c r="B10" t="s">
        <v>61</v>
      </c>
      <c r="C10" t="s">
        <v>19</v>
      </c>
      <c r="D10" t="s">
        <v>44</v>
      </c>
      <c r="E10" t="s">
        <v>57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  <c r="P10" t="str">
        <v>Cosmetics</v>
      </c>
      <c r="Q10">
        <v>13</v>
      </c>
      <c r="R10">
        <v>14556048.66</v>
      </c>
      <c r="V10">
        <v>6070</v>
      </c>
      <c r="W10">
        <v>941.29</v>
      </c>
      <c r="X10">
        <v>886026.86409999989</v>
      </c>
      <c r="Z10" t="s">
        <v>62</v>
      </c>
      <c r="AA10">
        <f>MAX(AmazonSales[Units Sold])</f>
        <v>9925</v>
      </c>
      <c r="AG10" t="s">
        <v>174</v>
      </c>
    </row>
    <row r="11" spans="1:35">
      <c r="A11" t="s">
        <v>8</v>
      </c>
      <c r="B11" t="s">
        <v>63</v>
      </c>
      <c r="C11" t="s">
        <v>12</v>
      </c>
      <c r="D11" t="s">
        <v>47</v>
      </c>
      <c r="E11" t="s">
        <v>45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  <c r="P11" t="str">
        <v>Beverages</v>
      </c>
      <c r="Q11">
        <v>8</v>
      </c>
      <c r="R11">
        <v>888047.27999999991</v>
      </c>
      <c r="V11">
        <v>6593</v>
      </c>
      <c r="W11">
        <v>1464.29</v>
      </c>
      <c r="X11">
        <v>2144145.2040999997</v>
      </c>
      <c r="Z11" t="s">
        <v>64</v>
      </c>
      <c r="AA11">
        <f>MIN(AmazonSales[Units Sold])</f>
        <v>124</v>
      </c>
      <c r="AG11" t="s">
        <v>173</v>
      </c>
    </row>
    <row r="12" spans="1:35">
      <c r="A12" t="s">
        <v>2</v>
      </c>
      <c r="B12" t="s">
        <v>65</v>
      </c>
      <c r="C12" t="s">
        <v>21</v>
      </c>
      <c r="D12" t="s">
        <v>47</v>
      </c>
      <c r="E12" t="s">
        <v>45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  <c r="P12" t="str">
        <v>Meat</v>
      </c>
      <c r="Q12">
        <v>2</v>
      </c>
      <c r="R12">
        <v>610610</v>
      </c>
      <c r="V12">
        <v>124</v>
      </c>
      <c r="W12">
        <v>-5004.71</v>
      </c>
      <c r="X12">
        <v>25047122.184100002</v>
      </c>
    </row>
    <row r="13" spans="1:35">
      <c r="A13" t="s">
        <v>8</v>
      </c>
      <c r="B13" t="s">
        <v>66</v>
      </c>
      <c r="C13" t="s">
        <v>13</v>
      </c>
      <c r="D13" t="s">
        <v>44</v>
      </c>
      <c r="E13" t="s">
        <v>45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  <c r="P13" t="str">
        <v>Snacks</v>
      </c>
      <c r="Q13">
        <v>3</v>
      </c>
      <c r="R13">
        <v>751944.18</v>
      </c>
      <c r="V13">
        <v>4168</v>
      </c>
      <c r="W13">
        <v>-960.71</v>
      </c>
      <c r="X13">
        <v>922963.70410000009</v>
      </c>
      <c r="Z13" t="s">
        <v>67</v>
      </c>
      <c r="AG13" t="s">
        <v>175</v>
      </c>
    </row>
    <row r="14" spans="1:35">
      <c r="A14" t="s">
        <v>2</v>
      </c>
      <c r="B14" t="s">
        <v>68</v>
      </c>
      <c r="C14" t="s">
        <v>13</v>
      </c>
      <c r="D14" t="s">
        <v>47</v>
      </c>
      <c r="E14" t="s">
        <v>50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  <c r="V14">
        <v>8263</v>
      </c>
      <c r="W14">
        <v>3134.29</v>
      </c>
      <c r="X14">
        <v>9823773.8040999994</v>
      </c>
      <c r="Z14" t="s">
        <v>69</v>
      </c>
    </row>
    <row r="15" spans="1:35">
      <c r="A15" t="s">
        <v>4</v>
      </c>
      <c r="B15" t="s">
        <v>70</v>
      </c>
      <c r="C15" t="s">
        <v>16</v>
      </c>
      <c r="D15" t="s">
        <v>44</v>
      </c>
      <c r="E15" t="s">
        <v>45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  <c r="V15">
        <v>8974</v>
      </c>
      <c r="W15">
        <v>3845.29</v>
      </c>
      <c r="X15">
        <v>14786255.1841</v>
      </c>
    </row>
    <row r="16" spans="1:35">
      <c r="A16" t="s">
        <v>2</v>
      </c>
      <c r="B16" t="s">
        <v>71</v>
      </c>
      <c r="C16" t="s">
        <v>19</v>
      </c>
      <c r="D16" t="s">
        <v>44</v>
      </c>
      <c r="E16" t="s">
        <v>48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  <c r="P16" s="20" t="s">
        <v>72</v>
      </c>
      <c r="V16">
        <v>4901</v>
      </c>
      <c r="W16">
        <v>-227.71000000000004</v>
      </c>
      <c r="X16">
        <v>51851.844100000017</v>
      </c>
      <c r="AG16" t="s">
        <v>177</v>
      </c>
    </row>
    <row r="17" spans="1:34">
      <c r="A17" t="s">
        <v>5</v>
      </c>
      <c r="B17" t="s">
        <v>73</v>
      </c>
      <c r="C17" t="s">
        <v>13</v>
      </c>
      <c r="D17" t="s">
        <v>47</v>
      </c>
      <c r="E17" t="s">
        <v>57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  <c r="P17" t="s">
        <v>74</v>
      </c>
      <c r="V17">
        <v>1673</v>
      </c>
      <c r="W17">
        <v>-3455.71</v>
      </c>
      <c r="X17">
        <v>11941931.6041</v>
      </c>
    </row>
    <row r="18" spans="1:34">
      <c r="A18" t="s">
        <v>2</v>
      </c>
      <c r="B18" t="s">
        <v>75</v>
      </c>
      <c r="C18" t="s">
        <v>14</v>
      </c>
      <c r="D18" t="s">
        <v>44</v>
      </c>
      <c r="E18" t="s">
        <v>57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  <c r="V18">
        <v>6952</v>
      </c>
      <c r="W18">
        <v>1823.29</v>
      </c>
      <c r="X18">
        <v>3324386.4240999999</v>
      </c>
      <c r="AG18" t="s">
        <v>178</v>
      </c>
      <c r="AH18">
        <f>AVERAGE(AmazonSales[Units Sold])</f>
        <v>5128.71</v>
      </c>
    </row>
    <row r="19" spans="1:34">
      <c r="A19" t="s">
        <v>8</v>
      </c>
      <c r="B19" t="s">
        <v>76</v>
      </c>
      <c r="C19" t="s">
        <v>11</v>
      </c>
      <c r="D19" t="s">
        <v>44</v>
      </c>
      <c r="E19" t="s">
        <v>48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  <c r="V19">
        <v>5430</v>
      </c>
      <c r="W19">
        <v>301.28999999999996</v>
      </c>
      <c r="X19">
        <v>90775.66409999998</v>
      </c>
      <c r="AG19" t="s">
        <v>179</v>
      </c>
      <c r="AH19">
        <f>_xlfn.STDEV.P(AmazonSales[Units Sold])</f>
        <v>2780.4770320756111</v>
      </c>
    </row>
    <row r="20" spans="1:34">
      <c r="A20" t="s">
        <v>2</v>
      </c>
      <c r="B20" t="s">
        <v>77</v>
      </c>
      <c r="C20" t="s">
        <v>16</v>
      </c>
      <c r="D20" t="s">
        <v>44</v>
      </c>
      <c r="E20" t="s">
        <v>50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  <c r="P20" t="s">
        <v>78</v>
      </c>
      <c r="Q20" s="15" t="s">
        <v>79</v>
      </c>
      <c r="R20" s="15" t="s">
        <v>80</v>
      </c>
      <c r="S20" s="15" t="s">
        <v>81</v>
      </c>
      <c r="T20" s="15" t="s">
        <v>82</v>
      </c>
      <c r="V20">
        <v>3830</v>
      </c>
      <c r="W20">
        <v>-1298.71</v>
      </c>
      <c r="X20">
        <v>1686647.6641000002</v>
      </c>
    </row>
    <row r="21" spans="1:34">
      <c r="A21" t="s">
        <v>3</v>
      </c>
      <c r="B21" t="s">
        <v>83</v>
      </c>
      <c r="C21" t="s">
        <v>17</v>
      </c>
      <c r="D21" t="s">
        <v>47</v>
      </c>
      <c r="E21" t="s">
        <v>50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  <c r="P21" t="s">
        <v>33</v>
      </c>
      <c r="Q21" s="12">
        <f>SUM(AmazonSales[Total Revenue])</f>
        <v>137348768.30999997</v>
      </c>
      <c r="R21" s="13">
        <v>100000000</v>
      </c>
      <c r="S21" s="14">
        <f>Q21-R21</f>
        <v>37348768.309999973</v>
      </c>
      <c r="T21" s="11">
        <f>S21/Q21</f>
        <v>0.27192648881788856</v>
      </c>
      <c r="V21">
        <v>5908</v>
      </c>
      <c r="W21">
        <v>779.29</v>
      </c>
      <c r="X21">
        <v>607292.90409999993</v>
      </c>
      <c r="AG21" t="s">
        <v>182</v>
      </c>
      <c r="AH21">
        <f>_xlfn.NORM.DIST(5128,AH18,AH19,TRUE) * 100</f>
        <v>49.989812934516657</v>
      </c>
    </row>
    <row r="22" spans="1:34">
      <c r="A22" t="s">
        <v>5</v>
      </c>
      <c r="B22" t="s">
        <v>84</v>
      </c>
      <c r="C22" t="s">
        <v>10</v>
      </c>
      <c r="D22" t="s">
        <v>47</v>
      </c>
      <c r="E22" t="s">
        <v>50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  <c r="P22" t="s">
        <v>85</v>
      </c>
      <c r="Q22" s="12">
        <f>SUM(AmazonSales[Total Cost])</f>
        <v>93180569.909999982</v>
      </c>
      <c r="R22" s="13">
        <v>50000000</v>
      </c>
      <c r="S22" s="14">
        <f>Q22-R22</f>
        <v>43180569.909999982</v>
      </c>
      <c r="T22" s="11">
        <f>S22/Q22</f>
        <v>0.46340744590537125</v>
      </c>
      <c r="V22">
        <v>7450</v>
      </c>
      <c r="W22">
        <v>2321.29</v>
      </c>
      <c r="X22">
        <v>5388387.2641000003</v>
      </c>
      <c r="AG22" t="s">
        <v>183</v>
      </c>
      <c r="AH22">
        <f>(1-_xlfn.NORM.DIST(7000,AH18,AH19,TRUE)) * 100</f>
        <v>25.04703326495763</v>
      </c>
    </row>
    <row r="23" spans="1:34">
      <c r="A23" t="s">
        <v>5</v>
      </c>
      <c r="B23" t="s">
        <v>86</v>
      </c>
      <c r="C23" t="s">
        <v>10</v>
      </c>
      <c r="D23" t="s">
        <v>47</v>
      </c>
      <c r="E23" t="s">
        <v>45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  <c r="P23" t="s">
        <v>87</v>
      </c>
      <c r="Q23" s="12">
        <f>Q21-Q22</f>
        <v>44168198.399999991</v>
      </c>
      <c r="R23" s="13">
        <v>45000000</v>
      </c>
      <c r="S23" s="14">
        <f>Q23-R23</f>
        <v>-831801.60000000894</v>
      </c>
      <c r="T23" s="11">
        <f>S23/Q23</f>
        <v>-1.8832590645128263E-2</v>
      </c>
      <c r="V23">
        <v>1273</v>
      </c>
      <c r="W23">
        <v>-3855.71</v>
      </c>
      <c r="X23">
        <v>14866499.6041</v>
      </c>
      <c r="AG23" t="s">
        <v>184</v>
      </c>
      <c r="AH23">
        <f>(_xlfn.NORM.DIST(7000,AH18,AH19,TRUE)) * 100</f>
        <v>74.952966735042367</v>
      </c>
    </row>
    <row r="24" spans="1:34">
      <c r="A24" t="s">
        <v>4</v>
      </c>
      <c r="B24" t="s">
        <v>70</v>
      </c>
      <c r="C24" t="s">
        <v>20</v>
      </c>
      <c r="D24" t="s">
        <v>47</v>
      </c>
      <c r="E24" t="s">
        <v>50</v>
      </c>
      <c r="F24" s="1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  <c r="P24" t="s">
        <v>88</v>
      </c>
      <c r="Q24" s="11">
        <f>(Q23/Q22)</f>
        <v>0.47400652778428581</v>
      </c>
      <c r="R24" s="11">
        <v>0.6</v>
      </c>
      <c r="S24" s="11">
        <f>Q24-R24</f>
        <v>-0.12599347221571416</v>
      </c>
      <c r="T24" s="11">
        <f>S24/Q24</f>
        <v>-0.26580535252259679</v>
      </c>
      <c r="V24">
        <v>2225</v>
      </c>
      <c r="W24">
        <v>-2903.71</v>
      </c>
      <c r="X24">
        <v>8431531.7641000003</v>
      </c>
    </row>
    <row r="25" spans="1:34">
      <c r="A25" t="s">
        <v>3</v>
      </c>
      <c r="B25" t="s">
        <v>89</v>
      </c>
      <c r="C25" t="s">
        <v>15</v>
      </c>
      <c r="D25" t="s">
        <v>47</v>
      </c>
      <c r="E25" t="s">
        <v>45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  <c r="P25" t="s">
        <v>90</v>
      </c>
      <c r="Q25">
        <f>SUMIF(AmazonSales[Item Type], "Cosmetics",AmazonSales[Total Revenue])</f>
        <v>36601509.600000001</v>
      </c>
      <c r="R25" t="s">
        <v>91</v>
      </c>
      <c r="S25" t="s">
        <v>91</v>
      </c>
      <c r="T25" t="s">
        <v>91</v>
      </c>
      <c r="V25">
        <v>2187</v>
      </c>
      <c r="W25">
        <v>-2941.71</v>
      </c>
      <c r="X25">
        <v>8653657.7240999993</v>
      </c>
    </row>
    <row r="26" spans="1:34">
      <c r="A26" t="s">
        <v>5</v>
      </c>
      <c r="B26" t="s">
        <v>92</v>
      </c>
      <c r="C26" t="s">
        <v>19</v>
      </c>
      <c r="D26" t="s">
        <v>47</v>
      </c>
      <c r="E26" t="s">
        <v>50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  <c r="P26" t="s">
        <v>93</v>
      </c>
      <c r="Q26" s="11">
        <f>Q25/Q21</f>
        <v>0.26648589609037759</v>
      </c>
      <c r="R26" s="11">
        <v>0.2</v>
      </c>
      <c r="S26" s="11">
        <f>Q26-R26</f>
        <v>6.6485896090377583E-2</v>
      </c>
      <c r="T26" s="11">
        <f>S26/Q26</f>
        <v>0.24949123786959879</v>
      </c>
      <c r="V26">
        <v>5070</v>
      </c>
      <c r="W26">
        <v>-58.710000000000036</v>
      </c>
      <c r="X26">
        <v>3446.8641000000043</v>
      </c>
    </row>
    <row r="27" spans="1:34">
      <c r="A27" t="s">
        <v>5</v>
      </c>
      <c r="B27" t="s">
        <v>94</v>
      </c>
      <c r="C27" t="s">
        <v>14</v>
      </c>
      <c r="D27" t="s">
        <v>47</v>
      </c>
      <c r="E27" t="s">
        <v>45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  <c r="V27">
        <v>1815</v>
      </c>
      <c r="W27">
        <v>-3313.71</v>
      </c>
      <c r="X27">
        <v>10980673.9641</v>
      </c>
    </row>
    <row r="28" spans="1:34">
      <c r="A28" t="s">
        <v>3</v>
      </c>
      <c r="B28" t="s">
        <v>95</v>
      </c>
      <c r="C28" t="s">
        <v>15</v>
      </c>
      <c r="D28" t="s">
        <v>47</v>
      </c>
      <c r="E28" t="s">
        <v>57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  <c r="V28">
        <v>5398</v>
      </c>
      <c r="W28">
        <v>269.28999999999996</v>
      </c>
      <c r="X28">
        <v>72517.104099999982</v>
      </c>
    </row>
    <row r="29" spans="1:34">
      <c r="A29" t="s">
        <v>8</v>
      </c>
      <c r="B29" t="s">
        <v>96</v>
      </c>
      <c r="C29" t="s">
        <v>15</v>
      </c>
      <c r="D29" t="s">
        <v>47</v>
      </c>
      <c r="E29" t="s">
        <v>50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  <c r="P29" t="s">
        <v>97</v>
      </c>
      <c r="V29">
        <v>5822</v>
      </c>
      <c r="W29">
        <v>693.29</v>
      </c>
      <c r="X29">
        <v>480651.02409999992</v>
      </c>
    </row>
    <row r="30" spans="1:34">
      <c r="A30" t="s">
        <v>5</v>
      </c>
      <c r="B30" t="s">
        <v>84</v>
      </c>
      <c r="C30" t="s">
        <v>11</v>
      </c>
      <c r="D30" t="s">
        <v>44</v>
      </c>
      <c r="E30" t="s">
        <v>48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  <c r="P30" t="s">
        <v>98</v>
      </c>
      <c r="R30" s="11">
        <f>386/815</f>
        <v>0.47361963190184048</v>
      </c>
      <c r="V30">
        <v>5124</v>
      </c>
      <c r="W30">
        <v>-4.7100000000000364</v>
      </c>
      <c r="X30">
        <v>22.184100000000342</v>
      </c>
    </row>
    <row r="31" spans="1:34">
      <c r="A31" t="s">
        <v>8</v>
      </c>
      <c r="B31" t="s">
        <v>99</v>
      </c>
      <c r="C31" t="s">
        <v>16</v>
      </c>
      <c r="D31" t="s">
        <v>44</v>
      </c>
      <c r="E31" t="s">
        <v>50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  <c r="V31">
        <v>2370</v>
      </c>
      <c r="W31">
        <v>-2758.71</v>
      </c>
      <c r="X31">
        <v>7610480.8640999999</v>
      </c>
    </row>
    <row r="32" spans="1:34">
      <c r="A32" t="s">
        <v>5</v>
      </c>
      <c r="B32" t="s">
        <v>100</v>
      </c>
      <c r="C32" t="s">
        <v>14</v>
      </c>
      <c r="D32" t="s">
        <v>44</v>
      </c>
      <c r="E32" t="s">
        <v>57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  <c r="V32">
        <v>8661</v>
      </c>
      <c r="W32">
        <v>3532.29</v>
      </c>
      <c r="X32">
        <v>12477072.644099999</v>
      </c>
    </row>
    <row r="33" spans="1:24">
      <c r="A33" t="s">
        <v>8</v>
      </c>
      <c r="B33" t="s">
        <v>101</v>
      </c>
      <c r="C33" t="s">
        <v>19</v>
      </c>
      <c r="D33" t="s">
        <v>44</v>
      </c>
      <c r="E33" t="s">
        <v>48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  <c r="P33" t="s">
        <v>102</v>
      </c>
      <c r="V33">
        <v>2125</v>
      </c>
      <c r="W33">
        <v>-3003.71</v>
      </c>
      <c r="X33">
        <v>9022273.7641000003</v>
      </c>
    </row>
    <row r="34" spans="1:24">
      <c r="A34" t="s">
        <v>3</v>
      </c>
      <c r="B34" t="s">
        <v>103</v>
      </c>
      <c r="C34" t="s">
        <v>18</v>
      </c>
      <c r="D34" t="s">
        <v>47</v>
      </c>
      <c r="E34" t="s">
        <v>48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  <c r="V34">
        <v>2924</v>
      </c>
      <c r="W34">
        <v>-2204.71</v>
      </c>
      <c r="X34">
        <v>4860746.1841000002</v>
      </c>
    </row>
    <row r="35" spans="1:24">
      <c r="A35" t="s">
        <v>2</v>
      </c>
      <c r="B35" t="s">
        <v>104</v>
      </c>
      <c r="C35" t="s">
        <v>16</v>
      </c>
      <c r="D35" t="s">
        <v>44</v>
      </c>
      <c r="E35" t="s">
        <v>45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  <c r="P35" t="s">
        <v>105</v>
      </c>
      <c r="R35">
        <f>CORREL(AmazonSales[Unit Price],AmazonSales[Unit Cost])</f>
        <v>0.98726981312684992</v>
      </c>
      <c r="V35">
        <v>8250</v>
      </c>
      <c r="W35">
        <v>3121.29</v>
      </c>
      <c r="X35">
        <v>9742451.2641000003</v>
      </c>
    </row>
    <row r="36" spans="1:24">
      <c r="A36" t="s">
        <v>8</v>
      </c>
      <c r="B36" t="s">
        <v>106</v>
      </c>
      <c r="C36" t="s">
        <v>20</v>
      </c>
      <c r="D36" t="s">
        <v>47</v>
      </c>
      <c r="E36" t="s">
        <v>57</v>
      </c>
      <c r="F36" s="1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  <c r="P36" s="21" t="s">
        <v>107</v>
      </c>
      <c r="R36">
        <f>CORREL(AmazonSales[Units Sold],AmazonSales[Total Profit])</f>
        <v>0.56455046208459747</v>
      </c>
      <c r="V36">
        <v>7327</v>
      </c>
      <c r="W36">
        <v>2198.29</v>
      </c>
      <c r="X36">
        <v>4832478.9240999995</v>
      </c>
    </row>
    <row r="37" spans="1:24">
      <c r="A37" t="s">
        <v>4</v>
      </c>
      <c r="B37" t="s">
        <v>108</v>
      </c>
      <c r="C37" t="s">
        <v>19</v>
      </c>
      <c r="D37" t="s">
        <v>44</v>
      </c>
      <c r="E37" t="s">
        <v>50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  <c r="V37">
        <v>6409</v>
      </c>
      <c r="W37">
        <v>1280.29</v>
      </c>
      <c r="X37">
        <v>1639142.4841</v>
      </c>
    </row>
    <row r="38" spans="1:24">
      <c r="A38" t="s">
        <v>6</v>
      </c>
      <c r="B38" t="s">
        <v>109</v>
      </c>
      <c r="C38" t="s">
        <v>15</v>
      </c>
      <c r="D38" t="s">
        <v>47</v>
      </c>
      <c r="E38" t="s">
        <v>50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  <c r="V38">
        <v>3784</v>
      </c>
      <c r="W38">
        <v>-1344.71</v>
      </c>
      <c r="X38">
        <v>1808244.9841</v>
      </c>
    </row>
    <row r="39" spans="1:24">
      <c r="A39" t="s">
        <v>8</v>
      </c>
      <c r="B39" t="s">
        <v>99</v>
      </c>
      <c r="C39" t="s">
        <v>17</v>
      </c>
      <c r="D39" t="s">
        <v>47</v>
      </c>
      <c r="E39" t="s">
        <v>57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  <c r="V39">
        <v>4767</v>
      </c>
      <c r="W39">
        <v>-361.71000000000004</v>
      </c>
      <c r="X39">
        <v>130834.12410000003</v>
      </c>
    </row>
    <row r="40" spans="1:24">
      <c r="A40" t="s">
        <v>2</v>
      </c>
      <c r="B40" t="s">
        <v>110</v>
      </c>
      <c r="C40" t="s">
        <v>18</v>
      </c>
      <c r="D40" t="s">
        <v>47</v>
      </c>
      <c r="E40" t="s">
        <v>50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  <c r="V40">
        <v>6708</v>
      </c>
      <c r="W40">
        <v>1579.29</v>
      </c>
      <c r="X40">
        <v>2494156.9040999999</v>
      </c>
    </row>
    <row r="41" spans="1:24">
      <c r="A41" t="s">
        <v>5</v>
      </c>
      <c r="B41" t="s">
        <v>73</v>
      </c>
      <c r="C41" t="s">
        <v>18</v>
      </c>
      <c r="D41" t="s">
        <v>47</v>
      </c>
      <c r="E41" t="s">
        <v>57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  <c r="V41">
        <v>3987</v>
      </c>
      <c r="W41">
        <v>-1141.71</v>
      </c>
      <c r="X41">
        <v>1303501.7241</v>
      </c>
    </row>
    <row r="42" spans="1:24">
      <c r="A42" t="s">
        <v>8</v>
      </c>
      <c r="B42" t="s">
        <v>111</v>
      </c>
      <c r="C42" t="s">
        <v>19</v>
      </c>
      <c r="D42" t="s">
        <v>47</v>
      </c>
      <c r="E42" t="s">
        <v>45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  <c r="V42">
        <v>3015</v>
      </c>
      <c r="W42">
        <v>-2113.71</v>
      </c>
      <c r="X42">
        <v>4467769.9641000004</v>
      </c>
    </row>
    <row r="43" spans="1:24">
      <c r="A43" t="s">
        <v>6</v>
      </c>
      <c r="B43" t="s">
        <v>112</v>
      </c>
      <c r="C43" t="s">
        <v>14</v>
      </c>
      <c r="D43" t="s">
        <v>47</v>
      </c>
      <c r="E43" t="s">
        <v>57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  <c r="V43">
        <v>7234</v>
      </c>
      <c r="W43">
        <v>2105.29</v>
      </c>
      <c r="X43">
        <v>4432245.9841</v>
      </c>
    </row>
    <row r="44" spans="1:24">
      <c r="A44" t="s">
        <v>8</v>
      </c>
      <c r="B44" t="s">
        <v>99</v>
      </c>
      <c r="C44" t="s">
        <v>12</v>
      </c>
      <c r="D44" t="s">
        <v>44</v>
      </c>
      <c r="E44" t="s">
        <v>45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  <c r="V44">
        <v>2117</v>
      </c>
      <c r="W44">
        <v>-3011.71</v>
      </c>
      <c r="X44">
        <v>9070397.1240999997</v>
      </c>
    </row>
    <row r="45" spans="1:24">
      <c r="A45" t="s">
        <v>5</v>
      </c>
      <c r="B45" t="s">
        <v>113</v>
      </c>
      <c r="C45" t="s">
        <v>21</v>
      </c>
      <c r="D45" t="s">
        <v>47</v>
      </c>
      <c r="E45" t="s">
        <v>45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  <c r="V45">
        <v>171</v>
      </c>
      <c r="W45">
        <v>-4957.71</v>
      </c>
      <c r="X45">
        <v>24578888.4441</v>
      </c>
    </row>
    <row r="46" spans="1:24">
      <c r="A46" t="s">
        <v>2</v>
      </c>
      <c r="B46" t="s">
        <v>104</v>
      </c>
      <c r="C46" t="s">
        <v>13</v>
      </c>
      <c r="D46" t="s">
        <v>47</v>
      </c>
      <c r="E46" t="s">
        <v>45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  <c r="V46">
        <v>5930</v>
      </c>
      <c r="W46">
        <v>801.29</v>
      </c>
      <c r="X46">
        <v>642065.66409999994</v>
      </c>
    </row>
    <row r="47" spans="1:24">
      <c r="A47" t="s">
        <v>8</v>
      </c>
      <c r="B47" t="s">
        <v>114</v>
      </c>
      <c r="C47" t="s">
        <v>12</v>
      </c>
      <c r="D47" t="s">
        <v>44</v>
      </c>
      <c r="E47" t="s">
        <v>45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  <c r="V47">
        <v>962</v>
      </c>
      <c r="W47">
        <v>-4166.71</v>
      </c>
      <c r="X47">
        <v>17361472.224100001</v>
      </c>
    </row>
    <row r="48" spans="1:24">
      <c r="A48" t="s">
        <v>5</v>
      </c>
      <c r="B48" t="s">
        <v>115</v>
      </c>
      <c r="C48" t="s">
        <v>14</v>
      </c>
      <c r="D48" t="s">
        <v>47</v>
      </c>
      <c r="E48" t="s">
        <v>48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  <c r="V48">
        <v>8867</v>
      </c>
      <c r="W48">
        <v>3738.29</v>
      </c>
      <c r="X48">
        <v>13974812.1241</v>
      </c>
    </row>
    <row r="49" spans="1:24">
      <c r="A49" t="s">
        <v>5</v>
      </c>
      <c r="B49" t="s">
        <v>100</v>
      </c>
      <c r="C49" t="s">
        <v>19</v>
      </c>
      <c r="D49" t="s">
        <v>47</v>
      </c>
      <c r="E49" t="s">
        <v>57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  <c r="V49">
        <v>273</v>
      </c>
      <c r="W49">
        <v>-4855.71</v>
      </c>
      <c r="X49">
        <v>23577919.6041</v>
      </c>
    </row>
    <row r="50" spans="1:24">
      <c r="A50" t="s">
        <v>5</v>
      </c>
      <c r="B50" t="s">
        <v>116</v>
      </c>
      <c r="C50" t="s">
        <v>13</v>
      </c>
      <c r="D50" t="s">
        <v>44</v>
      </c>
      <c r="E50" t="s">
        <v>48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  <c r="V50">
        <v>7842</v>
      </c>
      <c r="W50">
        <v>2713.29</v>
      </c>
      <c r="X50">
        <v>7361942.6240999997</v>
      </c>
    </row>
    <row r="51" spans="1:24">
      <c r="A51" t="s">
        <v>8</v>
      </c>
      <c r="B51" t="s">
        <v>117</v>
      </c>
      <c r="C51" t="s">
        <v>18</v>
      </c>
      <c r="D51" t="s">
        <v>44</v>
      </c>
      <c r="E51" t="s">
        <v>48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  <c r="V51">
        <v>1266</v>
      </c>
      <c r="W51">
        <v>-3862.71</v>
      </c>
      <c r="X51">
        <v>14920528.5441</v>
      </c>
    </row>
    <row r="52" spans="1:24">
      <c r="A52" t="s">
        <v>5</v>
      </c>
      <c r="B52" t="s">
        <v>118</v>
      </c>
      <c r="C52" t="s">
        <v>13</v>
      </c>
      <c r="D52" t="s">
        <v>47</v>
      </c>
      <c r="E52" t="s">
        <v>48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  <c r="V52">
        <v>2269</v>
      </c>
      <c r="W52">
        <v>-2859.71</v>
      </c>
      <c r="X52">
        <v>8177941.2840999998</v>
      </c>
    </row>
    <row r="53" spans="1:24">
      <c r="A53" t="s">
        <v>8</v>
      </c>
      <c r="B53" t="s">
        <v>119</v>
      </c>
      <c r="C53" t="s">
        <v>15</v>
      </c>
      <c r="D53" t="s">
        <v>47</v>
      </c>
      <c r="E53" t="s">
        <v>50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  <c r="V53">
        <v>9606</v>
      </c>
      <c r="W53">
        <v>4477.29</v>
      </c>
      <c r="X53">
        <v>20046125.744100001</v>
      </c>
    </row>
    <row r="54" spans="1:24">
      <c r="A54" t="s">
        <v>6</v>
      </c>
      <c r="B54" t="s">
        <v>120</v>
      </c>
      <c r="C54" t="s">
        <v>12</v>
      </c>
      <c r="D54" t="s">
        <v>47</v>
      </c>
      <c r="E54" t="s">
        <v>57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  <c r="V54">
        <v>4063</v>
      </c>
      <c r="W54">
        <v>-1065.71</v>
      </c>
      <c r="X54">
        <v>1135737.8041000001</v>
      </c>
    </row>
    <row r="55" spans="1:24">
      <c r="A55" t="s">
        <v>8</v>
      </c>
      <c r="B55" t="s">
        <v>121</v>
      </c>
      <c r="C55" t="s">
        <v>18</v>
      </c>
      <c r="D55" t="s">
        <v>44</v>
      </c>
      <c r="E55" t="s">
        <v>57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  <c r="V55">
        <v>3457</v>
      </c>
      <c r="W55">
        <v>-1671.71</v>
      </c>
      <c r="X55">
        <v>2794614.3241000003</v>
      </c>
    </row>
    <row r="56" spans="1:24">
      <c r="A56" t="s">
        <v>8</v>
      </c>
      <c r="B56" t="s">
        <v>51</v>
      </c>
      <c r="C56" t="s">
        <v>15</v>
      </c>
      <c r="D56" t="s">
        <v>44</v>
      </c>
      <c r="E56" t="s">
        <v>45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  <c r="V56">
        <v>7637</v>
      </c>
      <c r="W56">
        <v>2508.29</v>
      </c>
      <c r="X56">
        <v>6291518.7241000002</v>
      </c>
    </row>
    <row r="57" spans="1:24">
      <c r="A57" t="s">
        <v>8</v>
      </c>
      <c r="B57" t="s">
        <v>122</v>
      </c>
      <c r="C57" t="s">
        <v>13</v>
      </c>
      <c r="D57" t="s">
        <v>47</v>
      </c>
      <c r="E57" t="s">
        <v>48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  <c r="V57">
        <v>3482</v>
      </c>
      <c r="W57">
        <v>-1646.71</v>
      </c>
      <c r="X57">
        <v>2711653.8241000003</v>
      </c>
    </row>
    <row r="58" spans="1:24">
      <c r="A58" t="s">
        <v>3</v>
      </c>
      <c r="B58" t="s">
        <v>123</v>
      </c>
      <c r="C58" t="s">
        <v>13</v>
      </c>
      <c r="D58" t="s">
        <v>44</v>
      </c>
      <c r="E58" t="s">
        <v>48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  <c r="V58">
        <v>9905</v>
      </c>
      <c r="W58">
        <v>4776.29</v>
      </c>
      <c r="X58">
        <v>22812946.164099999</v>
      </c>
    </row>
    <row r="59" spans="1:24">
      <c r="A59" t="s">
        <v>5</v>
      </c>
      <c r="B59" t="s">
        <v>124</v>
      </c>
      <c r="C59" t="s">
        <v>14</v>
      </c>
      <c r="D59" t="s">
        <v>44</v>
      </c>
      <c r="E59" t="s">
        <v>45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  <c r="V59">
        <v>2847</v>
      </c>
      <c r="W59">
        <v>-2281.71</v>
      </c>
      <c r="X59">
        <v>5206200.5241</v>
      </c>
    </row>
    <row r="60" spans="1:24">
      <c r="A60" t="s">
        <v>5</v>
      </c>
      <c r="B60" t="s">
        <v>125</v>
      </c>
      <c r="C60" t="s">
        <v>16</v>
      </c>
      <c r="D60" t="s">
        <v>47</v>
      </c>
      <c r="E60" t="s">
        <v>50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  <c r="V60">
        <v>282</v>
      </c>
      <c r="W60">
        <v>-4846.71</v>
      </c>
      <c r="X60">
        <v>23490597.824099999</v>
      </c>
    </row>
    <row r="61" spans="1:24">
      <c r="A61" t="s">
        <v>8</v>
      </c>
      <c r="B61" t="s">
        <v>106</v>
      </c>
      <c r="C61" t="s">
        <v>14</v>
      </c>
      <c r="D61" t="s">
        <v>44</v>
      </c>
      <c r="E61" t="s">
        <v>45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  <c r="V61">
        <v>7215</v>
      </c>
      <c r="W61">
        <v>2086.29</v>
      </c>
      <c r="X61">
        <v>4352605.9640999995</v>
      </c>
    </row>
    <row r="62" spans="1:24">
      <c r="A62" t="s">
        <v>3</v>
      </c>
      <c r="B62" t="s">
        <v>103</v>
      </c>
      <c r="C62" t="s">
        <v>12</v>
      </c>
      <c r="D62" t="s">
        <v>44</v>
      </c>
      <c r="E62" t="s">
        <v>45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  <c r="V62">
        <v>682</v>
      </c>
      <c r="W62">
        <v>-4446.71</v>
      </c>
      <c r="X62">
        <v>19773229.824099999</v>
      </c>
    </row>
    <row r="63" spans="1:24">
      <c r="A63" t="s">
        <v>5</v>
      </c>
      <c r="B63" t="s">
        <v>126</v>
      </c>
      <c r="C63" t="s">
        <v>10</v>
      </c>
      <c r="D63" t="s">
        <v>47</v>
      </c>
      <c r="E63" t="s">
        <v>50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  <c r="V63">
        <v>4750</v>
      </c>
      <c r="W63">
        <v>-378.71000000000004</v>
      </c>
      <c r="X63">
        <v>143421.26410000003</v>
      </c>
    </row>
    <row r="64" spans="1:24">
      <c r="A64" t="s">
        <v>8</v>
      </c>
      <c r="B64" t="s">
        <v>76</v>
      </c>
      <c r="C64" t="s">
        <v>18</v>
      </c>
      <c r="D64" t="s">
        <v>47</v>
      </c>
      <c r="E64" t="s">
        <v>57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  <c r="V64">
        <v>5518</v>
      </c>
      <c r="W64">
        <v>389.28999999999996</v>
      </c>
      <c r="X64">
        <v>151546.70409999997</v>
      </c>
    </row>
    <row r="65" spans="1:24">
      <c r="A65" t="s">
        <v>6</v>
      </c>
      <c r="B65" t="s">
        <v>127</v>
      </c>
      <c r="C65" t="s">
        <v>13</v>
      </c>
      <c r="D65" t="s">
        <v>44</v>
      </c>
      <c r="E65" t="s">
        <v>45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  <c r="V65">
        <v>6116</v>
      </c>
      <c r="W65">
        <v>987.29</v>
      </c>
      <c r="X65">
        <v>974741.54409999994</v>
      </c>
    </row>
    <row r="66" spans="1:24">
      <c r="A66" t="s">
        <v>4</v>
      </c>
      <c r="B66" t="s">
        <v>128</v>
      </c>
      <c r="C66" t="s">
        <v>14</v>
      </c>
      <c r="D66" t="s">
        <v>44</v>
      </c>
      <c r="E66" t="s">
        <v>45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  <c r="V66">
        <v>1705</v>
      </c>
      <c r="W66">
        <v>-3423.71</v>
      </c>
      <c r="X66">
        <v>11721790.164100001</v>
      </c>
    </row>
    <row r="67" spans="1:24">
      <c r="A67" t="s">
        <v>8</v>
      </c>
      <c r="B67" t="s">
        <v>52</v>
      </c>
      <c r="C67" t="s">
        <v>14</v>
      </c>
      <c r="D67" t="s">
        <v>44</v>
      </c>
      <c r="E67" t="s">
        <v>45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  <c r="V67">
        <v>4477</v>
      </c>
      <c r="W67">
        <v>-651.71</v>
      </c>
      <c r="X67">
        <v>424725.92410000006</v>
      </c>
    </row>
    <row r="68" spans="1:24">
      <c r="A68" t="s">
        <v>8</v>
      </c>
      <c r="B68" t="s">
        <v>129</v>
      </c>
      <c r="C68" t="s">
        <v>19</v>
      </c>
      <c r="D68" t="s">
        <v>44</v>
      </c>
      <c r="E68" t="s">
        <v>50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  <c r="V68">
        <v>8656</v>
      </c>
      <c r="W68">
        <v>3527.29</v>
      </c>
      <c r="X68">
        <v>12441774.744099999</v>
      </c>
    </row>
    <row r="69" spans="1:24">
      <c r="A69" t="s">
        <v>4</v>
      </c>
      <c r="B69" t="s">
        <v>130</v>
      </c>
      <c r="C69" t="s">
        <v>13</v>
      </c>
      <c r="D69" t="s">
        <v>44</v>
      </c>
      <c r="E69" t="s">
        <v>57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  <c r="V69">
        <v>5498</v>
      </c>
      <c r="W69">
        <v>369.28999999999996</v>
      </c>
      <c r="X69">
        <v>136375.10409999997</v>
      </c>
    </row>
    <row r="70" spans="1:24">
      <c r="A70" t="s">
        <v>5</v>
      </c>
      <c r="B70" t="s">
        <v>131</v>
      </c>
      <c r="C70" t="s">
        <v>18</v>
      </c>
      <c r="D70" t="s">
        <v>44</v>
      </c>
      <c r="E70" t="s">
        <v>45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  <c r="V70">
        <v>8287</v>
      </c>
      <c r="W70">
        <v>3158.29</v>
      </c>
      <c r="X70">
        <v>9974795.7240999993</v>
      </c>
    </row>
    <row r="71" spans="1:24">
      <c r="A71" t="s">
        <v>8</v>
      </c>
      <c r="B71" t="s">
        <v>132</v>
      </c>
      <c r="C71" t="s">
        <v>13</v>
      </c>
      <c r="D71" t="s">
        <v>44</v>
      </c>
      <c r="E71" t="s">
        <v>50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  <c r="V71">
        <v>7342</v>
      </c>
      <c r="W71">
        <v>2213.29</v>
      </c>
      <c r="X71">
        <v>4898652.6240999997</v>
      </c>
    </row>
    <row r="72" spans="1:24">
      <c r="A72" t="s">
        <v>2</v>
      </c>
      <c r="B72" t="s">
        <v>77</v>
      </c>
      <c r="C72" t="s">
        <v>18</v>
      </c>
      <c r="D72" t="s">
        <v>47</v>
      </c>
      <c r="E72" t="s">
        <v>57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  <c r="V72">
        <v>5010</v>
      </c>
      <c r="W72">
        <v>-118.71000000000004</v>
      </c>
      <c r="X72">
        <v>14092.064100000009</v>
      </c>
    </row>
    <row r="73" spans="1:24">
      <c r="A73" t="s">
        <v>6</v>
      </c>
      <c r="B73" t="s">
        <v>127</v>
      </c>
      <c r="C73" t="s">
        <v>15</v>
      </c>
      <c r="D73" t="s">
        <v>47</v>
      </c>
      <c r="E73" t="s">
        <v>50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  <c r="V73">
        <v>673</v>
      </c>
      <c r="W73">
        <v>-4455.71</v>
      </c>
      <c r="X73">
        <v>19853351.6041</v>
      </c>
    </row>
    <row r="74" spans="1:24">
      <c r="A74" t="s">
        <v>8</v>
      </c>
      <c r="B74" t="s">
        <v>133</v>
      </c>
      <c r="C74" t="s">
        <v>11</v>
      </c>
      <c r="D74" t="s">
        <v>47</v>
      </c>
      <c r="E74" t="s">
        <v>48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  <c r="V74">
        <v>5741</v>
      </c>
      <c r="W74">
        <v>612.29</v>
      </c>
      <c r="X74">
        <v>374899.04409999994</v>
      </c>
    </row>
    <row r="75" spans="1:24">
      <c r="A75" t="s">
        <v>8</v>
      </c>
      <c r="B75" t="s">
        <v>106</v>
      </c>
      <c r="C75" t="s">
        <v>12</v>
      </c>
      <c r="D75" t="s">
        <v>47</v>
      </c>
      <c r="E75" t="s">
        <v>45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  <c r="V75">
        <v>8656</v>
      </c>
      <c r="W75">
        <v>3527.29</v>
      </c>
      <c r="X75">
        <v>12441774.744099999</v>
      </c>
    </row>
    <row r="76" spans="1:24">
      <c r="A76" t="s">
        <v>6</v>
      </c>
      <c r="B76" t="s">
        <v>134</v>
      </c>
      <c r="C76" t="s">
        <v>14</v>
      </c>
      <c r="D76" t="s">
        <v>44</v>
      </c>
      <c r="E76" t="s">
        <v>50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  <c r="V76">
        <v>9892</v>
      </c>
      <c r="W76">
        <v>4763.29</v>
      </c>
      <c r="X76">
        <v>22688931.6241</v>
      </c>
    </row>
    <row r="77" spans="1:24">
      <c r="A77" t="s">
        <v>7</v>
      </c>
      <c r="B77" t="s">
        <v>135</v>
      </c>
      <c r="C77" t="s">
        <v>16</v>
      </c>
      <c r="D77" t="s">
        <v>44</v>
      </c>
      <c r="E77" t="s">
        <v>48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  <c r="V77">
        <v>6954</v>
      </c>
      <c r="W77">
        <v>1825.29</v>
      </c>
      <c r="X77">
        <v>3331683.5841000001</v>
      </c>
    </row>
    <row r="78" spans="1:24">
      <c r="A78" t="s">
        <v>3</v>
      </c>
      <c r="B78" t="s">
        <v>136</v>
      </c>
      <c r="C78" t="s">
        <v>11</v>
      </c>
      <c r="D78" t="s">
        <v>47</v>
      </c>
      <c r="E78" t="s">
        <v>48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  <c r="V78">
        <v>9379</v>
      </c>
      <c r="W78">
        <v>4250.29</v>
      </c>
      <c r="X78">
        <v>18064965.084100001</v>
      </c>
    </row>
    <row r="79" spans="1:24">
      <c r="A79" t="s">
        <v>2</v>
      </c>
      <c r="B79" t="s">
        <v>137</v>
      </c>
      <c r="C79" t="s">
        <v>21</v>
      </c>
      <c r="D79" t="s">
        <v>44</v>
      </c>
      <c r="E79" t="s">
        <v>48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  <c r="V79">
        <v>3732</v>
      </c>
      <c r="W79">
        <v>-1396.71</v>
      </c>
      <c r="X79">
        <v>1950798.8241000001</v>
      </c>
    </row>
    <row r="80" spans="1:24">
      <c r="A80" t="s">
        <v>5</v>
      </c>
      <c r="B80" t="s">
        <v>138</v>
      </c>
      <c r="C80" t="s">
        <v>10</v>
      </c>
      <c r="D80" t="s">
        <v>44</v>
      </c>
      <c r="E80" t="s">
        <v>45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  <c r="V80">
        <v>8614</v>
      </c>
      <c r="W80">
        <v>3485.29</v>
      </c>
      <c r="X80">
        <v>12147246.384099999</v>
      </c>
    </row>
    <row r="81" spans="1:24">
      <c r="A81" t="s">
        <v>3</v>
      </c>
      <c r="B81" t="s">
        <v>139</v>
      </c>
      <c r="C81" t="s">
        <v>14</v>
      </c>
      <c r="D81" t="s">
        <v>47</v>
      </c>
      <c r="E81" t="s">
        <v>45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  <c r="V81">
        <v>9654</v>
      </c>
      <c r="W81">
        <v>4525.29</v>
      </c>
      <c r="X81">
        <v>20478249.584100001</v>
      </c>
    </row>
    <row r="82" spans="1:24">
      <c r="A82" t="s">
        <v>5</v>
      </c>
      <c r="B82" t="s">
        <v>140</v>
      </c>
      <c r="C82" t="s">
        <v>16</v>
      </c>
      <c r="D82" t="s">
        <v>44</v>
      </c>
      <c r="E82" t="s">
        <v>50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  <c r="V82">
        <v>4513</v>
      </c>
      <c r="W82">
        <v>-615.71</v>
      </c>
      <c r="X82">
        <v>379098.80410000007</v>
      </c>
    </row>
    <row r="83" spans="1:24">
      <c r="A83" t="s">
        <v>6</v>
      </c>
      <c r="B83" t="s">
        <v>141</v>
      </c>
      <c r="C83" t="s">
        <v>13</v>
      </c>
      <c r="D83" t="s">
        <v>47</v>
      </c>
      <c r="E83" t="s">
        <v>50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  <c r="V83">
        <v>7884</v>
      </c>
      <c r="W83">
        <v>2755.29</v>
      </c>
      <c r="X83">
        <v>7591622.9841</v>
      </c>
    </row>
    <row r="84" spans="1:24">
      <c r="A84" t="s">
        <v>6</v>
      </c>
      <c r="B84" t="s">
        <v>142</v>
      </c>
      <c r="C84" t="s">
        <v>14</v>
      </c>
      <c r="D84" t="s">
        <v>47</v>
      </c>
      <c r="E84" t="s">
        <v>45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  <c r="V84">
        <v>6489</v>
      </c>
      <c r="W84">
        <v>1360.29</v>
      </c>
      <c r="X84">
        <v>1850388.8840999999</v>
      </c>
    </row>
    <row r="85" spans="1:24">
      <c r="A85" t="s">
        <v>8</v>
      </c>
      <c r="B85" t="s">
        <v>143</v>
      </c>
      <c r="C85" t="s">
        <v>20</v>
      </c>
      <c r="D85" t="s">
        <v>47</v>
      </c>
      <c r="E85" t="s">
        <v>50</v>
      </c>
      <c r="F85" s="1">
        <v>40547</v>
      </c>
      <c r="G85">
        <v>122583663</v>
      </c>
      <c r="H85" s="1">
        <v>40548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  <c r="V85">
        <v>4085</v>
      </c>
      <c r="W85">
        <v>-1043.71</v>
      </c>
      <c r="X85">
        <v>1089330.5641000001</v>
      </c>
    </row>
    <row r="86" spans="1:24">
      <c r="A86" t="s">
        <v>8</v>
      </c>
      <c r="B86" t="s">
        <v>144</v>
      </c>
      <c r="C86" t="s">
        <v>21</v>
      </c>
      <c r="D86" t="s">
        <v>47</v>
      </c>
      <c r="E86" t="s">
        <v>50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  <c r="V86">
        <v>6457</v>
      </c>
      <c r="W86">
        <v>1328.29</v>
      </c>
      <c r="X86">
        <v>1764354.3240999999</v>
      </c>
    </row>
    <row r="87" spans="1:24">
      <c r="A87" t="s">
        <v>7</v>
      </c>
      <c r="B87" t="s">
        <v>135</v>
      </c>
      <c r="C87" t="s">
        <v>19</v>
      </c>
      <c r="D87" t="s">
        <v>44</v>
      </c>
      <c r="E87" t="s">
        <v>50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  <c r="V87">
        <v>6422</v>
      </c>
      <c r="W87">
        <v>1293.29</v>
      </c>
      <c r="X87">
        <v>1672599.0240999998</v>
      </c>
    </row>
    <row r="88" spans="1:24">
      <c r="A88" t="s">
        <v>8</v>
      </c>
      <c r="B88" t="s">
        <v>51</v>
      </c>
      <c r="C88" t="s">
        <v>11</v>
      </c>
      <c r="D88" t="s">
        <v>44</v>
      </c>
      <c r="E88" t="s">
        <v>48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  <c r="V88">
        <v>8829</v>
      </c>
      <c r="W88">
        <v>3700.29</v>
      </c>
      <c r="X88">
        <v>13692146.084100001</v>
      </c>
    </row>
    <row r="89" spans="1:24">
      <c r="A89" t="s">
        <v>8</v>
      </c>
      <c r="B89" t="s">
        <v>99</v>
      </c>
      <c r="C89" t="s">
        <v>10</v>
      </c>
      <c r="D89" t="s">
        <v>44</v>
      </c>
      <c r="E89" t="s">
        <v>57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  <c r="V89">
        <v>5559</v>
      </c>
      <c r="W89">
        <v>430.28999999999996</v>
      </c>
      <c r="X89">
        <v>185149.48409999997</v>
      </c>
    </row>
    <row r="90" spans="1:24">
      <c r="A90" t="s">
        <v>6</v>
      </c>
      <c r="B90" t="s">
        <v>145</v>
      </c>
      <c r="C90" t="s">
        <v>15</v>
      </c>
      <c r="D90" t="s">
        <v>47</v>
      </c>
      <c r="E90" t="s">
        <v>57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  <c r="V90">
        <v>522</v>
      </c>
      <c r="W90">
        <v>-4606.71</v>
      </c>
      <c r="X90">
        <v>21221777.024100002</v>
      </c>
    </row>
    <row r="91" spans="1:24">
      <c r="A91" t="s">
        <v>5</v>
      </c>
      <c r="B91" t="s">
        <v>146</v>
      </c>
      <c r="C91" t="s">
        <v>11</v>
      </c>
      <c r="D91" t="s">
        <v>44</v>
      </c>
      <c r="E91" t="s">
        <v>48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  <c r="V91">
        <v>4660</v>
      </c>
      <c r="W91">
        <v>-468.71000000000004</v>
      </c>
      <c r="X91">
        <v>219689.06410000005</v>
      </c>
    </row>
    <row r="92" spans="1:24">
      <c r="A92" t="s">
        <v>8</v>
      </c>
      <c r="B92" t="s">
        <v>121</v>
      </c>
      <c r="C92" t="s">
        <v>18</v>
      </c>
      <c r="D92" t="s">
        <v>44</v>
      </c>
      <c r="E92" t="s">
        <v>45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  <c r="V92">
        <v>948</v>
      </c>
      <c r="W92">
        <v>-4180.71</v>
      </c>
      <c r="X92">
        <v>17478336.1041</v>
      </c>
    </row>
    <row r="93" spans="1:24">
      <c r="A93" t="s">
        <v>3</v>
      </c>
      <c r="B93" t="s">
        <v>103</v>
      </c>
      <c r="C93" t="s">
        <v>11</v>
      </c>
      <c r="D93" t="s">
        <v>44</v>
      </c>
      <c r="E93" t="s">
        <v>45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  <c r="V93">
        <v>9389</v>
      </c>
      <c r="W93">
        <v>4260.29</v>
      </c>
      <c r="X93">
        <v>18150070.884100001</v>
      </c>
    </row>
    <row r="94" spans="1:24">
      <c r="A94" t="s">
        <v>6</v>
      </c>
      <c r="B94" t="s">
        <v>112</v>
      </c>
      <c r="C94" t="s">
        <v>18</v>
      </c>
      <c r="D94" t="s">
        <v>47</v>
      </c>
      <c r="E94" t="s">
        <v>57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  <c r="V94">
        <v>2021</v>
      </c>
      <c r="W94">
        <v>-3107.71</v>
      </c>
      <c r="X94">
        <v>9657861.4441</v>
      </c>
    </row>
    <row r="95" spans="1:24">
      <c r="A95" t="s">
        <v>5</v>
      </c>
      <c r="B95" t="s">
        <v>147</v>
      </c>
      <c r="C95" t="s">
        <v>14</v>
      </c>
      <c r="D95" t="s">
        <v>47</v>
      </c>
      <c r="E95" t="s">
        <v>45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  <c r="V95">
        <v>7910</v>
      </c>
      <c r="W95">
        <v>2781.29</v>
      </c>
      <c r="X95">
        <v>7735574.0641000001</v>
      </c>
    </row>
    <row r="96" spans="1:24">
      <c r="A96" t="s">
        <v>4</v>
      </c>
      <c r="B96" t="s">
        <v>148</v>
      </c>
      <c r="C96" t="s">
        <v>11</v>
      </c>
      <c r="D96" t="s">
        <v>44</v>
      </c>
      <c r="E96" t="s">
        <v>48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  <c r="V96">
        <v>8156</v>
      </c>
      <c r="W96">
        <v>3027.29</v>
      </c>
      <c r="X96">
        <v>9164484.7441000007</v>
      </c>
    </row>
    <row r="97" spans="1:24">
      <c r="A97" t="s">
        <v>8</v>
      </c>
      <c r="B97" t="s">
        <v>96</v>
      </c>
      <c r="C97" t="s">
        <v>13</v>
      </c>
      <c r="D97" t="s">
        <v>47</v>
      </c>
      <c r="E97" t="s">
        <v>57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  <c r="V97">
        <v>888</v>
      </c>
      <c r="W97">
        <v>-4240.71</v>
      </c>
      <c r="X97">
        <v>17983621.304099999</v>
      </c>
    </row>
    <row r="98" spans="1:24">
      <c r="A98" t="s">
        <v>2</v>
      </c>
      <c r="B98" t="s">
        <v>149</v>
      </c>
      <c r="C98" t="s">
        <v>15</v>
      </c>
      <c r="D98" t="s">
        <v>44</v>
      </c>
      <c r="E98" t="s">
        <v>50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  <c r="V98">
        <v>6267</v>
      </c>
      <c r="W98">
        <v>1138.29</v>
      </c>
      <c r="X98">
        <v>1295704.1240999999</v>
      </c>
    </row>
    <row r="99" spans="1:24">
      <c r="A99" t="s">
        <v>8</v>
      </c>
      <c r="B99" t="s">
        <v>121</v>
      </c>
      <c r="C99" t="s">
        <v>21</v>
      </c>
      <c r="D99" t="s">
        <v>44</v>
      </c>
      <c r="E99" t="s">
        <v>48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  <c r="V99">
        <v>1485</v>
      </c>
      <c r="W99">
        <v>-3643.71</v>
      </c>
      <c r="X99">
        <v>13276622.564100001</v>
      </c>
    </row>
    <row r="100" spans="1:24">
      <c r="A100" t="s">
        <v>7</v>
      </c>
      <c r="B100" t="s">
        <v>135</v>
      </c>
      <c r="C100" t="s">
        <v>19</v>
      </c>
      <c r="D100" t="s">
        <v>44</v>
      </c>
      <c r="E100" t="s">
        <v>57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  <c r="V100">
        <v>5767</v>
      </c>
      <c r="W100">
        <v>638.29</v>
      </c>
      <c r="X100">
        <v>407414.12409999996</v>
      </c>
    </row>
    <row r="101" spans="1:24">
      <c r="A101" t="s">
        <v>8</v>
      </c>
      <c r="B101" t="s">
        <v>150</v>
      </c>
      <c r="C101" t="s">
        <v>16</v>
      </c>
      <c r="D101" t="s">
        <v>44</v>
      </c>
      <c r="E101" t="s">
        <v>50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  <c r="V101">
        <v>5367</v>
      </c>
      <c r="W101">
        <v>238.28999999999996</v>
      </c>
      <c r="X101">
        <v>56782.124099999979</v>
      </c>
    </row>
    <row r="102" spans="1:24">
      <c r="A102" t="s">
        <v>151</v>
      </c>
      <c r="N102">
        <f>SUBTOTAL(101,AmazonSales[Total Profit])</f>
        <v>441681.98399999994</v>
      </c>
    </row>
    <row r="103" spans="1:24"/>
    <row r="104" spans="1:24"/>
    <row r="105" spans="1:24">
      <c r="B105" t="s">
        <v>152</v>
      </c>
      <c r="D105">
        <f>COUNTIF(C2:C101,"Cosmetics")</f>
        <v>13</v>
      </c>
      <c r="F105" t="s">
        <v>153</v>
      </c>
      <c r="H105">
        <f>COUNTA(AmazonSales[Order Id])</f>
        <v>100</v>
      </c>
      <c r="N105" t="s">
        <v>154</v>
      </c>
    </row>
    <row r="106" spans="1:24">
      <c r="N106">
        <f>SUM(AmazonSales[Total Profit])</f>
        <v>44168198.399999991</v>
      </c>
    </row>
    <row r="107" spans="1:24">
      <c r="N107">
        <f>SUM(N1:N101)</f>
        <v>44168198.399999991</v>
      </c>
    </row>
    <row r="108" spans="1:24"/>
    <row r="109" spans="1:24"/>
    <row r="110" spans="1:24"/>
    <row r="111" spans="1:24"/>
    <row r="112" spans="1:24"/>
    <row r="113" spans="1:21"/>
    <row r="114" spans="1:21"/>
    <row r="115" spans="1:21">
      <c r="R115" s="18"/>
      <c r="S115" s="19"/>
      <c r="T115" s="18"/>
      <c r="U115" s="11"/>
    </row>
    <row r="116" spans="1:21">
      <c r="R116" s="18"/>
      <c r="S116" s="19"/>
      <c r="T116" s="18"/>
      <c r="U116" s="11"/>
    </row>
    <row r="117" spans="1:21">
      <c r="R117" s="18"/>
      <c r="S117" s="19"/>
      <c r="T117" s="18"/>
      <c r="U117" s="11"/>
    </row>
    <row r="118" spans="1:21">
      <c r="R118" s="11"/>
      <c r="S118" s="11"/>
      <c r="T118" s="11"/>
      <c r="U118" s="11"/>
    </row>
    <row r="119" spans="1:21"/>
    <row r="120" spans="1:21">
      <c r="A120" t="s">
        <v>155</v>
      </c>
      <c r="R120" s="11"/>
      <c r="S120" s="11"/>
      <c r="T120" s="11"/>
      <c r="U120" s="11"/>
    </row>
    <row r="121" spans="1:21">
      <c r="A121" s="22" t="s">
        <v>176</v>
      </c>
    </row>
    <row r="122" spans="1:21">
      <c r="A122" s="22" t="s">
        <v>185</v>
      </c>
    </row>
    <row r="123" spans="1:21"/>
    <row r="124" spans="1:21"/>
    <row r="125" spans="1:21"/>
    <row r="126" spans="1:21"/>
    <row r="127" spans="1:21"/>
    <row r="128" spans="1:21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</sheetData>
  <conditionalFormatting sqref="K1:K101 K103:K1048576">
    <cfRule type="cellIs" dxfId="5" priority="5" operator="greaterThan">
      <formula>400</formula>
    </cfRule>
  </conditionalFormatting>
  <conditionalFormatting sqref="N2:N101">
    <cfRule type="top10" dxfId="4" priority="6" percent="1" rank="10"/>
  </conditionalFormatting>
  <conditionalFormatting sqref="R1">
    <cfRule type="top10" dxfId="3" priority="2" rank="10"/>
  </conditionalFormatting>
  <conditionalFormatting sqref="R1:R13">
    <cfRule type="aboveAverage" dxfId="2" priority="1"/>
  </conditionalFormatting>
  <conditionalFormatting sqref="T21:T26">
    <cfRule type="cellIs" dxfId="1" priority="4" operator="lessThan">
      <formula>0.1</formula>
    </cfRule>
  </conditionalFormatting>
  <conditionalFormatting sqref="V2:V101">
    <cfRule type="top10" dxfId="0" priority="3" percent="1" rank="10"/>
  </conditionalFormatting>
  <hyperlinks>
    <hyperlink ref="A121" r:id="rId1" xr:uid="{593E954D-18E1-476F-B8C4-C1AB98AD2D15}"/>
    <hyperlink ref="A122" r:id="rId2" xr:uid="{7BBA4448-5A68-48FF-883E-AA1822FF4776}"/>
  </hyperlinks>
  <pageMargins left="0.7" right="0.7" top="0.75" bottom="0.75" header="0.3" footer="0.3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8644-36D6-4271-9573-8C1904FF0C9C}">
  <dimension ref="A1:F11"/>
  <sheetViews>
    <sheetView workbookViewId="0">
      <selection activeCell="A11" sqref="A11"/>
    </sheetView>
  </sheetViews>
  <sheetFormatPr defaultRowHeight="14.4"/>
  <cols>
    <col min="1" max="1" width="10.44140625" bestFit="1" customWidth="1"/>
    <col min="3" max="3" width="19.44140625" bestFit="1" customWidth="1"/>
    <col min="4" max="4" width="16.88671875" bestFit="1" customWidth="1"/>
    <col min="5" max="5" width="15.6640625" bestFit="1" customWidth="1"/>
    <col min="6" max="6" width="15" customWidth="1"/>
  </cols>
  <sheetData>
    <row r="1" spans="1:6">
      <c r="A1" s="7" t="s">
        <v>156</v>
      </c>
      <c r="B1" s="7" t="s">
        <v>157</v>
      </c>
      <c r="C1" s="7" t="s">
        <v>158</v>
      </c>
      <c r="D1" s="7" t="s">
        <v>159</v>
      </c>
      <c r="E1" s="7" t="s">
        <v>160</v>
      </c>
      <c r="F1" s="7" t="s">
        <v>161</v>
      </c>
    </row>
    <row r="2" spans="1:6">
      <c r="A2" s="5">
        <v>1</v>
      </c>
      <c r="B2" s="5" t="s">
        <v>162</v>
      </c>
      <c r="C2" s="5">
        <f>IF(Conversion[[#This Row],[Unit]]="Billions", Conversion[[#This Row],[Amount]]*1000,Conversion[[#This Row],[Amount]])</f>
        <v>1000</v>
      </c>
      <c r="D2" s="5" t="s">
        <v>163</v>
      </c>
      <c r="E2" s="5">
        <f>IF(Conversion[[#This Row],[currency name]] = "MEX",Conversion[[#This Row],[Amount (millions)]]/18.24,Conversion[[#This Row],[Amount (millions)]])</f>
        <v>1000</v>
      </c>
      <c r="F2" s="5">
        <f>IF(Conversion[[#This Row],[currency name]] = "USD",Conversion[[#This Row],[Amount (millions)]]*18.24,Conversion[[#This Row],[Amount (millions)]])</f>
        <v>18240</v>
      </c>
    </row>
    <row r="3" spans="1:6">
      <c r="A3" s="6">
        <v>5</v>
      </c>
      <c r="B3" s="6" t="s">
        <v>164</v>
      </c>
      <c r="C3" s="6">
        <f>IF(Conversion[[#This Row],[Unit]]="Billions", Conversion[[#This Row],[Amount]]*1000,Conversion[[#This Row],[Amount]])</f>
        <v>5</v>
      </c>
      <c r="D3" s="6" t="s">
        <v>163</v>
      </c>
      <c r="E3" s="6">
        <f>IF(Conversion[[#This Row],[currency name]] = "MEX",Conversion[[#This Row],[Amount (millions)]]/18.24,Conversion[[#This Row],[Amount (millions)]])</f>
        <v>5</v>
      </c>
      <c r="F3" s="6">
        <f>IF(Conversion[[#This Row],[currency name]] = "USD",Conversion[[#This Row],[Amount (millions)]]*18.24,Conversion[[#This Row],[Amount (millions)]])</f>
        <v>91.199999999999989</v>
      </c>
    </row>
    <row r="4" spans="1:6">
      <c r="A4" s="8">
        <v>12</v>
      </c>
      <c r="B4" s="8" t="s">
        <v>162</v>
      </c>
      <c r="C4" s="8">
        <f>IF(Conversion[[#This Row],[Unit]]="Billions", Conversion[[#This Row],[Amount]]*1000,Conversion[[#This Row],[Amount]])</f>
        <v>12000</v>
      </c>
      <c r="D4" s="8" t="s">
        <v>165</v>
      </c>
      <c r="E4" s="8">
        <f>IF(Conversion[[#This Row],[currency name]] = "MEX",Conversion[[#This Row],[Amount (millions)]]/18.24,Conversion[[#This Row],[Amount (millions)]])</f>
        <v>657.89473684210532</v>
      </c>
      <c r="F4" s="8">
        <f>IF(Conversion[[#This Row],[currency name]] = "USD",Conversion[[#This Row],[Amount (millions)]]*18,Conversion[[#This Row],[Amount (millions)]])</f>
        <v>12000</v>
      </c>
    </row>
    <row r="5" spans="1:6">
      <c r="A5">
        <v>100</v>
      </c>
      <c r="B5" t="s">
        <v>164</v>
      </c>
      <c r="C5">
        <f>IF(Conversion[[#This Row],[Unit]]="Billions", Conversion[[#This Row],[Amount]]*1000,Conversion[[#This Row],[Amount]])</f>
        <v>100</v>
      </c>
      <c r="D5" t="s">
        <v>165</v>
      </c>
      <c r="E5">
        <f>IF(Conversion[[#This Row],[currency name]] = "MEX",Conversion[[#This Row],[Amount (millions)]]/18.24,Conversion[[#This Row],[Amount (millions)]])</f>
        <v>5.4824561403508776</v>
      </c>
      <c r="F5">
        <f>IF(Conversion[[#This Row],[currency name]] = "USD",Conversion[[#This Row],[Amount (millions)]]*18,Conversion[[#This Row],[Amount (millions)]])</f>
        <v>100</v>
      </c>
    </row>
    <row r="6" spans="1:6">
      <c r="A6" s="9" t="s">
        <v>151</v>
      </c>
      <c r="B6" s="9"/>
      <c r="C6" s="9"/>
      <c r="D6" s="9"/>
      <c r="E6" s="9"/>
      <c r="F6" s="9">
        <f>SUBTOTAL(109,F2:F5)</f>
        <v>30431.200000000001</v>
      </c>
    </row>
    <row r="7" spans="1:6">
      <c r="E7" s="10"/>
    </row>
    <row r="8" spans="1:6">
      <c r="E8">
        <f>SUM(Conversion[currency USD])</f>
        <v>1668.3771929824563</v>
      </c>
      <c r="F8">
        <f>SUM(Conversion[currency MEX])</f>
        <v>30431.200000000001</v>
      </c>
    </row>
    <row r="11" spans="1:6">
      <c r="A11" t="s">
        <v>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db1353f-a0d8-480b-8469-e6f3b3b584e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05C5538A8BC42A2D2D97CF37C6A0D" ma:contentTypeVersion="9" ma:contentTypeDescription="Create a new document." ma:contentTypeScope="" ma:versionID="d4065d46cce24a8d78dad058a5627033">
  <xsd:schema xmlns:xsd="http://www.w3.org/2001/XMLSchema" xmlns:xs="http://www.w3.org/2001/XMLSchema" xmlns:p="http://schemas.microsoft.com/office/2006/metadata/properties" xmlns:ns3="7db1353f-a0d8-480b-8469-e6f3b3b584ef" xmlns:ns4="b0c86eb3-1ce2-4edd-8a4c-a6a5680c84a3" targetNamespace="http://schemas.microsoft.com/office/2006/metadata/properties" ma:root="true" ma:fieldsID="f9ffbd5390c1bee4bdf528ce1cb461d5" ns3:_="" ns4:_="">
    <xsd:import namespace="7db1353f-a0d8-480b-8469-e6f3b3b584ef"/>
    <xsd:import namespace="b0c86eb3-1ce2-4edd-8a4c-a6a5680c84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1353f-a0d8-480b-8469-e6f3b3b58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86eb3-1ce2-4edd-8a4c-a6a5680c84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DC2840-551E-4434-B9CD-D3FE5ADB92FC}">
  <ds:schemaRefs>
    <ds:schemaRef ds:uri="http://schemas.microsoft.com/office/2006/metadata/properties"/>
    <ds:schemaRef ds:uri="http://schemas.microsoft.com/office/infopath/2007/PartnerControls"/>
    <ds:schemaRef ds:uri="7db1353f-a0d8-480b-8469-e6f3b3b584ef"/>
  </ds:schemaRefs>
</ds:datastoreItem>
</file>

<file path=customXml/itemProps2.xml><?xml version="1.0" encoding="utf-8"?>
<ds:datastoreItem xmlns:ds="http://schemas.openxmlformats.org/officeDocument/2006/customXml" ds:itemID="{57402497-61BA-4A90-B0EE-F55CCCFC62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b1353f-a0d8-480b-8469-e6f3b3b584ef"/>
    <ds:schemaRef ds:uri="b0c86eb3-1ce2-4edd-8a4c-a6a5680c8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1231E2-7992-4F42-87C0-B2511BD0C6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 Graphs</vt:lpstr>
      <vt:lpstr>AmazonSalesData Analysis</vt:lpstr>
      <vt:lpstr>Conversion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Neidy Malaga</cp:lastModifiedBy>
  <cp:revision/>
  <dcterms:created xsi:type="dcterms:W3CDTF">2024-07-24T03:38:17Z</dcterms:created>
  <dcterms:modified xsi:type="dcterms:W3CDTF">2024-08-20T03:33:25Z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0x01010000F05C5538A8BC42A2D2D97CF37C6A0D</vt:lpwstr>
  </property>
</Properties>
</file>