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immy\OneDrive\Desktop\School Stuff\Junior Year\Fall 2020\BADM 3601\HW\"/>
    </mc:Choice>
  </mc:AlternateContent>
  <xr:revisionPtr revIDLastSave="3363" documentId="13_ncr:1_{D124C8B9-F0A5-4365-8797-97B33E9D247E}" xr6:coauthVersionLast="45" xr6:coauthVersionMax="45" xr10:uidLastSave="{C33BE55C-BCFD-4B83-A814-DC3C2EF4AC02}"/>
  <bookViews>
    <workbookView xWindow="-108" yWindow="-108" windowWidth="23256" windowHeight="12576" activeTab="1" xr2:uid="{00000000-000D-0000-FFFF-FFFF00000000}"/>
  </bookViews>
  <sheets>
    <sheet name="HW5" sheetId="2" r:id="rId1"/>
    <sheet name="Questions" sheetId="4" r:id="rId2"/>
    <sheet name="MW_Opt" sheetId="7" r:id="rId3"/>
    <sheet name="Prb4" sheetId="27" r:id="rId4"/>
    <sheet name="Prb5" sheetId="28" r:id="rId5"/>
    <sheet name="Prb6" sheetId="29" r:id="rId6"/>
    <sheet name="Prb7" sheetId="30" r:id="rId7"/>
    <sheet name="Prb8" sheetId="31" r:id="rId8"/>
    <sheet name="Prb9" sheetId="32" r:id="rId9"/>
    <sheet name="Prb10" sheetId="33" r:id="rId10"/>
    <sheet name="Prb11" sheetId="34" r:id="rId11"/>
    <sheet name="Prb12" sheetId="35" r:id="rId12"/>
    <sheet name="Prb13" sheetId="36" r:id="rId13"/>
    <sheet name="Sheet3" sheetId="3" r:id="rId14"/>
  </sheets>
  <definedNames>
    <definedName name="solver_adj" localSheetId="2" hidden="1">MW_Opt!$C$5:$F$5,MW_Opt!$C$12:$F$13,MW_Opt!$C$17:$F$17</definedName>
    <definedName name="solver_adj" localSheetId="9" hidden="1">'Prb10'!$C$5:$F$5,'Prb10'!$C$12:$F$13,'Prb10'!$C$17:$F$17</definedName>
    <definedName name="solver_adj" localSheetId="10" hidden="1">'Prb11'!$C$5:$F$5,'Prb11'!$C$12:$F$13,'Prb11'!$C$17:$F$17</definedName>
    <definedName name="solver_adj" localSheetId="11" hidden="1">'Prb12'!$C$5:$F$5,'Prb12'!$C$12:$F$13,'Prb12'!$C$17:$F$17</definedName>
    <definedName name="solver_adj" localSheetId="12" hidden="1">'Prb13'!$C$5:$F$5,'Prb13'!$C$12:$F$13,'Prb13'!$C$17:$F$17,'Prb13'!$K$5:$N$5,'Prb13'!$K$12:$N$13,'Prb13'!$K$17:$N$17</definedName>
    <definedName name="solver_adj" localSheetId="3" hidden="1">'Prb4'!$C$5:$F$5,'Prb4'!$C$12:$F$13,'Prb4'!$C$17:$F$17</definedName>
    <definedName name="solver_adj" localSheetId="4" hidden="1">'Prb5'!$C$5:$F$5,'Prb5'!$C$12:$F$13,'Prb5'!$C$17:$F$17</definedName>
    <definedName name="solver_adj" localSheetId="5" hidden="1">'Prb6'!$C$5:$F$5,'Prb6'!$C$12:$F$13,'Prb6'!$C$17:$F$17</definedName>
    <definedName name="solver_adj" localSheetId="6" hidden="1">'Prb7'!$C$5:$F$5,'Prb7'!$C$12:$F$13,'Prb7'!$C$17:$F$17</definedName>
    <definedName name="solver_adj" localSheetId="7" hidden="1">'Prb8'!$C$5:$F$5,'Prb8'!$C$12:$F$13,'Prb8'!$C$17:$F$17</definedName>
    <definedName name="solver_adj" localSheetId="8" hidden="1">'Prb9'!$C$5:$F$5,'Prb9'!$C$12:$F$13,'Prb9'!$C$17:$F$17</definedName>
    <definedName name="solver_cvg" localSheetId="2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1" hidden="1">0.0001</definedName>
    <definedName name="solver_drv" localSheetId="2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1" hidden="1">1</definedName>
    <definedName name="solver_eng" localSheetId="2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1" hidden="1">1</definedName>
    <definedName name="solver_est" localSheetId="2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1" hidden="1">1</definedName>
    <definedName name="solver_ibd" localSheetId="2" hidden="1">2</definedName>
    <definedName name="solver_ibd" localSheetId="9" hidden="1">2</definedName>
    <definedName name="solver_ibd" localSheetId="10" hidden="1">2</definedName>
    <definedName name="solver_ibd" localSheetId="11" hidden="1">2</definedName>
    <definedName name="solver_ibd" localSheetId="1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bd" localSheetId="6" hidden="1">2</definedName>
    <definedName name="solver_ibd" localSheetId="7" hidden="1">2</definedName>
    <definedName name="solver_ibd" localSheetId="8" hidden="1">2</definedName>
    <definedName name="solver_itr" localSheetId="2" hidden="1">100</definedName>
    <definedName name="solver_itr" localSheetId="9" hidden="1">100</definedName>
    <definedName name="solver_itr" localSheetId="10" hidden="1">100</definedName>
    <definedName name="solver_itr" localSheetId="11" hidden="1">100</definedName>
    <definedName name="solver_itr" localSheetId="1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itr" localSheetId="8" hidden="1">100</definedName>
    <definedName name="solver_itr" localSheetId="1" hidden="1">2147483647</definedName>
    <definedName name="solver_lhs1" localSheetId="2" hidden="1">MW_Opt!$C$12:$F$13</definedName>
    <definedName name="solver_lhs1" localSheetId="9" hidden="1">'Prb10'!$C$12:$F$13</definedName>
    <definedName name="solver_lhs1" localSheetId="10" hidden="1">'Prb11'!$C$12:$F$13</definedName>
    <definedName name="solver_lhs1" localSheetId="11" hidden="1">'Prb12'!$C$12:$F$13</definedName>
    <definedName name="solver_lhs1" localSheetId="12" hidden="1">'Prb13'!$C$12:$F$13</definedName>
    <definedName name="solver_lhs1" localSheetId="3" hidden="1">'Prb4'!$C$12:$F$13</definedName>
    <definedName name="solver_lhs1" localSheetId="4" hidden="1">'Prb5'!$C$12:$F$13</definedName>
    <definedName name="solver_lhs1" localSheetId="5" hidden="1">'Prb6'!$C$12:$F$13</definedName>
    <definedName name="solver_lhs1" localSheetId="6" hidden="1">'Prb7'!$C$12:$F$13</definedName>
    <definedName name="solver_lhs1" localSheetId="7" hidden="1">'Prb8'!$C$12:$F$13</definedName>
    <definedName name="solver_lhs1" localSheetId="8" hidden="1">'Prb9'!$C$12:$F$13</definedName>
    <definedName name="solver_lhs2" localSheetId="2" hidden="1">MW_Opt!$C$17:$F$17</definedName>
    <definedName name="solver_lhs2" localSheetId="9" hidden="1">'Prb10'!$C$17:$F$17</definedName>
    <definedName name="solver_lhs2" localSheetId="10" hidden="1">'Prb11'!$C$17:$F$17</definedName>
    <definedName name="solver_lhs2" localSheetId="11" hidden="1">'Prb12'!$C$17:$F$17</definedName>
    <definedName name="solver_lhs2" localSheetId="12" hidden="1">'Prb13'!$C$17:$F$17</definedName>
    <definedName name="solver_lhs2" localSheetId="3" hidden="1">'Prb4'!$C$17:$F$17</definedName>
    <definedName name="solver_lhs2" localSheetId="4" hidden="1">'Prb5'!$C$13:$F$13</definedName>
    <definedName name="solver_lhs2" localSheetId="5" hidden="1">'Prb6'!$C$17:$F$17</definedName>
    <definedName name="solver_lhs2" localSheetId="6" hidden="1">'Prb7'!$C$17:$F$17</definedName>
    <definedName name="solver_lhs2" localSheetId="7" hidden="1">'Prb8'!$C$17:$F$17</definedName>
    <definedName name="solver_lhs2" localSheetId="8" hidden="1">'Prb9'!$C$17:$F$17</definedName>
    <definedName name="solver_lhs3" localSheetId="2" hidden="1">MW_Opt!$C$23:$F$23</definedName>
    <definedName name="solver_lhs3" localSheetId="9" hidden="1">'Prb10'!$C$23:$F$23</definedName>
    <definedName name="solver_lhs3" localSheetId="10" hidden="1">'Prb11'!$C$23:$F$23</definedName>
    <definedName name="solver_lhs3" localSheetId="11" hidden="1">'Prb12'!$C$23:$F$23</definedName>
    <definedName name="solver_lhs3" localSheetId="12" hidden="1">'Prb13'!$C$23:$F$23</definedName>
    <definedName name="solver_lhs3" localSheetId="3" hidden="1">'Prb4'!$C$23:$F$23</definedName>
    <definedName name="solver_lhs3" localSheetId="4" hidden="1">'Prb5'!$C$17:$F$17</definedName>
    <definedName name="solver_lhs3" localSheetId="5" hidden="1">'Prb6'!$C$23:$F$23</definedName>
    <definedName name="solver_lhs3" localSheetId="6" hidden="1">'Prb7'!$C$23:$F$23</definedName>
    <definedName name="solver_lhs3" localSheetId="7" hidden="1">'Prb8'!$C$23:$F$23</definedName>
    <definedName name="solver_lhs3" localSheetId="8" hidden="1">'Prb9'!$C$23:$F$23</definedName>
    <definedName name="solver_lhs4" localSheetId="2" hidden="1">MW_Opt!$C$8:$F$8</definedName>
    <definedName name="solver_lhs4" localSheetId="9" hidden="1">'Prb10'!$C$8:$F$8</definedName>
    <definedName name="solver_lhs4" localSheetId="10" hidden="1">'Prb11'!$C$8:$F$8</definedName>
    <definedName name="solver_lhs4" localSheetId="11" hidden="1">'Prb12'!$C$8:$F$8</definedName>
    <definedName name="solver_lhs4" localSheetId="12" hidden="1">'Prb13'!$C$8:$F$8</definedName>
    <definedName name="solver_lhs4" localSheetId="3" hidden="1">'Prb4'!$C$8:$F$8</definedName>
    <definedName name="solver_lhs4" localSheetId="4" hidden="1">'Prb5'!$C$23:$F$23</definedName>
    <definedName name="solver_lhs4" localSheetId="5" hidden="1">'Prb6'!$C$8:$F$8</definedName>
    <definedName name="solver_lhs4" localSheetId="6" hidden="1">'Prb7'!$C$8:$F$8</definedName>
    <definedName name="solver_lhs4" localSheetId="7" hidden="1">'Prb8'!$C$8:$F$8</definedName>
    <definedName name="solver_lhs4" localSheetId="8" hidden="1">'Prb9'!$C$8:$F$8</definedName>
    <definedName name="solver_lhs5" localSheetId="12" hidden="1">'Prb13'!$K$12:$N$13</definedName>
    <definedName name="solver_lhs5" localSheetId="4" hidden="1">'Prb5'!$C$8:$F$8</definedName>
    <definedName name="solver_lhs6" localSheetId="12" hidden="1">'Prb13'!$K$17:$N$17</definedName>
    <definedName name="solver_lhs7" localSheetId="12" hidden="1">'Prb13'!$K$23:$N$23</definedName>
    <definedName name="solver_lhs8" localSheetId="12" hidden="1">'Prb13'!$K$8:$N$8</definedName>
    <definedName name="solver_lin" localSheetId="2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mip" localSheetId="2" hidden="1">1000</definedName>
    <definedName name="solver_mip" localSheetId="9" hidden="1">1000</definedName>
    <definedName name="solver_mip" localSheetId="10" hidden="1">1000</definedName>
    <definedName name="solver_mip" localSheetId="11" hidden="1">1000</definedName>
    <definedName name="solver_mip" localSheetId="12" hidden="1">1000</definedName>
    <definedName name="solver_mip" localSheetId="3" hidden="1">1000</definedName>
    <definedName name="solver_mip" localSheetId="4" hidden="1">1000</definedName>
    <definedName name="solver_mip" localSheetId="5" hidden="1">1000</definedName>
    <definedName name="solver_mip" localSheetId="6" hidden="1">1000</definedName>
    <definedName name="solver_mip" localSheetId="7" hidden="1">1000</definedName>
    <definedName name="solver_mip" localSheetId="8" hidden="1">1000</definedName>
    <definedName name="solver_mip" localSheetId="1" hidden="1">2147483647</definedName>
    <definedName name="solver_mni" localSheetId="2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1" hidden="1">30</definedName>
    <definedName name="solver_mrt" localSheetId="2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1" hidden="1">0.075</definedName>
    <definedName name="solver_msl" localSheetId="2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1" hidden="1">2</definedName>
    <definedName name="solver_neg" localSheetId="2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1" hidden="1">1</definedName>
    <definedName name="solver_nod" localSheetId="2" hidden="1">1000</definedName>
    <definedName name="solver_nod" localSheetId="9" hidden="1">1000</definedName>
    <definedName name="solver_nod" localSheetId="10" hidden="1">1000</definedName>
    <definedName name="solver_nod" localSheetId="11" hidden="1">1000</definedName>
    <definedName name="solver_nod" localSheetId="12" hidden="1">1000</definedName>
    <definedName name="solver_nod" localSheetId="3" hidden="1">1000</definedName>
    <definedName name="solver_nod" localSheetId="4" hidden="1">1000</definedName>
    <definedName name="solver_nod" localSheetId="5" hidden="1">1000</definedName>
    <definedName name="solver_nod" localSheetId="6" hidden="1">1000</definedName>
    <definedName name="solver_nod" localSheetId="7" hidden="1">1000</definedName>
    <definedName name="solver_nod" localSheetId="8" hidden="1">1000</definedName>
    <definedName name="solver_nod" localSheetId="1" hidden="1">2147483647</definedName>
    <definedName name="solver_num" localSheetId="2" hidden="1">4</definedName>
    <definedName name="solver_num" localSheetId="9" hidden="1">4</definedName>
    <definedName name="solver_num" localSheetId="10" hidden="1">4</definedName>
    <definedName name="solver_num" localSheetId="11" hidden="1">4</definedName>
    <definedName name="solver_num" localSheetId="12" hidden="1">8</definedName>
    <definedName name="solver_num" localSheetId="3" hidden="1">4</definedName>
    <definedName name="solver_num" localSheetId="4" hidden="1">5</definedName>
    <definedName name="solver_num" localSheetId="5" hidden="1">4</definedName>
    <definedName name="solver_num" localSheetId="6" hidden="1">4</definedName>
    <definedName name="solver_num" localSheetId="7" hidden="1">4</definedName>
    <definedName name="solver_num" localSheetId="8" hidden="1">4</definedName>
    <definedName name="solver_num" localSheetId="1" hidden="1">0</definedName>
    <definedName name="solver_nwt" localSheetId="2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1" hidden="1">1</definedName>
    <definedName name="solver_ofx" localSheetId="2" hidden="1">2</definedName>
    <definedName name="solver_ofx" localSheetId="9" hidden="1">2</definedName>
    <definedName name="solver_ofx" localSheetId="10" hidden="1">2</definedName>
    <definedName name="solver_ofx" localSheetId="11" hidden="1">2</definedName>
    <definedName name="solver_ofx" localSheetId="1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fx" localSheetId="6" hidden="1">2</definedName>
    <definedName name="solver_ofx" localSheetId="7" hidden="1">2</definedName>
    <definedName name="solver_ofx" localSheetId="8" hidden="1">2</definedName>
    <definedName name="solver_opt" localSheetId="2" hidden="1">MW_Opt!$H$6</definedName>
    <definedName name="solver_opt" localSheetId="9" hidden="1">'Prb10'!$H$6</definedName>
    <definedName name="solver_opt" localSheetId="10" hidden="1">'Prb11'!$H$6</definedName>
    <definedName name="solver_opt" localSheetId="11" hidden="1">'Prb12'!$H$6</definedName>
    <definedName name="solver_opt" localSheetId="12" hidden="1">'Prb13'!$H$6</definedName>
    <definedName name="solver_opt" localSheetId="3" hidden="1">'Prb4'!$H$6</definedName>
    <definedName name="solver_opt" localSheetId="4" hidden="1">'Prb5'!$H$6</definedName>
    <definedName name="solver_opt" localSheetId="5" hidden="1">'Prb6'!$H$6</definedName>
    <definedName name="solver_opt" localSheetId="6" hidden="1">'Prb7'!$H$6</definedName>
    <definedName name="solver_opt" localSheetId="7" hidden="1">'Prb8'!$H$6</definedName>
    <definedName name="solver_opt" localSheetId="8" hidden="1">'Prb9'!$H$6</definedName>
    <definedName name="solver_opt" localSheetId="1" hidden="1">Questions!$F$28</definedName>
    <definedName name="solver_piv" localSheetId="2" hidden="1">0.000001</definedName>
    <definedName name="solver_piv" localSheetId="9" hidden="1">0.000001</definedName>
    <definedName name="solver_piv" localSheetId="10" hidden="1">0.000001</definedName>
    <definedName name="solver_piv" localSheetId="11" hidden="1">0.000001</definedName>
    <definedName name="solver_piv" localSheetId="1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iv" localSheetId="6" hidden="1">0.000001</definedName>
    <definedName name="solver_piv" localSheetId="7" hidden="1">0.000001</definedName>
    <definedName name="solver_piv" localSheetId="8" hidden="1">0.000001</definedName>
    <definedName name="solver_pre" localSheetId="2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1" hidden="1">0.000001</definedName>
    <definedName name="solver_pro" localSheetId="2" hidden="1">2</definedName>
    <definedName name="solver_pro" localSheetId="9" hidden="1">2</definedName>
    <definedName name="solver_pro" localSheetId="10" hidden="1">2</definedName>
    <definedName name="solver_pro" localSheetId="11" hidden="1">2</definedName>
    <definedName name="solver_pro" localSheetId="1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pro" localSheetId="6" hidden="1">2</definedName>
    <definedName name="solver_pro" localSheetId="7" hidden="1">2</definedName>
    <definedName name="solver_pro" localSheetId="8" hidden="1">2</definedName>
    <definedName name="solver_rbv" localSheetId="2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1" hidden="1">1</definedName>
    <definedName name="solver_red" localSheetId="2" hidden="1">0.000001</definedName>
    <definedName name="solver_red" localSheetId="9" hidden="1">0.000001</definedName>
    <definedName name="solver_red" localSheetId="10" hidden="1">0.000001</definedName>
    <definedName name="solver_red" localSheetId="11" hidden="1">0.000001</definedName>
    <definedName name="solver_red" localSheetId="1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d" localSheetId="6" hidden="1">0.000001</definedName>
    <definedName name="solver_red" localSheetId="7" hidden="1">0.000001</definedName>
    <definedName name="solver_red" localSheetId="8" hidden="1">0.000001</definedName>
    <definedName name="solver_rel1" localSheetId="2" hidden="1">4</definedName>
    <definedName name="solver_rel1" localSheetId="9" hidden="1">4</definedName>
    <definedName name="solver_rel1" localSheetId="10" hidden="1">4</definedName>
    <definedName name="solver_rel1" localSheetId="11" hidden="1">4</definedName>
    <definedName name="solver_rel1" localSheetId="12" hidden="1">4</definedName>
    <definedName name="solver_rel1" localSheetId="3" hidden="1">4</definedName>
    <definedName name="solver_rel1" localSheetId="4" hidden="1">4</definedName>
    <definedName name="solver_rel1" localSheetId="5" hidden="1">4</definedName>
    <definedName name="solver_rel1" localSheetId="6" hidden="1">4</definedName>
    <definedName name="solver_rel1" localSheetId="7" hidden="1">4</definedName>
    <definedName name="solver_rel1" localSheetId="8" hidden="1">4</definedName>
    <definedName name="solver_rel2" localSheetId="2" hidden="1">1</definedName>
    <definedName name="solver_rel2" localSheetId="9" hidden="1">1</definedName>
    <definedName name="solver_rel2" localSheetId="10" hidden="1">1</definedName>
    <definedName name="solver_rel2" localSheetId="11" hidden="1">1</definedName>
    <definedName name="solver_rel2" localSheetId="1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3" localSheetId="2" hidden="1">3</definedName>
    <definedName name="solver_rel3" localSheetId="9" hidden="1">3</definedName>
    <definedName name="solver_rel3" localSheetId="10" hidden="1">3</definedName>
    <definedName name="solver_rel3" localSheetId="11" hidden="1">3</definedName>
    <definedName name="solver_rel3" localSheetId="12" hidden="1">3</definedName>
    <definedName name="solver_rel3" localSheetId="3" hidden="1">3</definedName>
    <definedName name="solver_rel3" localSheetId="4" hidden="1">1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4" localSheetId="2" hidden="1">3</definedName>
    <definedName name="solver_rel4" localSheetId="9" hidden="1">3</definedName>
    <definedName name="solver_rel4" localSheetId="10" hidden="1">3</definedName>
    <definedName name="solver_rel4" localSheetId="11" hidden="1">3</definedName>
    <definedName name="solver_rel4" localSheetId="12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l4" localSheetId="7" hidden="1">3</definedName>
    <definedName name="solver_rel4" localSheetId="8" hidden="1">3</definedName>
    <definedName name="solver_rel5" localSheetId="12" hidden="1">4</definedName>
    <definedName name="solver_rel5" localSheetId="4" hidden="1">3</definedName>
    <definedName name="solver_rel6" localSheetId="12" hidden="1">1</definedName>
    <definedName name="solver_rel7" localSheetId="12" hidden="1">3</definedName>
    <definedName name="solver_rel8" localSheetId="12" hidden="1">3</definedName>
    <definedName name="solver_reo" localSheetId="2" hidden="1">2</definedName>
    <definedName name="solver_reo" localSheetId="9" hidden="1">2</definedName>
    <definedName name="solver_reo" localSheetId="10" hidden="1">2</definedName>
    <definedName name="solver_reo" localSheetId="11" hidden="1">2</definedName>
    <definedName name="solver_reo" localSheetId="1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o" localSheetId="6" hidden="1">2</definedName>
    <definedName name="solver_reo" localSheetId="7" hidden="1">2</definedName>
    <definedName name="solver_reo" localSheetId="8" hidden="1">2</definedName>
    <definedName name="solver_rep" localSheetId="2" hidden="1">2</definedName>
    <definedName name="solver_rep" localSheetId="9" hidden="1">2</definedName>
    <definedName name="solver_rep" localSheetId="10" hidden="1">2</definedName>
    <definedName name="solver_rep" localSheetId="11" hidden="1">2</definedName>
    <definedName name="solver_rep" localSheetId="12" hidden="1">2</definedName>
    <definedName name="solver_rep" localSheetId="3" hidden="1">2</definedName>
    <definedName name="solver_rep" localSheetId="4" hidden="1">2</definedName>
    <definedName name="solver_rep" localSheetId="5" hidden="1">2</definedName>
    <definedName name="solver_rep" localSheetId="6" hidden="1">2</definedName>
    <definedName name="solver_rep" localSheetId="7" hidden="1">2</definedName>
    <definedName name="solver_rep" localSheetId="8" hidden="1">2</definedName>
    <definedName name="solver_rhs1" localSheetId="2" hidden="1">integer</definedName>
    <definedName name="solver_rhs1" localSheetId="9" hidden="1">integer</definedName>
    <definedName name="solver_rhs1" localSheetId="10" hidden="1">integer</definedName>
    <definedName name="solver_rhs1" localSheetId="11" hidden="1">integer</definedName>
    <definedName name="solver_rhs1" localSheetId="12" hidden="1">integer</definedName>
    <definedName name="solver_rhs1" localSheetId="3" hidden="1">integer</definedName>
    <definedName name="solver_rhs1" localSheetId="4" hidden="1">integer</definedName>
    <definedName name="solver_rhs1" localSheetId="5" hidden="1">integer</definedName>
    <definedName name="solver_rhs1" localSheetId="6" hidden="1">integer</definedName>
    <definedName name="solver_rhs1" localSheetId="7" hidden="1">integer</definedName>
    <definedName name="solver_rhs1" localSheetId="8" hidden="1">integer</definedName>
    <definedName name="solver_rhs2" localSheetId="2" hidden="1">MW_Opt!$C$27:$F$27</definedName>
    <definedName name="solver_rhs2" localSheetId="9" hidden="1">'Prb10'!$C$27:$F$27</definedName>
    <definedName name="solver_rhs2" localSheetId="10" hidden="1">'Prb11'!$C$27:$F$27</definedName>
    <definedName name="solver_rhs2" localSheetId="11" hidden="1">'Prb12'!$C$27:$F$27</definedName>
    <definedName name="solver_rhs2" localSheetId="12" hidden="1">'Prb13'!$C$27:$F$27</definedName>
    <definedName name="solver_rhs2" localSheetId="3" hidden="1">'Prb4'!$C$27:$F$27</definedName>
    <definedName name="solver_rhs2" localSheetId="4" hidden="1">'Prb5'!$J$15:$M$15</definedName>
    <definedName name="solver_rhs2" localSheetId="5" hidden="1">'Prb6'!$C$27:$F$27</definedName>
    <definedName name="solver_rhs2" localSheetId="6" hidden="1">'Prb7'!$C$27:$F$27</definedName>
    <definedName name="solver_rhs2" localSheetId="7" hidden="1">'Prb8'!$C$27:$F$27</definedName>
    <definedName name="solver_rhs2" localSheetId="8" hidden="1">'Prb9'!$C$27:$F$27</definedName>
    <definedName name="solver_rhs3" localSheetId="2" hidden="1">MW_Opt!$C$24:$F$24</definedName>
    <definedName name="solver_rhs3" localSheetId="9" hidden="1">'Prb10'!$C$24:$F$24</definedName>
    <definedName name="solver_rhs3" localSheetId="10" hidden="1">'Prb11'!$C$24:$F$24</definedName>
    <definedName name="solver_rhs3" localSheetId="11" hidden="1">'Prb12'!$C$24:$F$24</definedName>
    <definedName name="solver_rhs3" localSheetId="12" hidden="1">'Prb13'!$C$24:$F$24</definedName>
    <definedName name="solver_rhs3" localSheetId="3" hidden="1">'Prb4'!$C$24:$F$24</definedName>
    <definedName name="solver_rhs3" localSheetId="4" hidden="1">'Prb5'!$C$27:$F$27</definedName>
    <definedName name="solver_rhs3" localSheetId="5" hidden="1">'Prb6'!$C$24:$F$24</definedName>
    <definedName name="solver_rhs3" localSheetId="6" hidden="1">'Prb7'!$C$24:$F$24</definedName>
    <definedName name="solver_rhs3" localSheetId="7" hidden="1">'Prb8'!$C$24:$F$24</definedName>
    <definedName name="solver_rhs3" localSheetId="8" hidden="1">'Prb9'!$C$24:$F$24</definedName>
    <definedName name="solver_rhs4" localSheetId="2" hidden="1">MW_Opt!$B$8</definedName>
    <definedName name="solver_rhs4" localSheetId="9" hidden="1">'Prb10'!$B$8</definedName>
    <definedName name="solver_rhs4" localSheetId="10" hidden="1">'Prb11'!$B$8</definedName>
    <definedName name="solver_rhs4" localSheetId="11" hidden="1">'Prb12'!$B$8</definedName>
    <definedName name="solver_rhs4" localSheetId="12" hidden="1">'Prb13'!$B$8</definedName>
    <definedName name="solver_rhs4" localSheetId="3" hidden="1">'Prb4'!$B$8</definedName>
    <definedName name="solver_rhs4" localSheetId="4" hidden="1">'Prb5'!$C$24:$F$24</definedName>
    <definedName name="solver_rhs4" localSheetId="5" hidden="1">'Prb6'!$B$8</definedName>
    <definedName name="solver_rhs4" localSheetId="6" hidden="1">'Prb7'!$B$8</definedName>
    <definedName name="solver_rhs4" localSheetId="7" hidden="1">'Prb8'!$B$8</definedName>
    <definedName name="solver_rhs4" localSheetId="8" hidden="1">0</definedName>
    <definedName name="solver_rhs5" localSheetId="12" hidden="1">integer</definedName>
    <definedName name="solver_rhs5" localSheetId="4" hidden="1">'Prb5'!$B$8</definedName>
    <definedName name="solver_rhs6" localSheetId="12" hidden="1">'Prb13'!$K$27:$N$27</definedName>
    <definedName name="solver_rhs7" localSheetId="12" hidden="1">'Prb13'!$K$24:$N$24</definedName>
    <definedName name="solver_rhs8" localSheetId="12" hidden="1">'Prb13'!$B$8</definedName>
    <definedName name="solver_rlx" localSheetId="2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1" hidden="1">2</definedName>
    <definedName name="solver_rsd" localSheetId="2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1" hidden="1">0</definedName>
    <definedName name="solver_scl" localSheetId="2" hidden="1">2</definedName>
    <definedName name="solver_scl" localSheetId="9" hidden="1">2</definedName>
    <definedName name="solver_scl" localSheetId="10" hidden="1">2</definedName>
    <definedName name="solver_scl" localSheetId="11" hidden="1">2</definedName>
    <definedName name="solver_scl" localSheetId="1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1" hidden="1">1</definedName>
    <definedName name="solver_sho" localSheetId="2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1" hidden="1">2</definedName>
    <definedName name="solver_ssz" localSheetId="2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1" hidden="1">100</definedName>
    <definedName name="solver_tim" localSheetId="2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1" hidden="1">2147483647</definedName>
    <definedName name="solver_tol" localSheetId="2" hidden="1">0</definedName>
    <definedName name="solver_tol" localSheetId="9" hidden="1">0</definedName>
    <definedName name="solver_tol" localSheetId="10" hidden="1">0</definedName>
    <definedName name="solver_tol" localSheetId="11" hidden="1">0</definedName>
    <definedName name="solver_tol" localSheetId="1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6" hidden="1">0</definedName>
    <definedName name="solver_tol" localSheetId="7" hidden="1">0</definedName>
    <definedName name="solver_tol" localSheetId="8" hidden="1">0</definedName>
    <definedName name="solver_tol" localSheetId="1" hidden="1">0</definedName>
    <definedName name="solver_typ" localSheetId="2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1" hidden="1">1</definedName>
    <definedName name="solver_val" localSheetId="2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1" hidden="1">0</definedName>
    <definedName name="solver_ver" localSheetId="2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36" l="1"/>
  <c r="L4" i="36"/>
  <c r="M4" i="36"/>
  <c r="N4" i="36"/>
  <c r="K4" i="36"/>
  <c r="N24" i="36"/>
  <c r="M24" i="36"/>
  <c r="L24" i="36"/>
  <c r="K24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1" i="36"/>
  <c r="M11" i="36"/>
  <c r="L11" i="36"/>
  <c r="K11" i="36"/>
  <c r="K6" i="34"/>
  <c r="F4" i="34"/>
  <c r="E4" i="34"/>
  <c r="D4" i="34"/>
  <c r="C4" i="34"/>
  <c r="K10" i="32"/>
  <c r="K10" i="31"/>
  <c r="K11" i="30"/>
  <c r="J15" i="28"/>
  <c r="K14" i="7"/>
  <c r="M14" i="7" s="1"/>
  <c r="N20" i="7" l="1"/>
  <c r="F24" i="36"/>
  <c r="E24" i="36"/>
  <c r="D24" i="36"/>
  <c r="C24" i="36"/>
  <c r="F21" i="36"/>
  <c r="E21" i="36"/>
  <c r="D21" i="36"/>
  <c r="C21" i="36"/>
  <c r="F19" i="36"/>
  <c r="E19" i="36"/>
  <c r="D19" i="36"/>
  <c r="C19" i="36"/>
  <c r="F18" i="36"/>
  <c r="E18" i="36"/>
  <c r="D18" i="36"/>
  <c r="C18" i="36"/>
  <c r="C15" i="36"/>
  <c r="C16" i="36" s="1"/>
  <c r="C20" i="36" s="1"/>
  <c r="F11" i="36"/>
  <c r="E11" i="36"/>
  <c r="D11" i="36"/>
  <c r="C11" i="36"/>
  <c r="C8" i="36"/>
  <c r="D7" i="36" s="1"/>
  <c r="C7" i="36"/>
  <c r="F24" i="35"/>
  <c r="E24" i="35"/>
  <c r="D24" i="35"/>
  <c r="C24" i="35"/>
  <c r="F21" i="35"/>
  <c r="E21" i="35"/>
  <c r="D21" i="35"/>
  <c r="C21" i="35"/>
  <c r="F19" i="35"/>
  <c r="E19" i="35"/>
  <c r="D19" i="35"/>
  <c r="C19" i="35"/>
  <c r="F18" i="35"/>
  <c r="E18" i="35"/>
  <c r="D18" i="35"/>
  <c r="C18" i="35"/>
  <c r="C16" i="35"/>
  <c r="D15" i="35" s="1"/>
  <c r="D16" i="35" s="1"/>
  <c r="C15" i="35"/>
  <c r="F11" i="35"/>
  <c r="E11" i="35"/>
  <c r="D11" i="35"/>
  <c r="C11" i="35"/>
  <c r="C7" i="35"/>
  <c r="F24" i="34"/>
  <c r="E24" i="34"/>
  <c r="D24" i="34"/>
  <c r="C24" i="34"/>
  <c r="F21" i="34"/>
  <c r="E21" i="34"/>
  <c r="D21" i="34"/>
  <c r="C21" i="34"/>
  <c r="F19" i="34"/>
  <c r="E19" i="34"/>
  <c r="D19" i="34"/>
  <c r="C19" i="34"/>
  <c r="F18" i="34"/>
  <c r="E18" i="34"/>
  <c r="D18" i="34"/>
  <c r="C18" i="34"/>
  <c r="C16" i="34"/>
  <c r="D15" i="34" s="1"/>
  <c r="D16" i="34" s="1"/>
  <c r="C15" i="34"/>
  <c r="F11" i="34"/>
  <c r="E11" i="34"/>
  <c r="D11" i="34"/>
  <c r="C11" i="34"/>
  <c r="C7" i="34"/>
  <c r="C8" i="34" s="1"/>
  <c r="F24" i="33"/>
  <c r="E24" i="33"/>
  <c r="D24" i="33"/>
  <c r="C24" i="33"/>
  <c r="F21" i="33"/>
  <c r="E21" i="33"/>
  <c r="D21" i="33"/>
  <c r="C21" i="33"/>
  <c r="F19" i="33"/>
  <c r="E19" i="33"/>
  <c r="D19" i="33"/>
  <c r="C19" i="33"/>
  <c r="F18" i="33"/>
  <c r="E18" i="33"/>
  <c r="D18" i="33"/>
  <c r="C18" i="33"/>
  <c r="C15" i="33"/>
  <c r="C16" i="33" s="1"/>
  <c r="F11" i="33"/>
  <c r="E11" i="33"/>
  <c r="D11" i="33"/>
  <c r="C11" i="33"/>
  <c r="C7" i="33"/>
  <c r="F24" i="32"/>
  <c r="E24" i="32"/>
  <c r="D24" i="32"/>
  <c r="C24" i="32"/>
  <c r="F21" i="32"/>
  <c r="E21" i="32"/>
  <c r="D21" i="32"/>
  <c r="C21" i="32"/>
  <c r="F19" i="32"/>
  <c r="E19" i="32"/>
  <c r="D19" i="32"/>
  <c r="C19" i="32"/>
  <c r="F18" i="32"/>
  <c r="E18" i="32"/>
  <c r="D18" i="32"/>
  <c r="C18" i="32"/>
  <c r="C15" i="32"/>
  <c r="C16" i="32" s="1"/>
  <c r="F11" i="32"/>
  <c r="E11" i="32"/>
  <c r="D11" i="32"/>
  <c r="C11" i="32"/>
  <c r="C7" i="32"/>
  <c r="F24" i="31"/>
  <c r="E24" i="31"/>
  <c r="D24" i="31"/>
  <c r="C24" i="31"/>
  <c r="F21" i="31"/>
  <c r="E21" i="31"/>
  <c r="D21" i="31"/>
  <c r="C21" i="31"/>
  <c r="F19" i="31"/>
  <c r="E19" i="31"/>
  <c r="D19" i="31"/>
  <c r="C19" i="31"/>
  <c r="F18" i="31"/>
  <c r="E18" i="31"/>
  <c r="D18" i="31"/>
  <c r="C18" i="31"/>
  <c r="C15" i="31"/>
  <c r="C16" i="31" s="1"/>
  <c r="F11" i="31"/>
  <c r="E11" i="31"/>
  <c r="D11" i="31"/>
  <c r="C11" i="31"/>
  <c r="C7" i="31"/>
  <c r="C8" i="31" s="1"/>
  <c r="C10" i="31" s="1"/>
  <c r="F24" i="30"/>
  <c r="E24" i="30"/>
  <c r="D24" i="30"/>
  <c r="C24" i="30"/>
  <c r="F21" i="30"/>
  <c r="E21" i="30"/>
  <c r="D21" i="30"/>
  <c r="C21" i="30"/>
  <c r="F19" i="30"/>
  <c r="E19" i="30"/>
  <c r="D19" i="30"/>
  <c r="C19" i="30"/>
  <c r="F18" i="30"/>
  <c r="E18" i="30"/>
  <c r="D18" i="30"/>
  <c r="C18" i="30"/>
  <c r="C16" i="30"/>
  <c r="C20" i="30" s="1"/>
  <c r="C15" i="30"/>
  <c r="F11" i="30"/>
  <c r="E11" i="30"/>
  <c r="D11" i="30"/>
  <c r="C11" i="30"/>
  <c r="C7" i="30"/>
  <c r="C8" i="30" s="1"/>
  <c r="D7" i="30" s="1"/>
  <c r="F24" i="29"/>
  <c r="E24" i="29"/>
  <c r="D24" i="29"/>
  <c r="C24" i="29"/>
  <c r="F21" i="29"/>
  <c r="E21" i="29"/>
  <c r="D21" i="29"/>
  <c r="C21" i="29"/>
  <c r="F19" i="29"/>
  <c r="E19" i="29"/>
  <c r="D19" i="29"/>
  <c r="C19" i="29"/>
  <c r="F18" i="29"/>
  <c r="E18" i="29"/>
  <c r="D18" i="29"/>
  <c r="C18" i="29"/>
  <c r="C15" i="29"/>
  <c r="C16" i="29" s="1"/>
  <c r="C27" i="29" s="1"/>
  <c r="F11" i="29"/>
  <c r="E11" i="29"/>
  <c r="D11" i="29"/>
  <c r="C11" i="29"/>
  <c r="C7" i="29"/>
  <c r="C8" i="29" s="1"/>
  <c r="F24" i="28"/>
  <c r="E24" i="28"/>
  <c r="D24" i="28"/>
  <c r="C24" i="28"/>
  <c r="F21" i="28"/>
  <c r="E21" i="28"/>
  <c r="D21" i="28"/>
  <c r="C21" i="28"/>
  <c r="F19" i="28"/>
  <c r="E19" i="28"/>
  <c r="D19" i="28"/>
  <c r="C19" i="28"/>
  <c r="F18" i="28"/>
  <c r="E18" i="28"/>
  <c r="D18" i="28"/>
  <c r="C18" i="28"/>
  <c r="C15" i="28"/>
  <c r="C16" i="28" s="1"/>
  <c r="C20" i="28" s="1"/>
  <c r="F11" i="28"/>
  <c r="E11" i="28"/>
  <c r="D11" i="28"/>
  <c r="C11" i="28"/>
  <c r="C7" i="28"/>
  <c r="C8" i="28" s="1"/>
  <c r="F24" i="27"/>
  <c r="E24" i="27"/>
  <c r="D24" i="27"/>
  <c r="C24" i="27"/>
  <c r="F21" i="27"/>
  <c r="E21" i="27"/>
  <c r="D21" i="27"/>
  <c r="C21" i="27"/>
  <c r="F19" i="27"/>
  <c r="E19" i="27"/>
  <c r="D19" i="27"/>
  <c r="C19" i="27"/>
  <c r="F18" i="27"/>
  <c r="E18" i="27"/>
  <c r="D18" i="27"/>
  <c r="C18" i="27"/>
  <c r="C15" i="27"/>
  <c r="C16" i="27" s="1"/>
  <c r="C27" i="27" s="1"/>
  <c r="F11" i="27"/>
  <c r="E11" i="27"/>
  <c r="D11" i="27"/>
  <c r="C11" i="27"/>
  <c r="C7" i="27"/>
  <c r="H21" i="36" l="1"/>
  <c r="H18" i="36"/>
  <c r="H19" i="36"/>
  <c r="H11" i="36"/>
  <c r="C20" i="35"/>
  <c r="H11" i="35"/>
  <c r="H11" i="34"/>
  <c r="C20" i="34"/>
  <c r="H11" i="33"/>
  <c r="D15" i="33"/>
  <c r="D16" i="33" s="1"/>
  <c r="E15" i="33" s="1"/>
  <c r="E16" i="33" s="1"/>
  <c r="C20" i="33"/>
  <c r="H21" i="32"/>
  <c r="H11" i="32"/>
  <c r="H18" i="32"/>
  <c r="H19" i="31"/>
  <c r="H18" i="30"/>
  <c r="H11" i="30"/>
  <c r="H19" i="30"/>
  <c r="H11" i="29"/>
  <c r="H21" i="29"/>
  <c r="H18" i="29"/>
  <c r="H18" i="28"/>
  <c r="H19" i="28"/>
  <c r="D15" i="29"/>
  <c r="D16" i="29" s="1"/>
  <c r="C20" i="29"/>
  <c r="D7" i="28"/>
  <c r="D8" i="28" s="1"/>
  <c r="C10" i="28"/>
  <c r="H11" i="28"/>
  <c r="H21" i="28"/>
  <c r="H21" i="31"/>
  <c r="H21" i="30"/>
  <c r="H11" i="31"/>
  <c r="H21" i="33"/>
  <c r="H21" i="34"/>
  <c r="H21" i="35"/>
  <c r="H18" i="33"/>
  <c r="H18" i="34"/>
  <c r="H18" i="35"/>
  <c r="H18" i="31"/>
  <c r="H19" i="33"/>
  <c r="H19" i="34"/>
  <c r="H19" i="35"/>
  <c r="H19" i="29"/>
  <c r="H19" i="32"/>
  <c r="D8" i="36"/>
  <c r="C23" i="36"/>
  <c r="C25" i="36" s="1"/>
  <c r="C10" i="36"/>
  <c r="C27" i="36"/>
  <c r="D15" i="36"/>
  <c r="D16" i="36" s="1"/>
  <c r="C9" i="36"/>
  <c r="D27" i="35"/>
  <c r="D23" i="35"/>
  <c r="D25" i="35" s="1"/>
  <c r="D20" i="35"/>
  <c r="E15" i="35"/>
  <c r="E16" i="35" s="1"/>
  <c r="C23" i="35"/>
  <c r="C25" i="35" s="1"/>
  <c r="C8" i="35"/>
  <c r="C27" i="35"/>
  <c r="D7" i="34"/>
  <c r="C9" i="34"/>
  <c r="D27" i="34"/>
  <c r="D23" i="34"/>
  <c r="D25" i="34" s="1"/>
  <c r="D20" i="34"/>
  <c r="E15" i="34"/>
  <c r="E16" i="34" s="1"/>
  <c r="C23" i="34"/>
  <c r="C25" i="34" s="1"/>
  <c r="C10" i="34"/>
  <c r="C27" i="34"/>
  <c r="C23" i="33"/>
  <c r="C25" i="33" s="1"/>
  <c r="C8" i="33"/>
  <c r="C10" i="33" s="1"/>
  <c r="C27" i="33"/>
  <c r="D15" i="32"/>
  <c r="D16" i="32" s="1"/>
  <c r="C27" i="32"/>
  <c r="C23" i="32"/>
  <c r="C25" i="32" s="1"/>
  <c r="C20" i="32"/>
  <c r="C8" i="32"/>
  <c r="D15" i="31"/>
  <c r="D16" i="31" s="1"/>
  <c r="C27" i="31"/>
  <c r="C23" i="31"/>
  <c r="C25" i="31" s="1"/>
  <c r="C20" i="31"/>
  <c r="C9" i="31"/>
  <c r="D7" i="31"/>
  <c r="D8" i="30"/>
  <c r="D10" i="30" s="1"/>
  <c r="C23" i="30"/>
  <c r="C25" i="30" s="1"/>
  <c r="C10" i="30"/>
  <c r="C27" i="30"/>
  <c r="D15" i="30"/>
  <c r="D16" i="30" s="1"/>
  <c r="C9" i="30"/>
  <c r="C9" i="29"/>
  <c r="D7" i="29"/>
  <c r="C23" i="29"/>
  <c r="C25" i="29" s="1"/>
  <c r="C10" i="29"/>
  <c r="C27" i="28"/>
  <c r="C23" i="28"/>
  <c r="C25" i="28" s="1"/>
  <c r="D15" i="28"/>
  <c r="C9" i="28"/>
  <c r="H21" i="27"/>
  <c r="H18" i="27"/>
  <c r="H11" i="27"/>
  <c r="H19" i="27"/>
  <c r="D15" i="27"/>
  <c r="D16" i="27" s="1"/>
  <c r="D27" i="27" s="1"/>
  <c r="C20" i="27"/>
  <c r="C23" i="27"/>
  <c r="C25" i="27" s="1"/>
  <c r="C8" i="27"/>
  <c r="C10" i="27" s="1"/>
  <c r="A35" i="4"/>
  <c r="D20" i="33" l="1"/>
  <c r="D23" i="33"/>
  <c r="D25" i="33" s="1"/>
  <c r="D27" i="33"/>
  <c r="C10" i="32"/>
  <c r="C9" i="32"/>
  <c r="D20" i="29"/>
  <c r="D27" i="29"/>
  <c r="D23" i="29"/>
  <c r="D25" i="29" s="1"/>
  <c r="D16" i="28"/>
  <c r="D20" i="28" s="1"/>
  <c r="K15" i="28"/>
  <c r="E15" i="29"/>
  <c r="E16" i="29" s="1"/>
  <c r="E27" i="29" s="1"/>
  <c r="D20" i="36"/>
  <c r="E15" i="36"/>
  <c r="E16" i="36" s="1"/>
  <c r="D27" i="36"/>
  <c r="D23" i="36"/>
  <c r="D25" i="36" s="1"/>
  <c r="D9" i="36"/>
  <c r="E7" i="36"/>
  <c r="D10" i="36"/>
  <c r="D7" i="35"/>
  <c r="C9" i="35"/>
  <c r="C10" i="35"/>
  <c r="E23" i="35"/>
  <c r="E25" i="35" s="1"/>
  <c r="E20" i="35"/>
  <c r="F15" i="35"/>
  <c r="F16" i="35" s="1"/>
  <c r="E27" i="35"/>
  <c r="D8" i="34"/>
  <c r="D10" i="34" s="1"/>
  <c r="E23" i="34"/>
  <c r="E25" i="34" s="1"/>
  <c r="E20" i="34"/>
  <c r="F15" i="34"/>
  <c r="F16" i="34" s="1"/>
  <c r="E27" i="34"/>
  <c r="F15" i="33"/>
  <c r="F16" i="33" s="1"/>
  <c r="E27" i="33"/>
  <c r="E23" i="33"/>
  <c r="E25" i="33" s="1"/>
  <c r="E20" i="33"/>
  <c r="D7" i="33"/>
  <c r="C9" i="33"/>
  <c r="D27" i="32"/>
  <c r="E15" i="32"/>
  <c r="E16" i="32" s="1"/>
  <c r="D23" i="32"/>
  <c r="D25" i="32" s="1"/>
  <c r="D20" i="32"/>
  <c r="D7" i="32"/>
  <c r="D27" i="31"/>
  <c r="D23" i="31"/>
  <c r="D25" i="31" s="1"/>
  <c r="D20" i="31"/>
  <c r="E15" i="31"/>
  <c r="E16" i="31" s="1"/>
  <c r="D8" i="31"/>
  <c r="D10" i="31" s="1"/>
  <c r="D20" i="30"/>
  <c r="E15" i="30"/>
  <c r="E16" i="30" s="1"/>
  <c r="D27" i="30"/>
  <c r="D23" i="30"/>
  <c r="D25" i="30" s="1"/>
  <c r="D9" i="30"/>
  <c r="E7" i="30"/>
  <c r="D8" i="29"/>
  <c r="D10" i="29" s="1"/>
  <c r="D9" i="28"/>
  <c r="E7" i="28"/>
  <c r="D10" i="28"/>
  <c r="D20" i="27"/>
  <c r="E15" i="27"/>
  <c r="E16" i="27" s="1"/>
  <c r="E27" i="27" s="1"/>
  <c r="D23" i="27"/>
  <c r="D25" i="27" s="1"/>
  <c r="C9" i="27"/>
  <c r="D7" i="27"/>
  <c r="F15" i="29" l="1"/>
  <c r="F16" i="29" s="1"/>
  <c r="F27" i="29" s="1"/>
  <c r="E23" i="29"/>
  <c r="E25" i="29" s="1"/>
  <c r="E20" i="29"/>
  <c r="D23" i="28"/>
  <c r="D25" i="28" s="1"/>
  <c r="D27" i="28"/>
  <c r="E15" i="28"/>
  <c r="F15" i="36"/>
  <c r="F16" i="36" s="1"/>
  <c r="K15" i="36" s="1"/>
  <c r="K16" i="36" s="1"/>
  <c r="E27" i="36"/>
  <c r="E20" i="36"/>
  <c r="E23" i="36"/>
  <c r="E25" i="36" s="1"/>
  <c r="E8" i="36"/>
  <c r="D8" i="35"/>
  <c r="D10" i="35" s="1"/>
  <c r="F23" i="35"/>
  <c r="F25" i="35" s="1"/>
  <c r="F20" i="35"/>
  <c r="H20" i="35" s="1"/>
  <c r="F27" i="35"/>
  <c r="E7" i="34"/>
  <c r="D9" i="34"/>
  <c r="F23" i="34"/>
  <c r="F25" i="34" s="1"/>
  <c r="F20" i="34"/>
  <c r="H20" i="34" s="1"/>
  <c r="F27" i="34"/>
  <c r="F23" i="33"/>
  <c r="F25" i="33" s="1"/>
  <c r="F20" i="33"/>
  <c r="H20" i="33" s="1"/>
  <c r="F27" i="33"/>
  <c r="D8" i="33"/>
  <c r="D10" i="33" s="1"/>
  <c r="D8" i="32"/>
  <c r="E23" i="32"/>
  <c r="E25" i="32" s="1"/>
  <c r="E20" i="32"/>
  <c r="F15" i="32"/>
  <c r="F16" i="32" s="1"/>
  <c r="E27" i="32"/>
  <c r="E23" i="31"/>
  <c r="E25" i="31" s="1"/>
  <c r="E20" i="31"/>
  <c r="F15" i="31"/>
  <c r="F16" i="31" s="1"/>
  <c r="E27" i="31"/>
  <c r="E7" i="31"/>
  <c r="D9" i="31"/>
  <c r="E8" i="30"/>
  <c r="F15" i="30"/>
  <c r="F16" i="30" s="1"/>
  <c r="E27" i="30"/>
  <c r="E23" i="30"/>
  <c r="E25" i="30" s="1"/>
  <c r="E20" i="30"/>
  <c r="E7" i="29"/>
  <c r="D9" i="29"/>
  <c r="E8" i="28"/>
  <c r="E20" i="27"/>
  <c r="E23" i="27"/>
  <c r="E25" i="27" s="1"/>
  <c r="F15" i="27"/>
  <c r="F16" i="27" s="1"/>
  <c r="F27" i="27" s="1"/>
  <c r="D8" i="27"/>
  <c r="K27" i="36" l="1"/>
  <c r="K20" i="36"/>
  <c r="K23" i="36"/>
  <c r="K25" i="36" s="1"/>
  <c r="L15" i="36"/>
  <c r="L16" i="36" s="1"/>
  <c r="F20" i="29"/>
  <c r="H20" i="29" s="1"/>
  <c r="F23" i="29"/>
  <c r="F25" i="29" s="1"/>
  <c r="E16" i="28"/>
  <c r="L15" i="28"/>
  <c r="E9" i="36"/>
  <c r="F7" i="36"/>
  <c r="E10" i="36"/>
  <c r="F27" i="36"/>
  <c r="F23" i="36"/>
  <c r="F25" i="36" s="1"/>
  <c r="F20" i="36"/>
  <c r="E7" i="35"/>
  <c r="D9" i="35"/>
  <c r="E8" i="34"/>
  <c r="D9" i="33"/>
  <c r="E7" i="33"/>
  <c r="E7" i="32"/>
  <c r="D9" i="32"/>
  <c r="F23" i="32"/>
  <c r="F25" i="32" s="1"/>
  <c r="F20" i="32"/>
  <c r="H20" i="32" s="1"/>
  <c r="F27" i="32"/>
  <c r="D10" i="32"/>
  <c r="E8" i="31"/>
  <c r="E10" i="31" s="1"/>
  <c r="F23" i="31"/>
  <c r="F25" i="31" s="1"/>
  <c r="F20" i="31"/>
  <c r="H20" i="31" s="1"/>
  <c r="F27" i="31"/>
  <c r="F7" i="30"/>
  <c r="E9" i="30"/>
  <c r="F27" i="30"/>
  <c r="F23" i="30"/>
  <c r="F25" i="30" s="1"/>
  <c r="F20" i="30"/>
  <c r="H20" i="30" s="1"/>
  <c r="E10" i="30"/>
  <c r="E8" i="29"/>
  <c r="E10" i="29" s="1"/>
  <c r="E9" i="28"/>
  <c r="F7" i="28"/>
  <c r="E10" i="28"/>
  <c r="F20" i="27"/>
  <c r="H20" i="27" s="1"/>
  <c r="F23" i="27"/>
  <c r="F25" i="27" s="1"/>
  <c r="D9" i="27"/>
  <c r="E7" i="27"/>
  <c r="E8" i="27" s="1"/>
  <c r="D10" i="27"/>
  <c r="F24" i="7"/>
  <c r="E24" i="7"/>
  <c r="D24" i="7"/>
  <c r="C24" i="7"/>
  <c r="F21" i="7"/>
  <c r="E21" i="7"/>
  <c r="D21" i="7"/>
  <c r="C21" i="7"/>
  <c r="F19" i="7"/>
  <c r="E19" i="7"/>
  <c r="D19" i="7"/>
  <c r="C19" i="7"/>
  <c r="F18" i="7"/>
  <c r="E18" i="7"/>
  <c r="D18" i="7"/>
  <c r="C18" i="7"/>
  <c r="C15" i="7"/>
  <c r="C16" i="7" s="1"/>
  <c r="F11" i="7"/>
  <c r="E11" i="7"/>
  <c r="D11" i="7"/>
  <c r="C11" i="7"/>
  <c r="C7" i="7"/>
  <c r="L27" i="36" l="1"/>
  <c r="L23" i="36"/>
  <c r="L25" i="36" s="1"/>
  <c r="M15" i="36"/>
  <c r="M16" i="36" s="1"/>
  <c r="L20" i="36"/>
  <c r="H18" i="7"/>
  <c r="H19" i="7"/>
  <c r="K13" i="7"/>
  <c r="H11" i="7"/>
  <c r="E20" i="28"/>
  <c r="E23" i="28"/>
  <c r="E25" i="28" s="1"/>
  <c r="F15" i="28"/>
  <c r="E27" i="28"/>
  <c r="H21" i="7"/>
  <c r="F8" i="36"/>
  <c r="E8" i="35"/>
  <c r="F7" i="34"/>
  <c r="E9" i="34"/>
  <c r="E10" i="34"/>
  <c r="E8" i="33"/>
  <c r="E8" i="32"/>
  <c r="E10" i="32" s="1"/>
  <c r="F7" i="31"/>
  <c r="E9" i="31"/>
  <c r="F8" i="30"/>
  <c r="F9" i="30" s="1"/>
  <c r="F7" i="29"/>
  <c r="E9" i="29"/>
  <c r="F8" i="28"/>
  <c r="F9" i="28" s="1"/>
  <c r="D15" i="7"/>
  <c r="D16" i="7" s="1"/>
  <c r="C27" i="7"/>
  <c r="C23" i="7"/>
  <c r="C25" i="7" s="1"/>
  <c r="C20" i="7"/>
  <c r="C8" i="7"/>
  <c r="C10" i="7" s="1"/>
  <c r="N15" i="36" l="1"/>
  <c r="N16" i="36" s="1"/>
  <c r="M27" i="36"/>
  <c r="M23" i="36"/>
  <c r="M25" i="36" s="1"/>
  <c r="M20" i="36"/>
  <c r="F9" i="36"/>
  <c r="K7" i="36"/>
  <c r="F10" i="28"/>
  <c r="H10" i="28" s="1"/>
  <c r="F16" i="28"/>
  <c r="M15" i="28"/>
  <c r="F10" i="36"/>
  <c r="F7" i="35"/>
  <c r="E9" i="35"/>
  <c r="E10" i="35"/>
  <c r="F8" i="34"/>
  <c r="F9" i="34" s="1"/>
  <c r="F7" i="33"/>
  <c r="E9" i="33"/>
  <c r="E10" i="33"/>
  <c r="F7" i="32"/>
  <c r="E9" i="32"/>
  <c r="F8" i="31"/>
  <c r="F9" i="31" s="1"/>
  <c r="F10" i="30"/>
  <c r="H10" i="30" s="1"/>
  <c r="H6" i="30" s="1"/>
  <c r="F8" i="29"/>
  <c r="F9" i="29" s="1"/>
  <c r="F7" i="27"/>
  <c r="E9" i="27"/>
  <c r="E10" i="27"/>
  <c r="D27" i="7"/>
  <c r="D23" i="7"/>
  <c r="D25" i="7" s="1"/>
  <c r="D20" i="7"/>
  <c r="E15" i="7"/>
  <c r="E16" i="7" s="1"/>
  <c r="D7" i="7"/>
  <c r="C9" i="7"/>
  <c r="C1" i="2"/>
  <c r="N20" i="36" l="1"/>
  <c r="H20" i="36" s="1"/>
  <c r="N27" i="36"/>
  <c r="N23" i="36"/>
  <c r="N25" i="36" s="1"/>
  <c r="K8" i="36"/>
  <c r="K10" i="36" s="1"/>
  <c r="F27" i="28"/>
  <c r="F23" i="28"/>
  <c r="F25" i="28" s="1"/>
  <c r="F20" i="28"/>
  <c r="H20" i="28" s="1"/>
  <c r="H6" i="28" s="1"/>
  <c r="F10" i="31"/>
  <c r="H10" i="31" s="1"/>
  <c r="H6" i="31" s="1"/>
  <c r="F8" i="35"/>
  <c r="F9" i="35" s="1"/>
  <c r="F10" i="34"/>
  <c r="H10" i="34" s="1"/>
  <c r="H6" i="34" s="1"/>
  <c r="K7" i="34" s="1"/>
  <c r="K9" i="34" s="1"/>
  <c r="F8" i="33"/>
  <c r="F9" i="33" s="1"/>
  <c r="F8" i="32"/>
  <c r="F9" i="32" s="1"/>
  <c r="F10" i="29"/>
  <c r="H10" i="29" s="1"/>
  <c r="H6" i="29" s="1"/>
  <c r="F8" i="27"/>
  <c r="F9" i="27" s="1"/>
  <c r="D8" i="7"/>
  <c r="E23" i="7"/>
  <c r="E25" i="7" s="1"/>
  <c r="E20" i="7"/>
  <c r="F15" i="7"/>
  <c r="F16" i="7" s="1"/>
  <c r="E27" i="7"/>
  <c r="C1" i="4"/>
  <c r="K9" i="36" l="1"/>
  <c r="L7" i="36"/>
  <c r="L8" i="36" s="1"/>
  <c r="F10" i="32"/>
  <c r="H10" i="32" s="1"/>
  <c r="H6" i="32" s="1"/>
  <c r="F10" i="35"/>
  <c r="H10" i="35" s="1"/>
  <c r="H6" i="35" s="1"/>
  <c r="F10" i="33"/>
  <c r="H10" i="33" s="1"/>
  <c r="H6" i="33" s="1"/>
  <c r="F10" i="27"/>
  <c r="H10" i="27" s="1"/>
  <c r="H6" i="27" s="1"/>
  <c r="F23" i="7"/>
  <c r="F25" i="7" s="1"/>
  <c r="F20" i="7"/>
  <c r="H20" i="7" s="1"/>
  <c r="J18" i="7" s="1"/>
  <c r="J19" i="7" s="1"/>
  <c r="F27" i="7"/>
  <c r="E7" i="7"/>
  <c r="D9" i="7"/>
  <c r="D10" i="7"/>
  <c r="L10" i="36" l="1"/>
  <c r="M7" i="36"/>
  <c r="M8" i="36" s="1"/>
  <c r="L9" i="36"/>
  <c r="E8" i="7"/>
  <c r="E10" i="7" s="1"/>
  <c r="M10" i="36" l="1"/>
  <c r="M9" i="36"/>
  <c r="N7" i="36"/>
  <c r="F7" i="7"/>
  <c r="E9" i="7"/>
  <c r="N8" i="36" l="1"/>
  <c r="N9" i="36" s="1"/>
  <c r="F8" i="7"/>
  <c r="F9" i="7" s="1"/>
  <c r="N10" i="36" l="1"/>
  <c r="H10" i="36" s="1"/>
  <c r="H6" i="36" s="1"/>
  <c r="F10" i="7"/>
  <c r="L13" i="7" l="1"/>
  <c r="M13" i="7" s="1"/>
  <c r="M15" i="7" s="1"/>
  <c r="H10" i="7"/>
  <c r="H6" i="7" s="1"/>
  <c r="N21" i="7" s="1"/>
  <c r="N23" i="7" s="1"/>
</calcChain>
</file>

<file path=xl/sharedStrings.xml><?xml version="1.0" encoding="utf-8"?>
<sst xmlns="http://schemas.openxmlformats.org/spreadsheetml/2006/main" count="570" uniqueCount="222">
  <si>
    <t>USERNAME</t>
  </si>
  <si>
    <t>aanderson</t>
  </si>
  <si>
    <t>abbyvoigt</t>
  </si>
  <si>
    <t>abidahmed</t>
  </si>
  <si>
    <t>abigailsharp</t>
  </si>
  <si>
    <t>abokretzion2</t>
  </si>
  <si>
    <t>aeknoorheer001</t>
  </si>
  <si>
    <t>afrechette65</t>
  </si>
  <si>
    <t>aidanshea</t>
  </si>
  <si>
    <t>aijia_li</t>
  </si>
  <si>
    <t>alehrhoff</t>
  </si>
  <si>
    <t>allensu0929</t>
  </si>
  <si>
    <t>ambercho</t>
  </si>
  <si>
    <t>amunique_swan</t>
  </si>
  <si>
    <t>aragaini0</t>
  </si>
  <si>
    <t>ayasskatya</t>
  </si>
  <si>
    <t>bhughes21</t>
  </si>
  <si>
    <t>bmann21</t>
  </si>
  <si>
    <t>britgoh</t>
  </si>
  <si>
    <t>bryncaren</t>
  </si>
  <si>
    <t>cameronsaad</t>
  </si>
  <si>
    <t>carolinaortega9</t>
  </si>
  <si>
    <t>cdiazdv3</t>
  </si>
  <si>
    <t>cgoodrich</t>
  </si>
  <si>
    <t>charlierahbany</t>
  </si>
  <si>
    <t>chrisblack</t>
  </si>
  <si>
    <t>cknight99</t>
  </si>
  <si>
    <t>cmui35</t>
  </si>
  <si>
    <t>czy991002</t>
  </si>
  <si>
    <t>densor</t>
  </si>
  <si>
    <t>derekripp</t>
  </si>
  <si>
    <t>dhcha</t>
  </si>
  <si>
    <t>dkim098</t>
  </si>
  <si>
    <t>dpoulsen21</t>
  </si>
  <si>
    <t>dzaiets</t>
  </si>
  <si>
    <t>ecohen11</t>
  </si>
  <si>
    <t>emakhamreh</t>
  </si>
  <si>
    <t>emilygoldberg</t>
  </si>
  <si>
    <t>emorrisey</t>
  </si>
  <si>
    <t>eschmid</t>
  </si>
  <si>
    <t>evansaleh1</t>
  </si>
  <si>
    <t>faisalghr</t>
  </si>
  <si>
    <t>gesong</t>
  </si>
  <si>
    <t>gnorris98</t>
  </si>
  <si>
    <t>graceajayi</t>
  </si>
  <si>
    <t>harrybc</t>
  </si>
  <si>
    <t>hbrookins</t>
  </si>
  <si>
    <t>hcadeau_22</t>
  </si>
  <si>
    <t>hrx511124</t>
  </si>
  <si>
    <t>ifortner</t>
  </si>
  <si>
    <t>irmasaluja</t>
  </si>
  <si>
    <t>isabelmeizoso</t>
  </si>
  <si>
    <t>jameszhou1120</t>
  </si>
  <si>
    <t>jconaton</t>
  </si>
  <si>
    <t>jessehorowitz</t>
  </si>
  <si>
    <t>jialvarez</t>
  </si>
  <si>
    <t>jloiselle</t>
  </si>
  <si>
    <t>jmccluskey</t>
  </si>
  <si>
    <t>jnault</t>
  </si>
  <si>
    <t>jnichols56</t>
  </si>
  <si>
    <t>joon9766</t>
  </si>
  <si>
    <t>jordans1598</t>
  </si>
  <si>
    <t>katemclemore</t>
  </si>
  <si>
    <t>kbean3</t>
  </si>
  <si>
    <t>kelseymcevoy</t>
  </si>
  <si>
    <t>kgonzalez21</t>
  </si>
  <si>
    <t>khushisutaria</t>
  </si>
  <si>
    <t>kndunn9</t>
  </si>
  <si>
    <t>kools</t>
  </si>
  <si>
    <t>kumarn</t>
  </si>
  <si>
    <t>kylelyon</t>
  </si>
  <si>
    <t>laurelmiller22</t>
  </si>
  <si>
    <t>leonardobraz</t>
  </si>
  <si>
    <t>ljoyce12345</t>
  </si>
  <si>
    <t>loganleax7</t>
  </si>
  <si>
    <t>lpdupond</t>
  </si>
  <si>
    <t>ltnguyen</t>
  </si>
  <si>
    <t>luanakiwakana</t>
  </si>
  <si>
    <t>luanfei1022</t>
  </si>
  <si>
    <t>lucasbravos</t>
  </si>
  <si>
    <t>maceopatrick</t>
  </si>
  <si>
    <t>marcocarrero10</t>
  </si>
  <si>
    <t>masahab</t>
  </si>
  <si>
    <t>matthewavena</t>
  </si>
  <si>
    <t>mayakonings</t>
  </si>
  <si>
    <t>megankavanaugh</t>
  </si>
  <si>
    <t>michaelrudy</t>
  </si>
  <si>
    <t>mollykieft</t>
  </si>
  <si>
    <t>monicafrancisco</t>
  </si>
  <si>
    <t>mostacks23</t>
  </si>
  <si>
    <t>mylesfranklin2</t>
  </si>
  <si>
    <t>neilj9530</t>
  </si>
  <si>
    <t>nialldoherty757</t>
  </si>
  <si>
    <t>nickstepanov</t>
  </si>
  <si>
    <t>nmcateer</t>
  </si>
  <si>
    <t>noahlevin</t>
  </si>
  <si>
    <t>noahschwartz</t>
  </si>
  <si>
    <t>nsalangi</t>
  </si>
  <si>
    <t>oharris4</t>
  </si>
  <si>
    <t>osullivanl</t>
  </si>
  <si>
    <t>oweber</t>
  </si>
  <si>
    <t>pappasdylan</t>
  </si>
  <si>
    <t>renzolara</t>
  </si>
  <si>
    <t>rishabhroy</t>
  </si>
  <si>
    <t>rogerserin</t>
  </si>
  <si>
    <t>sarakhaleq</t>
  </si>
  <si>
    <t>sbalter</t>
  </si>
  <si>
    <t>scarmichael</t>
  </si>
  <si>
    <t>sebarosado</t>
  </si>
  <si>
    <t>shahbaz22</t>
  </si>
  <si>
    <t>sophierivard</t>
  </si>
  <si>
    <t>spencerfair7</t>
  </si>
  <si>
    <t>srosenberg</t>
  </si>
  <si>
    <t>sydneygraham</t>
  </si>
  <si>
    <t>theomagill</t>
  </si>
  <si>
    <t>thomasknipe</t>
  </si>
  <si>
    <t>treytorain</t>
  </si>
  <si>
    <t>vlan83</t>
  </si>
  <si>
    <t>yimeng99</t>
  </si>
  <si>
    <t>yrwu_paris</t>
  </si>
  <si>
    <t>ywu596</t>
  </si>
  <si>
    <t>yyang27</t>
  </si>
  <si>
    <t>zacharyross</t>
  </si>
  <si>
    <t>zhouxiaonan33</t>
  </si>
  <si>
    <t>zimmchristoph37</t>
  </si>
  <si>
    <t>zmjia00</t>
  </si>
  <si>
    <t>zzhang2</t>
  </si>
  <si>
    <t>bchen11</t>
  </si>
  <si>
    <t>bliang</t>
  </si>
  <si>
    <t>brett_guterman</t>
  </si>
  <si>
    <t>jdlynn2022</t>
  </si>
  <si>
    <t>jimhan</t>
  </si>
  <si>
    <t>kimberlybleak</t>
  </si>
  <si>
    <t>niu0630</t>
  </si>
  <si>
    <t>shuran1014</t>
  </si>
  <si>
    <t>Left-click on the down arrow</t>
  </si>
  <si>
    <t>Enter Username on Sheet HW3</t>
  </si>
  <si>
    <t>Quarter</t>
  </si>
  <si>
    <t>Year</t>
  </si>
  <si>
    <t>Prb. 1</t>
  </si>
  <si>
    <t>Production Planning for Mountain Wear: OPTIMAL</t>
  </si>
  <si>
    <t>Demand forecast</t>
  </si>
  <si>
    <t>Units produced</t>
  </si>
  <si>
    <t>Inventory:</t>
  </si>
  <si>
    <t>Total cost</t>
  </si>
  <si>
    <t>Beginning-of-quarter</t>
  </si>
  <si>
    <t>End-of-quarter</t>
  </si>
  <si>
    <t>Unit costs</t>
  </si>
  <si>
    <t>Total costs</t>
  </si>
  <si>
    <t>Inventory cost</t>
  </si>
  <si>
    <t>Production cost</t>
  </si>
  <si>
    <t>Number hired</t>
  </si>
  <si>
    <t>Number laid off</t>
  </si>
  <si>
    <t>Workforce:</t>
  </si>
  <si>
    <t>Hours of overtime</t>
  </si>
  <si>
    <t>Hiring cost</t>
  </si>
  <si>
    <t>Layoff cost</t>
  </si>
  <si>
    <t>Regular labor cost</t>
  </si>
  <si>
    <t>Overtime cost</t>
  </si>
  <si>
    <t>Labor hours:</t>
  </si>
  <si>
    <t>Coefficients</t>
  </si>
  <si>
    <t>Available</t>
  </si>
  <si>
    <t>hours per employee, per quarter</t>
  </si>
  <si>
    <t>Required</t>
  </si>
  <si>
    <t>hours of labor, per unit</t>
  </si>
  <si>
    <t>OT Max</t>
  </si>
  <si>
    <t>Suppose the number of workers drops to 13 at the end of 2015. What is the new optimal cost?</t>
  </si>
  <si>
    <t>Suppose the demand in Quarter 1 turned out to be 6,000. What is the new optimal cost?</t>
  </si>
  <si>
    <t>Consider the optimal solution. What is the unit cost of production and inventory incurred over the year?</t>
  </si>
  <si>
    <t>Consider the optimal solution. What is the unit cost of labor incurred over the year? Include all labor-related costs.</t>
  </si>
  <si>
    <t>Assuming a selling price of $100 per unit, what is the profit per unit with the optimal plan (i.e. revenue minus all incurred costs)?</t>
  </si>
  <si>
    <t>What is the new optimal cost?</t>
  </si>
  <si>
    <t>Suppose the inventory cost was underestimated. Recalculation resulted in a cost of $16 instead of $6. (This is the cost of carrying one unit for one quarter.) Find the new optimal solution.</t>
  </si>
  <si>
    <t>How much inventory is carried at the end of Quarter 3?</t>
  </si>
  <si>
    <t>a</t>
  </si>
  <si>
    <t>b</t>
  </si>
  <si>
    <t>Suppose union rules prevent the laying off of more than %20 of the workforce at each quarter. Find the new optimal solution.</t>
  </si>
  <si>
    <t>How many workers are laid off at the beginning or Quarter 2?</t>
  </si>
  <si>
    <t>Suppose you wish to limit overtime per quarter to %25 of the regular hours available (i.e. no more than 2 hours per day). Find the new optimal solution.</t>
  </si>
  <si>
    <t>What is the overtime in Quarter 4?</t>
  </si>
  <si>
    <t>What is the production in Quarter 4?</t>
  </si>
  <si>
    <t>Suppose you can invest in a new technology that will reduce the labor needed for one unit from 1.5 hours to 1.2 hours. Find the new optimal solution.</t>
  </si>
  <si>
    <t>HR reports that the cost of overtime is not $23 as previously calculated but $33. Find the new optimal solution.</t>
  </si>
  <si>
    <t xml:space="preserve"> By how much does the optimal cost go up?</t>
  </si>
  <si>
    <t>How much does this new technology save in one year? (Enter a positive number since we are asking for savings.)</t>
  </si>
  <si>
    <t>The management is wondering about the cost of the safety stock. How much can be saved if the lower bound of 500 on end-of-quarter inventory were to be lifted? (Enter a positive number since we are asking for savings.)</t>
  </si>
  <si>
    <t xml:space="preserve">Suppose the marketing department believes they can increase demand by 20% in each quarter through a digital campaign. </t>
  </si>
  <si>
    <t>What is the maximum the company should be willing to pay for this campaign if all output can be sold at $100 per unit? (In other words, what is the increase in profits due to this campaign?)</t>
  </si>
  <si>
    <t>The sheet MW_Opt contains the optimal (integer) solution to the Mountain Wear aggregate planning problem (including the constraints on the OT allowed).  Solve the first 3 problems based on this sheet.  The remaining problems are independent from one another. In other words, changes made in one problem do not apply to others. We provided a separate sheet for Problems 4-13 for convenience.</t>
  </si>
  <si>
    <t>What is the average workforce in Year 2? (Note: all hiring/firing occurs at the beginning of the quarters)</t>
  </si>
  <si>
    <t>What is the total overtime hours in Year 2?</t>
  </si>
  <si>
    <t>Now suppose you wish to plan for the next TWO years. The marketing department predicts that demand in Year 2 would follow the same seasonality pattern, but the demand in each quarter would be 10% higher than the demand in the corresponding quarter of Year 1. Find the new optimal solution (for 2 years).</t>
  </si>
  <si>
    <t>Inventory</t>
  </si>
  <si>
    <t>Units</t>
  </si>
  <si>
    <t>Total</t>
  </si>
  <si>
    <t>Cost</t>
  </si>
  <si>
    <t>Produced</t>
  </si>
  <si>
    <t>Unit Cost</t>
  </si>
  <si>
    <t>Total Labor Cost</t>
  </si>
  <si>
    <t>Profit</t>
  </si>
  <si>
    <t>Sell Price</t>
  </si>
  <si>
    <t>Revenue</t>
  </si>
  <si>
    <t>Profit/Unit</t>
  </si>
  <si>
    <t>More than 20% of workforce cannot be laid off</t>
  </si>
  <si>
    <t>#laid off cant surpass 0.2*Beg. Quarter workforce</t>
  </si>
  <si>
    <t>Layoff Limit</t>
  </si>
  <si>
    <t>OT Max is 25% of hours</t>
  </si>
  <si>
    <t>Change inventory cost to $16/unit</t>
  </si>
  <si>
    <t>Labor Needed per unit = 1.2</t>
  </si>
  <si>
    <t>OG Cost</t>
  </si>
  <si>
    <t>New Cost</t>
  </si>
  <si>
    <t>OT Cost = $33</t>
  </si>
  <si>
    <t>Old Cost</t>
  </si>
  <si>
    <t>Difference</t>
  </si>
  <si>
    <t>Remove Safety stock</t>
  </si>
  <si>
    <t>Money Saved</t>
  </si>
  <si>
    <t>Start year 2016 with 13 employees</t>
  </si>
  <si>
    <t>Demand increases 20%</t>
  </si>
  <si>
    <t>Old Profit</t>
  </si>
  <si>
    <t>Profit Increase</t>
  </si>
  <si>
    <t>Q1 demand is actually 6000</t>
  </si>
  <si>
    <t>Total OT Yr2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</si>
</sst>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0.000"/>
    <numFmt numFmtId="166" formatCode="_(* #,##0_);_(* \(#,##0\);_(* &quot;-&quot;??_);_(@_)"/>
    <numFmt numFmtId="167" formatCode="_(* #,##0.0_);_(* \(#,##0.0\);_(* &quot;-&quot;??_);_(@_)"/>
    <numFmt numFmtId="168" formatCode="&quot;$&quot;#,##0.000_);[Red]\(&quot;$&quot;#,##0.000\)"/>
    <numFmt numFmtId="169" formatCode="&quot;$&quot;#,##0.00"/>
    <numFmt numFmtId="170" formatCode="&quot;$&quot;#,##0"/>
    <numFmt numFmtId="173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Arial"/>
      <family val="2"/>
    </font>
    <font>
      <b/>
      <sz val="10"/>
      <color indexed="17"/>
      <name val="Arial"/>
      <family val="2"/>
    </font>
    <font>
      <sz val="10"/>
      <color theme="0" tint="-0.3499862666707357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1" fillId="0" borderId="0" xfId="1"/>
    <xf numFmtId="0" fontId="5" fillId="0" borderId="0" xfId="1" applyFont="1" applyAlignment="1">
      <alignment horizontal="center" vertical="center"/>
    </xf>
    <xf numFmtId="0" fontId="6" fillId="3" borderId="2" xfId="1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0" fillId="0" borderId="0" xfId="0" applyFont="1"/>
    <xf numFmtId="2" fontId="4" fillId="0" borderId="2" xfId="1" applyNumberFormat="1" applyFont="1" applyFill="1" applyBorder="1" applyAlignment="1" applyProtection="1">
      <alignment horizontal="center" vertical="center"/>
      <protection locked="0"/>
    </xf>
    <xf numFmtId="0" fontId="6" fillId="3" borderId="2" xfId="1" applyFont="1" applyFill="1" applyBorder="1" applyAlignment="1">
      <alignment horizontal="right" vertical="center" wrapText="1"/>
    </xf>
    <xf numFmtId="0" fontId="4" fillId="0" borderId="2" xfId="1" applyFont="1" applyFill="1" applyBorder="1" applyAlignment="1" applyProtection="1">
      <alignment horizontal="center" vertical="center"/>
    </xf>
    <xf numFmtId="0" fontId="6" fillId="5" borderId="2" xfId="1" applyFont="1" applyFill="1" applyBorder="1" applyAlignment="1">
      <alignment horizontal="left" vertical="center" wrapText="1"/>
    </xf>
    <xf numFmtId="165" fontId="4" fillId="0" borderId="2" xfId="1" applyNumberFormat="1" applyFont="1" applyFill="1" applyBorder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</xf>
    <xf numFmtId="2" fontId="4" fillId="0" borderId="0" xfId="1" applyNumberFormat="1" applyFont="1" applyFill="1" applyBorder="1" applyAlignment="1" applyProtection="1">
      <alignment horizontal="center" vertical="center"/>
      <protection locked="0"/>
    </xf>
    <xf numFmtId="165" fontId="4" fillId="0" borderId="0" xfId="1" applyNumberFormat="1" applyFont="1" applyFill="1" applyBorder="1" applyAlignment="1" applyProtection="1">
      <alignment horizontal="center" vertical="center"/>
    </xf>
    <xf numFmtId="0" fontId="8" fillId="0" borderId="0" xfId="0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165" fontId="4" fillId="0" borderId="0" xfId="1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Font="1" applyFill="1" applyBorder="1" applyAlignment="1">
      <alignment horizontal="center"/>
    </xf>
    <xf numFmtId="0" fontId="12" fillId="0" borderId="0" xfId="1" applyFont="1" applyAlignment="1">
      <alignment horizontal="center" vertical="center"/>
    </xf>
    <xf numFmtId="0" fontId="14" fillId="0" borderId="0" xfId="1" applyFont="1"/>
    <xf numFmtId="0" fontId="1" fillId="7" borderId="0" xfId="1" applyFill="1"/>
    <xf numFmtId="6" fontId="1" fillId="8" borderId="0" xfId="1" applyNumberFormat="1" applyFill="1"/>
    <xf numFmtId="0" fontId="15" fillId="0" borderId="0" xfId="1" applyFont="1"/>
    <xf numFmtId="6" fontId="1" fillId="0" borderId="0" xfId="1" applyNumberFormat="1"/>
    <xf numFmtId="6" fontId="14" fillId="0" borderId="0" xfId="1" applyNumberFormat="1" applyFont="1"/>
    <xf numFmtId="0" fontId="1" fillId="0" borderId="0" xfId="1" applyFill="1"/>
    <xf numFmtId="6" fontId="1" fillId="0" borderId="0" xfId="1" applyNumberFormat="1" applyFill="1"/>
    <xf numFmtId="166" fontId="1" fillId="0" borderId="0" xfId="3" applyNumberFormat="1"/>
    <xf numFmtId="166" fontId="14" fillId="0" borderId="0" xfId="3" applyNumberFormat="1" applyFont="1"/>
    <xf numFmtId="0" fontId="1" fillId="0" borderId="0" xfId="1" applyAlignment="1"/>
    <xf numFmtId="167" fontId="14" fillId="0" borderId="0" xfId="3" applyNumberFormat="1" applyFont="1"/>
    <xf numFmtId="0" fontId="1" fillId="0" borderId="0" xfId="1" applyFont="1"/>
    <xf numFmtId="166" fontId="1" fillId="0" borderId="0" xfId="1" applyNumberFormat="1"/>
    <xf numFmtId="169" fontId="4" fillId="4" borderId="2" xfId="1" applyNumberFormat="1" applyFont="1" applyFill="1" applyBorder="1" applyAlignment="1" applyProtection="1">
      <alignment horizontal="center" vertical="center"/>
      <protection locked="0"/>
    </xf>
    <xf numFmtId="2" fontId="0" fillId="0" borderId="2" xfId="0" applyNumberFormat="1" applyFont="1" applyFill="1" applyBorder="1" applyAlignment="1">
      <alignment horizontal="center"/>
    </xf>
    <xf numFmtId="0" fontId="12" fillId="0" borderId="0" xfId="1" applyFont="1" applyAlignment="1">
      <alignment horizontal="right" vertical="center"/>
    </xf>
    <xf numFmtId="170" fontId="4" fillId="4" borderId="2" xfId="1" applyNumberFormat="1" applyFont="1" applyFill="1" applyBorder="1" applyAlignment="1" applyProtection="1">
      <alignment horizontal="center" vertical="center"/>
      <protection locked="0"/>
    </xf>
    <xf numFmtId="165" fontId="4" fillId="0" borderId="2" xfId="1" applyNumberFormat="1" applyFont="1" applyFill="1" applyBorder="1" applyAlignment="1" applyProtection="1">
      <alignment horizontal="center" vertical="center"/>
      <protection locked="0"/>
    </xf>
    <xf numFmtId="1" fontId="4" fillId="4" borderId="2" xfId="1" applyNumberFormat="1" applyFont="1" applyFill="1" applyBorder="1" applyAlignment="1" applyProtection="1">
      <alignment horizontal="center" vertical="center"/>
      <protection locked="0"/>
    </xf>
    <xf numFmtId="1" fontId="0" fillId="4" borderId="2" xfId="0" applyNumberFormat="1" applyFont="1" applyFill="1" applyBorder="1" applyAlignment="1">
      <alignment horizontal="center"/>
    </xf>
    <xf numFmtId="4" fontId="4" fillId="4" borderId="2" xfId="1" applyNumberFormat="1" applyFont="1" applyFill="1" applyBorder="1" applyAlignment="1" applyProtection="1">
      <alignment horizontal="center" vertical="center"/>
      <protection locked="0"/>
    </xf>
    <xf numFmtId="3" fontId="4" fillId="4" borderId="2" xfId="1" applyNumberFormat="1" applyFont="1" applyFill="1" applyBorder="1" applyAlignment="1" applyProtection="1">
      <alignment horizontal="center" vertical="center"/>
      <protection locked="0"/>
    </xf>
    <xf numFmtId="170" fontId="4" fillId="0" borderId="2" xfId="1" applyNumberFormat="1" applyFont="1" applyFill="1" applyBorder="1" applyAlignment="1" applyProtection="1">
      <alignment horizontal="center" vertical="center"/>
      <protection locked="0"/>
    </xf>
    <xf numFmtId="168" fontId="1" fillId="0" borderId="0" xfId="1" applyNumberFormat="1" applyFill="1"/>
    <xf numFmtId="8" fontId="1" fillId="0" borderId="0" xfId="1" applyNumberFormat="1" applyFill="1"/>
    <xf numFmtId="0" fontId="13" fillId="6" borderId="0" xfId="1" applyFont="1" applyFill="1" applyAlignment="1">
      <alignment horizontal="center"/>
    </xf>
    <xf numFmtId="0" fontId="1" fillId="0" borderId="0" xfId="1" applyAlignment="1">
      <alignment horizontal="center"/>
    </xf>
    <xf numFmtId="44" fontId="1" fillId="0" borderId="0" xfId="4" applyFont="1"/>
    <xf numFmtId="6" fontId="1" fillId="0" borderId="0" xfId="4" applyNumberFormat="1" applyFont="1"/>
    <xf numFmtId="8" fontId="1" fillId="0" borderId="0" xfId="1" applyNumberFormat="1"/>
    <xf numFmtId="173" fontId="1" fillId="0" borderId="0" xfId="4" applyNumberFormat="1" applyFont="1"/>
    <xf numFmtId="173" fontId="1" fillId="0" borderId="0" xfId="1" applyNumberFormat="1"/>
    <xf numFmtId="44" fontId="1" fillId="0" borderId="0" xfId="1" applyNumberFormat="1"/>
    <xf numFmtId="44" fontId="1" fillId="0" borderId="0" xfId="1" applyNumberFormat="1" applyFill="1"/>
  </cellXfs>
  <cellStyles count="5">
    <cellStyle name="Comma 2" xfId="3" xr:uid="{00000000-0005-0000-0000-000000000000}"/>
    <cellStyle name="Currency" xfId="4" builtinId="4"/>
    <cellStyle name="Currency 2" xfId="2" xr:uid="{00000000-0005-0000-0000-000001000000}"/>
    <cellStyle name="Normal" xfId="0" builtinId="0"/>
    <cellStyle name="Normal 2" xfId="1" xr:uid="{00000000-0005-0000-0000-000003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Lines="40" dropStyle="combo" dx="20" fmlaLink="$AC$1" fmlaRange="$AB$1:$AB$135" noThreeD="1" sel="98" val="75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53340</xdr:rowOff>
    </xdr:from>
    <xdr:to>
      <xdr:col>4</xdr:col>
      <xdr:colOff>213360</xdr:colOff>
      <xdr:row>4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720" y="449580"/>
          <a:ext cx="5935980" cy="59436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Select your USERNAME from the dropdown menu above. </a:t>
          </a:r>
          <a:br>
            <a:rPr lang="en-US" sz="1600" b="1">
              <a:solidFill>
                <a:srgbClr val="FF0000"/>
              </a:solidFill>
            </a:rPr>
          </a:br>
          <a:r>
            <a:rPr lang="en-US" sz="1600" b="1">
              <a:solidFill>
                <a:srgbClr val="FF0000"/>
              </a:solidFill>
            </a:rPr>
            <a:t>Use</a:t>
          </a:r>
          <a:r>
            <a:rPr lang="en-US" sz="1600" b="1" baseline="0">
              <a:solidFill>
                <a:srgbClr val="FF0000"/>
              </a:solidFill>
            </a:rPr>
            <a:t> the Arrow keys or Page Up/Page Down keys to find your name.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45720</xdr:colOff>
      <xdr:row>5</xdr:row>
      <xdr:rowOff>38100</xdr:rowOff>
    </xdr:from>
    <xdr:to>
      <xdr:col>4</xdr:col>
      <xdr:colOff>213360</xdr:colOff>
      <xdr:row>21</xdr:row>
      <xdr:rowOff>160020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5720" y="1165860"/>
          <a:ext cx="5935980" cy="3048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 (IMPORTANT - Please Read!)</a:t>
          </a:r>
        </a:p>
        <a:p>
          <a:pPr rtl="0"/>
          <a:endParaRPr lang="en-US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Select your Username from the dropdown menu above.</a:t>
          </a: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Enter all answers to questions on the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'Questions'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sheet. Submit your own workbook that you downloaded yourself while logged into the Course Web. </a:t>
          </a:r>
          <a:endParaRPr lang="en-US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You can use the Questions sheet for your calculations.  However, make sure you enter your answers into the designated cells (yellow cells).  </a:t>
          </a:r>
          <a:endParaRPr lang="en-US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This homework must be submitted online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before midnight on Tuesday, October 13, 2020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Late submissions will not be accepted.  </a:t>
          </a:r>
          <a:endParaRPr lang="en-US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 Since you will be using Formulas in Excel, the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BEST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way to enter an answer into an Answer Cell is to Copy the cell containing the answer, then click inside the answer cell and choose 'Paste-Special' 'Values.' This will ensure that we receive your </a:t>
          </a:r>
          <a:r>
            <a:rPr lang="en-US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exact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answer and not a </a:t>
          </a:r>
          <a:r>
            <a:rPr lang="en-US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rounded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answer. (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credit will be given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improperly formatted answers or rounded answers.) Alternately you can use cell references in your answers.  However, </a:t>
          </a:r>
          <a:r>
            <a:rPr lang="en-US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avoid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'typing' numerical answers into cell, as you may make mistakes. </a:t>
          </a:r>
        </a:p>
        <a:p>
          <a:pPr rtl="0"/>
          <a:r>
            <a:rPr lang="en-US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6. The "Questions" sheet is not locked.  Please do not add rows/columns or move the answer cells on this sheet.</a:t>
          </a:r>
          <a:endParaRPr lang="en-US" b="1">
            <a:solidFill>
              <a:srgbClr val="C00000"/>
            </a:solidFill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0</xdr:row>
          <xdr:rowOff>30480</xdr:rowOff>
        </xdr:from>
        <xdr:to>
          <xdr:col>2</xdr:col>
          <xdr:colOff>2979420</xdr:colOff>
          <xdr:row>0</xdr:row>
          <xdr:rowOff>358140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</xdr:colOff>
      <xdr:row>0</xdr:row>
      <xdr:rowOff>1</xdr:rowOff>
    </xdr:from>
    <xdr:to>
      <xdr:col>11</xdr:col>
      <xdr:colOff>476249</xdr:colOff>
      <xdr:row>10</xdr:row>
      <xdr:rowOff>0</xdr:rowOff>
    </xdr:to>
    <xdr:sp macro="" textlink="">
      <xdr:nvSpPr>
        <xdr:cNvPr id="2" name="TextBox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920291" y="1"/>
          <a:ext cx="2503618" cy="1706879"/>
        </a:xfrm>
        <a:prstGeom prst="rect">
          <a:avLst/>
        </a:prstGeom>
        <a:solidFill>
          <a:srgbClr val="FFC000"/>
        </a:solidFill>
      </xdr:spPr>
      <xdr:txBody>
        <a:bodyPr wrap="square" rtlCol="0">
          <a:noAutofit/>
        </a:bodyPr>
        <a:lstStyle>
          <a:defPPr>
            <a:defRPr lang="en-CA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r>
            <a:rPr lang="en-US" sz="1100"/>
            <a:t>Minimize total cost, </a:t>
          </a:r>
        </a:p>
        <a:p>
          <a:r>
            <a:rPr lang="en-US" sz="1100"/>
            <a:t>by changing units produced, </a:t>
          </a:r>
          <a:br>
            <a:rPr lang="en-US" sz="1100"/>
          </a:br>
          <a:r>
            <a:rPr lang="en-US" sz="1100"/>
            <a:t>number hired, </a:t>
          </a:r>
          <a:br>
            <a:rPr lang="en-US" sz="1100"/>
          </a:br>
          <a:r>
            <a:rPr lang="en-US" sz="1100"/>
            <a:t>number laid off, </a:t>
          </a:r>
          <a:br>
            <a:rPr lang="en-US" sz="1100"/>
          </a:br>
          <a:r>
            <a:rPr lang="en-US" sz="1100"/>
            <a:t>hours of overtime.</a:t>
          </a:r>
        </a:p>
        <a:p>
          <a:r>
            <a:rPr lang="en-US" sz="1100"/>
            <a:t>Constraints: </a:t>
          </a:r>
          <a:br>
            <a:rPr lang="en-US" sz="1100"/>
          </a:br>
          <a:r>
            <a:rPr lang="en-US" sz="1100"/>
            <a:t>End-of-quarter &gt;= 500</a:t>
          </a:r>
        </a:p>
        <a:p>
          <a:r>
            <a:rPr lang="en-US" sz="1100"/>
            <a:t>Available</a:t>
          </a:r>
          <a:r>
            <a:rPr lang="en-US" sz="1100" baseline="0"/>
            <a:t> &gt;=</a:t>
          </a:r>
          <a:r>
            <a:rPr lang="en-US" sz="1100"/>
            <a:t> Required</a:t>
          </a:r>
        </a:p>
        <a:p>
          <a:r>
            <a:rPr lang="en-US" sz="1100"/>
            <a:t>Number hired and laid off: integer</a:t>
          </a:r>
        </a:p>
        <a:p>
          <a:r>
            <a:rPr lang="en-US" sz="1100"/>
            <a:t>OT &lt;= Max</a:t>
          </a:r>
          <a:r>
            <a:rPr lang="en-US" sz="1100" baseline="0"/>
            <a:t> OT allowed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6"/>
  <sheetViews>
    <sheetView topLeftCell="A4" workbookViewId="0">
      <selection activeCell="F12" sqref="F12"/>
    </sheetView>
  </sheetViews>
  <sheetFormatPr defaultRowHeight="13.8" x14ac:dyDescent="0.3"/>
  <cols>
    <col min="1" max="1" width="5.44140625" style="5" customWidth="1"/>
    <col min="2" max="2" width="17.77734375" style="3" customWidth="1"/>
    <col min="3" max="3" width="44.109375" style="2" customWidth="1"/>
    <col min="4" max="4" width="16.77734375" style="2" customWidth="1"/>
    <col min="5" max="26" width="8.88671875" style="2"/>
    <col min="27" max="27" width="8.88671875" style="2" hidden="1" customWidth="1"/>
    <col min="28" max="28" width="20" style="2" hidden="1" customWidth="1"/>
    <col min="29" max="29" width="8.88671875" style="2" hidden="1" customWidth="1"/>
    <col min="30" max="16384" width="8.88671875" style="2"/>
  </cols>
  <sheetData>
    <row r="1" spans="2:29" ht="31.2" customHeight="1" thickBot="1" x14ac:dyDescent="0.35">
      <c r="B1" s="1" t="s">
        <v>0</v>
      </c>
      <c r="C1" s="9" t="str">
        <f>VLOOKUP(AC1,AA1:AB135,2,FALSE)</f>
        <v>neilj9530</v>
      </c>
      <c r="AA1" s="10">
        <v>1</v>
      </c>
      <c r="AB1" s="10" t="s">
        <v>135</v>
      </c>
      <c r="AC1" s="11">
        <v>98</v>
      </c>
    </row>
    <row r="2" spans="2:29" ht="14.4" x14ac:dyDescent="0.3">
      <c r="AA2" s="10">
        <v>2</v>
      </c>
      <c r="AB2" s="12" t="s">
        <v>1</v>
      </c>
      <c r="AC2" s="10"/>
    </row>
    <row r="3" spans="2:29" ht="14.4" x14ac:dyDescent="0.3">
      <c r="AA3" s="10">
        <v>3</v>
      </c>
      <c r="AB3" s="12" t="s">
        <v>2</v>
      </c>
      <c r="AC3" s="10"/>
    </row>
    <row r="4" spans="2:29" ht="14.4" x14ac:dyDescent="0.3">
      <c r="AA4" s="10">
        <v>4</v>
      </c>
      <c r="AB4" s="12" t="s">
        <v>3</v>
      </c>
      <c r="AC4" s="10"/>
    </row>
    <row r="5" spans="2:29" ht="14.4" x14ac:dyDescent="0.3">
      <c r="AA5" s="10">
        <v>5</v>
      </c>
      <c r="AB5" s="12" t="s">
        <v>4</v>
      </c>
      <c r="AC5" s="10"/>
    </row>
    <row r="6" spans="2:29" ht="14.4" x14ac:dyDescent="0.3">
      <c r="AA6" s="10">
        <v>6</v>
      </c>
      <c r="AB6" s="12" t="s">
        <v>5</v>
      </c>
      <c r="AC6" s="10"/>
    </row>
    <row r="7" spans="2:29" ht="14.4" x14ac:dyDescent="0.3">
      <c r="AA7" s="10">
        <v>7</v>
      </c>
      <c r="AB7" s="12" t="s">
        <v>6</v>
      </c>
      <c r="AC7" s="10"/>
    </row>
    <row r="8" spans="2:29" ht="14.4" x14ac:dyDescent="0.3">
      <c r="AA8" s="10">
        <v>8</v>
      </c>
      <c r="AB8" s="12" t="s">
        <v>7</v>
      </c>
      <c r="AC8" s="10"/>
    </row>
    <row r="9" spans="2:29" ht="14.4" x14ac:dyDescent="0.3">
      <c r="AA9" s="10">
        <v>9</v>
      </c>
      <c r="AB9" s="12" t="s">
        <v>8</v>
      </c>
      <c r="AC9" s="10"/>
    </row>
    <row r="10" spans="2:29" ht="14.4" x14ac:dyDescent="0.3">
      <c r="AA10" s="10">
        <v>10</v>
      </c>
      <c r="AB10" s="12" t="s">
        <v>9</v>
      </c>
      <c r="AC10" s="10"/>
    </row>
    <row r="11" spans="2:29" ht="14.4" x14ac:dyDescent="0.3">
      <c r="AA11" s="10">
        <v>11</v>
      </c>
      <c r="AB11" s="12" t="s">
        <v>10</v>
      </c>
      <c r="AC11" s="10"/>
    </row>
    <row r="12" spans="2:29" ht="14.4" x14ac:dyDescent="0.3">
      <c r="AA12" s="10">
        <v>12</v>
      </c>
      <c r="AB12" s="12" t="s">
        <v>11</v>
      </c>
      <c r="AC12" s="10"/>
    </row>
    <row r="13" spans="2:29" ht="14.4" x14ac:dyDescent="0.3">
      <c r="AA13" s="10">
        <v>13</v>
      </c>
      <c r="AB13" s="12" t="s">
        <v>12</v>
      </c>
      <c r="AC13" s="10"/>
    </row>
    <row r="14" spans="2:29" ht="14.4" x14ac:dyDescent="0.3">
      <c r="AA14" s="10">
        <v>14</v>
      </c>
      <c r="AB14" s="12" t="s">
        <v>13</v>
      </c>
      <c r="AC14" s="10"/>
    </row>
    <row r="15" spans="2:29" ht="14.4" x14ac:dyDescent="0.3">
      <c r="AA15" s="10">
        <v>15</v>
      </c>
      <c r="AB15" s="12" t="s">
        <v>14</v>
      </c>
      <c r="AC15" s="10"/>
    </row>
    <row r="16" spans="2:29" ht="14.4" x14ac:dyDescent="0.3">
      <c r="AA16" s="10">
        <v>16</v>
      </c>
      <c r="AB16" s="12" t="s">
        <v>15</v>
      </c>
      <c r="AC16" s="10"/>
    </row>
    <row r="17" spans="27:29" ht="14.4" x14ac:dyDescent="0.3">
      <c r="AA17" s="10">
        <v>17</v>
      </c>
      <c r="AB17" s="12" t="s">
        <v>127</v>
      </c>
      <c r="AC17" s="10"/>
    </row>
    <row r="18" spans="27:29" ht="14.4" x14ac:dyDescent="0.3">
      <c r="AA18" s="10">
        <v>18</v>
      </c>
      <c r="AB18" s="12" t="s">
        <v>16</v>
      </c>
      <c r="AC18" s="10"/>
    </row>
    <row r="19" spans="27:29" ht="14.4" x14ac:dyDescent="0.3">
      <c r="AA19" s="10">
        <v>19</v>
      </c>
      <c r="AB19" s="12" t="s">
        <v>128</v>
      </c>
      <c r="AC19" s="10"/>
    </row>
    <row r="20" spans="27:29" ht="14.4" x14ac:dyDescent="0.3">
      <c r="AA20" s="10">
        <v>20</v>
      </c>
      <c r="AB20" s="12" t="s">
        <v>17</v>
      </c>
      <c r="AC20" s="10"/>
    </row>
    <row r="21" spans="27:29" ht="14.4" x14ac:dyDescent="0.3">
      <c r="AA21" s="10">
        <v>21</v>
      </c>
      <c r="AB21" s="12" t="s">
        <v>129</v>
      </c>
      <c r="AC21" s="10"/>
    </row>
    <row r="22" spans="27:29" ht="14.4" x14ac:dyDescent="0.3">
      <c r="AA22" s="10">
        <v>22</v>
      </c>
      <c r="AB22" s="12" t="s">
        <v>18</v>
      </c>
      <c r="AC22" s="10"/>
    </row>
    <row r="23" spans="27:29" ht="14.4" x14ac:dyDescent="0.3">
      <c r="AA23" s="10">
        <v>23</v>
      </c>
      <c r="AB23" s="12" t="s">
        <v>19</v>
      </c>
      <c r="AC23" s="10"/>
    </row>
    <row r="24" spans="27:29" ht="14.4" x14ac:dyDescent="0.3">
      <c r="AA24" s="10">
        <v>24</v>
      </c>
      <c r="AB24" s="12" t="s">
        <v>20</v>
      </c>
      <c r="AC24" s="10"/>
    </row>
    <row r="25" spans="27:29" ht="14.4" x14ac:dyDescent="0.3">
      <c r="AA25" s="10">
        <v>25</v>
      </c>
      <c r="AB25" s="12" t="s">
        <v>21</v>
      </c>
      <c r="AC25" s="10"/>
    </row>
    <row r="26" spans="27:29" ht="14.4" x14ac:dyDescent="0.3">
      <c r="AA26" s="10">
        <v>26</v>
      </c>
      <c r="AB26" s="12" t="s">
        <v>22</v>
      </c>
      <c r="AC26" s="10"/>
    </row>
    <row r="27" spans="27:29" ht="14.4" x14ac:dyDescent="0.3">
      <c r="AA27" s="10">
        <v>27</v>
      </c>
      <c r="AB27" s="12" t="s">
        <v>23</v>
      </c>
      <c r="AC27" s="10"/>
    </row>
    <row r="28" spans="27:29" ht="14.4" x14ac:dyDescent="0.3">
      <c r="AA28" s="10">
        <v>28</v>
      </c>
      <c r="AB28" s="12" t="s">
        <v>24</v>
      </c>
      <c r="AC28" s="10"/>
    </row>
    <row r="29" spans="27:29" ht="14.4" x14ac:dyDescent="0.3">
      <c r="AA29" s="10">
        <v>29</v>
      </c>
      <c r="AB29" s="12" t="s">
        <v>25</v>
      </c>
      <c r="AC29" s="10"/>
    </row>
    <row r="30" spans="27:29" ht="14.4" x14ac:dyDescent="0.3">
      <c r="AA30" s="10">
        <v>30</v>
      </c>
      <c r="AB30" s="12" t="s">
        <v>26</v>
      </c>
      <c r="AC30" s="10"/>
    </row>
    <row r="31" spans="27:29" ht="14.4" x14ac:dyDescent="0.3">
      <c r="AA31" s="10">
        <v>31</v>
      </c>
      <c r="AB31" s="12" t="s">
        <v>27</v>
      </c>
      <c r="AC31" s="10"/>
    </row>
    <row r="32" spans="27:29" ht="14.4" x14ac:dyDescent="0.3">
      <c r="AA32" s="10">
        <v>32</v>
      </c>
      <c r="AB32" s="12" t="s">
        <v>28</v>
      </c>
      <c r="AC32" s="10"/>
    </row>
    <row r="33" spans="27:29" ht="14.4" x14ac:dyDescent="0.3">
      <c r="AA33" s="10">
        <v>33</v>
      </c>
      <c r="AB33" s="12" t="s">
        <v>29</v>
      </c>
      <c r="AC33" s="10"/>
    </row>
    <row r="34" spans="27:29" ht="14.4" x14ac:dyDescent="0.3">
      <c r="AA34" s="10">
        <v>34</v>
      </c>
      <c r="AB34" s="12" t="s">
        <v>30</v>
      </c>
      <c r="AC34" s="10"/>
    </row>
    <row r="35" spans="27:29" ht="14.4" x14ac:dyDescent="0.3">
      <c r="AA35" s="10">
        <v>35</v>
      </c>
      <c r="AB35" s="12" t="s">
        <v>31</v>
      </c>
      <c r="AC35" s="10"/>
    </row>
    <row r="36" spans="27:29" ht="14.4" x14ac:dyDescent="0.3">
      <c r="AA36" s="10">
        <v>36</v>
      </c>
      <c r="AB36" s="12" t="s">
        <v>32</v>
      </c>
      <c r="AC36" s="10"/>
    </row>
    <row r="37" spans="27:29" ht="14.4" x14ac:dyDescent="0.3">
      <c r="AA37" s="10">
        <v>37</v>
      </c>
      <c r="AB37" s="12" t="s">
        <v>33</v>
      </c>
      <c r="AC37" s="10"/>
    </row>
    <row r="38" spans="27:29" ht="14.4" x14ac:dyDescent="0.3">
      <c r="AA38" s="10">
        <v>38</v>
      </c>
      <c r="AB38" s="12" t="s">
        <v>34</v>
      </c>
      <c r="AC38" s="10"/>
    </row>
    <row r="39" spans="27:29" ht="14.4" x14ac:dyDescent="0.3">
      <c r="AA39" s="10">
        <v>39</v>
      </c>
      <c r="AB39" s="12" t="s">
        <v>35</v>
      </c>
      <c r="AC39" s="10"/>
    </row>
    <row r="40" spans="27:29" ht="14.4" x14ac:dyDescent="0.3">
      <c r="AA40" s="10">
        <v>40</v>
      </c>
      <c r="AB40" s="12" t="s">
        <v>36</v>
      </c>
      <c r="AC40" s="10"/>
    </row>
    <row r="41" spans="27:29" ht="14.4" x14ac:dyDescent="0.3">
      <c r="AA41" s="10">
        <v>41</v>
      </c>
      <c r="AB41" s="12" t="s">
        <v>37</v>
      </c>
      <c r="AC41" s="10"/>
    </row>
    <row r="42" spans="27:29" ht="14.4" x14ac:dyDescent="0.3">
      <c r="AA42" s="10">
        <v>42</v>
      </c>
      <c r="AB42" s="12" t="s">
        <v>38</v>
      </c>
      <c r="AC42" s="10"/>
    </row>
    <row r="43" spans="27:29" ht="14.4" x14ac:dyDescent="0.3">
      <c r="AA43" s="10">
        <v>43</v>
      </c>
      <c r="AB43" s="12" t="s">
        <v>39</v>
      </c>
      <c r="AC43" s="10"/>
    </row>
    <row r="44" spans="27:29" ht="14.4" x14ac:dyDescent="0.3">
      <c r="AA44" s="10">
        <v>44</v>
      </c>
      <c r="AB44" s="12" t="s">
        <v>40</v>
      </c>
      <c r="AC44" s="10"/>
    </row>
    <row r="45" spans="27:29" ht="14.4" x14ac:dyDescent="0.3">
      <c r="AA45" s="10">
        <v>45</v>
      </c>
      <c r="AB45" s="12" t="s">
        <v>41</v>
      </c>
      <c r="AC45" s="10"/>
    </row>
    <row r="46" spans="27:29" ht="14.4" x14ac:dyDescent="0.3">
      <c r="AA46" s="10">
        <v>46</v>
      </c>
      <c r="AB46" s="12" t="s">
        <v>42</v>
      </c>
      <c r="AC46" s="10"/>
    </row>
    <row r="47" spans="27:29" ht="14.4" x14ac:dyDescent="0.3">
      <c r="AA47" s="10">
        <v>47</v>
      </c>
      <c r="AB47" s="12" t="s">
        <v>43</v>
      </c>
      <c r="AC47" s="10"/>
    </row>
    <row r="48" spans="27:29" ht="14.4" x14ac:dyDescent="0.3">
      <c r="AA48" s="10">
        <v>48</v>
      </c>
      <c r="AB48" s="12" t="s">
        <v>44</v>
      </c>
      <c r="AC48" s="10"/>
    </row>
    <row r="49" spans="27:29" ht="14.4" x14ac:dyDescent="0.3">
      <c r="AA49" s="10">
        <v>49</v>
      </c>
      <c r="AB49" s="12" t="s">
        <v>45</v>
      </c>
      <c r="AC49" s="10"/>
    </row>
    <row r="50" spans="27:29" ht="14.4" x14ac:dyDescent="0.3">
      <c r="AA50" s="10">
        <v>50</v>
      </c>
      <c r="AB50" s="12" t="s">
        <v>46</v>
      </c>
      <c r="AC50" s="10"/>
    </row>
    <row r="51" spans="27:29" ht="14.4" x14ac:dyDescent="0.3">
      <c r="AA51" s="10">
        <v>51</v>
      </c>
      <c r="AB51" s="12" t="s">
        <v>47</v>
      </c>
      <c r="AC51" s="10"/>
    </row>
    <row r="52" spans="27:29" ht="14.4" x14ac:dyDescent="0.3">
      <c r="AA52" s="10">
        <v>52</v>
      </c>
      <c r="AB52" s="12" t="s">
        <v>48</v>
      </c>
      <c r="AC52" s="10"/>
    </row>
    <row r="53" spans="27:29" ht="14.4" x14ac:dyDescent="0.3">
      <c r="AA53" s="10">
        <v>53</v>
      </c>
      <c r="AB53" s="12" t="s">
        <v>49</v>
      </c>
      <c r="AC53" s="10"/>
    </row>
    <row r="54" spans="27:29" ht="14.4" x14ac:dyDescent="0.3">
      <c r="AA54" s="10">
        <v>54</v>
      </c>
      <c r="AB54" s="12" t="s">
        <v>50</v>
      </c>
      <c r="AC54" s="10"/>
    </row>
    <row r="55" spans="27:29" ht="14.4" x14ac:dyDescent="0.3">
      <c r="AA55" s="10">
        <v>55</v>
      </c>
      <c r="AB55" s="12" t="s">
        <v>51</v>
      </c>
      <c r="AC55" s="10"/>
    </row>
    <row r="56" spans="27:29" ht="14.4" x14ac:dyDescent="0.3">
      <c r="AA56" s="10">
        <v>56</v>
      </c>
      <c r="AB56" s="12" t="s">
        <v>52</v>
      </c>
      <c r="AC56" s="10"/>
    </row>
    <row r="57" spans="27:29" ht="14.4" x14ac:dyDescent="0.3">
      <c r="AA57" s="10">
        <v>57</v>
      </c>
      <c r="AB57" s="12" t="s">
        <v>53</v>
      </c>
      <c r="AC57" s="10"/>
    </row>
    <row r="58" spans="27:29" ht="14.4" x14ac:dyDescent="0.3">
      <c r="AA58" s="10">
        <v>58</v>
      </c>
      <c r="AB58" s="12" t="s">
        <v>130</v>
      </c>
      <c r="AC58" s="10"/>
    </row>
    <row r="59" spans="27:29" ht="14.4" x14ac:dyDescent="0.3">
      <c r="AA59" s="10">
        <v>59</v>
      </c>
      <c r="AB59" s="12" t="s">
        <v>54</v>
      </c>
      <c r="AC59" s="10"/>
    </row>
    <row r="60" spans="27:29" ht="14.4" x14ac:dyDescent="0.3">
      <c r="AA60" s="10">
        <v>60</v>
      </c>
      <c r="AB60" s="12" t="s">
        <v>55</v>
      </c>
      <c r="AC60" s="10"/>
    </row>
    <row r="61" spans="27:29" ht="14.4" x14ac:dyDescent="0.3">
      <c r="AA61" s="10">
        <v>61</v>
      </c>
      <c r="AB61" s="12" t="s">
        <v>131</v>
      </c>
      <c r="AC61" s="10"/>
    </row>
    <row r="62" spans="27:29" ht="14.4" x14ac:dyDescent="0.3">
      <c r="AA62" s="10">
        <v>62</v>
      </c>
      <c r="AB62" s="12" t="s">
        <v>56</v>
      </c>
      <c r="AC62" s="10"/>
    </row>
    <row r="63" spans="27:29" ht="14.4" x14ac:dyDescent="0.3">
      <c r="AA63" s="10">
        <v>63</v>
      </c>
      <c r="AB63" s="12" t="s">
        <v>57</v>
      </c>
      <c r="AC63" s="10"/>
    </row>
    <row r="64" spans="27:29" ht="14.4" x14ac:dyDescent="0.3">
      <c r="AA64" s="10">
        <v>64</v>
      </c>
      <c r="AB64" s="12" t="s">
        <v>58</v>
      </c>
      <c r="AC64" s="10"/>
    </row>
    <row r="65" spans="27:29" ht="14.4" x14ac:dyDescent="0.3">
      <c r="AA65" s="10">
        <v>65</v>
      </c>
      <c r="AB65" s="12" t="s">
        <v>59</v>
      </c>
      <c r="AC65" s="10"/>
    </row>
    <row r="66" spans="27:29" ht="14.4" x14ac:dyDescent="0.3">
      <c r="AA66" s="10">
        <v>66</v>
      </c>
      <c r="AB66" s="12" t="s">
        <v>60</v>
      </c>
      <c r="AC66" s="10"/>
    </row>
    <row r="67" spans="27:29" ht="14.4" x14ac:dyDescent="0.3">
      <c r="AA67" s="10">
        <v>67</v>
      </c>
      <c r="AB67" s="12" t="s">
        <v>61</v>
      </c>
      <c r="AC67" s="10"/>
    </row>
    <row r="68" spans="27:29" ht="14.4" x14ac:dyDescent="0.3">
      <c r="AA68" s="10">
        <v>68</v>
      </c>
      <c r="AB68" s="12" t="s">
        <v>62</v>
      </c>
      <c r="AC68" s="10"/>
    </row>
    <row r="69" spans="27:29" ht="14.4" x14ac:dyDescent="0.3">
      <c r="AA69" s="10">
        <v>69</v>
      </c>
      <c r="AB69" s="12" t="s">
        <v>63</v>
      </c>
      <c r="AC69" s="10"/>
    </row>
    <row r="70" spans="27:29" ht="14.4" x14ac:dyDescent="0.3">
      <c r="AA70" s="10">
        <v>70</v>
      </c>
      <c r="AB70" s="12" t="s">
        <v>64</v>
      </c>
      <c r="AC70" s="10"/>
    </row>
    <row r="71" spans="27:29" ht="14.4" x14ac:dyDescent="0.3">
      <c r="AA71" s="10">
        <v>71</v>
      </c>
      <c r="AB71" s="12" t="s">
        <v>65</v>
      </c>
      <c r="AC71" s="10"/>
    </row>
    <row r="72" spans="27:29" ht="14.4" x14ac:dyDescent="0.3">
      <c r="AA72" s="10">
        <v>72</v>
      </c>
      <c r="AB72" s="12" t="s">
        <v>66</v>
      </c>
      <c r="AC72" s="10"/>
    </row>
    <row r="73" spans="27:29" ht="14.4" x14ac:dyDescent="0.3">
      <c r="AA73" s="10">
        <v>73</v>
      </c>
      <c r="AB73" s="12" t="s">
        <v>132</v>
      </c>
      <c r="AC73" s="10"/>
    </row>
    <row r="74" spans="27:29" ht="14.4" x14ac:dyDescent="0.3">
      <c r="AA74" s="10">
        <v>74</v>
      </c>
      <c r="AB74" s="12" t="s">
        <v>67</v>
      </c>
      <c r="AC74" s="10"/>
    </row>
    <row r="75" spans="27:29" ht="14.4" x14ac:dyDescent="0.3">
      <c r="AA75" s="10">
        <v>75</v>
      </c>
      <c r="AB75" s="12" t="s">
        <v>68</v>
      </c>
      <c r="AC75" s="10"/>
    </row>
    <row r="76" spans="27:29" ht="14.4" x14ac:dyDescent="0.3">
      <c r="AA76" s="10">
        <v>76</v>
      </c>
      <c r="AB76" s="12" t="s">
        <v>69</v>
      </c>
      <c r="AC76" s="10"/>
    </row>
    <row r="77" spans="27:29" ht="14.4" x14ac:dyDescent="0.3">
      <c r="AA77" s="10">
        <v>77</v>
      </c>
      <c r="AB77" s="12" t="s">
        <v>70</v>
      </c>
      <c r="AC77" s="10"/>
    </row>
    <row r="78" spans="27:29" ht="14.4" x14ac:dyDescent="0.3">
      <c r="AA78" s="10">
        <v>78</v>
      </c>
      <c r="AB78" s="12" t="s">
        <v>71</v>
      </c>
      <c r="AC78" s="10"/>
    </row>
    <row r="79" spans="27:29" ht="14.4" x14ac:dyDescent="0.3">
      <c r="AA79" s="10">
        <v>79</v>
      </c>
      <c r="AB79" s="12" t="s">
        <v>72</v>
      </c>
      <c r="AC79" s="10"/>
    </row>
    <row r="80" spans="27:29" ht="14.4" x14ac:dyDescent="0.3">
      <c r="AA80" s="10">
        <v>80</v>
      </c>
      <c r="AB80" s="12" t="s">
        <v>73</v>
      </c>
      <c r="AC80" s="10"/>
    </row>
    <row r="81" spans="27:29" ht="14.4" x14ac:dyDescent="0.3">
      <c r="AA81" s="10">
        <v>81</v>
      </c>
      <c r="AB81" s="12" t="s">
        <v>74</v>
      </c>
      <c r="AC81" s="10"/>
    </row>
    <row r="82" spans="27:29" ht="14.4" x14ac:dyDescent="0.3">
      <c r="AA82" s="10">
        <v>82</v>
      </c>
      <c r="AB82" s="12" t="s">
        <v>75</v>
      </c>
      <c r="AC82" s="10"/>
    </row>
    <row r="83" spans="27:29" ht="14.4" x14ac:dyDescent="0.3">
      <c r="AA83" s="10">
        <v>83</v>
      </c>
      <c r="AB83" s="12" t="s">
        <v>76</v>
      </c>
      <c r="AC83" s="10"/>
    </row>
    <row r="84" spans="27:29" ht="14.4" x14ac:dyDescent="0.3">
      <c r="AA84" s="10">
        <v>84</v>
      </c>
      <c r="AB84" s="12" t="s">
        <v>77</v>
      </c>
      <c r="AC84" s="10"/>
    </row>
    <row r="85" spans="27:29" ht="14.4" x14ac:dyDescent="0.3">
      <c r="AA85" s="10">
        <v>85</v>
      </c>
      <c r="AB85" s="12" t="s">
        <v>78</v>
      </c>
      <c r="AC85" s="10"/>
    </row>
    <row r="86" spans="27:29" ht="14.4" x14ac:dyDescent="0.3">
      <c r="AA86" s="10">
        <v>86</v>
      </c>
      <c r="AB86" s="12" t="s">
        <v>79</v>
      </c>
      <c r="AC86" s="10"/>
    </row>
    <row r="87" spans="27:29" ht="14.4" x14ac:dyDescent="0.3">
      <c r="AA87" s="10">
        <v>87</v>
      </c>
      <c r="AB87" s="12" t="s">
        <v>80</v>
      </c>
      <c r="AC87" s="10"/>
    </row>
    <row r="88" spans="27:29" ht="14.4" x14ac:dyDescent="0.3">
      <c r="AA88" s="10">
        <v>88</v>
      </c>
      <c r="AB88" s="12" t="s">
        <v>81</v>
      </c>
      <c r="AC88" s="10"/>
    </row>
    <row r="89" spans="27:29" ht="14.4" x14ac:dyDescent="0.3">
      <c r="AA89" s="10">
        <v>89</v>
      </c>
      <c r="AB89" s="12" t="s">
        <v>82</v>
      </c>
      <c r="AC89" s="10"/>
    </row>
    <row r="90" spans="27:29" ht="14.4" x14ac:dyDescent="0.3">
      <c r="AA90" s="10">
        <v>90</v>
      </c>
      <c r="AB90" s="12" t="s">
        <v>83</v>
      </c>
      <c r="AC90" s="10"/>
    </row>
    <row r="91" spans="27:29" ht="14.4" x14ac:dyDescent="0.3">
      <c r="AA91" s="10">
        <v>91</v>
      </c>
      <c r="AB91" s="12" t="s">
        <v>84</v>
      </c>
      <c r="AC91" s="10"/>
    </row>
    <row r="92" spans="27:29" ht="14.4" x14ac:dyDescent="0.3">
      <c r="AA92" s="10">
        <v>92</v>
      </c>
      <c r="AB92" s="12" t="s">
        <v>85</v>
      </c>
      <c r="AC92" s="10"/>
    </row>
    <row r="93" spans="27:29" ht="14.4" x14ac:dyDescent="0.3">
      <c r="AA93" s="10">
        <v>93</v>
      </c>
      <c r="AB93" s="12" t="s">
        <v>86</v>
      </c>
      <c r="AC93" s="10"/>
    </row>
    <row r="94" spans="27:29" ht="14.4" x14ac:dyDescent="0.3">
      <c r="AA94" s="10">
        <v>94</v>
      </c>
      <c r="AB94" s="12" t="s">
        <v>87</v>
      </c>
      <c r="AC94" s="10"/>
    </row>
    <row r="95" spans="27:29" ht="14.4" x14ac:dyDescent="0.3">
      <c r="AA95" s="10">
        <v>95</v>
      </c>
      <c r="AB95" s="12" t="s">
        <v>88</v>
      </c>
      <c r="AC95" s="10"/>
    </row>
    <row r="96" spans="27:29" ht="14.4" x14ac:dyDescent="0.3">
      <c r="AA96" s="10">
        <v>96</v>
      </c>
      <c r="AB96" s="12" t="s">
        <v>89</v>
      </c>
      <c r="AC96" s="10"/>
    </row>
    <row r="97" spans="27:29" ht="14.4" x14ac:dyDescent="0.3">
      <c r="AA97" s="10">
        <v>97</v>
      </c>
      <c r="AB97" s="12" t="s">
        <v>90</v>
      </c>
      <c r="AC97" s="10"/>
    </row>
    <row r="98" spans="27:29" ht="14.4" x14ac:dyDescent="0.3">
      <c r="AA98" s="10">
        <v>98</v>
      </c>
      <c r="AB98" s="12" t="s">
        <v>91</v>
      </c>
      <c r="AC98" s="10"/>
    </row>
    <row r="99" spans="27:29" ht="14.4" x14ac:dyDescent="0.3">
      <c r="AA99" s="10">
        <v>99</v>
      </c>
      <c r="AB99" s="12" t="s">
        <v>92</v>
      </c>
      <c r="AC99" s="10"/>
    </row>
    <row r="100" spans="27:29" ht="14.4" x14ac:dyDescent="0.3">
      <c r="AA100" s="10">
        <v>100</v>
      </c>
      <c r="AB100" s="12" t="s">
        <v>93</v>
      </c>
      <c r="AC100" s="10"/>
    </row>
    <row r="101" spans="27:29" ht="14.4" x14ac:dyDescent="0.3">
      <c r="AA101" s="10">
        <v>101</v>
      </c>
      <c r="AB101" s="12" t="s">
        <v>133</v>
      </c>
      <c r="AC101" s="10"/>
    </row>
    <row r="102" spans="27:29" ht="14.4" x14ac:dyDescent="0.3">
      <c r="AA102" s="10">
        <v>102</v>
      </c>
      <c r="AB102" s="12" t="s">
        <v>94</v>
      </c>
      <c r="AC102" s="10"/>
    </row>
    <row r="103" spans="27:29" ht="14.4" x14ac:dyDescent="0.3">
      <c r="AA103" s="10">
        <v>103</v>
      </c>
      <c r="AB103" s="12" t="s">
        <v>95</v>
      </c>
      <c r="AC103" s="10"/>
    </row>
    <row r="104" spans="27:29" ht="14.4" x14ac:dyDescent="0.3">
      <c r="AA104" s="10">
        <v>104</v>
      </c>
      <c r="AB104" s="12" t="s">
        <v>96</v>
      </c>
      <c r="AC104" s="10"/>
    </row>
    <row r="105" spans="27:29" ht="14.4" x14ac:dyDescent="0.3">
      <c r="AA105" s="10">
        <v>105</v>
      </c>
      <c r="AB105" s="12" t="s">
        <v>97</v>
      </c>
      <c r="AC105" s="10"/>
    </row>
    <row r="106" spans="27:29" ht="14.4" x14ac:dyDescent="0.3">
      <c r="AA106" s="10">
        <v>106</v>
      </c>
      <c r="AB106" s="12" t="s">
        <v>98</v>
      </c>
      <c r="AC106" s="10"/>
    </row>
    <row r="107" spans="27:29" ht="14.4" x14ac:dyDescent="0.3">
      <c r="AA107" s="10">
        <v>107</v>
      </c>
      <c r="AB107" s="12" t="s">
        <v>99</v>
      </c>
      <c r="AC107" s="10"/>
    </row>
    <row r="108" spans="27:29" ht="14.4" x14ac:dyDescent="0.3">
      <c r="AA108" s="10">
        <v>108</v>
      </c>
      <c r="AB108" s="12" t="s">
        <v>100</v>
      </c>
      <c r="AC108" s="10"/>
    </row>
    <row r="109" spans="27:29" ht="14.4" x14ac:dyDescent="0.3">
      <c r="AA109" s="10">
        <v>109</v>
      </c>
      <c r="AB109" s="12" t="s">
        <v>101</v>
      </c>
      <c r="AC109" s="10"/>
    </row>
    <row r="110" spans="27:29" ht="14.4" x14ac:dyDescent="0.3">
      <c r="AA110" s="10">
        <v>110</v>
      </c>
      <c r="AB110" s="12" t="s">
        <v>102</v>
      </c>
      <c r="AC110" s="10"/>
    </row>
    <row r="111" spans="27:29" ht="14.4" x14ac:dyDescent="0.3">
      <c r="AA111" s="10">
        <v>111</v>
      </c>
      <c r="AB111" s="12" t="s">
        <v>103</v>
      </c>
      <c r="AC111" s="10"/>
    </row>
    <row r="112" spans="27:29" ht="14.4" x14ac:dyDescent="0.3">
      <c r="AA112" s="10">
        <v>112</v>
      </c>
      <c r="AB112" s="12" t="s">
        <v>104</v>
      </c>
      <c r="AC112" s="10"/>
    </row>
    <row r="113" spans="27:29" ht="14.4" x14ac:dyDescent="0.3">
      <c r="AA113" s="10">
        <v>113</v>
      </c>
      <c r="AB113" s="12" t="s">
        <v>105</v>
      </c>
      <c r="AC113" s="10"/>
    </row>
    <row r="114" spans="27:29" ht="14.4" x14ac:dyDescent="0.3">
      <c r="AA114" s="10">
        <v>114</v>
      </c>
      <c r="AB114" s="12" t="s">
        <v>106</v>
      </c>
      <c r="AC114" s="10"/>
    </row>
    <row r="115" spans="27:29" ht="14.4" x14ac:dyDescent="0.3">
      <c r="AA115" s="10">
        <v>115</v>
      </c>
      <c r="AB115" s="12" t="s">
        <v>107</v>
      </c>
      <c r="AC115" s="10"/>
    </row>
    <row r="116" spans="27:29" ht="14.4" x14ac:dyDescent="0.3">
      <c r="AA116" s="10">
        <v>116</v>
      </c>
      <c r="AB116" s="12" t="s">
        <v>108</v>
      </c>
      <c r="AC116" s="10"/>
    </row>
    <row r="117" spans="27:29" ht="14.4" x14ac:dyDescent="0.3">
      <c r="AA117" s="10">
        <v>117</v>
      </c>
      <c r="AB117" s="12" t="s">
        <v>109</v>
      </c>
      <c r="AC117" s="10"/>
    </row>
    <row r="118" spans="27:29" ht="14.4" x14ac:dyDescent="0.3">
      <c r="AA118" s="10">
        <v>118</v>
      </c>
      <c r="AB118" s="12" t="s">
        <v>134</v>
      </c>
      <c r="AC118" s="10"/>
    </row>
    <row r="119" spans="27:29" ht="14.4" x14ac:dyDescent="0.3">
      <c r="AA119" s="10">
        <v>119</v>
      </c>
      <c r="AB119" s="12" t="s">
        <v>110</v>
      </c>
      <c r="AC119" s="10"/>
    </row>
    <row r="120" spans="27:29" ht="14.4" x14ac:dyDescent="0.3">
      <c r="AA120" s="10">
        <v>120</v>
      </c>
      <c r="AB120" s="12" t="s">
        <v>111</v>
      </c>
      <c r="AC120" s="10"/>
    </row>
    <row r="121" spans="27:29" ht="14.4" x14ac:dyDescent="0.3">
      <c r="AA121" s="10">
        <v>121</v>
      </c>
      <c r="AB121" s="12" t="s">
        <v>112</v>
      </c>
      <c r="AC121" s="10"/>
    </row>
    <row r="122" spans="27:29" ht="14.4" x14ac:dyDescent="0.3">
      <c r="AA122" s="10">
        <v>122</v>
      </c>
      <c r="AB122" s="12" t="s">
        <v>113</v>
      </c>
      <c r="AC122" s="10"/>
    </row>
    <row r="123" spans="27:29" ht="14.4" x14ac:dyDescent="0.3">
      <c r="AA123" s="10">
        <v>123</v>
      </c>
      <c r="AB123" s="12" t="s">
        <v>114</v>
      </c>
      <c r="AC123" s="10"/>
    </row>
    <row r="124" spans="27:29" ht="14.4" x14ac:dyDescent="0.3">
      <c r="AA124" s="10">
        <v>124</v>
      </c>
      <c r="AB124" s="12" t="s">
        <v>115</v>
      </c>
      <c r="AC124" s="10"/>
    </row>
    <row r="125" spans="27:29" ht="14.4" x14ac:dyDescent="0.3">
      <c r="AA125" s="10">
        <v>125</v>
      </c>
      <c r="AB125" s="12" t="s">
        <v>116</v>
      </c>
      <c r="AC125" s="10"/>
    </row>
    <row r="126" spans="27:29" ht="14.4" x14ac:dyDescent="0.3">
      <c r="AA126" s="10">
        <v>126</v>
      </c>
      <c r="AB126" s="12" t="s">
        <v>117</v>
      </c>
      <c r="AC126" s="10"/>
    </row>
    <row r="127" spans="27:29" ht="14.4" x14ac:dyDescent="0.3">
      <c r="AA127" s="10">
        <v>127</v>
      </c>
      <c r="AB127" s="12" t="s">
        <v>118</v>
      </c>
      <c r="AC127" s="10"/>
    </row>
    <row r="128" spans="27:29" ht="14.4" x14ac:dyDescent="0.3">
      <c r="AA128" s="10">
        <v>128</v>
      </c>
      <c r="AB128" s="12" t="s">
        <v>119</v>
      </c>
      <c r="AC128" s="10"/>
    </row>
    <row r="129" spans="27:29" ht="14.4" x14ac:dyDescent="0.3">
      <c r="AA129" s="10">
        <v>129</v>
      </c>
      <c r="AB129" s="12" t="s">
        <v>120</v>
      </c>
      <c r="AC129" s="10"/>
    </row>
    <row r="130" spans="27:29" ht="14.4" x14ac:dyDescent="0.3">
      <c r="AA130" s="10">
        <v>130</v>
      </c>
      <c r="AB130" s="12" t="s">
        <v>121</v>
      </c>
      <c r="AC130" s="10"/>
    </row>
    <row r="131" spans="27:29" ht="14.4" x14ac:dyDescent="0.3">
      <c r="AA131" s="10">
        <v>131</v>
      </c>
      <c r="AB131" s="12" t="s">
        <v>122</v>
      </c>
      <c r="AC131" s="10"/>
    </row>
    <row r="132" spans="27:29" ht="14.4" x14ac:dyDescent="0.3">
      <c r="AA132" s="10">
        <v>132</v>
      </c>
      <c r="AB132" s="12" t="s">
        <v>123</v>
      </c>
      <c r="AC132" s="10"/>
    </row>
    <row r="133" spans="27:29" ht="14.4" x14ac:dyDescent="0.3">
      <c r="AA133" s="10">
        <v>133</v>
      </c>
      <c r="AB133" s="12" t="s">
        <v>124</v>
      </c>
      <c r="AC133" s="10"/>
    </row>
    <row r="134" spans="27:29" ht="14.4" x14ac:dyDescent="0.3">
      <c r="AA134" s="10">
        <v>134</v>
      </c>
      <c r="AB134" s="12" t="s">
        <v>125</v>
      </c>
      <c r="AC134" s="10"/>
    </row>
    <row r="135" spans="27:29" ht="14.4" x14ac:dyDescent="0.3">
      <c r="AA135" s="10">
        <v>135</v>
      </c>
      <c r="AB135" s="12" t="s">
        <v>126</v>
      </c>
      <c r="AC135" s="10"/>
    </row>
    <row r="136" spans="27:29" x14ac:dyDescent="0.25">
      <c r="AB136" s="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Drop Down 3">
              <controlPr defaultSize="0" autoLine="0" autoPict="0">
                <anchor moveWithCells="1">
                  <from>
                    <xdr:col>2</xdr:col>
                    <xdr:colOff>53340</xdr:colOff>
                    <xdr:row>0</xdr:row>
                    <xdr:rowOff>30480</xdr:rowOff>
                  </from>
                  <to>
                    <xdr:col>2</xdr:col>
                    <xdr:colOff>2979420</xdr:colOff>
                    <xdr:row>0</xdr:row>
                    <xdr:rowOff>358140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27"/>
  <sheetViews>
    <sheetView zoomScale="130" zoomScaleNormal="130" workbookViewId="0">
      <selection activeCell="H6" sqref="H6"/>
    </sheetView>
  </sheetViews>
  <sheetFormatPr defaultRowHeight="13.2" x14ac:dyDescent="0.25"/>
  <cols>
    <col min="1" max="1" width="14.6640625" style="4" customWidth="1"/>
    <col min="2" max="2" width="5.33203125" style="4" bestFit="1" customWidth="1"/>
    <col min="3" max="6" width="10.6640625" style="4" customWidth="1"/>
    <col min="7" max="8" width="11.6640625" style="4" customWidth="1"/>
    <col min="9" max="9" width="8.88671875" style="4"/>
    <col min="10" max="10" width="9.21875" style="4" bestFit="1" customWidth="1"/>
    <col min="11" max="11" width="12.109375" style="4" bestFit="1" customWidth="1"/>
    <col min="12" max="16384" width="8.88671875" style="4"/>
  </cols>
  <sheetData>
    <row r="1" spans="1:13" ht="15.6" x14ac:dyDescent="0.3">
      <c r="A1" s="52" t="s">
        <v>140</v>
      </c>
      <c r="B1" s="52"/>
      <c r="C1" s="52"/>
      <c r="D1" s="52"/>
      <c r="E1" s="52"/>
      <c r="F1" s="52"/>
      <c r="G1" s="52"/>
      <c r="H1" s="52"/>
    </row>
    <row r="2" spans="1:13" x14ac:dyDescent="0.25">
      <c r="A2" s="4" t="s">
        <v>138</v>
      </c>
      <c r="B2" s="4">
        <v>2015</v>
      </c>
      <c r="C2" s="53">
        <v>2016</v>
      </c>
      <c r="D2" s="53"/>
      <c r="E2" s="53"/>
      <c r="F2" s="53"/>
    </row>
    <row r="3" spans="1:13" x14ac:dyDescent="0.25">
      <c r="A3" s="4" t="s">
        <v>137</v>
      </c>
      <c r="B3" s="4">
        <v>4</v>
      </c>
      <c r="C3" s="4">
        <v>1</v>
      </c>
      <c r="D3" s="4">
        <v>2</v>
      </c>
      <c r="E3" s="4">
        <v>3</v>
      </c>
      <c r="F3" s="4">
        <v>4</v>
      </c>
    </row>
    <row r="4" spans="1:13" x14ac:dyDescent="0.25">
      <c r="A4" s="4" t="s">
        <v>141</v>
      </c>
      <c r="C4" s="26">
        <v>7000</v>
      </c>
      <c r="D4" s="26">
        <v>3000</v>
      </c>
      <c r="E4" s="26">
        <v>1000</v>
      </c>
      <c r="F4" s="26">
        <v>10000</v>
      </c>
    </row>
    <row r="5" spans="1:13" x14ac:dyDescent="0.25">
      <c r="A5" s="4" t="s">
        <v>142</v>
      </c>
      <c r="C5" s="27">
        <v>7000</v>
      </c>
      <c r="D5" s="27">
        <v>4160.0000000000018</v>
      </c>
      <c r="E5" s="27">
        <v>4160.0000000000009</v>
      </c>
      <c r="F5" s="27">
        <v>5679.9999999999982</v>
      </c>
    </row>
    <row r="6" spans="1:13" x14ac:dyDescent="0.25">
      <c r="A6" s="4" t="s">
        <v>143</v>
      </c>
      <c r="G6" s="4" t="s">
        <v>144</v>
      </c>
      <c r="H6" s="28">
        <f>SUM(H10:H11,H18:H21)</f>
        <v>1352220</v>
      </c>
      <c r="J6" s="4" t="s">
        <v>216</v>
      </c>
    </row>
    <row r="7" spans="1:13" x14ac:dyDescent="0.25">
      <c r="A7" s="4" t="s">
        <v>145</v>
      </c>
      <c r="C7" s="4">
        <f>B8</f>
        <v>500</v>
      </c>
      <c r="D7" s="4">
        <f>C8</f>
        <v>500</v>
      </c>
      <c r="E7" s="4">
        <f>D8</f>
        <v>1660.0000000000018</v>
      </c>
      <c r="F7" s="4">
        <f>E8</f>
        <v>4820.0000000000027</v>
      </c>
    </row>
    <row r="8" spans="1:13" x14ac:dyDescent="0.25">
      <c r="A8" s="4" t="s">
        <v>146</v>
      </c>
      <c r="B8" s="26">
        <v>500</v>
      </c>
      <c r="C8" s="4">
        <f>C7+C5-C4</f>
        <v>500</v>
      </c>
      <c r="D8" s="4">
        <f>D7+D5-D4</f>
        <v>1660.0000000000018</v>
      </c>
      <c r="E8" s="4">
        <f>E7+E5-E4</f>
        <v>4820.0000000000027</v>
      </c>
      <c r="F8" s="4">
        <f>F7+F5-F4</f>
        <v>500</v>
      </c>
    </row>
    <row r="9" spans="1:13" x14ac:dyDescent="0.25">
      <c r="C9" s="29" t="b">
        <f>C8&gt;=$B$8</f>
        <v>1</v>
      </c>
      <c r="D9" s="29" t="b">
        <f t="shared" ref="D9:F9" si="0">D8&gt;=$B$8</f>
        <v>1</v>
      </c>
      <c r="E9" s="29" t="b">
        <f t="shared" si="0"/>
        <v>1</v>
      </c>
      <c r="F9" s="29" t="b">
        <f t="shared" si="0"/>
        <v>1</v>
      </c>
      <c r="G9" s="4" t="s">
        <v>147</v>
      </c>
      <c r="H9" s="4" t="s">
        <v>148</v>
      </c>
    </row>
    <row r="10" spans="1:13" x14ac:dyDescent="0.25">
      <c r="A10" s="4" t="s">
        <v>149</v>
      </c>
      <c r="C10" s="30">
        <f>AVERAGE(C7:C8)*$G$10</f>
        <v>3000</v>
      </c>
      <c r="D10" s="30">
        <f>AVERAGE(D7:D8)*$G$10</f>
        <v>6480.0000000000055</v>
      </c>
      <c r="E10" s="30">
        <f>AVERAGE(E7:E8)*$G$10</f>
        <v>19440.000000000015</v>
      </c>
      <c r="F10" s="30">
        <f>AVERAGE(F7:F8)*$G$10</f>
        <v>15960.000000000007</v>
      </c>
      <c r="G10" s="31">
        <v>6</v>
      </c>
      <c r="H10" s="30">
        <f>SUM(C10:F10)</f>
        <v>44880.000000000029</v>
      </c>
    </row>
    <row r="11" spans="1:13" x14ac:dyDescent="0.25">
      <c r="A11" s="4" t="s">
        <v>150</v>
      </c>
      <c r="C11" s="30">
        <f>C5*$G$11</f>
        <v>210000</v>
      </c>
      <c r="D11" s="30">
        <f>D5*$G$11</f>
        <v>124800.00000000006</v>
      </c>
      <c r="E11" s="30">
        <f>E5*$G$11</f>
        <v>124800.00000000003</v>
      </c>
      <c r="F11" s="30">
        <f>F5*$G$11</f>
        <v>170399.99999999994</v>
      </c>
      <c r="G11" s="31">
        <v>30</v>
      </c>
      <c r="H11" s="30">
        <f>SUM(C11:F11)</f>
        <v>630000</v>
      </c>
      <c r="I11" s="32"/>
      <c r="J11" s="32"/>
      <c r="K11" s="32"/>
      <c r="L11" s="32"/>
      <c r="M11" s="32"/>
    </row>
    <row r="12" spans="1:13" x14ac:dyDescent="0.25">
      <c r="A12" s="4" t="s">
        <v>151</v>
      </c>
      <c r="C12" s="27">
        <v>2</v>
      </c>
      <c r="D12" s="27">
        <v>0</v>
      </c>
      <c r="E12" s="27">
        <v>0</v>
      </c>
      <c r="F12" s="27">
        <v>0</v>
      </c>
      <c r="G12" s="30"/>
      <c r="I12" s="32"/>
      <c r="J12" s="32"/>
      <c r="K12" s="32"/>
      <c r="L12" s="32"/>
      <c r="M12" s="32"/>
    </row>
    <row r="13" spans="1:13" x14ac:dyDescent="0.25">
      <c r="A13" s="4" t="s">
        <v>152</v>
      </c>
      <c r="C13" s="27">
        <v>0</v>
      </c>
      <c r="D13" s="27">
        <v>2</v>
      </c>
      <c r="E13" s="27">
        <v>0</v>
      </c>
      <c r="F13" s="27">
        <v>0</v>
      </c>
      <c r="I13" s="32"/>
      <c r="J13" s="50"/>
      <c r="K13" s="32"/>
      <c r="L13" s="32"/>
      <c r="M13" s="32"/>
    </row>
    <row r="14" spans="1:13" x14ac:dyDescent="0.25">
      <c r="A14" s="4" t="s">
        <v>153</v>
      </c>
      <c r="C14" s="32"/>
      <c r="D14" s="32"/>
      <c r="E14" s="32"/>
      <c r="F14" s="32"/>
      <c r="I14" s="32"/>
      <c r="J14" s="32"/>
      <c r="K14" s="32"/>
      <c r="L14" s="32"/>
      <c r="M14" s="32"/>
    </row>
    <row r="15" spans="1:13" x14ac:dyDescent="0.25">
      <c r="A15" s="4" t="s">
        <v>145</v>
      </c>
      <c r="C15" s="32">
        <f>B16</f>
        <v>13</v>
      </c>
      <c r="D15" s="32">
        <f>C16</f>
        <v>15</v>
      </c>
      <c r="E15" s="32">
        <f>D16</f>
        <v>13</v>
      </c>
      <c r="F15" s="32">
        <f>E16</f>
        <v>13</v>
      </c>
      <c r="I15" s="32"/>
      <c r="J15" s="32"/>
      <c r="K15" s="32"/>
      <c r="L15" s="32"/>
      <c r="M15" s="32"/>
    </row>
    <row r="16" spans="1:13" x14ac:dyDescent="0.25">
      <c r="A16" s="4" t="s">
        <v>146</v>
      </c>
      <c r="B16" s="26">
        <v>13</v>
      </c>
      <c r="C16" s="32">
        <f>C15+C12-C13</f>
        <v>15</v>
      </c>
      <c r="D16" s="32">
        <f>D15+D12-D13</f>
        <v>13</v>
      </c>
      <c r="E16" s="32">
        <f>E15+E12-E13</f>
        <v>13</v>
      </c>
      <c r="F16" s="32">
        <f>F15+F12-F13</f>
        <v>13</v>
      </c>
      <c r="I16" s="32"/>
      <c r="J16" s="32"/>
      <c r="K16" s="32"/>
      <c r="L16" s="32"/>
      <c r="M16" s="32"/>
    </row>
    <row r="17" spans="1:13" x14ac:dyDescent="0.25">
      <c r="A17" s="4" t="s">
        <v>154</v>
      </c>
      <c r="C17" s="27">
        <v>3300</v>
      </c>
      <c r="D17" s="27">
        <v>0</v>
      </c>
      <c r="E17" s="27">
        <v>0</v>
      </c>
      <c r="F17" s="27">
        <v>2279.9999999999955</v>
      </c>
      <c r="G17" s="4" t="s">
        <v>147</v>
      </c>
      <c r="H17" s="4" t="s">
        <v>148</v>
      </c>
      <c r="I17" s="32"/>
      <c r="J17" s="51"/>
      <c r="K17" s="32"/>
      <c r="L17" s="32"/>
      <c r="M17" s="32"/>
    </row>
    <row r="18" spans="1:13" x14ac:dyDescent="0.25">
      <c r="A18" s="4" t="s">
        <v>155</v>
      </c>
      <c r="C18" s="33">
        <f>C12*$G$18</f>
        <v>6000</v>
      </c>
      <c r="D18" s="33">
        <f>D12*$G$18</f>
        <v>0</v>
      </c>
      <c r="E18" s="33">
        <f>E12*$G$18</f>
        <v>0</v>
      </c>
      <c r="F18" s="33">
        <f>F12*$G$18</f>
        <v>0</v>
      </c>
      <c r="G18" s="31">
        <v>3000</v>
      </c>
      <c r="H18" s="30">
        <f>SUM(C18:F18)</f>
        <v>6000</v>
      </c>
      <c r="I18" s="32"/>
      <c r="J18" s="32"/>
      <c r="K18" s="32"/>
      <c r="L18" s="32"/>
      <c r="M18" s="32"/>
    </row>
    <row r="19" spans="1:13" x14ac:dyDescent="0.25">
      <c r="A19" s="4" t="s">
        <v>156</v>
      </c>
      <c r="C19" s="33">
        <f>C13*$G$19</f>
        <v>0</v>
      </c>
      <c r="D19" s="33">
        <f>D13*$G$19</f>
        <v>3000</v>
      </c>
      <c r="E19" s="33">
        <f>E13*$G$19</f>
        <v>0</v>
      </c>
      <c r="F19" s="33">
        <f>F13*$G$19</f>
        <v>0</v>
      </c>
      <c r="G19" s="31">
        <v>1500</v>
      </c>
      <c r="H19" s="30">
        <f>SUM(C19:F19)</f>
        <v>3000</v>
      </c>
      <c r="I19" s="32"/>
      <c r="J19" s="50"/>
      <c r="K19" s="32"/>
      <c r="L19" s="32"/>
      <c r="M19" s="32"/>
    </row>
    <row r="20" spans="1:13" x14ac:dyDescent="0.25">
      <c r="A20" s="4" t="s">
        <v>157</v>
      </c>
      <c r="C20" s="30">
        <f>C16*$G$20</f>
        <v>150000</v>
      </c>
      <c r="D20" s="30">
        <f>D16*$G$20</f>
        <v>130000</v>
      </c>
      <c r="E20" s="30">
        <f>E16*$G$20</f>
        <v>130000</v>
      </c>
      <c r="F20" s="30">
        <f>F16*$G$20</f>
        <v>130000</v>
      </c>
      <c r="G20" s="31">
        <v>10000</v>
      </c>
      <c r="H20" s="30">
        <f>SUM(C20:F20)</f>
        <v>540000</v>
      </c>
      <c r="I20" s="32"/>
      <c r="J20" s="50"/>
      <c r="K20" s="32"/>
      <c r="L20" s="32"/>
      <c r="M20" s="32"/>
    </row>
    <row r="21" spans="1:13" x14ac:dyDescent="0.25">
      <c r="A21" s="4" t="s">
        <v>158</v>
      </c>
      <c r="C21" s="30">
        <f>C17*$G$21</f>
        <v>75900</v>
      </c>
      <c r="D21" s="30">
        <f>D17*$G$21</f>
        <v>0</v>
      </c>
      <c r="E21" s="30">
        <f>E17*$G$21</f>
        <v>0</v>
      </c>
      <c r="F21" s="30">
        <f>F17*$G$21</f>
        <v>52439.999999999898</v>
      </c>
      <c r="G21" s="31">
        <v>23</v>
      </c>
      <c r="H21" s="30">
        <f>SUM(C21:F21)</f>
        <v>128339.9999999999</v>
      </c>
      <c r="I21" s="32"/>
      <c r="J21" s="50"/>
      <c r="K21" s="32"/>
      <c r="L21" s="32"/>
      <c r="M21" s="32"/>
    </row>
    <row r="22" spans="1:13" x14ac:dyDescent="0.25">
      <c r="A22" s="4" t="s">
        <v>159</v>
      </c>
      <c r="G22" s="4" t="s">
        <v>160</v>
      </c>
      <c r="I22" s="32"/>
      <c r="J22" s="32"/>
      <c r="K22" s="32"/>
      <c r="L22" s="32"/>
      <c r="M22" s="32"/>
    </row>
    <row r="23" spans="1:13" x14ac:dyDescent="0.25">
      <c r="A23" s="4" t="s">
        <v>161</v>
      </c>
      <c r="C23" s="34">
        <f>C16*$G$23+C17</f>
        <v>10500</v>
      </c>
      <c r="D23" s="34">
        <f>D16*$G$23+D17</f>
        <v>6240</v>
      </c>
      <c r="E23" s="34">
        <f>E16*$G$23+E17</f>
        <v>6240</v>
      </c>
      <c r="F23" s="34">
        <f>F16*$G$23+F17</f>
        <v>8519.9999999999964</v>
      </c>
      <c r="G23" s="35">
        <v>480</v>
      </c>
      <c r="H23" s="36" t="s">
        <v>162</v>
      </c>
    </row>
    <row r="24" spans="1:13" x14ac:dyDescent="0.25">
      <c r="A24" s="4" t="s">
        <v>163</v>
      </c>
      <c r="C24" s="34">
        <f>C5*$G$24</f>
        <v>10500</v>
      </c>
      <c r="D24" s="34">
        <f>D5*$G$24</f>
        <v>6240.0000000000027</v>
      </c>
      <c r="E24" s="34">
        <f>E5*$G$24</f>
        <v>6240.0000000000018</v>
      </c>
      <c r="F24" s="34">
        <f>F5*$G$24</f>
        <v>8519.9999999999964</v>
      </c>
      <c r="G24" s="37">
        <v>1.5</v>
      </c>
      <c r="H24" s="36" t="s">
        <v>164</v>
      </c>
    </row>
    <row r="25" spans="1:13" x14ac:dyDescent="0.25">
      <c r="C25" s="29" t="b">
        <f t="shared" ref="C25:E25" si="1">C23&gt;=C24-0.0001</f>
        <v>1</v>
      </c>
      <c r="D25" s="29" t="b">
        <f t="shared" si="1"/>
        <v>1</v>
      </c>
      <c r="E25" s="29" t="b">
        <f t="shared" si="1"/>
        <v>1</v>
      </c>
      <c r="F25" s="29" t="b">
        <f>F23&gt;=F24-0.0001</f>
        <v>1</v>
      </c>
    </row>
    <row r="27" spans="1:13" x14ac:dyDescent="0.25">
      <c r="A27" s="38" t="s">
        <v>165</v>
      </c>
      <c r="C27" s="39">
        <f>C16*$G$23/2</f>
        <v>3600</v>
      </c>
      <c r="D27" s="39">
        <f t="shared" ref="D27:F27" si="2">D16*$G$23/2</f>
        <v>3120</v>
      </c>
      <c r="E27" s="39">
        <f t="shared" si="2"/>
        <v>3120</v>
      </c>
      <c r="F27" s="39">
        <f t="shared" si="2"/>
        <v>3120</v>
      </c>
    </row>
  </sheetData>
  <mergeCells count="2">
    <mergeCell ref="A1:H1"/>
    <mergeCell ref="C2:F2"/>
  </mergeCells>
  <conditionalFormatting sqref="C9:F9">
    <cfRule type="cellIs" dxfId="9" priority="2" operator="equal">
      <formula>FALSE</formula>
    </cfRule>
  </conditionalFormatting>
  <conditionalFormatting sqref="C25:F25">
    <cfRule type="cellIs" dxfId="8" priority="1" operator="equal">
      <formula>FALSE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27"/>
  <sheetViews>
    <sheetView zoomScale="130" zoomScaleNormal="130" workbookViewId="0">
      <selection activeCell="H6" sqref="H6"/>
    </sheetView>
  </sheetViews>
  <sheetFormatPr defaultRowHeight="13.2" x14ac:dyDescent="0.25"/>
  <cols>
    <col min="1" max="1" width="14.6640625" style="4" customWidth="1"/>
    <col min="2" max="2" width="5.33203125" style="4" bestFit="1" customWidth="1"/>
    <col min="3" max="6" width="10.6640625" style="4" customWidth="1"/>
    <col min="7" max="8" width="11.6640625" style="4" customWidth="1"/>
    <col min="9" max="9" width="8.88671875" style="4"/>
    <col min="10" max="10" width="12.77734375" style="4" customWidth="1"/>
    <col min="11" max="11" width="14.109375" style="4" bestFit="1" customWidth="1"/>
    <col min="12" max="16384" width="8.88671875" style="4"/>
  </cols>
  <sheetData>
    <row r="1" spans="1:13" ht="15.6" x14ac:dyDescent="0.3">
      <c r="A1" s="52" t="s">
        <v>140</v>
      </c>
      <c r="B1" s="52"/>
      <c r="C1" s="52"/>
      <c r="D1" s="52"/>
      <c r="E1" s="52"/>
      <c r="F1" s="52"/>
      <c r="G1" s="52"/>
      <c r="H1" s="52"/>
    </row>
    <row r="2" spans="1:13" x14ac:dyDescent="0.25">
      <c r="A2" s="4" t="s">
        <v>138</v>
      </c>
      <c r="B2" s="4">
        <v>2015</v>
      </c>
      <c r="C2" s="53">
        <v>2016</v>
      </c>
      <c r="D2" s="53"/>
      <c r="E2" s="53"/>
      <c r="F2" s="53"/>
    </row>
    <row r="3" spans="1:13" x14ac:dyDescent="0.25">
      <c r="A3" s="4" t="s">
        <v>137</v>
      </c>
      <c r="B3" s="4">
        <v>4</v>
      </c>
      <c r="C3" s="4">
        <v>1</v>
      </c>
      <c r="D3" s="4">
        <v>2</v>
      </c>
      <c r="E3" s="4">
        <v>3</v>
      </c>
      <c r="F3" s="4">
        <v>4</v>
      </c>
      <c r="J3" s="4" t="s">
        <v>217</v>
      </c>
    </row>
    <row r="4" spans="1:13" x14ac:dyDescent="0.25">
      <c r="A4" s="4" t="s">
        <v>141</v>
      </c>
      <c r="C4" s="26">
        <f>7000*0.2+7000</f>
        <v>8400</v>
      </c>
      <c r="D4" s="26">
        <f>3000*0.2+3000</f>
        <v>3600</v>
      </c>
      <c r="E4" s="26">
        <f>1000*0.2+1000</f>
        <v>1200</v>
      </c>
      <c r="F4" s="26">
        <f>10000*0.2+10000</f>
        <v>12000</v>
      </c>
    </row>
    <row r="5" spans="1:13" x14ac:dyDescent="0.25">
      <c r="A5" s="4" t="s">
        <v>142</v>
      </c>
      <c r="C5" s="27">
        <v>8400</v>
      </c>
      <c r="D5" s="27">
        <v>4800.0000000000009</v>
      </c>
      <c r="E5" s="27">
        <v>4800</v>
      </c>
      <c r="F5" s="27">
        <v>7200</v>
      </c>
    </row>
    <row r="6" spans="1:13" x14ac:dyDescent="0.25">
      <c r="A6" s="4" t="s">
        <v>143</v>
      </c>
      <c r="G6" s="4" t="s">
        <v>144</v>
      </c>
      <c r="H6" s="28">
        <f>SUM(H10:H11,H18:H21)</f>
        <v>1613300</v>
      </c>
      <c r="J6" s="4" t="s">
        <v>201</v>
      </c>
      <c r="K6" s="54">
        <f>SUM(C4:F4)*100</f>
        <v>2520000</v>
      </c>
    </row>
    <row r="7" spans="1:13" x14ac:dyDescent="0.25">
      <c r="A7" s="4" t="s">
        <v>145</v>
      </c>
      <c r="C7" s="4">
        <f>B8</f>
        <v>500</v>
      </c>
      <c r="D7" s="4">
        <f>C8</f>
        <v>500</v>
      </c>
      <c r="E7" s="4">
        <f>D8</f>
        <v>1700.0000000000009</v>
      </c>
      <c r="F7" s="4">
        <f>E8</f>
        <v>5300.0000000000009</v>
      </c>
      <c r="J7" s="4" t="s">
        <v>199</v>
      </c>
      <c r="K7" s="59">
        <f>K6-H6</f>
        <v>906700</v>
      </c>
    </row>
    <row r="8" spans="1:13" x14ac:dyDescent="0.25">
      <c r="A8" s="4" t="s">
        <v>146</v>
      </c>
      <c r="B8" s="26">
        <v>500</v>
      </c>
      <c r="C8" s="4">
        <f>C7+C5-C4</f>
        <v>500</v>
      </c>
      <c r="D8" s="4">
        <f>D7+D5-D4</f>
        <v>1700.0000000000009</v>
      </c>
      <c r="E8" s="4">
        <f>E7+E5-E4</f>
        <v>5300.0000000000009</v>
      </c>
      <c r="F8" s="4">
        <f>F7+F5-F4</f>
        <v>500</v>
      </c>
      <c r="J8" s="4" t="s">
        <v>218</v>
      </c>
      <c r="K8" s="54">
        <v>751480</v>
      </c>
    </row>
    <row r="9" spans="1:13" x14ac:dyDescent="0.25">
      <c r="C9" s="29" t="b">
        <f>C8&gt;=$B$8</f>
        <v>1</v>
      </c>
      <c r="D9" s="29" t="b">
        <f t="shared" ref="D9:F9" si="0">D8&gt;=$B$8</f>
        <v>1</v>
      </c>
      <c r="E9" s="29" t="b">
        <f t="shared" si="0"/>
        <v>1</v>
      </c>
      <c r="F9" s="29" t="b">
        <f t="shared" si="0"/>
        <v>1</v>
      </c>
      <c r="G9" s="4" t="s">
        <v>147</v>
      </c>
      <c r="H9" s="4" t="s">
        <v>148</v>
      </c>
      <c r="J9" s="4" t="s">
        <v>219</v>
      </c>
      <c r="K9" s="59">
        <f>K7-K8</f>
        <v>155220</v>
      </c>
    </row>
    <row r="10" spans="1:13" x14ac:dyDescent="0.25">
      <c r="A10" s="4" t="s">
        <v>149</v>
      </c>
      <c r="C10" s="30">
        <f>AVERAGE(C7:C8)*$G$10</f>
        <v>3000</v>
      </c>
      <c r="D10" s="30">
        <f>AVERAGE(D7:D8)*$G$10</f>
        <v>6600.0000000000027</v>
      </c>
      <c r="E10" s="30">
        <f>AVERAGE(E7:E8)*$G$10</f>
        <v>21000.000000000007</v>
      </c>
      <c r="F10" s="30">
        <f>AVERAGE(F7:F8)*$G$10</f>
        <v>17400.000000000004</v>
      </c>
      <c r="G10" s="31">
        <v>6</v>
      </c>
      <c r="H10" s="30">
        <f>SUM(C10:F10)</f>
        <v>48000.000000000015</v>
      </c>
    </row>
    <row r="11" spans="1:13" x14ac:dyDescent="0.25">
      <c r="A11" s="4" t="s">
        <v>150</v>
      </c>
      <c r="C11" s="30">
        <f>C5*$G$11</f>
        <v>252000</v>
      </c>
      <c r="D11" s="30">
        <f>D5*$G$11</f>
        <v>144000.00000000003</v>
      </c>
      <c r="E11" s="30">
        <f>E5*$G$11</f>
        <v>144000</v>
      </c>
      <c r="F11" s="30">
        <f>F5*$G$11</f>
        <v>216000</v>
      </c>
      <c r="G11" s="31">
        <v>30</v>
      </c>
      <c r="H11" s="30">
        <f>SUM(C11:F11)</f>
        <v>756000</v>
      </c>
      <c r="I11" s="32"/>
      <c r="J11" s="32"/>
      <c r="K11" s="32"/>
      <c r="L11" s="32"/>
      <c r="M11" s="32"/>
    </row>
    <row r="12" spans="1:13" x14ac:dyDescent="0.25">
      <c r="A12" s="4" t="s">
        <v>151</v>
      </c>
      <c r="C12" s="27">
        <v>0</v>
      </c>
      <c r="D12" s="27">
        <v>0</v>
      </c>
      <c r="E12" s="27">
        <v>0</v>
      </c>
      <c r="F12" s="27">
        <v>0</v>
      </c>
      <c r="G12" s="30"/>
      <c r="I12" s="32"/>
      <c r="J12" s="32"/>
      <c r="K12" s="32"/>
      <c r="L12" s="32"/>
      <c r="M12" s="32"/>
    </row>
    <row r="13" spans="1:13" x14ac:dyDescent="0.25">
      <c r="A13" s="4" t="s">
        <v>152</v>
      </c>
      <c r="C13" s="27">
        <v>0</v>
      </c>
      <c r="D13" s="27">
        <v>5</v>
      </c>
      <c r="E13" s="27">
        <v>0</v>
      </c>
      <c r="F13" s="27">
        <v>0</v>
      </c>
      <c r="I13" s="32"/>
      <c r="J13" s="50"/>
      <c r="K13" s="32"/>
      <c r="L13" s="32"/>
      <c r="M13" s="32"/>
    </row>
    <row r="14" spans="1:13" x14ac:dyDescent="0.25">
      <c r="A14" s="4" t="s">
        <v>153</v>
      </c>
      <c r="C14" s="32"/>
      <c r="D14" s="32"/>
      <c r="E14" s="32"/>
      <c r="F14" s="32"/>
      <c r="I14" s="32"/>
      <c r="J14" s="32"/>
      <c r="K14" s="32"/>
      <c r="L14" s="32"/>
      <c r="M14" s="32"/>
    </row>
    <row r="15" spans="1:13" x14ac:dyDescent="0.25">
      <c r="A15" s="4" t="s">
        <v>145</v>
      </c>
      <c r="C15" s="32">
        <f>B16</f>
        <v>20</v>
      </c>
      <c r="D15" s="32">
        <f>C16</f>
        <v>20</v>
      </c>
      <c r="E15" s="32">
        <f>D16</f>
        <v>15</v>
      </c>
      <c r="F15" s="32">
        <f>E16</f>
        <v>15</v>
      </c>
      <c r="I15" s="32"/>
      <c r="J15" s="32"/>
      <c r="K15" s="32"/>
      <c r="L15" s="32"/>
      <c r="M15" s="32"/>
    </row>
    <row r="16" spans="1:13" x14ac:dyDescent="0.25">
      <c r="A16" s="4" t="s">
        <v>146</v>
      </c>
      <c r="B16" s="26">
        <v>20</v>
      </c>
      <c r="C16" s="32">
        <f>C15+C12-C13</f>
        <v>20</v>
      </c>
      <c r="D16" s="32">
        <f>D15+D12-D13</f>
        <v>15</v>
      </c>
      <c r="E16" s="32">
        <f>E15+E12-E13</f>
        <v>15</v>
      </c>
      <c r="F16" s="32">
        <f>F15+F12-F13</f>
        <v>15</v>
      </c>
      <c r="I16" s="32"/>
      <c r="J16" s="32"/>
      <c r="K16" s="32"/>
      <c r="L16" s="32"/>
      <c r="M16" s="32"/>
    </row>
    <row r="17" spans="1:13" x14ac:dyDescent="0.25">
      <c r="A17" s="4" t="s">
        <v>154</v>
      </c>
      <c r="C17" s="27">
        <v>3000</v>
      </c>
      <c r="D17" s="27">
        <v>0</v>
      </c>
      <c r="E17" s="27">
        <v>0</v>
      </c>
      <c r="F17" s="27">
        <v>3600</v>
      </c>
      <c r="G17" s="4" t="s">
        <v>147</v>
      </c>
      <c r="H17" s="4" t="s">
        <v>148</v>
      </c>
      <c r="I17" s="32"/>
      <c r="J17" s="51"/>
      <c r="K17" s="32"/>
      <c r="L17" s="32"/>
      <c r="M17" s="32"/>
    </row>
    <row r="18" spans="1:13" x14ac:dyDescent="0.25">
      <c r="A18" s="4" t="s">
        <v>155</v>
      </c>
      <c r="C18" s="33">
        <f>C12*$G$18</f>
        <v>0</v>
      </c>
      <c r="D18" s="33">
        <f>D12*$G$18</f>
        <v>0</v>
      </c>
      <c r="E18" s="33">
        <f>E12*$G$18</f>
        <v>0</v>
      </c>
      <c r="F18" s="33">
        <f>F12*$G$18</f>
        <v>0</v>
      </c>
      <c r="G18" s="31">
        <v>3000</v>
      </c>
      <c r="H18" s="30">
        <f>SUM(C18:F18)</f>
        <v>0</v>
      </c>
      <c r="I18" s="32"/>
      <c r="J18" s="32"/>
      <c r="K18" s="32"/>
      <c r="L18" s="32"/>
      <c r="M18" s="32"/>
    </row>
    <row r="19" spans="1:13" x14ac:dyDescent="0.25">
      <c r="A19" s="4" t="s">
        <v>156</v>
      </c>
      <c r="C19" s="33">
        <f>C13*$G$19</f>
        <v>0</v>
      </c>
      <c r="D19" s="33">
        <f>D13*$G$19</f>
        <v>7500</v>
      </c>
      <c r="E19" s="33">
        <f>E13*$G$19</f>
        <v>0</v>
      </c>
      <c r="F19" s="33">
        <f>F13*$G$19</f>
        <v>0</v>
      </c>
      <c r="G19" s="31">
        <v>1500</v>
      </c>
      <c r="H19" s="30">
        <f>SUM(C19:F19)</f>
        <v>7500</v>
      </c>
      <c r="I19" s="32"/>
      <c r="J19" s="50"/>
      <c r="K19" s="32"/>
      <c r="L19" s="32"/>
      <c r="M19" s="32"/>
    </row>
    <row r="20" spans="1:13" x14ac:dyDescent="0.25">
      <c r="A20" s="4" t="s">
        <v>157</v>
      </c>
      <c r="C20" s="30">
        <f>C16*$G$20</f>
        <v>200000</v>
      </c>
      <c r="D20" s="30">
        <f>D16*$G$20</f>
        <v>150000</v>
      </c>
      <c r="E20" s="30">
        <f>E16*$G$20</f>
        <v>150000</v>
      </c>
      <c r="F20" s="30">
        <f>F16*$G$20</f>
        <v>150000</v>
      </c>
      <c r="G20" s="31">
        <v>10000</v>
      </c>
      <c r="H20" s="30">
        <f>SUM(C20:F20)</f>
        <v>650000</v>
      </c>
      <c r="I20" s="32"/>
      <c r="J20" s="50"/>
      <c r="K20" s="32"/>
      <c r="L20" s="32"/>
      <c r="M20" s="32"/>
    </row>
    <row r="21" spans="1:13" x14ac:dyDescent="0.25">
      <c r="A21" s="4" t="s">
        <v>158</v>
      </c>
      <c r="C21" s="30">
        <f>C17*$G$21</f>
        <v>69000</v>
      </c>
      <c r="D21" s="30">
        <f>D17*$G$21</f>
        <v>0</v>
      </c>
      <c r="E21" s="30">
        <f>E17*$G$21</f>
        <v>0</v>
      </c>
      <c r="F21" s="30">
        <f>F17*$G$21</f>
        <v>82800</v>
      </c>
      <c r="G21" s="31">
        <v>23</v>
      </c>
      <c r="H21" s="30">
        <f>SUM(C21:F21)</f>
        <v>151800</v>
      </c>
      <c r="I21" s="32"/>
      <c r="J21" s="50"/>
      <c r="K21" s="32"/>
      <c r="L21" s="32"/>
      <c r="M21" s="32"/>
    </row>
    <row r="22" spans="1:13" x14ac:dyDescent="0.25">
      <c r="A22" s="4" t="s">
        <v>159</v>
      </c>
      <c r="G22" s="4" t="s">
        <v>160</v>
      </c>
      <c r="I22" s="32"/>
      <c r="J22" s="32"/>
      <c r="K22" s="32"/>
      <c r="L22" s="32"/>
      <c r="M22" s="32"/>
    </row>
    <row r="23" spans="1:13" x14ac:dyDescent="0.25">
      <c r="A23" s="4" t="s">
        <v>161</v>
      </c>
      <c r="C23" s="34">
        <f>C16*$G$23+C17</f>
        <v>12600</v>
      </c>
      <c r="D23" s="34">
        <f>D16*$G$23+D17</f>
        <v>7200</v>
      </c>
      <c r="E23" s="34">
        <f>E16*$G$23+E17</f>
        <v>7200</v>
      </c>
      <c r="F23" s="34">
        <f>F16*$G$23+F17</f>
        <v>10800</v>
      </c>
      <c r="G23" s="35">
        <v>480</v>
      </c>
      <c r="H23" s="36" t="s">
        <v>162</v>
      </c>
    </row>
    <row r="24" spans="1:13" x14ac:dyDescent="0.25">
      <c r="A24" s="4" t="s">
        <v>163</v>
      </c>
      <c r="C24" s="34">
        <f>C5*$G$24</f>
        <v>12600</v>
      </c>
      <c r="D24" s="34">
        <f>D5*$G$24</f>
        <v>7200.0000000000018</v>
      </c>
      <c r="E24" s="34">
        <f>E5*$G$24</f>
        <v>7200</v>
      </c>
      <c r="F24" s="34">
        <f>F5*$G$24</f>
        <v>10800</v>
      </c>
      <c r="G24" s="37">
        <v>1.5</v>
      </c>
      <c r="H24" s="36" t="s">
        <v>164</v>
      </c>
    </row>
    <row r="25" spans="1:13" x14ac:dyDescent="0.25">
      <c r="C25" s="29" t="b">
        <f t="shared" ref="C25:E25" si="1">C23&gt;=C24-0.0001</f>
        <v>1</v>
      </c>
      <c r="D25" s="29" t="b">
        <f t="shared" si="1"/>
        <v>1</v>
      </c>
      <c r="E25" s="29" t="b">
        <f t="shared" si="1"/>
        <v>1</v>
      </c>
      <c r="F25" s="29" t="b">
        <f>F23&gt;=F24-0.0001</f>
        <v>1</v>
      </c>
    </row>
    <row r="27" spans="1:13" x14ac:dyDescent="0.25">
      <c r="A27" s="38" t="s">
        <v>165</v>
      </c>
      <c r="C27" s="39">
        <f>C16*$G$23/2</f>
        <v>4800</v>
      </c>
      <c r="D27" s="39">
        <f t="shared" ref="D27:F27" si="2">D16*$G$23/2</f>
        <v>3600</v>
      </c>
      <c r="E27" s="39">
        <f t="shared" si="2"/>
        <v>3600</v>
      </c>
      <c r="F27" s="39">
        <f t="shared" si="2"/>
        <v>3600</v>
      </c>
    </row>
  </sheetData>
  <mergeCells count="2">
    <mergeCell ref="A1:H1"/>
    <mergeCell ref="C2:F2"/>
  </mergeCells>
  <conditionalFormatting sqref="C9:F9">
    <cfRule type="cellIs" dxfId="7" priority="2" operator="equal">
      <formula>FALSE</formula>
    </cfRule>
  </conditionalFormatting>
  <conditionalFormatting sqref="C25:F25">
    <cfRule type="cellIs" dxfId="6" priority="1" operator="equal">
      <formula>FALSE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27"/>
  <sheetViews>
    <sheetView zoomScale="130" zoomScaleNormal="130" workbookViewId="0">
      <selection activeCell="J13" sqref="J13"/>
    </sheetView>
  </sheetViews>
  <sheetFormatPr defaultRowHeight="13.2" x14ac:dyDescent="0.25"/>
  <cols>
    <col min="1" max="1" width="14.6640625" style="4" customWidth="1"/>
    <col min="2" max="2" width="5.33203125" style="4" bestFit="1" customWidth="1"/>
    <col min="3" max="6" width="10.6640625" style="4" customWidth="1"/>
    <col min="7" max="8" width="11.6640625" style="4" customWidth="1"/>
    <col min="9" max="9" width="8.88671875" style="4"/>
    <col min="10" max="10" width="9.21875" style="4" bestFit="1" customWidth="1"/>
    <col min="11" max="11" width="12.109375" style="4" bestFit="1" customWidth="1"/>
    <col min="12" max="16384" width="8.88671875" style="4"/>
  </cols>
  <sheetData>
    <row r="1" spans="1:13" ht="15.6" x14ac:dyDescent="0.3">
      <c r="A1" s="52" t="s">
        <v>140</v>
      </c>
      <c r="B1" s="52"/>
      <c r="C1" s="52"/>
      <c r="D1" s="52"/>
      <c r="E1" s="52"/>
      <c r="F1" s="52"/>
      <c r="G1" s="52"/>
      <c r="H1" s="52"/>
    </row>
    <row r="2" spans="1:13" x14ac:dyDescent="0.25">
      <c r="A2" s="4" t="s">
        <v>138</v>
      </c>
      <c r="B2" s="4">
        <v>2015</v>
      </c>
      <c r="C2" s="53">
        <v>2016</v>
      </c>
      <c r="D2" s="53"/>
      <c r="E2" s="53"/>
      <c r="F2" s="53"/>
    </row>
    <row r="3" spans="1:13" x14ac:dyDescent="0.25">
      <c r="A3" s="4" t="s">
        <v>137</v>
      </c>
      <c r="B3" s="4">
        <v>4</v>
      </c>
      <c r="C3" s="4">
        <v>1</v>
      </c>
      <c r="D3" s="4">
        <v>2</v>
      </c>
      <c r="E3" s="4">
        <v>3</v>
      </c>
      <c r="F3" s="4">
        <v>4</v>
      </c>
    </row>
    <row r="4" spans="1:13" x14ac:dyDescent="0.25">
      <c r="A4" s="4" t="s">
        <v>141</v>
      </c>
      <c r="C4" s="26">
        <v>6000</v>
      </c>
      <c r="D4" s="26">
        <v>3000</v>
      </c>
      <c r="E4" s="26">
        <v>1000</v>
      </c>
      <c r="F4" s="26">
        <v>10000</v>
      </c>
      <c r="J4" s="4" t="s">
        <v>220</v>
      </c>
    </row>
    <row r="5" spans="1:13" x14ac:dyDescent="0.25">
      <c r="A5" s="4" t="s">
        <v>142</v>
      </c>
      <c r="C5" s="27">
        <v>6000</v>
      </c>
      <c r="D5" s="27">
        <v>4160</v>
      </c>
      <c r="E5" s="27">
        <v>4160.0000000000009</v>
      </c>
      <c r="F5" s="27">
        <v>5680</v>
      </c>
    </row>
    <row r="6" spans="1:13" x14ac:dyDescent="0.25">
      <c r="A6" s="4" t="s">
        <v>143</v>
      </c>
      <c r="G6" s="4" t="s">
        <v>144</v>
      </c>
      <c r="H6" s="28">
        <f>SUM(H10:H11,H18:H21)</f>
        <v>1286100</v>
      </c>
    </row>
    <row r="7" spans="1:13" x14ac:dyDescent="0.25">
      <c r="A7" s="4" t="s">
        <v>145</v>
      </c>
      <c r="C7" s="4">
        <f>B8</f>
        <v>500</v>
      </c>
      <c r="D7" s="4">
        <f>C8</f>
        <v>500</v>
      </c>
      <c r="E7" s="4">
        <f>D8</f>
        <v>1660</v>
      </c>
      <c r="F7" s="4">
        <f>E8</f>
        <v>4820.0000000000009</v>
      </c>
    </row>
    <row r="8" spans="1:13" x14ac:dyDescent="0.25">
      <c r="A8" s="4" t="s">
        <v>146</v>
      </c>
      <c r="B8" s="26">
        <v>500</v>
      </c>
      <c r="C8" s="4">
        <f>C7+C5-C4</f>
        <v>500</v>
      </c>
      <c r="D8" s="4">
        <f>D7+D5-D4</f>
        <v>1660</v>
      </c>
      <c r="E8" s="4">
        <f>E7+E5-E4</f>
        <v>4820.0000000000009</v>
      </c>
      <c r="F8" s="4">
        <f>F7+F5-F4</f>
        <v>500</v>
      </c>
    </row>
    <row r="9" spans="1:13" x14ac:dyDescent="0.25">
      <c r="C9" s="29" t="b">
        <f>C8&gt;=$B$8</f>
        <v>1</v>
      </c>
      <c r="D9" s="29" t="b">
        <f t="shared" ref="D9:F9" si="0">D8&gt;=$B$8</f>
        <v>1</v>
      </c>
      <c r="E9" s="29" t="b">
        <f t="shared" si="0"/>
        <v>1</v>
      </c>
      <c r="F9" s="29" t="b">
        <f t="shared" si="0"/>
        <v>1</v>
      </c>
      <c r="G9" s="4" t="s">
        <v>147</v>
      </c>
      <c r="H9" s="4" t="s">
        <v>148</v>
      </c>
    </row>
    <row r="10" spans="1:13" x14ac:dyDescent="0.25">
      <c r="A10" s="4" t="s">
        <v>149</v>
      </c>
      <c r="C10" s="30">
        <f>AVERAGE(C7:C8)*$G$10</f>
        <v>3000</v>
      </c>
      <c r="D10" s="30">
        <f>AVERAGE(D7:D8)*$G$10</f>
        <v>6480</v>
      </c>
      <c r="E10" s="30">
        <f>AVERAGE(E7:E8)*$G$10</f>
        <v>19440.000000000004</v>
      </c>
      <c r="F10" s="30">
        <f>AVERAGE(F7:F8)*$G$10</f>
        <v>15960.000000000004</v>
      </c>
      <c r="G10" s="31">
        <v>6</v>
      </c>
      <c r="H10" s="30">
        <f>SUM(C10:F10)</f>
        <v>44880.000000000007</v>
      </c>
    </row>
    <row r="11" spans="1:13" x14ac:dyDescent="0.25">
      <c r="A11" s="4" t="s">
        <v>150</v>
      </c>
      <c r="C11" s="30">
        <f>C5*$G$11</f>
        <v>180000</v>
      </c>
      <c r="D11" s="30">
        <f>D5*$G$11</f>
        <v>124800</v>
      </c>
      <c r="E11" s="30">
        <f>E5*$G$11</f>
        <v>124800.00000000003</v>
      </c>
      <c r="F11" s="30">
        <f>F5*$G$11</f>
        <v>170400</v>
      </c>
      <c r="G11" s="31">
        <v>30</v>
      </c>
      <c r="H11" s="30">
        <f>SUM(C11:F11)</f>
        <v>600000</v>
      </c>
      <c r="I11" s="32"/>
      <c r="J11" s="32"/>
      <c r="K11" s="32"/>
      <c r="L11" s="32"/>
      <c r="M11" s="32"/>
    </row>
    <row r="12" spans="1:13" x14ac:dyDescent="0.25">
      <c r="A12" s="4" t="s">
        <v>151</v>
      </c>
      <c r="C12" s="27">
        <v>0</v>
      </c>
      <c r="D12" s="27">
        <v>0</v>
      </c>
      <c r="E12" s="27">
        <v>0</v>
      </c>
      <c r="F12" s="27">
        <v>0</v>
      </c>
      <c r="G12" s="30"/>
      <c r="I12" s="32"/>
      <c r="J12" s="32"/>
      <c r="K12" s="32"/>
      <c r="L12" s="32"/>
      <c r="M12" s="32"/>
    </row>
    <row r="13" spans="1:13" x14ac:dyDescent="0.25">
      <c r="A13" s="4" t="s">
        <v>152</v>
      </c>
      <c r="C13" s="27">
        <v>2</v>
      </c>
      <c r="D13" s="27">
        <v>5</v>
      </c>
      <c r="E13" s="27">
        <v>0</v>
      </c>
      <c r="F13" s="27">
        <v>0</v>
      </c>
      <c r="I13" s="32"/>
      <c r="J13" s="50"/>
      <c r="K13" s="32"/>
      <c r="L13" s="32"/>
      <c r="M13" s="32"/>
    </row>
    <row r="14" spans="1:13" x14ac:dyDescent="0.25">
      <c r="A14" s="4" t="s">
        <v>153</v>
      </c>
      <c r="C14" s="32"/>
      <c r="D14" s="32"/>
      <c r="E14" s="32"/>
      <c r="F14" s="32"/>
      <c r="I14" s="32"/>
      <c r="J14" s="32"/>
      <c r="K14" s="32"/>
      <c r="L14" s="32"/>
      <c r="M14" s="32"/>
    </row>
    <row r="15" spans="1:13" x14ac:dyDescent="0.25">
      <c r="A15" s="4" t="s">
        <v>145</v>
      </c>
      <c r="C15" s="32">
        <f>B16</f>
        <v>20</v>
      </c>
      <c r="D15" s="32">
        <f>C16</f>
        <v>18</v>
      </c>
      <c r="E15" s="32">
        <f>D16</f>
        <v>13</v>
      </c>
      <c r="F15" s="32">
        <f>E16</f>
        <v>13</v>
      </c>
      <c r="I15" s="32"/>
      <c r="J15" s="32"/>
      <c r="K15" s="32"/>
      <c r="L15" s="32"/>
      <c r="M15" s="32"/>
    </row>
    <row r="16" spans="1:13" x14ac:dyDescent="0.25">
      <c r="A16" s="4" t="s">
        <v>146</v>
      </c>
      <c r="B16" s="26">
        <v>20</v>
      </c>
      <c r="C16" s="32">
        <f>C15+C12-C13</f>
        <v>18</v>
      </c>
      <c r="D16" s="32">
        <f>D15+D12-D13</f>
        <v>13</v>
      </c>
      <c r="E16" s="32">
        <f>E15+E12-E13</f>
        <v>13</v>
      </c>
      <c r="F16" s="32">
        <f>F15+F12-F13</f>
        <v>13</v>
      </c>
      <c r="I16" s="32"/>
      <c r="J16" s="32"/>
      <c r="K16" s="32"/>
      <c r="L16" s="32"/>
      <c r="M16" s="32"/>
    </row>
    <row r="17" spans="1:13" x14ac:dyDescent="0.25">
      <c r="A17" s="4" t="s">
        <v>154</v>
      </c>
      <c r="C17" s="27">
        <v>360</v>
      </c>
      <c r="D17" s="27">
        <v>0</v>
      </c>
      <c r="E17" s="27">
        <v>0</v>
      </c>
      <c r="F17" s="27">
        <v>2280</v>
      </c>
      <c r="G17" s="4" t="s">
        <v>147</v>
      </c>
      <c r="H17" s="4" t="s">
        <v>148</v>
      </c>
      <c r="I17" s="32"/>
      <c r="J17" s="51"/>
      <c r="K17" s="32"/>
      <c r="L17" s="32"/>
      <c r="M17" s="32"/>
    </row>
    <row r="18" spans="1:13" x14ac:dyDescent="0.25">
      <c r="A18" s="4" t="s">
        <v>155</v>
      </c>
      <c r="C18" s="33">
        <f>C12*$G$18</f>
        <v>0</v>
      </c>
      <c r="D18" s="33">
        <f>D12*$G$18</f>
        <v>0</v>
      </c>
      <c r="E18" s="33">
        <f>E12*$G$18</f>
        <v>0</v>
      </c>
      <c r="F18" s="33">
        <f>F12*$G$18</f>
        <v>0</v>
      </c>
      <c r="G18" s="31">
        <v>3000</v>
      </c>
      <c r="H18" s="30">
        <f>SUM(C18:F18)</f>
        <v>0</v>
      </c>
      <c r="I18" s="32"/>
      <c r="J18" s="32"/>
      <c r="K18" s="32"/>
      <c r="L18" s="32"/>
      <c r="M18" s="32"/>
    </row>
    <row r="19" spans="1:13" x14ac:dyDescent="0.25">
      <c r="A19" s="4" t="s">
        <v>156</v>
      </c>
      <c r="C19" s="33">
        <f>C13*$G$19</f>
        <v>3000</v>
      </c>
      <c r="D19" s="33">
        <f>D13*$G$19</f>
        <v>7500</v>
      </c>
      <c r="E19" s="33">
        <f>E13*$G$19</f>
        <v>0</v>
      </c>
      <c r="F19" s="33">
        <f>F13*$G$19</f>
        <v>0</v>
      </c>
      <c r="G19" s="31">
        <v>1500</v>
      </c>
      <c r="H19" s="30">
        <f>SUM(C19:F19)</f>
        <v>10500</v>
      </c>
      <c r="I19" s="32"/>
      <c r="J19" s="50"/>
      <c r="K19" s="32"/>
      <c r="L19" s="32"/>
      <c r="M19" s="32"/>
    </row>
    <row r="20" spans="1:13" x14ac:dyDescent="0.25">
      <c r="A20" s="4" t="s">
        <v>157</v>
      </c>
      <c r="C20" s="30">
        <f>C16*$G$20</f>
        <v>180000</v>
      </c>
      <c r="D20" s="30">
        <f>D16*$G$20</f>
        <v>130000</v>
      </c>
      <c r="E20" s="30">
        <f>E16*$G$20</f>
        <v>130000</v>
      </c>
      <c r="F20" s="30">
        <f>F16*$G$20</f>
        <v>130000</v>
      </c>
      <c r="G20" s="31">
        <v>10000</v>
      </c>
      <c r="H20" s="30">
        <f>SUM(C20:F20)</f>
        <v>570000</v>
      </c>
      <c r="I20" s="32"/>
      <c r="J20" s="50"/>
      <c r="K20" s="32"/>
      <c r="L20" s="32"/>
      <c r="M20" s="32"/>
    </row>
    <row r="21" spans="1:13" x14ac:dyDescent="0.25">
      <c r="A21" s="4" t="s">
        <v>158</v>
      </c>
      <c r="C21" s="30">
        <f>C17*$G$21</f>
        <v>8280</v>
      </c>
      <c r="D21" s="30">
        <f>D17*$G$21</f>
        <v>0</v>
      </c>
      <c r="E21" s="30">
        <f>E17*$G$21</f>
        <v>0</v>
      </c>
      <c r="F21" s="30">
        <f>F17*$G$21</f>
        <v>52440</v>
      </c>
      <c r="G21" s="31">
        <v>23</v>
      </c>
      <c r="H21" s="30">
        <f>SUM(C21:F21)</f>
        <v>60720</v>
      </c>
      <c r="I21" s="32"/>
      <c r="J21" s="50"/>
      <c r="K21" s="32"/>
      <c r="L21" s="32"/>
      <c r="M21" s="32"/>
    </row>
    <row r="22" spans="1:13" x14ac:dyDescent="0.25">
      <c r="A22" s="4" t="s">
        <v>159</v>
      </c>
      <c r="G22" s="4" t="s">
        <v>160</v>
      </c>
      <c r="I22" s="32"/>
      <c r="J22" s="32"/>
      <c r="K22" s="32"/>
      <c r="L22" s="32"/>
      <c r="M22" s="32"/>
    </row>
    <row r="23" spans="1:13" x14ac:dyDescent="0.25">
      <c r="A23" s="4" t="s">
        <v>161</v>
      </c>
      <c r="C23" s="34">
        <f>C16*$G$23+C17</f>
        <v>9000</v>
      </c>
      <c r="D23" s="34">
        <f>D16*$G$23+D17</f>
        <v>6240</v>
      </c>
      <c r="E23" s="34">
        <f>E16*$G$23+E17</f>
        <v>6240</v>
      </c>
      <c r="F23" s="34">
        <f>F16*$G$23+F17</f>
        <v>8520</v>
      </c>
      <c r="G23" s="35">
        <v>480</v>
      </c>
      <c r="H23" s="36" t="s">
        <v>162</v>
      </c>
    </row>
    <row r="24" spans="1:13" x14ac:dyDescent="0.25">
      <c r="A24" s="4" t="s">
        <v>163</v>
      </c>
      <c r="C24" s="34">
        <f>C5*$G$24</f>
        <v>9000</v>
      </c>
      <c r="D24" s="34">
        <f>D5*$G$24</f>
        <v>6240</v>
      </c>
      <c r="E24" s="34">
        <f>E5*$G$24</f>
        <v>6240.0000000000018</v>
      </c>
      <c r="F24" s="34">
        <f>F5*$G$24</f>
        <v>8520</v>
      </c>
      <c r="G24" s="37">
        <v>1.5</v>
      </c>
      <c r="H24" s="36" t="s">
        <v>164</v>
      </c>
    </row>
    <row r="25" spans="1:13" x14ac:dyDescent="0.25">
      <c r="C25" s="29" t="b">
        <f t="shared" ref="C25:E25" si="1">C23&gt;=C24-0.0001</f>
        <v>1</v>
      </c>
      <c r="D25" s="29" t="b">
        <f t="shared" si="1"/>
        <v>1</v>
      </c>
      <c r="E25" s="29" t="b">
        <f t="shared" si="1"/>
        <v>1</v>
      </c>
      <c r="F25" s="29" t="b">
        <f>F23&gt;=F24-0.0001</f>
        <v>1</v>
      </c>
    </row>
    <row r="27" spans="1:13" x14ac:dyDescent="0.25">
      <c r="A27" s="38" t="s">
        <v>165</v>
      </c>
      <c r="C27" s="39">
        <f>C16*$G$23/2</f>
        <v>4320</v>
      </c>
      <c r="D27" s="39">
        <f t="shared" ref="D27:F27" si="2">D16*$G$23/2</f>
        <v>3120</v>
      </c>
      <c r="E27" s="39">
        <f t="shared" si="2"/>
        <v>3120</v>
      </c>
      <c r="F27" s="39">
        <f t="shared" si="2"/>
        <v>3120</v>
      </c>
    </row>
  </sheetData>
  <mergeCells count="2">
    <mergeCell ref="A1:H1"/>
    <mergeCell ref="C2:F2"/>
  </mergeCells>
  <conditionalFormatting sqref="C9:F9">
    <cfRule type="cellIs" dxfId="5" priority="2" operator="equal">
      <formula>FALSE</formula>
    </cfRule>
  </conditionalFormatting>
  <conditionalFormatting sqref="C25:F25">
    <cfRule type="cellIs" dxfId="4" priority="1" operator="equal">
      <formula>FALSE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27"/>
  <sheetViews>
    <sheetView topLeftCell="B4" zoomScale="130" zoomScaleNormal="130" workbookViewId="0">
      <selection activeCell="P17" sqref="P17"/>
    </sheetView>
  </sheetViews>
  <sheetFormatPr defaultRowHeight="13.2" x14ac:dyDescent="0.25"/>
  <cols>
    <col min="1" max="1" width="14.6640625" style="4" customWidth="1"/>
    <col min="2" max="2" width="5.33203125" style="4" bestFit="1" customWidth="1"/>
    <col min="3" max="6" width="10.6640625" style="4" customWidth="1"/>
    <col min="7" max="8" width="11.6640625" style="4" customWidth="1"/>
    <col min="9" max="9" width="8.88671875" style="4"/>
    <col min="10" max="10" width="9.21875" style="4" bestFit="1" customWidth="1"/>
    <col min="11" max="11" width="12.109375" style="4" bestFit="1" customWidth="1"/>
    <col min="12" max="16384" width="8.88671875" style="4"/>
  </cols>
  <sheetData>
    <row r="1" spans="1:16" ht="15.6" x14ac:dyDescent="0.3">
      <c r="A1" s="52" t="s">
        <v>140</v>
      </c>
      <c r="B1" s="52"/>
      <c r="C1" s="52"/>
      <c r="D1" s="52"/>
      <c r="E1" s="52"/>
      <c r="F1" s="52"/>
      <c r="G1" s="52"/>
      <c r="H1" s="52"/>
    </row>
    <row r="2" spans="1:16" x14ac:dyDescent="0.25">
      <c r="A2" s="4" t="s">
        <v>138</v>
      </c>
      <c r="B2" s="4">
        <v>2015</v>
      </c>
      <c r="C2" s="53">
        <v>2016</v>
      </c>
      <c r="D2" s="53"/>
      <c r="E2" s="53"/>
      <c r="F2" s="53"/>
      <c r="L2" s="4">
        <v>2017</v>
      </c>
    </row>
    <row r="3" spans="1:16" x14ac:dyDescent="0.25">
      <c r="A3" s="4" t="s">
        <v>137</v>
      </c>
      <c r="B3" s="4">
        <v>4</v>
      </c>
      <c r="C3" s="4">
        <v>1</v>
      </c>
      <c r="D3" s="4">
        <v>2</v>
      </c>
      <c r="E3" s="4">
        <v>3</v>
      </c>
      <c r="F3" s="4">
        <v>4</v>
      </c>
      <c r="K3" s="4">
        <v>1</v>
      </c>
      <c r="L3" s="4">
        <v>2</v>
      </c>
      <c r="M3" s="4">
        <v>3</v>
      </c>
      <c r="N3" s="4">
        <v>4</v>
      </c>
    </row>
    <row r="4" spans="1:16" x14ac:dyDescent="0.25">
      <c r="A4" s="4" t="s">
        <v>141</v>
      </c>
      <c r="C4" s="26">
        <v>7000</v>
      </c>
      <c r="D4" s="26">
        <v>3000</v>
      </c>
      <c r="E4" s="26">
        <v>1000</v>
      </c>
      <c r="F4" s="26">
        <v>10000</v>
      </c>
      <c r="K4" s="26">
        <f>C4*0.1+C4</f>
        <v>7700</v>
      </c>
      <c r="L4" s="26">
        <f t="shared" ref="L4:N4" si="0">D4*0.1+D4</f>
        <v>3300</v>
      </c>
      <c r="M4" s="26">
        <f t="shared" si="0"/>
        <v>1100</v>
      </c>
      <c r="N4" s="26">
        <f t="shared" si="0"/>
        <v>11000</v>
      </c>
    </row>
    <row r="5" spans="1:16" x14ac:dyDescent="0.25">
      <c r="A5" s="4" t="s">
        <v>142</v>
      </c>
      <c r="C5" s="27">
        <v>7000</v>
      </c>
      <c r="D5" s="27">
        <v>4800.0000000000027</v>
      </c>
      <c r="E5" s="27">
        <v>4799.9999999999955</v>
      </c>
      <c r="F5" s="27">
        <v>4900.0000000000109</v>
      </c>
      <c r="K5" s="27">
        <v>7199.9999999999936</v>
      </c>
      <c r="L5" s="27">
        <v>4479.9999999999945</v>
      </c>
      <c r="M5" s="27">
        <v>4479.9999999999945</v>
      </c>
      <c r="N5" s="27">
        <v>6440.0000000000109</v>
      </c>
    </row>
    <row r="6" spans="1:16" x14ac:dyDescent="0.25">
      <c r="A6" s="4" t="s">
        <v>143</v>
      </c>
      <c r="G6" s="4" t="s">
        <v>144</v>
      </c>
      <c r="H6" s="28">
        <f>SUM(H10:H11,H18:H21)</f>
        <v>2832410.0000000009</v>
      </c>
    </row>
    <row r="7" spans="1:16" x14ac:dyDescent="0.25">
      <c r="A7" s="4" t="s">
        <v>145</v>
      </c>
      <c r="C7" s="4">
        <f>B8</f>
        <v>500</v>
      </c>
      <c r="D7" s="4">
        <f>C8</f>
        <v>500</v>
      </c>
      <c r="E7" s="4">
        <f>D8</f>
        <v>2300.0000000000027</v>
      </c>
      <c r="F7" s="4">
        <f>E8</f>
        <v>6099.9999999999982</v>
      </c>
      <c r="K7" s="4">
        <f>F8</f>
        <v>1000.0000000000091</v>
      </c>
      <c r="L7" s="4">
        <f>K8</f>
        <v>500.00000000000364</v>
      </c>
      <c r="M7" s="4">
        <f>L8</f>
        <v>1679.9999999999982</v>
      </c>
      <c r="N7" s="4">
        <f>M8</f>
        <v>5059.9999999999927</v>
      </c>
    </row>
    <row r="8" spans="1:16" x14ac:dyDescent="0.25">
      <c r="A8" s="4" t="s">
        <v>146</v>
      </c>
      <c r="B8" s="26">
        <v>500</v>
      </c>
      <c r="C8" s="4">
        <f>C7+C5-C4</f>
        <v>500</v>
      </c>
      <c r="D8" s="4">
        <f>D7+D5-D4</f>
        <v>2300.0000000000027</v>
      </c>
      <c r="E8" s="4">
        <f>E7+E5-E4</f>
        <v>6099.9999999999982</v>
      </c>
      <c r="F8" s="4">
        <f>F7+F5-F4</f>
        <v>1000.0000000000091</v>
      </c>
      <c r="K8" s="4">
        <f>K7+K5-K4</f>
        <v>500.00000000000364</v>
      </c>
      <c r="L8" s="4">
        <f>L7+L5-L4</f>
        <v>1679.9999999999982</v>
      </c>
      <c r="M8" s="4">
        <f>M7+M5-M4</f>
        <v>5059.9999999999927</v>
      </c>
      <c r="N8" s="4">
        <f>N7+N5-N4</f>
        <v>500.00000000000364</v>
      </c>
    </row>
    <row r="9" spans="1:16" x14ac:dyDescent="0.25">
      <c r="C9" s="29" t="b">
        <f>C8&gt;=$B$8</f>
        <v>1</v>
      </c>
      <c r="D9" s="29" t="b">
        <f t="shared" ref="D9:F9" si="1">D8&gt;=$B$8</f>
        <v>1</v>
      </c>
      <c r="E9" s="29" t="b">
        <f t="shared" si="1"/>
        <v>1</v>
      </c>
      <c r="F9" s="29" t="b">
        <f t="shared" si="1"/>
        <v>1</v>
      </c>
      <c r="G9" s="4" t="s">
        <v>147</v>
      </c>
      <c r="H9" s="4" t="s">
        <v>148</v>
      </c>
      <c r="K9" s="29" t="b">
        <f>K8&gt;=$B$8</f>
        <v>1</v>
      </c>
      <c r="L9" s="29" t="b">
        <f t="shared" ref="L9:N9" si="2">L8&gt;=$B$8</f>
        <v>1</v>
      </c>
      <c r="M9" s="29" t="b">
        <f t="shared" si="2"/>
        <v>1</v>
      </c>
      <c r="N9" s="29" t="b">
        <f t="shared" si="2"/>
        <v>1</v>
      </c>
    </row>
    <row r="10" spans="1:16" x14ac:dyDescent="0.25">
      <c r="A10" s="4" t="s">
        <v>149</v>
      </c>
      <c r="C10" s="30">
        <f>AVERAGE(C7:C8)*$G$10</f>
        <v>3000</v>
      </c>
      <c r="D10" s="30">
        <f>AVERAGE(D7:D8)*$G$10</f>
        <v>8400.0000000000073</v>
      </c>
      <c r="E10" s="30">
        <f>AVERAGE(E7:E8)*$G$10</f>
        <v>25200</v>
      </c>
      <c r="F10" s="30">
        <f>AVERAGE(F7:F8)*$G$10</f>
        <v>21300.000000000022</v>
      </c>
      <c r="G10" s="31">
        <v>6</v>
      </c>
      <c r="H10" s="30">
        <f>SUM(C10:F10)+SUM(K10:N10)</f>
        <v>105840.00000000003</v>
      </c>
      <c r="K10" s="30">
        <f>AVERAGE(K7:K8)*$G$10</f>
        <v>4500.0000000000382</v>
      </c>
      <c r="L10" s="30">
        <f>AVERAGE(L7:L8)*$G$10</f>
        <v>6540.0000000000055</v>
      </c>
      <c r="M10" s="30">
        <f>AVERAGE(M7:M8)*$G$10</f>
        <v>20219.999999999971</v>
      </c>
      <c r="N10" s="30">
        <f>AVERAGE(N7:N8)*$G$10</f>
        <v>16679.999999999989</v>
      </c>
    </row>
    <row r="11" spans="1:16" x14ac:dyDescent="0.25">
      <c r="A11" s="4" t="s">
        <v>150</v>
      </c>
      <c r="C11" s="30">
        <f>C5*$G$11</f>
        <v>210000</v>
      </c>
      <c r="D11" s="30">
        <f>D5*$G$11</f>
        <v>144000.00000000009</v>
      </c>
      <c r="E11" s="30">
        <f>E5*$G$11</f>
        <v>143999.99999999985</v>
      </c>
      <c r="F11" s="30">
        <f>F5*$G$11</f>
        <v>147000.00000000032</v>
      </c>
      <c r="G11" s="31">
        <v>30</v>
      </c>
      <c r="H11" s="30">
        <f>SUM(C11:F11)+SUM(K11:N11)</f>
        <v>1323000</v>
      </c>
      <c r="I11" s="32"/>
      <c r="J11" s="32"/>
      <c r="K11" s="30">
        <f>K5*$G$11</f>
        <v>215999.9999999998</v>
      </c>
      <c r="L11" s="30">
        <f>L5*$G$11</f>
        <v>134399.99999999983</v>
      </c>
      <c r="M11" s="30">
        <f>M5*$G$11</f>
        <v>134399.99999999983</v>
      </c>
      <c r="N11" s="30">
        <f>N5*$G$11</f>
        <v>193200.00000000032</v>
      </c>
    </row>
    <row r="12" spans="1:16" x14ac:dyDescent="0.25">
      <c r="A12" s="4" t="s">
        <v>151</v>
      </c>
      <c r="C12" s="27">
        <v>0</v>
      </c>
      <c r="D12" s="27">
        <v>0</v>
      </c>
      <c r="E12" s="27">
        <v>0</v>
      </c>
      <c r="F12" s="27">
        <v>0</v>
      </c>
      <c r="G12" s="30"/>
      <c r="I12" s="32"/>
      <c r="J12" s="32"/>
      <c r="K12" s="27">
        <v>0</v>
      </c>
      <c r="L12" s="27">
        <v>0</v>
      </c>
      <c r="M12" s="27">
        <v>0</v>
      </c>
      <c r="N12" s="27">
        <v>0</v>
      </c>
    </row>
    <row r="13" spans="1:16" x14ac:dyDescent="0.25">
      <c r="A13" s="4" t="s">
        <v>152</v>
      </c>
      <c r="C13" s="27">
        <v>0</v>
      </c>
      <c r="D13" s="27">
        <v>5</v>
      </c>
      <c r="E13" s="27">
        <v>0</v>
      </c>
      <c r="F13" s="27">
        <v>0</v>
      </c>
      <c r="I13" s="32"/>
      <c r="J13" s="50"/>
      <c r="K13" s="27">
        <v>0</v>
      </c>
      <c r="L13" s="27">
        <v>1</v>
      </c>
      <c r="M13" s="27">
        <v>0</v>
      </c>
      <c r="N13" s="27">
        <v>0</v>
      </c>
    </row>
    <row r="14" spans="1:16" x14ac:dyDescent="0.25">
      <c r="A14" s="4" t="s">
        <v>153</v>
      </c>
      <c r="C14" s="32"/>
      <c r="D14" s="32"/>
      <c r="E14" s="32"/>
      <c r="F14" s="32"/>
      <c r="I14" s="32"/>
      <c r="J14" s="32"/>
      <c r="K14" s="32"/>
      <c r="L14" s="32"/>
      <c r="M14" s="32"/>
      <c r="N14" s="32"/>
    </row>
    <row r="15" spans="1:16" x14ac:dyDescent="0.25">
      <c r="A15" s="4" t="s">
        <v>145</v>
      </c>
      <c r="C15" s="32">
        <f>B16</f>
        <v>20</v>
      </c>
      <c r="D15" s="32">
        <f>C16</f>
        <v>20</v>
      </c>
      <c r="E15" s="32">
        <f>D16</f>
        <v>15</v>
      </c>
      <c r="F15" s="32">
        <f>E16</f>
        <v>15</v>
      </c>
      <c r="I15" s="32"/>
      <c r="J15" s="32"/>
      <c r="K15" s="32">
        <f>F16</f>
        <v>15</v>
      </c>
      <c r="L15" s="32">
        <f>K16</f>
        <v>15</v>
      </c>
      <c r="M15" s="32">
        <f>L16</f>
        <v>14</v>
      </c>
      <c r="N15" s="32">
        <f>M16</f>
        <v>14</v>
      </c>
    </row>
    <row r="16" spans="1:16" x14ac:dyDescent="0.25">
      <c r="A16" s="4" t="s">
        <v>146</v>
      </c>
      <c r="B16" s="26">
        <v>20</v>
      </c>
      <c r="C16" s="32">
        <f>C15+C12-C13</f>
        <v>20</v>
      </c>
      <c r="D16" s="32">
        <f>D15+D12-D13</f>
        <v>15</v>
      </c>
      <c r="E16" s="32">
        <f>E15+E12-E13</f>
        <v>15</v>
      </c>
      <c r="F16" s="32">
        <f>F15+F12-F13</f>
        <v>15</v>
      </c>
      <c r="I16" s="32"/>
      <c r="J16" s="32"/>
      <c r="K16" s="32">
        <f>K15+K12-K13</f>
        <v>15</v>
      </c>
      <c r="L16" s="32">
        <f>L15+L12-L13</f>
        <v>14</v>
      </c>
      <c r="M16" s="32">
        <f>M15+M12-M13</f>
        <v>14</v>
      </c>
      <c r="N16" s="32">
        <f>N15+N12-N13</f>
        <v>14</v>
      </c>
      <c r="P16" s="4" t="s">
        <v>221</v>
      </c>
    </row>
    <row r="17" spans="1:16" x14ac:dyDescent="0.25">
      <c r="A17" s="4" t="s">
        <v>154</v>
      </c>
      <c r="C17" s="27">
        <v>900</v>
      </c>
      <c r="D17" s="27">
        <v>0</v>
      </c>
      <c r="E17" s="27">
        <v>0</v>
      </c>
      <c r="F17" s="27">
        <v>150.00000000002291</v>
      </c>
      <c r="G17" s="4" t="s">
        <v>147</v>
      </c>
      <c r="H17" s="4" t="s">
        <v>148</v>
      </c>
      <c r="I17" s="32"/>
      <c r="J17" s="51"/>
      <c r="K17" s="27">
        <v>3599.9999999999973</v>
      </c>
      <c r="L17" s="27">
        <v>0</v>
      </c>
      <c r="M17" s="27">
        <v>0</v>
      </c>
      <c r="N17" s="27">
        <v>2940.0000000000246</v>
      </c>
      <c r="P17" s="4">
        <f>SUM(K17:N17)</f>
        <v>6540.0000000000218</v>
      </c>
    </row>
    <row r="18" spans="1:16" x14ac:dyDescent="0.25">
      <c r="A18" s="4" t="s">
        <v>155</v>
      </c>
      <c r="C18" s="33">
        <f>C12*$G$18</f>
        <v>0</v>
      </c>
      <c r="D18" s="33">
        <f>D12*$G$18</f>
        <v>0</v>
      </c>
      <c r="E18" s="33">
        <f>E12*$G$18</f>
        <v>0</v>
      </c>
      <c r="F18" s="33">
        <f>F12*$G$18</f>
        <v>0</v>
      </c>
      <c r="G18" s="31">
        <v>3000</v>
      </c>
      <c r="H18" s="30">
        <f>SUM(C18:F18)+SUM(K18:N18)</f>
        <v>0</v>
      </c>
      <c r="I18" s="32"/>
      <c r="J18" s="32"/>
      <c r="K18" s="33">
        <f>K12*$G$18</f>
        <v>0</v>
      </c>
      <c r="L18" s="33">
        <f>L12*$G$18</f>
        <v>0</v>
      </c>
      <c r="M18" s="33">
        <f>M12*$G$18</f>
        <v>0</v>
      </c>
      <c r="N18" s="33">
        <f>N12*$G$18</f>
        <v>0</v>
      </c>
    </row>
    <row r="19" spans="1:16" x14ac:dyDescent="0.25">
      <c r="A19" s="4" t="s">
        <v>156</v>
      </c>
      <c r="C19" s="33">
        <f>C13*$G$19</f>
        <v>0</v>
      </c>
      <c r="D19" s="33">
        <f>D13*$G$19</f>
        <v>7500</v>
      </c>
      <c r="E19" s="33">
        <f>E13*$G$19</f>
        <v>0</v>
      </c>
      <c r="F19" s="33">
        <f>F13*$G$19</f>
        <v>0</v>
      </c>
      <c r="G19" s="31">
        <v>1500</v>
      </c>
      <c r="H19" s="30">
        <f>SUM(C19:F19)+SUM(K19:N19)</f>
        <v>9000</v>
      </c>
      <c r="I19" s="32"/>
      <c r="J19" s="50"/>
      <c r="K19" s="33">
        <f>K13*$G$19</f>
        <v>0</v>
      </c>
      <c r="L19" s="33">
        <f>L13*$G$19</f>
        <v>1500</v>
      </c>
      <c r="M19" s="33">
        <f>M13*$G$19</f>
        <v>0</v>
      </c>
      <c r="N19" s="33">
        <f>N13*$G$19</f>
        <v>0</v>
      </c>
    </row>
    <row r="20" spans="1:16" x14ac:dyDescent="0.25">
      <c r="A20" s="4" t="s">
        <v>157</v>
      </c>
      <c r="C20" s="30">
        <f>C16*$G$20</f>
        <v>200000</v>
      </c>
      <c r="D20" s="30">
        <f>D16*$G$20</f>
        <v>150000</v>
      </c>
      <c r="E20" s="30">
        <f>E16*$G$20</f>
        <v>150000</v>
      </c>
      <c r="F20" s="30">
        <f>F16*$G$20</f>
        <v>150000</v>
      </c>
      <c r="G20" s="31">
        <v>10000</v>
      </c>
      <c r="H20" s="30">
        <f>SUM(C20:F20)+SUM(K20:N20)</f>
        <v>1220000</v>
      </c>
      <c r="I20" s="32"/>
      <c r="J20" s="50"/>
      <c r="K20" s="30">
        <f>K16*$G$20</f>
        <v>150000</v>
      </c>
      <c r="L20" s="30">
        <f>L16*$G$20</f>
        <v>140000</v>
      </c>
      <c r="M20" s="30">
        <f>M16*$G$20</f>
        <v>140000</v>
      </c>
      <c r="N20" s="30">
        <f>N16*$G$20</f>
        <v>140000</v>
      </c>
    </row>
    <row r="21" spans="1:16" x14ac:dyDescent="0.25">
      <c r="A21" s="4" t="s">
        <v>158</v>
      </c>
      <c r="C21" s="30">
        <f>C17*$G$21</f>
        <v>20700</v>
      </c>
      <c r="D21" s="30">
        <f>D17*$G$21</f>
        <v>0</v>
      </c>
      <c r="E21" s="30">
        <f>E17*$G$21</f>
        <v>0</v>
      </c>
      <c r="F21" s="30">
        <f>F17*$G$21</f>
        <v>3450.0000000005271</v>
      </c>
      <c r="G21" s="31">
        <v>23</v>
      </c>
      <c r="H21" s="30">
        <f>SUM(C21:F21)+SUM(K21:N21)</f>
        <v>174570.00000000105</v>
      </c>
      <c r="I21" s="32"/>
      <c r="J21" s="50"/>
      <c r="K21" s="30">
        <f>K17*$G$21</f>
        <v>82799.999999999942</v>
      </c>
      <c r="L21" s="30">
        <f>L17*$G$21</f>
        <v>0</v>
      </c>
      <c r="M21" s="30">
        <f>M17*$G$21</f>
        <v>0</v>
      </c>
      <c r="N21" s="30">
        <f>N17*$G$21</f>
        <v>67620.000000000568</v>
      </c>
    </row>
    <row r="22" spans="1:16" x14ac:dyDescent="0.25">
      <c r="A22" s="4" t="s">
        <v>159</v>
      </c>
      <c r="G22" s="4" t="s">
        <v>160</v>
      </c>
      <c r="I22" s="32"/>
      <c r="J22" s="32"/>
    </row>
    <row r="23" spans="1:16" x14ac:dyDescent="0.25">
      <c r="A23" s="4" t="s">
        <v>161</v>
      </c>
      <c r="C23" s="34">
        <f>C16*$G$23+C17</f>
        <v>10500</v>
      </c>
      <c r="D23" s="34">
        <f>D16*$G$23+D17</f>
        <v>7200</v>
      </c>
      <c r="E23" s="34">
        <f>E16*$G$23+E17</f>
        <v>7200</v>
      </c>
      <c r="F23" s="34">
        <f>F16*$G$23+F17</f>
        <v>7350.0000000000227</v>
      </c>
      <c r="G23" s="35">
        <v>480</v>
      </c>
      <c r="H23" s="36" t="s">
        <v>162</v>
      </c>
      <c r="K23" s="34">
        <f>K16*$G$23+K17</f>
        <v>10799.999999999996</v>
      </c>
      <c r="L23" s="34">
        <f>L16*$G$23+L17</f>
        <v>6720</v>
      </c>
      <c r="M23" s="34">
        <f>M16*$G$23+M17</f>
        <v>6720</v>
      </c>
      <c r="N23" s="34">
        <f>N16*$G$23+N17</f>
        <v>9660.0000000000255</v>
      </c>
    </row>
    <row r="24" spans="1:16" x14ac:dyDescent="0.25">
      <c r="A24" s="4" t="s">
        <v>163</v>
      </c>
      <c r="C24" s="34">
        <f>C5*$G$24</f>
        <v>10500</v>
      </c>
      <c r="D24" s="34">
        <f>D5*$G$24</f>
        <v>7200.0000000000036</v>
      </c>
      <c r="E24" s="34">
        <f>E5*$G$24</f>
        <v>7199.9999999999927</v>
      </c>
      <c r="F24" s="34">
        <f>F5*$G$24</f>
        <v>7350.0000000000164</v>
      </c>
      <c r="G24" s="37">
        <v>1.5</v>
      </c>
      <c r="H24" s="36" t="s">
        <v>164</v>
      </c>
      <c r="K24" s="34">
        <f>K5*$G$24</f>
        <v>10799.999999999991</v>
      </c>
      <c r="L24" s="34">
        <f>L5*$G$24</f>
        <v>6719.9999999999918</v>
      </c>
      <c r="M24" s="34">
        <f>M5*$G$24</f>
        <v>6719.9999999999918</v>
      </c>
      <c r="N24" s="34">
        <f>N5*$G$24</f>
        <v>9660.0000000000164</v>
      </c>
    </row>
    <row r="25" spans="1:16" x14ac:dyDescent="0.25">
      <c r="C25" s="29" t="b">
        <f t="shared" ref="C25:E25" si="3">C23&gt;=C24-0.0001</f>
        <v>1</v>
      </c>
      <c r="D25" s="29" t="b">
        <f t="shared" si="3"/>
        <v>1</v>
      </c>
      <c r="E25" s="29" t="b">
        <f t="shared" si="3"/>
        <v>1</v>
      </c>
      <c r="F25" s="29" t="b">
        <f>F23&gt;=F24-0.0001</f>
        <v>1</v>
      </c>
      <c r="K25" s="29" t="b">
        <f t="shared" ref="K25:M25" si="4">K23&gt;=K24-0.0001</f>
        <v>1</v>
      </c>
      <c r="L25" s="29" t="b">
        <f t="shared" si="4"/>
        <v>1</v>
      </c>
      <c r="M25" s="29" t="b">
        <f t="shared" si="4"/>
        <v>1</v>
      </c>
      <c r="N25" s="29" t="b">
        <f>N23&gt;=N24-0.0001</f>
        <v>1</v>
      </c>
    </row>
    <row r="27" spans="1:16" x14ac:dyDescent="0.25">
      <c r="A27" s="38" t="s">
        <v>165</v>
      </c>
      <c r="C27" s="39">
        <f>C16*$G$23/2</f>
        <v>4800</v>
      </c>
      <c r="D27" s="39">
        <f t="shared" ref="D27:F27" si="5">D16*$G$23/2</f>
        <v>3600</v>
      </c>
      <c r="E27" s="39">
        <f t="shared" si="5"/>
        <v>3600</v>
      </c>
      <c r="F27" s="39">
        <f t="shared" si="5"/>
        <v>3600</v>
      </c>
      <c r="K27" s="39">
        <f>K16*$G$23/2</f>
        <v>3600</v>
      </c>
      <c r="L27" s="39">
        <f t="shared" ref="L27:N27" si="6">L16*$G$23/2</f>
        <v>3360</v>
      </c>
      <c r="M27" s="39">
        <f t="shared" si="6"/>
        <v>3360</v>
      </c>
      <c r="N27" s="39">
        <f t="shared" si="6"/>
        <v>3360</v>
      </c>
    </row>
  </sheetData>
  <mergeCells count="2">
    <mergeCell ref="A1:H1"/>
    <mergeCell ref="C2:F2"/>
  </mergeCells>
  <conditionalFormatting sqref="C9:F9">
    <cfRule type="cellIs" dxfId="3" priority="4" operator="equal">
      <formula>FALSE</formula>
    </cfRule>
  </conditionalFormatting>
  <conditionalFormatting sqref="C25:F25">
    <cfRule type="cellIs" dxfId="2" priority="3" operator="equal">
      <formula>FALSE</formula>
    </cfRule>
  </conditionalFormatting>
  <conditionalFormatting sqref="K9:N9">
    <cfRule type="cellIs" dxfId="1" priority="2" operator="equal">
      <formula>FALSE</formula>
    </cfRule>
  </conditionalFormatting>
  <conditionalFormatting sqref="K25:N25">
    <cfRule type="cellIs" dxfId="0" priority="1" operator="equal">
      <formula>FALSE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D29" sqref="D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abSelected="1" workbookViewId="0">
      <selection activeCell="I9" sqref="I9"/>
    </sheetView>
  </sheetViews>
  <sheetFormatPr defaultRowHeight="13.8" x14ac:dyDescent="0.3"/>
  <cols>
    <col min="1" max="1" width="5.44140625" style="5" customWidth="1"/>
    <col min="2" max="2" width="5.109375" style="3" customWidth="1"/>
    <col min="3" max="3" width="70.33203125" style="2" customWidth="1"/>
    <col min="4" max="4" width="18.33203125" style="3" customWidth="1"/>
    <col min="5" max="5" width="8.88671875" style="22" customWidth="1"/>
    <col min="6" max="17" width="8.88671875" style="2"/>
    <col min="18" max="19" width="8.88671875" style="2" customWidth="1"/>
    <col min="20" max="16384" width="8.88671875" style="2"/>
  </cols>
  <sheetData>
    <row r="1" spans="1:5" ht="31.8" customHeight="1" thickBot="1" x14ac:dyDescent="0.35">
      <c r="C1" s="8" t="str">
        <f>'HW5'!C1</f>
        <v>neilj9530</v>
      </c>
      <c r="D1" s="7" t="s">
        <v>136</v>
      </c>
      <c r="E1" s="21"/>
    </row>
    <row r="5" spans="1:5" ht="72" x14ac:dyDescent="0.3">
      <c r="B5" s="25" t="s">
        <v>139</v>
      </c>
      <c r="C5" s="16" t="s">
        <v>188</v>
      </c>
      <c r="D5" s="15"/>
      <c r="E5" s="18"/>
    </row>
    <row r="6" spans="1:5" ht="28.8" x14ac:dyDescent="0.3">
      <c r="A6" s="5">
        <v>1</v>
      </c>
      <c r="B6" s="25">
        <v>1</v>
      </c>
      <c r="C6" s="6" t="s">
        <v>168</v>
      </c>
      <c r="D6" s="40">
        <v>32.137142857142855</v>
      </c>
      <c r="E6" s="18"/>
    </row>
    <row r="7" spans="1:5" ht="28.8" x14ac:dyDescent="0.3">
      <c r="A7" s="5">
        <v>1</v>
      </c>
      <c r="B7" s="25">
        <v>2</v>
      </c>
      <c r="C7" s="6" t="s">
        <v>169</v>
      </c>
      <c r="D7" s="40">
        <v>32.07809523809523</v>
      </c>
      <c r="E7" s="18"/>
    </row>
    <row r="8" spans="1:5" ht="28.8" x14ac:dyDescent="0.3">
      <c r="A8" s="5">
        <v>1</v>
      </c>
      <c r="B8" s="25">
        <v>3</v>
      </c>
      <c r="C8" s="6" t="s">
        <v>170</v>
      </c>
      <c r="D8" s="40">
        <v>35.784761904761908</v>
      </c>
      <c r="E8" s="18"/>
    </row>
    <row r="9" spans="1:5" ht="43.2" x14ac:dyDescent="0.3">
      <c r="B9" s="25">
        <v>4</v>
      </c>
      <c r="C9" s="6" t="s">
        <v>172</v>
      </c>
      <c r="D9" s="41"/>
      <c r="E9" s="24"/>
    </row>
    <row r="10" spans="1:5" ht="14.4" x14ac:dyDescent="0.3">
      <c r="A10" s="5">
        <v>1</v>
      </c>
      <c r="B10" s="42" t="s">
        <v>174</v>
      </c>
      <c r="C10" s="14" t="s">
        <v>173</v>
      </c>
      <c r="D10" s="46">
        <v>2379.9999999999991</v>
      </c>
      <c r="E10" s="24"/>
    </row>
    <row r="11" spans="1:5" ht="14.4" x14ac:dyDescent="0.3">
      <c r="A11" s="5">
        <v>1</v>
      </c>
      <c r="B11" s="42" t="s">
        <v>175</v>
      </c>
      <c r="C11" s="14" t="s">
        <v>171</v>
      </c>
      <c r="D11" s="43">
        <v>1399880.0000000002</v>
      </c>
      <c r="E11" s="24"/>
    </row>
    <row r="12" spans="1:5" ht="28.8" x14ac:dyDescent="0.3">
      <c r="B12" s="25">
        <v>5</v>
      </c>
      <c r="C12" s="6" t="s">
        <v>176</v>
      </c>
      <c r="D12" s="44"/>
      <c r="E12" s="23"/>
    </row>
    <row r="13" spans="1:5" ht="14.4" x14ac:dyDescent="0.3">
      <c r="A13" s="5">
        <v>1</v>
      </c>
      <c r="B13" s="42" t="s">
        <v>174</v>
      </c>
      <c r="C13" s="14" t="s">
        <v>177</v>
      </c>
      <c r="D13" s="45">
        <v>3</v>
      </c>
      <c r="E13" s="23"/>
    </row>
    <row r="14" spans="1:5" ht="14.4" x14ac:dyDescent="0.3">
      <c r="A14" s="5">
        <v>1</v>
      </c>
      <c r="B14" s="42" t="s">
        <v>175</v>
      </c>
      <c r="C14" s="14" t="s">
        <v>171</v>
      </c>
      <c r="D14" s="43">
        <v>1352679.9999999998</v>
      </c>
      <c r="E14" s="23"/>
    </row>
    <row r="15" spans="1:5" ht="28.8" x14ac:dyDescent="0.3">
      <c r="B15" s="25">
        <v>6</v>
      </c>
      <c r="C15" s="6" t="s">
        <v>178</v>
      </c>
      <c r="D15" s="17"/>
      <c r="E15" s="20"/>
    </row>
    <row r="16" spans="1:5" ht="14.4" x14ac:dyDescent="0.3">
      <c r="A16" s="5">
        <v>1</v>
      </c>
      <c r="B16" s="42" t="s">
        <v>174</v>
      </c>
      <c r="C16" s="14" t="s">
        <v>179</v>
      </c>
      <c r="D16" s="45">
        <v>840.00000000000136</v>
      </c>
      <c r="E16" s="20"/>
    </row>
    <row r="17" spans="1:5" ht="14.4" x14ac:dyDescent="0.3">
      <c r="A17" s="5">
        <v>1</v>
      </c>
      <c r="B17" s="42" t="s">
        <v>175</v>
      </c>
      <c r="C17" s="14" t="s">
        <v>171</v>
      </c>
      <c r="D17" s="43">
        <v>1349660</v>
      </c>
      <c r="E17" s="20"/>
    </row>
    <row r="18" spans="1:5" ht="28.8" x14ac:dyDescent="0.3">
      <c r="B18" s="25">
        <v>7</v>
      </c>
      <c r="C18" s="6" t="s">
        <v>181</v>
      </c>
      <c r="D18" s="44"/>
      <c r="E18" s="23"/>
    </row>
    <row r="19" spans="1:5" ht="14.4" x14ac:dyDescent="0.3">
      <c r="A19" s="5">
        <v>1</v>
      </c>
      <c r="B19" s="42" t="s">
        <v>174</v>
      </c>
      <c r="C19" s="14" t="s">
        <v>180</v>
      </c>
      <c r="D19" s="45">
        <v>5999.9999999999982</v>
      </c>
      <c r="E19" s="23"/>
    </row>
    <row r="20" spans="1:5" ht="28.8" x14ac:dyDescent="0.3">
      <c r="A20" s="5">
        <v>1</v>
      </c>
      <c r="B20" s="42" t="s">
        <v>175</v>
      </c>
      <c r="C20" s="14" t="s">
        <v>184</v>
      </c>
      <c r="D20" s="43">
        <v>130799.99999984936</v>
      </c>
      <c r="E20" s="23"/>
    </row>
    <row r="21" spans="1:5" ht="28.8" x14ac:dyDescent="0.3">
      <c r="B21" s="25">
        <v>8</v>
      </c>
      <c r="C21" s="6" t="s">
        <v>182</v>
      </c>
      <c r="D21" s="44"/>
      <c r="E21" s="23"/>
    </row>
    <row r="22" spans="1:5" ht="14.4" x14ac:dyDescent="0.3">
      <c r="A22" s="5">
        <v>1</v>
      </c>
      <c r="B22" s="42" t="s">
        <v>174</v>
      </c>
      <c r="C22" s="14" t="s">
        <v>180</v>
      </c>
      <c r="D22" s="45">
        <v>4800</v>
      </c>
      <c r="E22" s="23"/>
    </row>
    <row r="23" spans="1:5" ht="14.4" x14ac:dyDescent="0.3">
      <c r="A23" s="5">
        <v>1</v>
      </c>
      <c r="B23" s="42" t="s">
        <v>175</v>
      </c>
      <c r="C23" s="14" t="s">
        <v>183</v>
      </c>
      <c r="D23" s="43">
        <v>13440</v>
      </c>
      <c r="E23" s="23"/>
    </row>
    <row r="24" spans="1:5" ht="43.2" x14ac:dyDescent="0.3">
      <c r="A24" s="5">
        <v>1</v>
      </c>
      <c r="B24" s="25">
        <v>9</v>
      </c>
      <c r="C24" s="6" t="s">
        <v>185</v>
      </c>
      <c r="D24" s="43">
        <v>42750.000000000233</v>
      </c>
      <c r="E24" s="23"/>
    </row>
    <row r="25" spans="1:5" ht="28.8" x14ac:dyDescent="0.3">
      <c r="A25" s="5">
        <v>1</v>
      </c>
      <c r="B25" s="25">
        <v>10</v>
      </c>
      <c r="C25" s="6" t="s">
        <v>166</v>
      </c>
      <c r="D25" s="43">
        <v>1352220</v>
      </c>
      <c r="E25" s="19"/>
    </row>
    <row r="26" spans="1:5" ht="28.8" x14ac:dyDescent="0.3">
      <c r="B26" s="25">
        <v>11</v>
      </c>
      <c r="C26" s="6" t="s">
        <v>186</v>
      </c>
      <c r="D26" s="49"/>
      <c r="E26" s="19"/>
    </row>
    <row r="27" spans="1:5" ht="14.4" x14ac:dyDescent="0.3">
      <c r="A27" s="5">
        <v>1</v>
      </c>
      <c r="B27" s="42" t="s">
        <v>174</v>
      </c>
      <c r="C27" s="14" t="s">
        <v>171</v>
      </c>
      <c r="D27" s="43">
        <v>1613300</v>
      </c>
      <c r="E27" s="19"/>
    </row>
    <row r="28" spans="1:5" ht="43.2" x14ac:dyDescent="0.3">
      <c r="A28" s="5">
        <v>1</v>
      </c>
      <c r="B28" s="42" t="s">
        <v>175</v>
      </c>
      <c r="C28" s="14" t="s">
        <v>187</v>
      </c>
      <c r="D28" s="43">
        <v>155220</v>
      </c>
      <c r="E28" s="19"/>
    </row>
    <row r="29" spans="1:5" ht="28.8" x14ac:dyDescent="0.3">
      <c r="B29" s="25">
        <v>12</v>
      </c>
      <c r="C29" s="6" t="s">
        <v>167</v>
      </c>
      <c r="D29" s="13"/>
      <c r="E29" s="19"/>
    </row>
    <row r="30" spans="1:5" ht="14.4" x14ac:dyDescent="0.3">
      <c r="A30" s="5">
        <v>1</v>
      </c>
      <c r="B30" s="42" t="s">
        <v>174</v>
      </c>
      <c r="C30" s="14" t="s">
        <v>177</v>
      </c>
      <c r="D30" s="45">
        <v>5</v>
      </c>
      <c r="E30" s="19"/>
    </row>
    <row r="31" spans="1:5" ht="14.4" x14ac:dyDescent="0.3">
      <c r="A31" s="5">
        <v>1</v>
      </c>
      <c r="B31" s="42" t="s">
        <v>175</v>
      </c>
      <c r="C31" s="14" t="s">
        <v>171</v>
      </c>
      <c r="D31" s="43">
        <v>1286100</v>
      </c>
      <c r="E31" s="19"/>
    </row>
    <row r="32" spans="1:5" ht="57.6" x14ac:dyDescent="0.3">
      <c r="B32" s="25">
        <v>13</v>
      </c>
      <c r="C32" s="6" t="s">
        <v>191</v>
      </c>
      <c r="D32" s="13"/>
      <c r="E32" s="19"/>
    </row>
    <row r="33" spans="1:5" ht="28.8" x14ac:dyDescent="0.3">
      <c r="A33" s="5">
        <v>1</v>
      </c>
      <c r="B33" s="25"/>
      <c r="C33" s="14" t="s">
        <v>189</v>
      </c>
      <c r="D33" s="47">
        <v>14.5</v>
      </c>
      <c r="E33" s="19"/>
    </row>
    <row r="34" spans="1:5" ht="14.4" x14ac:dyDescent="0.3">
      <c r="A34" s="5">
        <v>1</v>
      </c>
      <c r="B34" s="25"/>
      <c r="C34" s="14" t="s">
        <v>190</v>
      </c>
      <c r="D34" s="48">
        <v>6540.0000000000218</v>
      </c>
      <c r="E34" s="19"/>
    </row>
    <row r="35" spans="1:5" x14ac:dyDescent="0.3">
      <c r="A35" s="5">
        <f>SUM(A6:A34)</f>
        <v>21</v>
      </c>
      <c r="D35" s="2"/>
      <c r="E35" s="18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7"/>
  <sheetViews>
    <sheetView topLeftCell="A4" zoomScale="130" zoomScaleNormal="130" workbookViewId="0">
      <selection activeCell="N21" sqref="N21"/>
    </sheetView>
  </sheetViews>
  <sheetFormatPr defaultRowHeight="13.2" x14ac:dyDescent="0.25"/>
  <cols>
    <col min="1" max="1" width="14.6640625" style="4" customWidth="1"/>
    <col min="2" max="2" width="5.33203125" style="4" bestFit="1" customWidth="1"/>
    <col min="3" max="6" width="10.6640625" style="4" customWidth="1"/>
    <col min="7" max="8" width="11.6640625" style="4" customWidth="1"/>
    <col min="9" max="9" width="8.88671875" style="4"/>
    <col min="10" max="10" width="9.21875" style="4" bestFit="1" customWidth="1"/>
    <col min="11" max="11" width="12.44140625" style="4" bestFit="1" customWidth="1"/>
    <col min="12" max="12" width="8.88671875" style="4"/>
    <col min="13" max="13" width="9.21875" style="4" bestFit="1" customWidth="1"/>
    <col min="14" max="14" width="15.109375" style="4" bestFit="1" customWidth="1"/>
    <col min="15" max="16384" width="8.88671875" style="4"/>
  </cols>
  <sheetData>
    <row r="1" spans="1:14" ht="15.6" x14ac:dyDescent="0.3">
      <c r="A1" s="52" t="s">
        <v>140</v>
      </c>
      <c r="B1" s="52"/>
      <c r="C1" s="52"/>
      <c r="D1" s="52"/>
      <c r="E1" s="52"/>
      <c r="F1" s="52"/>
      <c r="G1" s="52"/>
      <c r="H1" s="52"/>
    </row>
    <row r="2" spans="1:14" x14ac:dyDescent="0.25">
      <c r="A2" s="4" t="s">
        <v>138</v>
      </c>
      <c r="B2" s="4">
        <v>2015</v>
      </c>
      <c r="C2" s="53">
        <v>2016</v>
      </c>
      <c r="D2" s="53"/>
      <c r="E2" s="53"/>
      <c r="F2" s="53"/>
    </row>
    <row r="3" spans="1:14" x14ac:dyDescent="0.25">
      <c r="A3" s="4" t="s">
        <v>137</v>
      </c>
      <c r="B3" s="4">
        <v>4</v>
      </c>
      <c r="C3" s="4">
        <v>1</v>
      </c>
      <c r="D3" s="4">
        <v>2</v>
      </c>
      <c r="E3" s="4">
        <v>3</v>
      </c>
      <c r="F3" s="4">
        <v>4</v>
      </c>
    </row>
    <row r="4" spans="1:14" x14ac:dyDescent="0.25">
      <c r="A4" s="4" t="s">
        <v>141</v>
      </c>
      <c r="C4" s="26">
        <v>7000</v>
      </c>
      <c r="D4" s="26">
        <v>3000</v>
      </c>
      <c r="E4" s="26">
        <v>1000</v>
      </c>
      <c r="F4" s="26">
        <v>10000</v>
      </c>
    </row>
    <row r="5" spans="1:14" x14ac:dyDescent="0.25">
      <c r="A5" s="4" t="s">
        <v>142</v>
      </c>
      <c r="C5" s="27">
        <v>7000</v>
      </c>
      <c r="D5" s="27">
        <v>4160.0000000000018</v>
      </c>
      <c r="E5" s="27">
        <v>4160</v>
      </c>
      <c r="F5" s="27">
        <v>5679.9999999999973</v>
      </c>
    </row>
    <row r="6" spans="1:14" x14ac:dyDescent="0.25">
      <c r="A6" s="4" t="s">
        <v>143</v>
      </c>
      <c r="G6" s="4" t="s">
        <v>144</v>
      </c>
      <c r="H6" s="28">
        <f>SUM(H10:H11,H18:H21)</f>
        <v>1348520</v>
      </c>
    </row>
    <row r="7" spans="1:14" x14ac:dyDescent="0.25">
      <c r="A7" s="4" t="s">
        <v>145</v>
      </c>
      <c r="C7" s="4">
        <f>B8</f>
        <v>500</v>
      </c>
      <c r="D7" s="4">
        <f>C8</f>
        <v>500</v>
      </c>
      <c r="E7" s="4">
        <f>D8</f>
        <v>1660.0000000000018</v>
      </c>
      <c r="F7" s="4">
        <f>E8</f>
        <v>4820.0000000000018</v>
      </c>
    </row>
    <row r="8" spans="1:14" x14ac:dyDescent="0.25">
      <c r="A8" s="4" t="s">
        <v>146</v>
      </c>
      <c r="B8" s="26">
        <v>500</v>
      </c>
      <c r="C8" s="4">
        <f>C7+C5-C4</f>
        <v>500</v>
      </c>
      <c r="D8" s="4">
        <f>D7+D5-D4</f>
        <v>1660.0000000000018</v>
      </c>
      <c r="E8" s="4">
        <f>E7+E5-E4</f>
        <v>4820.0000000000018</v>
      </c>
      <c r="F8" s="4">
        <f>F7+F5-F4</f>
        <v>500</v>
      </c>
    </row>
    <row r="9" spans="1:14" x14ac:dyDescent="0.25">
      <c r="C9" s="29" t="b">
        <f>C8&gt;=$B$8</f>
        <v>1</v>
      </c>
      <c r="D9" s="29" t="b">
        <f t="shared" ref="D9:F9" si="0">D8&gt;=$B$8</f>
        <v>1</v>
      </c>
      <c r="E9" s="29" t="b">
        <f t="shared" si="0"/>
        <v>1</v>
      </c>
      <c r="F9" s="29" t="b">
        <f t="shared" si="0"/>
        <v>1</v>
      </c>
      <c r="G9" s="4" t="s">
        <v>147</v>
      </c>
      <c r="H9" s="4" t="s">
        <v>148</v>
      </c>
    </row>
    <row r="10" spans="1:14" x14ac:dyDescent="0.25">
      <c r="A10" s="4" t="s">
        <v>149</v>
      </c>
      <c r="C10" s="30">
        <f>AVERAGE(C7:C8)*$G$10</f>
        <v>3000</v>
      </c>
      <c r="D10" s="30">
        <f>AVERAGE(D7:D8)*$G$10</f>
        <v>6480.0000000000055</v>
      </c>
      <c r="E10" s="30">
        <f>AVERAGE(E7:E8)*$G$10</f>
        <v>19440.000000000011</v>
      </c>
      <c r="F10" s="30">
        <f>AVERAGE(F7:F8)*$G$10</f>
        <v>15960.000000000005</v>
      </c>
      <c r="G10" s="31">
        <v>6</v>
      </c>
      <c r="H10" s="30">
        <f>SUM(C10:F10)</f>
        <v>44880.000000000022</v>
      </c>
    </row>
    <row r="11" spans="1:14" x14ac:dyDescent="0.25">
      <c r="A11" s="4" t="s">
        <v>150</v>
      </c>
      <c r="C11" s="30">
        <f>C5*$G$11</f>
        <v>210000</v>
      </c>
      <c r="D11" s="30">
        <f>D5*$G$11</f>
        <v>124800.00000000006</v>
      </c>
      <c r="E11" s="30">
        <f>E5*$G$11</f>
        <v>124800</v>
      </c>
      <c r="F11" s="30">
        <f>F5*$G$11</f>
        <v>170399.99999999991</v>
      </c>
      <c r="G11" s="31">
        <v>30</v>
      </c>
      <c r="H11" s="30">
        <f>SUM(C11:F11)</f>
        <v>630000</v>
      </c>
    </row>
    <row r="12" spans="1:14" x14ac:dyDescent="0.25">
      <c r="A12" s="4" t="s">
        <v>151</v>
      </c>
      <c r="C12" s="27">
        <v>0</v>
      </c>
      <c r="D12" s="27">
        <v>0</v>
      </c>
      <c r="E12" s="27">
        <v>0</v>
      </c>
      <c r="F12" s="27">
        <v>0</v>
      </c>
      <c r="G12" s="30"/>
      <c r="K12" s="4" t="s">
        <v>196</v>
      </c>
      <c r="L12" s="4" t="s">
        <v>192</v>
      </c>
      <c r="M12" s="4" t="s">
        <v>194</v>
      </c>
    </row>
    <row r="13" spans="1:14" x14ac:dyDescent="0.25">
      <c r="A13" s="4" t="s">
        <v>152</v>
      </c>
      <c r="C13" s="27">
        <v>0</v>
      </c>
      <c r="D13" s="27">
        <v>7</v>
      </c>
      <c r="E13" s="27">
        <v>0</v>
      </c>
      <c r="F13" s="27">
        <v>0</v>
      </c>
      <c r="J13" s="50" t="s">
        <v>195</v>
      </c>
      <c r="K13" s="55">
        <f>SUM(C11:F11)</f>
        <v>630000</v>
      </c>
      <c r="L13" s="30">
        <f>SUM(C10:F10)</f>
        <v>44880.000000000022</v>
      </c>
      <c r="M13" s="30">
        <f>SUM(K13:L13)</f>
        <v>674880</v>
      </c>
    </row>
    <row r="14" spans="1:14" x14ac:dyDescent="0.25">
      <c r="A14" s="4" t="s">
        <v>153</v>
      </c>
      <c r="C14" s="32"/>
      <c r="D14" s="32"/>
      <c r="E14" s="32"/>
      <c r="F14" s="32"/>
      <c r="J14" s="32" t="s">
        <v>193</v>
      </c>
      <c r="K14" s="4">
        <f>SUM(C5:F5)</f>
        <v>21000</v>
      </c>
      <c r="L14" s="4">
        <v>0</v>
      </c>
      <c r="M14" s="4">
        <f>SUM(K14:L14)</f>
        <v>21000</v>
      </c>
    </row>
    <row r="15" spans="1:14" x14ac:dyDescent="0.25">
      <c r="A15" s="4" t="s">
        <v>145</v>
      </c>
      <c r="C15" s="32">
        <f>B16</f>
        <v>20</v>
      </c>
      <c r="D15" s="32">
        <f>C16</f>
        <v>20</v>
      </c>
      <c r="E15" s="32">
        <f>D16</f>
        <v>13</v>
      </c>
      <c r="F15" s="32">
        <f>E16</f>
        <v>13</v>
      </c>
      <c r="J15" s="32"/>
      <c r="M15" s="56">
        <f>M13/M14</f>
        <v>32.137142857142855</v>
      </c>
      <c r="N15" s="4" t="s">
        <v>197</v>
      </c>
    </row>
    <row r="16" spans="1:14" x14ac:dyDescent="0.25">
      <c r="A16" s="4" t="s">
        <v>146</v>
      </c>
      <c r="B16" s="26">
        <v>20</v>
      </c>
      <c r="C16" s="32">
        <f>C15+C12-C13</f>
        <v>20</v>
      </c>
      <c r="D16" s="32">
        <f>D15+D12-D13</f>
        <v>13</v>
      </c>
      <c r="E16" s="32">
        <f>E15+E12-E13</f>
        <v>13</v>
      </c>
      <c r="F16" s="32">
        <f>F15+F12-F13</f>
        <v>13</v>
      </c>
      <c r="J16" s="32"/>
    </row>
    <row r="17" spans="1:14" x14ac:dyDescent="0.25">
      <c r="A17" s="4" t="s">
        <v>154</v>
      </c>
      <c r="C17" s="27">
        <v>900</v>
      </c>
      <c r="D17" s="27">
        <v>0</v>
      </c>
      <c r="E17" s="27">
        <v>0</v>
      </c>
      <c r="F17" s="27">
        <v>2279.9999999999945</v>
      </c>
      <c r="G17" s="4" t="s">
        <v>147</v>
      </c>
      <c r="H17" s="4" t="s">
        <v>148</v>
      </c>
      <c r="J17" s="51" t="s">
        <v>198</v>
      </c>
      <c r="M17" s="4" t="s">
        <v>200</v>
      </c>
      <c r="N17" s="4">
        <v>100</v>
      </c>
    </row>
    <row r="18" spans="1:14" x14ac:dyDescent="0.25">
      <c r="A18" s="4" t="s">
        <v>155</v>
      </c>
      <c r="C18" s="33">
        <f>C12*$G$18</f>
        <v>0</v>
      </c>
      <c r="D18" s="33">
        <f>D12*$G$18</f>
        <v>0</v>
      </c>
      <c r="E18" s="33">
        <f>E12*$G$18</f>
        <v>0</v>
      </c>
      <c r="F18" s="33">
        <f>F12*$G$18</f>
        <v>0</v>
      </c>
      <c r="G18" s="31">
        <v>3000</v>
      </c>
      <c r="H18" s="30">
        <f>SUM(C18:F18)</f>
        <v>0</v>
      </c>
      <c r="J18" s="33">
        <f>SUM(H18:H21)</f>
        <v>673639.99999999988</v>
      </c>
    </row>
    <row r="19" spans="1:14" x14ac:dyDescent="0.25">
      <c r="A19" s="4" t="s">
        <v>156</v>
      </c>
      <c r="C19" s="33">
        <f>C13*$G$19</f>
        <v>0</v>
      </c>
      <c r="D19" s="33">
        <f>D13*$G$19</f>
        <v>10500</v>
      </c>
      <c r="E19" s="33">
        <f>E13*$G$19</f>
        <v>0</v>
      </c>
      <c r="F19" s="33">
        <f>F13*$G$19</f>
        <v>0</v>
      </c>
      <c r="G19" s="31">
        <v>1500</v>
      </c>
      <c r="H19" s="30">
        <f>SUM(C19:F19)</f>
        <v>10500</v>
      </c>
      <c r="J19" s="50">
        <f>J18/M14</f>
        <v>32.07809523809523</v>
      </c>
      <c r="K19" s="4" t="s">
        <v>197</v>
      </c>
    </row>
    <row r="20" spans="1:14" x14ac:dyDescent="0.25">
      <c r="A20" s="4" t="s">
        <v>157</v>
      </c>
      <c r="C20" s="30">
        <f>C16*$G$20</f>
        <v>200000</v>
      </c>
      <c r="D20" s="30">
        <f>D16*$G$20</f>
        <v>130000</v>
      </c>
      <c r="E20" s="30">
        <f>E16*$G$20</f>
        <v>130000</v>
      </c>
      <c r="F20" s="30">
        <f>F16*$G$20</f>
        <v>130000</v>
      </c>
      <c r="G20" s="31">
        <v>10000</v>
      </c>
      <c r="H20" s="30">
        <f>SUM(C20:F20)</f>
        <v>590000</v>
      </c>
      <c r="J20" s="50"/>
      <c r="M20" s="4" t="s">
        <v>201</v>
      </c>
      <c r="N20" s="57">
        <f>N17*M14</f>
        <v>2100000</v>
      </c>
    </row>
    <row r="21" spans="1:14" x14ac:dyDescent="0.25">
      <c r="A21" s="4" t="s">
        <v>158</v>
      </c>
      <c r="C21" s="30">
        <f>C17*$G$21</f>
        <v>20700</v>
      </c>
      <c r="D21" s="30">
        <f>D17*$G$21</f>
        <v>0</v>
      </c>
      <c r="E21" s="30">
        <f>E17*$G$21</f>
        <v>0</v>
      </c>
      <c r="F21" s="30">
        <f>F17*$G$21</f>
        <v>52439.999999999876</v>
      </c>
      <c r="G21" s="31">
        <v>23</v>
      </c>
      <c r="H21" s="30">
        <f>SUM(C21:F21)</f>
        <v>73139.999999999884</v>
      </c>
      <c r="J21" s="50"/>
      <c r="M21" s="4" t="s">
        <v>199</v>
      </c>
      <c r="N21" s="58">
        <f>N20-H6</f>
        <v>751480</v>
      </c>
    </row>
    <row r="22" spans="1:14" x14ac:dyDescent="0.25">
      <c r="A22" s="4" t="s">
        <v>159</v>
      </c>
      <c r="G22" s="4" t="s">
        <v>160</v>
      </c>
    </row>
    <row r="23" spans="1:14" x14ac:dyDescent="0.25">
      <c r="A23" s="4" t="s">
        <v>161</v>
      </c>
      <c r="C23" s="34">
        <f>C16*$G$23+C17</f>
        <v>10500</v>
      </c>
      <c r="D23" s="34">
        <f>D16*$G$23+D17</f>
        <v>6240</v>
      </c>
      <c r="E23" s="34">
        <f>E16*$G$23+E17</f>
        <v>6240</v>
      </c>
      <c r="F23" s="34">
        <f>F16*$G$23+F17</f>
        <v>8519.9999999999945</v>
      </c>
      <c r="G23" s="35">
        <v>480</v>
      </c>
      <c r="H23" s="36" t="s">
        <v>162</v>
      </c>
      <c r="M23" s="4" t="s">
        <v>202</v>
      </c>
      <c r="N23" s="59">
        <f>N21/M14</f>
        <v>35.784761904761908</v>
      </c>
    </row>
    <row r="24" spans="1:14" x14ac:dyDescent="0.25">
      <c r="A24" s="4" t="s">
        <v>163</v>
      </c>
      <c r="C24" s="34">
        <f>C5*$G$24</f>
        <v>10500</v>
      </c>
      <c r="D24" s="34">
        <f>D5*$G$24</f>
        <v>6240.0000000000027</v>
      </c>
      <c r="E24" s="34">
        <f>E5*$G$24</f>
        <v>6240</v>
      </c>
      <c r="F24" s="34">
        <f>F5*$G$24</f>
        <v>8519.9999999999964</v>
      </c>
      <c r="G24" s="37">
        <v>1.5</v>
      </c>
      <c r="H24" s="36" t="s">
        <v>164</v>
      </c>
    </row>
    <row r="25" spans="1:14" x14ac:dyDescent="0.25">
      <c r="C25" s="29" t="b">
        <f t="shared" ref="C25:E25" si="1">C23&gt;=C24-0.0001</f>
        <v>1</v>
      </c>
      <c r="D25" s="29" t="b">
        <f t="shared" si="1"/>
        <v>1</v>
      </c>
      <c r="E25" s="29" t="b">
        <f t="shared" si="1"/>
        <v>1</v>
      </c>
      <c r="F25" s="29" t="b">
        <f>F23&gt;=F24-0.0001</f>
        <v>1</v>
      </c>
    </row>
    <row r="27" spans="1:14" x14ac:dyDescent="0.25">
      <c r="A27" s="38" t="s">
        <v>165</v>
      </c>
      <c r="C27" s="39">
        <f>C16*$G$23/2</f>
        <v>4800</v>
      </c>
      <c r="D27" s="39">
        <f t="shared" ref="D27:F27" si="2">D16*$G$23/2</f>
        <v>3120</v>
      </c>
      <c r="E27" s="39">
        <f t="shared" si="2"/>
        <v>3120</v>
      </c>
      <c r="F27" s="39">
        <f t="shared" si="2"/>
        <v>3120</v>
      </c>
    </row>
  </sheetData>
  <mergeCells count="2">
    <mergeCell ref="A1:H1"/>
    <mergeCell ref="C2:F2"/>
  </mergeCells>
  <conditionalFormatting sqref="C9:F9">
    <cfRule type="cellIs" dxfId="23" priority="2" operator="equal">
      <formula>FALSE</formula>
    </cfRule>
  </conditionalFormatting>
  <conditionalFormatting sqref="C25:F25">
    <cfRule type="cellIs" dxfId="22" priority="1" operator="equal">
      <formula>FALSE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zoomScale="130" zoomScaleNormal="130" workbookViewId="0">
      <selection activeCell="H6" sqref="H6"/>
    </sheetView>
  </sheetViews>
  <sheetFormatPr defaultRowHeight="13.2" x14ac:dyDescent="0.25"/>
  <cols>
    <col min="1" max="1" width="14.6640625" style="4" customWidth="1"/>
    <col min="2" max="2" width="5.33203125" style="4" bestFit="1" customWidth="1"/>
    <col min="3" max="6" width="10.6640625" style="4" customWidth="1"/>
    <col min="7" max="8" width="11.6640625" style="4" customWidth="1"/>
    <col min="9" max="9" width="8.88671875" style="4"/>
    <col min="10" max="10" width="9.21875" style="4" bestFit="1" customWidth="1"/>
    <col min="11" max="11" width="12.109375" style="4" bestFit="1" customWidth="1"/>
    <col min="12" max="16384" width="8.88671875" style="4"/>
  </cols>
  <sheetData>
    <row r="1" spans="1:13" ht="15.6" x14ac:dyDescent="0.3">
      <c r="A1" s="52" t="s">
        <v>140</v>
      </c>
      <c r="B1" s="52"/>
      <c r="C1" s="52"/>
      <c r="D1" s="52"/>
      <c r="E1" s="52"/>
      <c r="F1" s="52"/>
      <c r="G1" s="52"/>
      <c r="H1" s="52"/>
    </row>
    <row r="2" spans="1:13" x14ac:dyDescent="0.25">
      <c r="A2" s="4" t="s">
        <v>138</v>
      </c>
      <c r="B2" s="4">
        <v>2015</v>
      </c>
      <c r="C2" s="53">
        <v>2016</v>
      </c>
      <c r="D2" s="53"/>
      <c r="E2" s="53"/>
      <c r="F2" s="53"/>
    </row>
    <row r="3" spans="1:13" x14ac:dyDescent="0.25">
      <c r="A3" s="4" t="s">
        <v>137</v>
      </c>
      <c r="B3" s="4">
        <v>4</v>
      </c>
      <c r="C3" s="4">
        <v>1</v>
      </c>
      <c r="D3" s="4">
        <v>2</v>
      </c>
      <c r="E3" s="4">
        <v>3</v>
      </c>
      <c r="F3" s="4">
        <v>4</v>
      </c>
    </row>
    <row r="4" spans="1:13" x14ac:dyDescent="0.25">
      <c r="A4" s="4" t="s">
        <v>141</v>
      </c>
      <c r="C4" s="26">
        <v>7000</v>
      </c>
      <c r="D4" s="26">
        <v>3000</v>
      </c>
      <c r="E4" s="26">
        <v>1000</v>
      </c>
      <c r="F4" s="26">
        <v>10000</v>
      </c>
    </row>
    <row r="5" spans="1:13" x14ac:dyDescent="0.25">
      <c r="A5" s="4" t="s">
        <v>142</v>
      </c>
      <c r="C5" s="27">
        <v>7000</v>
      </c>
      <c r="D5" s="27">
        <v>3000</v>
      </c>
      <c r="E5" s="27">
        <v>2879.9999999999991</v>
      </c>
      <c r="F5" s="27">
        <v>8120.0000000000009</v>
      </c>
    </row>
    <row r="6" spans="1:13" x14ac:dyDescent="0.25">
      <c r="A6" s="4" t="s">
        <v>143</v>
      </c>
      <c r="G6" s="4" t="s">
        <v>144</v>
      </c>
      <c r="H6" s="28">
        <f>SUM(H10:H11,H18:H21)</f>
        <v>1399880.0000000002</v>
      </c>
    </row>
    <row r="7" spans="1:13" x14ac:dyDescent="0.25">
      <c r="A7" s="4" t="s">
        <v>145</v>
      </c>
      <c r="C7" s="4">
        <f>B8</f>
        <v>500</v>
      </c>
      <c r="D7" s="4">
        <f>C8</f>
        <v>500</v>
      </c>
      <c r="E7" s="4">
        <f>D8</f>
        <v>500</v>
      </c>
      <c r="F7" s="4">
        <f>E8</f>
        <v>2379.9999999999991</v>
      </c>
    </row>
    <row r="8" spans="1:13" x14ac:dyDescent="0.25">
      <c r="A8" s="4" t="s">
        <v>146</v>
      </c>
      <c r="B8" s="26">
        <v>500</v>
      </c>
      <c r="C8" s="4">
        <f>C7+C5-C4</f>
        <v>500</v>
      </c>
      <c r="D8" s="4">
        <f>D7+D5-D4</f>
        <v>500</v>
      </c>
      <c r="E8" s="4">
        <f>E7+E5-E4</f>
        <v>2379.9999999999991</v>
      </c>
      <c r="F8" s="4">
        <f>F7+F5-F4</f>
        <v>500</v>
      </c>
      <c r="K8" s="4" t="s">
        <v>207</v>
      </c>
    </row>
    <row r="9" spans="1:13" x14ac:dyDescent="0.25">
      <c r="C9" s="29" t="b">
        <f>C8&gt;=$B$8</f>
        <v>1</v>
      </c>
      <c r="D9" s="29" t="b">
        <f t="shared" ref="D9:F9" si="0">D8&gt;=$B$8</f>
        <v>1</v>
      </c>
      <c r="E9" s="29" t="b">
        <f t="shared" si="0"/>
        <v>1</v>
      </c>
      <c r="F9" s="29" t="b">
        <f t="shared" si="0"/>
        <v>1</v>
      </c>
      <c r="G9" s="4" t="s">
        <v>147</v>
      </c>
      <c r="H9" s="4" t="s">
        <v>148</v>
      </c>
    </row>
    <row r="10" spans="1:13" x14ac:dyDescent="0.25">
      <c r="A10" s="4" t="s">
        <v>149</v>
      </c>
      <c r="C10" s="30">
        <f>AVERAGE(C7:C8)*$G$10</f>
        <v>8000</v>
      </c>
      <c r="D10" s="30">
        <f>AVERAGE(D7:D8)*$G$10</f>
        <v>8000</v>
      </c>
      <c r="E10" s="30">
        <f>AVERAGE(E7:E8)*$G$10</f>
        <v>23039.999999999993</v>
      </c>
      <c r="F10" s="30">
        <f>AVERAGE(F7:F8)*$G$10</f>
        <v>23039.999999999993</v>
      </c>
      <c r="G10" s="31">
        <v>16</v>
      </c>
      <c r="H10" s="30">
        <f>SUM(C10:F10)</f>
        <v>62079.999999999985</v>
      </c>
    </row>
    <row r="11" spans="1:13" x14ac:dyDescent="0.25">
      <c r="A11" s="4" t="s">
        <v>150</v>
      </c>
      <c r="C11" s="30">
        <f>C5*$G$11</f>
        <v>210000</v>
      </c>
      <c r="D11" s="30">
        <f>D5*$G$11</f>
        <v>90000</v>
      </c>
      <c r="E11" s="30">
        <f>E5*$G$11</f>
        <v>86399.999999999971</v>
      </c>
      <c r="F11" s="30">
        <f>F5*$G$11</f>
        <v>243600.00000000003</v>
      </c>
      <c r="G11" s="31">
        <v>30</v>
      </c>
      <c r="H11" s="30">
        <f>SUM(C11:F11)</f>
        <v>630000</v>
      </c>
      <c r="I11" s="32"/>
      <c r="J11" s="32"/>
      <c r="K11" s="32"/>
      <c r="L11" s="32"/>
      <c r="M11" s="32"/>
    </row>
    <row r="12" spans="1:13" x14ac:dyDescent="0.25">
      <c r="A12" s="4" t="s">
        <v>151</v>
      </c>
      <c r="C12" s="27">
        <v>0</v>
      </c>
      <c r="D12" s="27">
        <v>0</v>
      </c>
      <c r="E12" s="27">
        <v>0</v>
      </c>
      <c r="F12" s="27">
        <v>8</v>
      </c>
      <c r="G12" s="30"/>
      <c r="I12" s="32"/>
      <c r="J12" s="32"/>
      <c r="K12" s="32"/>
      <c r="L12" s="32"/>
      <c r="M12" s="32"/>
    </row>
    <row r="13" spans="1:13" x14ac:dyDescent="0.25">
      <c r="A13" s="4" t="s">
        <v>152</v>
      </c>
      <c r="C13" s="27">
        <v>0</v>
      </c>
      <c r="D13" s="27">
        <v>11</v>
      </c>
      <c r="E13" s="27">
        <v>0</v>
      </c>
      <c r="F13" s="27">
        <v>0</v>
      </c>
      <c r="I13" s="32"/>
      <c r="J13" s="50"/>
      <c r="K13" s="32"/>
      <c r="L13" s="32"/>
      <c r="M13" s="32"/>
    </row>
    <row r="14" spans="1:13" x14ac:dyDescent="0.25">
      <c r="A14" s="4" t="s">
        <v>153</v>
      </c>
      <c r="C14" s="32"/>
      <c r="D14" s="32"/>
      <c r="E14" s="32"/>
      <c r="F14" s="32"/>
      <c r="I14" s="32"/>
      <c r="J14" s="32"/>
      <c r="K14" s="32"/>
      <c r="L14" s="32"/>
      <c r="M14" s="32"/>
    </row>
    <row r="15" spans="1:13" x14ac:dyDescent="0.25">
      <c r="A15" s="4" t="s">
        <v>145</v>
      </c>
      <c r="C15" s="32">
        <f>B16</f>
        <v>20</v>
      </c>
      <c r="D15" s="32">
        <f>C16</f>
        <v>20</v>
      </c>
      <c r="E15" s="32">
        <f>D16</f>
        <v>9</v>
      </c>
      <c r="F15" s="32">
        <f>E16</f>
        <v>9</v>
      </c>
      <c r="I15" s="32"/>
      <c r="J15" s="32"/>
      <c r="K15" s="32"/>
      <c r="L15" s="32"/>
      <c r="M15" s="32"/>
    </row>
    <row r="16" spans="1:13" x14ac:dyDescent="0.25">
      <c r="A16" s="4" t="s">
        <v>146</v>
      </c>
      <c r="B16" s="26">
        <v>20</v>
      </c>
      <c r="C16" s="32">
        <f>C15+C12-C13</f>
        <v>20</v>
      </c>
      <c r="D16" s="32">
        <f>D15+D12-D13</f>
        <v>9</v>
      </c>
      <c r="E16" s="32">
        <f>E15+E12-E13</f>
        <v>9</v>
      </c>
      <c r="F16" s="32">
        <f>F15+F12-F13</f>
        <v>17</v>
      </c>
      <c r="I16" s="32"/>
      <c r="J16" s="32"/>
      <c r="K16" s="32"/>
      <c r="L16" s="32"/>
      <c r="M16" s="32"/>
    </row>
    <row r="17" spans="1:13" x14ac:dyDescent="0.25">
      <c r="A17" s="4" t="s">
        <v>154</v>
      </c>
      <c r="C17" s="27">
        <v>900</v>
      </c>
      <c r="D17" s="27">
        <v>180.00000000000006</v>
      </c>
      <c r="E17" s="27">
        <v>0</v>
      </c>
      <c r="F17" s="27">
        <v>4020.0000000000059</v>
      </c>
      <c r="G17" s="4" t="s">
        <v>147</v>
      </c>
      <c r="H17" s="4" t="s">
        <v>148</v>
      </c>
      <c r="I17" s="32"/>
      <c r="J17" s="51"/>
      <c r="K17" s="32"/>
      <c r="L17" s="32"/>
      <c r="M17" s="32"/>
    </row>
    <row r="18" spans="1:13" x14ac:dyDescent="0.25">
      <c r="A18" s="4" t="s">
        <v>155</v>
      </c>
      <c r="C18" s="33">
        <f>C12*$G$18</f>
        <v>0</v>
      </c>
      <c r="D18" s="33">
        <f>D12*$G$18</f>
        <v>0</v>
      </c>
      <c r="E18" s="33">
        <f>E12*$G$18</f>
        <v>0</v>
      </c>
      <c r="F18" s="33">
        <f>F12*$G$18</f>
        <v>24000</v>
      </c>
      <c r="G18" s="31">
        <v>3000</v>
      </c>
      <c r="H18" s="30">
        <f>SUM(C18:F18)</f>
        <v>24000</v>
      </c>
      <c r="I18" s="32"/>
      <c r="J18" s="32"/>
      <c r="K18" s="32"/>
      <c r="L18" s="32"/>
      <c r="M18" s="32"/>
    </row>
    <row r="19" spans="1:13" x14ac:dyDescent="0.25">
      <c r="A19" s="4" t="s">
        <v>156</v>
      </c>
      <c r="C19" s="33">
        <f>C13*$G$19</f>
        <v>0</v>
      </c>
      <c r="D19" s="33">
        <f>D13*$G$19</f>
        <v>16500</v>
      </c>
      <c r="E19" s="33">
        <f>E13*$G$19</f>
        <v>0</v>
      </c>
      <c r="F19" s="33">
        <f>F13*$G$19</f>
        <v>0</v>
      </c>
      <c r="G19" s="31">
        <v>1500</v>
      </c>
      <c r="H19" s="30">
        <f>SUM(C19:F19)</f>
        <v>16500</v>
      </c>
      <c r="I19" s="32"/>
      <c r="J19" s="50"/>
      <c r="K19" s="32"/>
      <c r="L19" s="32"/>
      <c r="M19" s="32"/>
    </row>
    <row r="20" spans="1:13" x14ac:dyDescent="0.25">
      <c r="A20" s="4" t="s">
        <v>157</v>
      </c>
      <c r="C20" s="30">
        <f>C16*$G$20</f>
        <v>200000</v>
      </c>
      <c r="D20" s="30">
        <f>D16*$G$20</f>
        <v>90000</v>
      </c>
      <c r="E20" s="30">
        <f>E16*$G$20</f>
        <v>90000</v>
      </c>
      <c r="F20" s="30">
        <f>F16*$G$20</f>
        <v>170000</v>
      </c>
      <c r="G20" s="31">
        <v>10000</v>
      </c>
      <c r="H20" s="30">
        <f>SUM(C20:F20)</f>
        <v>550000</v>
      </c>
      <c r="I20" s="32"/>
      <c r="J20" s="50"/>
      <c r="K20" s="32"/>
      <c r="L20" s="32"/>
      <c r="M20" s="32"/>
    </row>
    <row r="21" spans="1:13" x14ac:dyDescent="0.25">
      <c r="A21" s="4" t="s">
        <v>158</v>
      </c>
      <c r="C21" s="30">
        <f>C17*$G$21</f>
        <v>20700</v>
      </c>
      <c r="D21" s="30">
        <f>D17*$G$21</f>
        <v>4140.0000000000009</v>
      </c>
      <c r="E21" s="30">
        <f>E17*$G$21</f>
        <v>0</v>
      </c>
      <c r="F21" s="30">
        <f>F17*$G$21</f>
        <v>92460.000000000131</v>
      </c>
      <c r="G21" s="31">
        <v>23</v>
      </c>
      <c r="H21" s="30">
        <f>SUM(C21:F21)</f>
        <v>117300.00000000013</v>
      </c>
      <c r="I21" s="32"/>
      <c r="J21" s="50"/>
      <c r="K21" s="32"/>
      <c r="L21" s="32"/>
      <c r="M21" s="32"/>
    </row>
    <row r="22" spans="1:13" x14ac:dyDescent="0.25">
      <c r="A22" s="4" t="s">
        <v>159</v>
      </c>
      <c r="G22" s="4" t="s">
        <v>160</v>
      </c>
      <c r="I22" s="32"/>
      <c r="J22" s="32"/>
      <c r="K22" s="32"/>
      <c r="L22" s="32"/>
      <c r="M22" s="32"/>
    </row>
    <row r="23" spans="1:13" x14ac:dyDescent="0.25">
      <c r="A23" s="4" t="s">
        <v>161</v>
      </c>
      <c r="C23" s="34">
        <f>C16*$G$23+C17</f>
        <v>10500</v>
      </c>
      <c r="D23" s="34">
        <f>D16*$G$23+D17</f>
        <v>4500</v>
      </c>
      <c r="E23" s="34">
        <f>E16*$G$23+E17</f>
        <v>4320</v>
      </c>
      <c r="F23" s="34">
        <f>F16*$G$23+F17</f>
        <v>12180.000000000005</v>
      </c>
      <c r="G23" s="35">
        <v>480</v>
      </c>
      <c r="H23" s="36" t="s">
        <v>162</v>
      </c>
    </row>
    <row r="24" spans="1:13" x14ac:dyDescent="0.25">
      <c r="A24" s="4" t="s">
        <v>163</v>
      </c>
      <c r="C24" s="34">
        <f>C5*$G$24</f>
        <v>10500</v>
      </c>
      <c r="D24" s="34">
        <f>D5*$G$24</f>
        <v>4500</v>
      </c>
      <c r="E24" s="34">
        <f>E5*$G$24</f>
        <v>4319.9999999999982</v>
      </c>
      <c r="F24" s="34">
        <f>F5*$G$24</f>
        <v>12180.000000000002</v>
      </c>
      <c r="G24" s="37">
        <v>1.5</v>
      </c>
      <c r="H24" s="36" t="s">
        <v>164</v>
      </c>
    </row>
    <row r="25" spans="1:13" x14ac:dyDescent="0.25">
      <c r="C25" s="29" t="b">
        <f t="shared" ref="C25:E25" si="1">C23&gt;=C24-0.0001</f>
        <v>1</v>
      </c>
      <c r="D25" s="29" t="b">
        <f t="shared" si="1"/>
        <v>1</v>
      </c>
      <c r="E25" s="29" t="b">
        <f t="shared" si="1"/>
        <v>1</v>
      </c>
      <c r="F25" s="29" t="b">
        <f>F23&gt;=F24-0.0001</f>
        <v>1</v>
      </c>
    </row>
    <row r="27" spans="1:13" x14ac:dyDescent="0.25">
      <c r="A27" s="38" t="s">
        <v>165</v>
      </c>
      <c r="C27" s="39">
        <f>C16*$G$23/2</f>
        <v>4800</v>
      </c>
      <c r="D27" s="39">
        <f>D16*$G$23/2</f>
        <v>2160</v>
      </c>
      <c r="E27" s="39">
        <f>E16*$G$23/2</f>
        <v>2160</v>
      </c>
      <c r="F27" s="39">
        <f>F16*$G$23/2</f>
        <v>4080</v>
      </c>
    </row>
  </sheetData>
  <mergeCells count="2">
    <mergeCell ref="A1:H1"/>
    <mergeCell ref="C2:F2"/>
  </mergeCells>
  <conditionalFormatting sqref="C9:F9">
    <cfRule type="cellIs" dxfId="21" priority="2" operator="equal">
      <formula>FALSE</formula>
    </cfRule>
  </conditionalFormatting>
  <conditionalFormatting sqref="C25:F25">
    <cfRule type="cellIs" dxfId="20" priority="1" operator="equal">
      <formula>FALSE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7"/>
  <sheetViews>
    <sheetView topLeftCell="A4" zoomScale="130" zoomScaleNormal="130" workbookViewId="0">
      <selection activeCell="K18" sqref="K18"/>
    </sheetView>
  </sheetViews>
  <sheetFormatPr defaultRowHeight="13.2" x14ac:dyDescent="0.25"/>
  <cols>
    <col min="1" max="1" width="14.6640625" style="4" customWidth="1"/>
    <col min="2" max="2" width="5.33203125" style="4" bestFit="1" customWidth="1"/>
    <col min="3" max="6" width="10.6640625" style="4" customWidth="1"/>
    <col min="7" max="8" width="11.6640625" style="4" customWidth="1"/>
    <col min="9" max="9" width="8.88671875" style="4"/>
    <col min="10" max="10" width="9.21875" style="4" bestFit="1" customWidth="1"/>
    <col min="11" max="11" width="12.109375" style="4" bestFit="1" customWidth="1"/>
    <col min="12" max="16384" width="8.88671875" style="4"/>
  </cols>
  <sheetData>
    <row r="1" spans="1:13" ht="15.6" x14ac:dyDescent="0.3">
      <c r="A1" s="52" t="s">
        <v>140</v>
      </c>
      <c r="B1" s="52"/>
      <c r="C1" s="52"/>
      <c r="D1" s="52"/>
      <c r="E1" s="52"/>
      <c r="F1" s="52"/>
      <c r="G1" s="52"/>
      <c r="H1" s="52"/>
    </row>
    <row r="2" spans="1:13" x14ac:dyDescent="0.25">
      <c r="A2" s="4" t="s">
        <v>138</v>
      </c>
      <c r="B2" s="4">
        <v>2015</v>
      </c>
      <c r="C2" s="53">
        <v>2016</v>
      </c>
      <c r="D2" s="53"/>
      <c r="E2" s="53"/>
      <c r="F2" s="53"/>
    </row>
    <row r="3" spans="1:13" x14ac:dyDescent="0.25">
      <c r="A3" s="4" t="s">
        <v>137</v>
      </c>
      <c r="B3" s="4">
        <v>4</v>
      </c>
      <c r="C3" s="4">
        <v>1</v>
      </c>
      <c r="D3" s="4">
        <v>2</v>
      </c>
      <c r="E3" s="4">
        <v>3</v>
      </c>
      <c r="F3" s="4">
        <v>4</v>
      </c>
    </row>
    <row r="4" spans="1:13" x14ac:dyDescent="0.25">
      <c r="A4" s="4" t="s">
        <v>141</v>
      </c>
      <c r="C4" s="26">
        <v>7000</v>
      </c>
      <c r="D4" s="26">
        <v>3000</v>
      </c>
      <c r="E4" s="26">
        <v>1000</v>
      </c>
      <c r="F4" s="26">
        <v>10000</v>
      </c>
    </row>
    <row r="5" spans="1:13" x14ac:dyDescent="0.25">
      <c r="A5" s="4" t="s">
        <v>142</v>
      </c>
      <c r="C5" s="27">
        <v>7000</v>
      </c>
      <c r="D5" s="27">
        <v>4160.0000000000009</v>
      </c>
      <c r="E5" s="27">
        <v>4160.0000000000009</v>
      </c>
      <c r="F5" s="27">
        <v>5679.9999999999973</v>
      </c>
    </row>
    <row r="6" spans="1:13" x14ac:dyDescent="0.25">
      <c r="A6" s="4" t="s">
        <v>143</v>
      </c>
      <c r="G6" s="4" t="s">
        <v>144</v>
      </c>
      <c r="H6" s="28">
        <f>SUM(H10:H11,H18:H21)</f>
        <v>1352679.9999999998</v>
      </c>
    </row>
    <row r="7" spans="1:13" x14ac:dyDescent="0.25">
      <c r="A7" s="4" t="s">
        <v>145</v>
      </c>
      <c r="C7" s="4">
        <f>B8</f>
        <v>500</v>
      </c>
      <c r="D7" s="4">
        <f>C8</f>
        <v>500</v>
      </c>
      <c r="E7" s="4">
        <f>D8</f>
        <v>1660.0000000000009</v>
      </c>
      <c r="F7" s="4">
        <f>E8</f>
        <v>4820.0000000000018</v>
      </c>
    </row>
    <row r="8" spans="1:13" x14ac:dyDescent="0.25">
      <c r="A8" s="4" t="s">
        <v>146</v>
      </c>
      <c r="B8" s="26">
        <v>500</v>
      </c>
      <c r="C8" s="4">
        <f>C7+C5-C4</f>
        <v>500</v>
      </c>
      <c r="D8" s="4">
        <f>D7+D5-D4</f>
        <v>1660.0000000000009</v>
      </c>
      <c r="E8" s="4">
        <f>E7+E5-E4</f>
        <v>4820.0000000000018</v>
      </c>
      <c r="F8" s="4">
        <f>F7+F5-F4</f>
        <v>500</v>
      </c>
    </row>
    <row r="9" spans="1:13" x14ac:dyDescent="0.25">
      <c r="C9" s="29" t="b">
        <f>C8&gt;=$B$8</f>
        <v>1</v>
      </c>
      <c r="D9" s="29" t="b">
        <f t="shared" ref="D9:F9" si="0">D8&gt;=$B$8</f>
        <v>1</v>
      </c>
      <c r="E9" s="29" t="b">
        <f t="shared" si="0"/>
        <v>1</v>
      </c>
      <c r="F9" s="29" t="b">
        <f t="shared" si="0"/>
        <v>1</v>
      </c>
      <c r="G9" s="4" t="s">
        <v>147</v>
      </c>
      <c r="H9" s="4" t="s">
        <v>148</v>
      </c>
    </row>
    <row r="10" spans="1:13" x14ac:dyDescent="0.25">
      <c r="A10" s="4" t="s">
        <v>149</v>
      </c>
      <c r="C10" s="30">
        <f>AVERAGE(C7:C8)*$G$10</f>
        <v>3000</v>
      </c>
      <c r="D10" s="30">
        <f>AVERAGE(D7:D8)*$G$10</f>
        <v>6480.0000000000027</v>
      </c>
      <c r="E10" s="30">
        <f>AVERAGE(E7:E8)*$G$10</f>
        <v>19440.000000000007</v>
      </c>
      <c r="F10" s="30">
        <f>AVERAGE(F7:F8)*$G$10</f>
        <v>15960.000000000005</v>
      </c>
      <c r="G10" s="31">
        <v>6</v>
      </c>
      <c r="H10" s="30">
        <f>SUM(C10:F10)</f>
        <v>44880.000000000015</v>
      </c>
      <c r="J10" s="4" t="s">
        <v>203</v>
      </c>
    </row>
    <row r="11" spans="1:13" x14ac:dyDescent="0.25">
      <c r="A11" s="4" t="s">
        <v>150</v>
      </c>
      <c r="C11" s="30">
        <f>C5*$G$11</f>
        <v>210000</v>
      </c>
      <c r="D11" s="30">
        <f>D5*$G$11</f>
        <v>124800.00000000003</v>
      </c>
      <c r="E11" s="30">
        <f>E5*$G$11</f>
        <v>124800.00000000003</v>
      </c>
      <c r="F11" s="30">
        <f>F5*$G$11</f>
        <v>170399.99999999991</v>
      </c>
      <c r="G11" s="31">
        <v>30</v>
      </c>
      <c r="H11" s="30">
        <f>SUM(C11:F11)</f>
        <v>629999.99999999988</v>
      </c>
      <c r="I11" s="32"/>
      <c r="J11" s="32" t="s">
        <v>204</v>
      </c>
      <c r="K11" s="32"/>
      <c r="L11" s="32"/>
      <c r="M11" s="32"/>
    </row>
    <row r="12" spans="1:13" x14ac:dyDescent="0.25">
      <c r="A12" s="4" t="s">
        <v>151</v>
      </c>
      <c r="C12" s="27">
        <v>0</v>
      </c>
      <c r="D12" s="27">
        <v>0</v>
      </c>
      <c r="E12" s="27">
        <v>0</v>
      </c>
      <c r="F12" s="27">
        <v>0</v>
      </c>
      <c r="G12" s="30"/>
      <c r="I12" s="32"/>
      <c r="J12" s="32"/>
      <c r="K12" s="32"/>
      <c r="L12" s="32"/>
      <c r="M12" s="32"/>
    </row>
    <row r="13" spans="1:13" x14ac:dyDescent="0.25">
      <c r="A13" s="4" t="s">
        <v>152</v>
      </c>
      <c r="C13" s="27">
        <v>4</v>
      </c>
      <c r="D13" s="27">
        <v>3</v>
      </c>
      <c r="E13" s="27">
        <v>0</v>
      </c>
      <c r="F13" s="27">
        <v>0</v>
      </c>
      <c r="I13" s="32"/>
      <c r="J13" s="50"/>
      <c r="K13" s="32"/>
      <c r="L13" s="32"/>
      <c r="M13" s="32"/>
    </row>
    <row r="14" spans="1:13" x14ac:dyDescent="0.25">
      <c r="A14" s="4" t="s">
        <v>153</v>
      </c>
      <c r="C14" s="32"/>
      <c r="D14" s="32"/>
      <c r="E14" s="32"/>
      <c r="F14" s="32"/>
      <c r="I14" s="32"/>
      <c r="J14" s="32"/>
      <c r="K14" s="32"/>
      <c r="L14" s="32"/>
      <c r="M14" s="32"/>
    </row>
    <row r="15" spans="1:13" x14ac:dyDescent="0.25">
      <c r="A15" s="4" t="s">
        <v>145</v>
      </c>
      <c r="C15" s="32">
        <f>B16</f>
        <v>20</v>
      </c>
      <c r="D15" s="32">
        <f>C16</f>
        <v>16</v>
      </c>
      <c r="E15" s="32">
        <f>D16</f>
        <v>13</v>
      </c>
      <c r="F15" s="32">
        <f>E16</f>
        <v>13</v>
      </c>
      <c r="I15" s="32" t="s">
        <v>205</v>
      </c>
      <c r="J15" s="32">
        <f>C15*0.2</f>
        <v>4</v>
      </c>
      <c r="K15" s="32">
        <f t="shared" ref="K15:M15" si="1">D15*0.2</f>
        <v>3.2</v>
      </c>
      <c r="L15" s="32">
        <f t="shared" si="1"/>
        <v>2.6</v>
      </c>
      <c r="M15" s="32">
        <f t="shared" si="1"/>
        <v>2.6</v>
      </c>
    </row>
    <row r="16" spans="1:13" x14ac:dyDescent="0.25">
      <c r="A16" s="4" t="s">
        <v>146</v>
      </c>
      <c r="B16" s="26">
        <v>20</v>
      </c>
      <c r="C16" s="32">
        <f>C15+C12-C13</f>
        <v>16</v>
      </c>
      <c r="D16" s="32">
        <f>D15+D12-D13</f>
        <v>13</v>
      </c>
      <c r="E16" s="32">
        <f>E15+E12-E13</f>
        <v>13</v>
      </c>
      <c r="F16" s="32">
        <f>F15+F12-F13</f>
        <v>13</v>
      </c>
      <c r="I16" s="32"/>
      <c r="J16" s="32"/>
      <c r="K16" s="32"/>
      <c r="L16" s="32"/>
      <c r="M16" s="32"/>
    </row>
    <row r="17" spans="1:13" x14ac:dyDescent="0.25">
      <c r="A17" s="4" t="s">
        <v>154</v>
      </c>
      <c r="C17" s="27">
        <v>2820</v>
      </c>
      <c r="D17" s="27">
        <v>0</v>
      </c>
      <c r="E17" s="27">
        <v>0</v>
      </c>
      <c r="F17" s="27">
        <v>2279.9999999999918</v>
      </c>
      <c r="G17" s="4" t="s">
        <v>147</v>
      </c>
      <c r="H17" s="4" t="s">
        <v>148</v>
      </c>
      <c r="I17" s="32"/>
      <c r="J17" s="51"/>
      <c r="K17" s="32"/>
      <c r="L17" s="32"/>
      <c r="M17" s="32"/>
    </row>
    <row r="18" spans="1:13" x14ac:dyDescent="0.25">
      <c r="A18" s="4" t="s">
        <v>155</v>
      </c>
      <c r="C18" s="33">
        <f>C12*$G$18</f>
        <v>0</v>
      </c>
      <c r="D18" s="33">
        <f>D12*$G$18</f>
        <v>0</v>
      </c>
      <c r="E18" s="33">
        <f>E12*$G$18</f>
        <v>0</v>
      </c>
      <c r="F18" s="33">
        <f>F12*$G$18</f>
        <v>0</v>
      </c>
      <c r="G18" s="31">
        <v>3000</v>
      </c>
      <c r="H18" s="30">
        <f>SUM(C18:F18)</f>
        <v>0</v>
      </c>
      <c r="I18" s="32"/>
      <c r="J18" s="32"/>
      <c r="K18" s="32"/>
      <c r="L18" s="32"/>
      <c r="M18" s="32"/>
    </row>
    <row r="19" spans="1:13" x14ac:dyDescent="0.25">
      <c r="A19" s="4" t="s">
        <v>156</v>
      </c>
      <c r="C19" s="33">
        <f>C13*$G$19</f>
        <v>6000</v>
      </c>
      <c r="D19" s="33">
        <f>D13*$G$19</f>
        <v>4500</v>
      </c>
      <c r="E19" s="33">
        <f>E13*$G$19</f>
        <v>0</v>
      </c>
      <c r="F19" s="33">
        <f>F13*$G$19</f>
        <v>0</v>
      </c>
      <c r="G19" s="31">
        <v>1500</v>
      </c>
      <c r="H19" s="30">
        <f>SUM(C19:F19)</f>
        <v>10500</v>
      </c>
      <c r="I19" s="32"/>
      <c r="J19" s="50"/>
      <c r="K19" s="32"/>
      <c r="L19" s="32"/>
      <c r="M19" s="32"/>
    </row>
    <row r="20" spans="1:13" x14ac:dyDescent="0.25">
      <c r="A20" s="4" t="s">
        <v>157</v>
      </c>
      <c r="C20" s="30">
        <f>C16*$G$20</f>
        <v>160000</v>
      </c>
      <c r="D20" s="30">
        <f>D16*$G$20</f>
        <v>130000</v>
      </c>
      <c r="E20" s="30">
        <f>E16*$G$20</f>
        <v>130000</v>
      </c>
      <c r="F20" s="30">
        <f>F16*$G$20</f>
        <v>130000</v>
      </c>
      <c r="G20" s="31">
        <v>10000</v>
      </c>
      <c r="H20" s="30">
        <f>SUM(C20:F20)</f>
        <v>550000</v>
      </c>
      <c r="I20" s="32"/>
      <c r="J20" s="50"/>
      <c r="K20" s="32"/>
      <c r="L20" s="32"/>
      <c r="M20" s="32"/>
    </row>
    <row r="21" spans="1:13" x14ac:dyDescent="0.25">
      <c r="A21" s="4" t="s">
        <v>158</v>
      </c>
      <c r="C21" s="30">
        <f>C17*$G$21</f>
        <v>64860</v>
      </c>
      <c r="D21" s="30">
        <f>D17*$G$21</f>
        <v>0</v>
      </c>
      <c r="E21" s="30">
        <f>E17*$G$21</f>
        <v>0</v>
      </c>
      <c r="F21" s="30">
        <f>F17*$G$21</f>
        <v>52439.999999999811</v>
      </c>
      <c r="G21" s="31">
        <v>23</v>
      </c>
      <c r="H21" s="30">
        <f>SUM(C21:F21)</f>
        <v>117299.99999999981</v>
      </c>
      <c r="I21" s="32"/>
      <c r="J21" s="50"/>
      <c r="K21" s="32"/>
      <c r="L21" s="32"/>
      <c r="M21" s="32"/>
    </row>
    <row r="22" spans="1:13" x14ac:dyDescent="0.25">
      <c r="A22" s="4" t="s">
        <v>159</v>
      </c>
      <c r="G22" s="4" t="s">
        <v>160</v>
      </c>
      <c r="I22" s="32"/>
      <c r="J22" s="32"/>
      <c r="K22" s="32"/>
      <c r="L22" s="32"/>
      <c r="M22" s="32"/>
    </row>
    <row r="23" spans="1:13" x14ac:dyDescent="0.25">
      <c r="A23" s="4" t="s">
        <v>161</v>
      </c>
      <c r="C23" s="34">
        <f>C16*$G$23+C17</f>
        <v>10500</v>
      </c>
      <c r="D23" s="34">
        <f>D16*$G$23+D17</f>
        <v>6240</v>
      </c>
      <c r="E23" s="34">
        <f>E16*$G$23+E17</f>
        <v>6240</v>
      </c>
      <c r="F23" s="34">
        <f>F16*$G$23+F17</f>
        <v>8519.9999999999927</v>
      </c>
      <c r="G23" s="35">
        <v>480</v>
      </c>
      <c r="H23" s="36" t="s">
        <v>162</v>
      </c>
    </row>
    <row r="24" spans="1:13" x14ac:dyDescent="0.25">
      <c r="A24" s="4" t="s">
        <v>163</v>
      </c>
      <c r="C24" s="34">
        <f>C5*$G$24</f>
        <v>10500</v>
      </c>
      <c r="D24" s="34">
        <f>D5*$G$24</f>
        <v>6240.0000000000018</v>
      </c>
      <c r="E24" s="34">
        <f>E5*$G$24</f>
        <v>6240.0000000000018</v>
      </c>
      <c r="F24" s="34">
        <f>F5*$G$24</f>
        <v>8519.9999999999964</v>
      </c>
      <c r="G24" s="37">
        <v>1.5</v>
      </c>
      <c r="H24" s="36" t="s">
        <v>164</v>
      </c>
    </row>
    <row r="25" spans="1:13" x14ac:dyDescent="0.25">
      <c r="C25" s="29" t="b">
        <f t="shared" ref="C25:E25" si="2">C23&gt;=C24-0.0001</f>
        <v>1</v>
      </c>
      <c r="D25" s="29" t="b">
        <f t="shared" si="2"/>
        <v>1</v>
      </c>
      <c r="E25" s="29" t="b">
        <f t="shared" si="2"/>
        <v>1</v>
      </c>
      <c r="F25" s="29" t="b">
        <f>F23&gt;=F24-0.0001</f>
        <v>1</v>
      </c>
    </row>
    <row r="27" spans="1:13" x14ac:dyDescent="0.25">
      <c r="A27" s="38" t="s">
        <v>165</v>
      </c>
      <c r="C27" s="39">
        <f>C16*$G$23/2</f>
        <v>3840</v>
      </c>
      <c r="D27" s="39">
        <f t="shared" ref="D27:F27" si="3">D16*$G$23/2</f>
        <v>3120</v>
      </c>
      <c r="E27" s="39">
        <f t="shared" si="3"/>
        <v>3120</v>
      </c>
      <c r="F27" s="39">
        <f t="shared" si="3"/>
        <v>3120</v>
      </c>
    </row>
  </sheetData>
  <mergeCells count="2">
    <mergeCell ref="A1:H1"/>
    <mergeCell ref="C2:F2"/>
  </mergeCells>
  <conditionalFormatting sqref="C9:F9">
    <cfRule type="cellIs" dxfId="19" priority="2" operator="equal">
      <formula>FALSE</formula>
    </cfRule>
  </conditionalFormatting>
  <conditionalFormatting sqref="C25:F25">
    <cfRule type="cellIs" dxfId="18" priority="1" operator="equal">
      <formula>FALSE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27"/>
  <sheetViews>
    <sheetView topLeftCell="A4" zoomScale="130" zoomScaleNormal="130" workbookViewId="0">
      <selection activeCell="J11" sqref="J11"/>
    </sheetView>
  </sheetViews>
  <sheetFormatPr defaultRowHeight="13.2" x14ac:dyDescent="0.25"/>
  <cols>
    <col min="1" max="1" width="14.6640625" style="4" customWidth="1"/>
    <col min="2" max="2" width="5.33203125" style="4" bestFit="1" customWidth="1"/>
    <col min="3" max="6" width="10.6640625" style="4" customWidth="1"/>
    <col min="7" max="8" width="11.6640625" style="4" customWidth="1"/>
    <col min="9" max="9" width="8.88671875" style="4"/>
    <col min="10" max="10" width="9.21875" style="4" bestFit="1" customWidth="1"/>
    <col min="11" max="11" width="12.109375" style="4" bestFit="1" customWidth="1"/>
    <col min="12" max="16384" width="8.88671875" style="4"/>
  </cols>
  <sheetData>
    <row r="1" spans="1:13" ht="15.6" x14ac:dyDescent="0.3">
      <c r="A1" s="52" t="s">
        <v>140</v>
      </c>
      <c r="B1" s="52"/>
      <c r="C1" s="52"/>
      <c r="D1" s="52"/>
      <c r="E1" s="52"/>
      <c r="F1" s="52"/>
      <c r="G1" s="52"/>
      <c r="H1" s="52"/>
    </row>
    <row r="2" spans="1:13" x14ac:dyDescent="0.25">
      <c r="A2" s="4" t="s">
        <v>138</v>
      </c>
      <c r="B2" s="4">
        <v>2015</v>
      </c>
      <c r="C2" s="53">
        <v>2016</v>
      </c>
      <c r="D2" s="53"/>
      <c r="E2" s="53"/>
      <c r="F2" s="53"/>
    </row>
    <row r="3" spans="1:13" x14ac:dyDescent="0.25">
      <c r="A3" s="4" t="s">
        <v>137</v>
      </c>
      <c r="B3" s="4">
        <v>4</v>
      </c>
      <c r="C3" s="4">
        <v>1</v>
      </c>
      <c r="D3" s="4">
        <v>2</v>
      </c>
      <c r="E3" s="4">
        <v>3</v>
      </c>
      <c r="F3" s="4">
        <v>4</v>
      </c>
    </row>
    <row r="4" spans="1:13" x14ac:dyDescent="0.25">
      <c r="A4" s="4" t="s">
        <v>141</v>
      </c>
      <c r="C4" s="26">
        <v>7000</v>
      </c>
      <c r="D4" s="26">
        <v>3000</v>
      </c>
      <c r="E4" s="26">
        <v>1000</v>
      </c>
      <c r="F4" s="26">
        <v>10000</v>
      </c>
    </row>
    <row r="5" spans="1:13" x14ac:dyDescent="0.25">
      <c r="A5" s="4" t="s">
        <v>142</v>
      </c>
      <c r="C5" s="27">
        <v>7000</v>
      </c>
      <c r="D5" s="27">
        <v>4480.0000000000009</v>
      </c>
      <c r="E5" s="27">
        <v>4479.9999999999991</v>
      </c>
      <c r="F5" s="27">
        <v>5040</v>
      </c>
      <c r="J5" s="4" t="s">
        <v>206</v>
      </c>
    </row>
    <row r="6" spans="1:13" x14ac:dyDescent="0.25">
      <c r="A6" s="4" t="s">
        <v>143</v>
      </c>
      <c r="G6" s="4" t="s">
        <v>144</v>
      </c>
      <c r="H6" s="28">
        <f>SUM(H10:H11,H18:H21)</f>
        <v>1349660</v>
      </c>
    </row>
    <row r="7" spans="1:13" x14ac:dyDescent="0.25">
      <c r="A7" s="4" t="s">
        <v>145</v>
      </c>
      <c r="C7" s="4">
        <f>B8</f>
        <v>500</v>
      </c>
      <c r="D7" s="4">
        <f>C8</f>
        <v>500</v>
      </c>
      <c r="E7" s="4">
        <f>D8</f>
        <v>1980.0000000000009</v>
      </c>
      <c r="F7" s="4">
        <f>E8</f>
        <v>5460</v>
      </c>
    </row>
    <row r="8" spans="1:13" x14ac:dyDescent="0.25">
      <c r="A8" s="4" t="s">
        <v>146</v>
      </c>
      <c r="B8" s="26">
        <v>500</v>
      </c>
      <c r="C8" s="4">
        <f>C7+C5-C4</f>
        <v>500</v>
      </c>
      <c r="D8" s="4">
        <f>D7+D5-D4</f>
        <v>1980.0000000000009</v>
      </c>
      <c r="E8" s="4">
        <f>E7+E5-E4</f>
        <v>5460</v>
      </c>
      <c r="F8" s="4">
        <f>F7+F5-F4</f>
        <v>500</v>
      </c>
    </row>
    <row r="9" spans="1:13" x14ac:dyDescent="0.25">
      <c r="C9" s="29" t="b">
        <f>C8&gt;=$B$8</f>
        <v>1</v>
      </c>
      <c r="D9" s="29" t="b">
        <f t="shared" ref="D9:F9" si="0">D8&gt;=$B$8</f>
        <v>1</v>
      </c>
      <c r="E9" s="29" t="b">
        <f t="shared" si="0"/>
        <v>1</v>
      </c>
      <c r="F9" s="29" t="b">
        <f t="shared" si="0"/>
        <v>1</v>
      </c>
      <c r="G9" s="4" t="s">
        <v>147</v>
      </c>
      <c r="H9" s="4" t="s">
        <v>148</v>
      </c>
    </row>
    <row r="10" spans="1:13" x14ac:dyDescent="0.25">
      <c r="A10" s="4" t="s">
        <v>149</v>
      </c>
      <c r="C10" s="30">
        <f>AVERAGE(C7:C8)*$G$10</f>
        <v>3000</v>
      </c>
      <c r="D10" s="30">
        <f>AVERAGE(D7:D8)*$G$10</f>
        <v>7440.0000000000027</v>
      </c>
      <c r="E10" s="30">
        <f>AVERAGE(E7:E8)*$G$10</f>
        <v>22320.000000000004</v>
      </c>
      <c r="F10" s="30">
        <f>AVERAGE(F7:F8)*$G$10</f>
        <v>17880</v>
      </c>
      <c r="G10" s="31">
        <v>6</v>
      </c>
      <c r="H10" s="30">
        <f>SUM(C10:F10)</f>
        <v>50640.000000000007</v>
      </c>
    </row>
    <row r="11" spans="1:13" x14ac:dyDescent="0.25">
      <c r="A11" s="4" t="s">
        <v>150</v>
      </c>
      <c r="C11" s="30">
        <f>C5*$G$11</f>
        <v>210000</v>
      </c>
      <c r="D11" s="30">
        <f>D5*$G$11</f>
        <v>134400.00000000003</v>
      </c>
      <c r="E11" s="30">
        <f>E5*$G$11</f>
        <v>134399.99999999997</v>
      </c>
      <c r="F11" s="30">
        <f>F5*$G$11</f>
        <v>151200</v>
      </c>
      <c r="G11" s="31">
        <v>30</v>
      </c>
      <c r="H11" s="30">
        <f>SUM(C11:F11)</f>
        <v>630000</v>
      </c>
      <c r="I11" s="32"/>
      <c r="J11" s="32"/>
      <c r="K11" s="32"/>
      <c r="L11" s="32"/>
      <c r="M11" s="32"/>
    </row>
    <row r="12" spans="1:13" x14ac:dyDescent="0.25">
      <c r="A12" s="4" t="s">
        <v>151</v>
      </c>
      <c r="C12" s="27">
        <v>0</v>
      </c>
      <c r="D12" s="27">
        <v>0</v>
      </c>
      <c r="E12" s="27">
        <v>0</v>
      </c>
      <c r="F12" s="27">
        <v>0</v>
      </c>
      <c r="G12" s="30"/>
      <c r="I12" s="32"/>
      <c r="J12" s="32"/>
      <c r="K12" s="32"/>
      <c r="L12" s="32"/>
      <c r="M12" s="32"/>
    </row>
    <row r="13" spans="1:13" x14ac:dyDescent="0.25">
      <c r="A13" s="4" t="s">
        <v>152</v>
      </c>
      <c r="C13" s="27">
        <v>0</v>
      </c>
      <c r="D13" s="27">
        <v>6</v>
      </c>
      <c r="E13" s="27">
        <v>0</v>
      </c>
      <c r="F13" s="27">
        <v>0</v>
      </c>
      <c r="I13" s="32"/>
      <c r="J13" s="50"/>
      <c r="K13" s="32"/>
      <c r="L13" s="32"/>
      <c r="M13" s="32"/>
    </row>
    <row r="14" spans="1:13" x14ac:dyDescent="0.25">
      <c r="A14" s="4" t="s">
        <v>153</v>
      </c>
      <c r="C14" s="32"/>
      <c r="D14" s="32"/>
      <c r="E14" s="32"/>
      <c r="F14" s="32"/>
      <c r="I14" s="32"/>
      <c r="J14" s="32"/>
      <c r="K14" s="32"/>
      <c r="L14" s="32"/>
      <c r="M14" s="32"/>
    </row>
    <row r="15" spans="1:13" x14ac:dyDescent="0.25">
      <c r="A15" s="4" t="s">
        <v>145</v>
      </c>
      <c r="C15" s="32">
        <f>B16</f>
        <v>20</v>
      </c>
      <c r="D15" s="32">
        <f>C16</f>
        <v>20</v>
      </c>
      <c r="E15" s="32">
        <f>D16</f>
        <v>14</v>
      </c>
      <c r="F15" s="32">
        <f>E16</f>
        <v>14</v>
      </c>
      <c r="I15" s="32"/>
      <c r="J15" s="32"/>
      <c r="K15" s="32"/>
      <c r="L15" s="32"/>
      <c r="M15" s="32"/>
    </row>
    <row r="16" spans="1:13" x14ac:dyDescent="0.25">
      <c r="A16" s="4" t="s">
        <v>146</v>
      </c>
      <c r="B16" s="26">
        <v>20</v>
      </c>
      <c r="C16" s="32">
        <f>C15+C12-C13</f>
        <v>20</v>
      </c>
      <c r="D16" s="32">
        <f>D15+D12-D13</f>
        <v>14</v>
      </c>
      <c r="E16" s="32">
        <f>E15+E12-E13</f>
        <v>14</v>
      </c>
      <c r="F16" s="32">
        <f>F15+F12-F13</f>
        <v>14</v>
      </c>
      <c r="I16" s="32"/>
      <c r="J16" s="32"/>
      <c r="K16" s="32"/>
      <c r="L16" s="32"/>
      <c r="M16" s="32"/>
    </row>
    <row r="17" spans="1:13" x14ac:dyDescent="0.25">
      <c r="A17" s="4" t="s">
        <v>154</v>
      </c>
      <c r="C17" s="27">
        <v>900</v>
      </c>
      <c r="D17" s="27">
        <v>0</v>
      </c>
      <c r="E17" s="27">
        <v>0</v>
      </c>
      <c r="F17" s="27">
        <v>840.00000000000136</v>
      </c>
      <c r="G17" s="4" t="s">
        <v>147</v>
      </c>
      <c r="H17" s="4" t="s">
        <v>148</v>
      </c>
      <c r="I17" s="32"/>
      <c r="J17" s="51"/>
      <c r="K17" s="32"/>
      <c r="L17" s="32"/>
      <c r="M17" s="32"/>
    </row>
    <row r="18" spans="1:13" x14ac:dyDescent="0.25">
      <c r="A18" s="4" t="s">
        <v>155</v>
      </c>
      <c r="C18" s="33">
        <f>C12*$G$18</f>
        <v>0</v>
      </c>
      <c r="D18" s="33">
        <f>D12*$G$18</f>
        <v>0</v>
      </c>
      <c r="E18" s="33">
        <f>E12*$G$18</f>
        <v>0</v>
      </c>
      <c r="F18" s="33">
        <f>F12*$G$18</f>
        <v>0</v>
      </c>
      <c r="G18" s="31">
        <v>3000</v>
      </c>
      <c r="H18" s="30">
        <f>SUM(C18:F18)</f>
        <v>0</v>
      </c>
      <c r="I18" s="32"/>
      <c r="J18" s="32"/>
      <c r="K18" s="32"/>
      <c r="L18" s="32"/>
      <c r="M18" s="32"/>
    </row>
    <row r="19" spans="1:13" x14ac:dyDescent="0.25">
      <c r="A19" s="4" t="s">
        <v>156</v>
      </c>
      <c r="C19" s="33">
        <f>C13*$G$19</f>
        <v>0</v>
      </c>
      <c r="D19" s="33">
        <f>D13*$G$19</f>
        <v>9000</v>
      </c>
      <c r="E19" s="33">
        <f>E13*$G$19</f>
        <v>0</v>
      </c>
      <c r="F19" s="33">
        <f>F13*$G$19</f>
        <v>0</v>
      </c>
      <c r="G19" s="31">
        <v>1500</v>
      </c>
      <c r="H19" s="30">
        <f>SUM(C19:F19)</f>
        <v>9000</v>
      </c>
      <c r="I19" s="32"/>
      <c r="J19" s="50"/>
      <c r="K19" s="32"/>
      <c r="L19" s="32"/>
      <c r="M19" s="32"/>
    </row>
    <row r="20" spans="1:13" x14ac:dyDescent="0.25">
      <c r="A20" s="4" t="s">
        <v>157</v>
      </c>
      <c r="C20" s="30">
        <f>C16*$G$20</f>
        <v>200000</v>
      </c>
      <c r="D20" s="30">
        <f>D16*$G$20</f>
        <v>140000</v>
      </c>
      <c r="E20" s="30">
        <f>E16*$G$20</f>
        <v>140000</v>
      </c>
      <c r="F20" s="30">
        <f>F16*$G$20</f>
        <v>140000</v>
      </c>
      <c r="G20" s="31">
        <v>10000</v>
      </c>
      <c r="H20" s="30">
        <f>SUM(C20:F20)</f>
        <v>620000</v>
      </c>
      <c r="I20" s="32"/>
      <c r="J20" s="50"/>
      <c r="K20" s="32"/>
      <c r="L20" s="32"/>
      <c r="M20" s="32"/>
    </row>
    <row r="21" spans="1:13" x14ac:dyDescent="0.25">
      <c r="A21" s="4" t="s">
        <v>158</v>
      </c>
      <c r="C21" s="30">
        <f>C17*$G$21</f>
        <v>20700</v>
      </c>
      <c r="D21" s="30">
        <f>D17*$G$21</f>
        <v>0</v>
      </c>
      <c r="E21" s="30">
        <f>E17*$G$21</f>
        <v>0</v>
      </c>
      <c r="F21" s="30">
        <f>F17*$G$21</f>
        <v>19320.000000000033</v>
      </c>
      <c r="G21" s="31">
        <v>23</v>
      </c>
      <c r="H21" s="30">
        <f>SUM(C21:F21)</f>
        <v>40020.000000000029</v>
      </c>
      <c r="I21" s="32"/>
      <c r="J21" s="50"/>
      <c r="K21" s="32"/>
      <c r="L21" s="32"/>
      <c r="M21" s="32"/>
    </row>
    <row r="22" spans="1:13" x14ac:dyDescent="0.25">
      <c r="A22" s="4" t="s">
        <v>159</v>
      </c>
      <c r="G22" s="4" t="s">
        <v>160</v>
      </c>
      <c r="I22" s="32"/>
      <c r="J22" s="32"/>
      <c r="K22" s="32"/>
      <c r="L22" s="32"/>
      <c r="M22" s="32"/>
    </row>
    <row r="23" spans="1:13" x14ac:dyDescent="0.25">
      <c r="A23" s="4" t="s">
        <v>161</v>
      </c>
      <c r="C23" s="34">
        <f>C16*$G$23+C17</f>
        <v>10500</v>
      </c>
      <c r="D23" s="34">
        <f>D16*$G$23+D17</f>
        <v>6720</v>
      </c>
      <c r="E23" s="34">
        <f>E16*$G$23+E17</f>
        <v>6720</v>
      </c>
      <c r="F23" s="34">
        <f>F16*$G$23+F17</f>
        <v>7560.0000000000018</v>
      </c>
      <c r="G23" s="35">
        <v>480</v>
      </c>
      <c r="H23" s="36" t="s">
        <v>162</v>
      </c>
    </row>
    <row r="24" spans="1:13" x14ac:dyDescent="0.25">
      <c r="A24" s="4" t="s">
        <v>163</v>
      </c>
      <c r="C24" s="34">
        <f>C5*$G$24</f>
        <v>10500</v>
      </c>
      <c r="D24" s="34">
        <f>D5*$G$24</f>
        <v>6720.0000000000018</v>
      </c>
      <c r="E24" s="34">
        <f>E5*$G$24</f>
        <v>6719.9999999999982</v>
      </c>
      <c r="F24" s="34">
        <f>F5*$G$24</f>
        <v>7560</v>
      </c>
      <c r="G24" s="37">
        <v>1.5</v>
      </c>
      <c r="H24" s="36" t="s">
        <v>164</v>
      </c>
    </row>
    <row r="25" spans="1:13" x14ac:dyDescent="0.25">
      <c r="C25" s="29" t="b">
        <f t="shared" ref="C25:E25" si="1">C23&gt;=C24-0.0001</f>
        <v>1</v>
      </c>
      <c r="D25" s="29" t="b">
        <f t="shared" si="1"/>
        <v>1</v>
      </c>
      <c r="E25" s="29" t="b">
        <f t="shared" si="1"/>
        <v>1</v>
      </c>
      <c r="F25" s="29" t="b">
        <f>F23&gt;=F24-0.0001</f>
        <v>1</v>
      </c>
    </row>
    <row r="27" spans="1:13" x14ac:dyDescent="0.25">
      <c r="A27" s="38" t="s">
        <v>165</v>
      </c>
      <c r="C27" s="39">
        <f>C16*$G$23/4</f>
        <v>2400</v>
      </c>
      <c r="D27" s="39">
        <f>D16*$G$23/4</f>
        <v>1680</v>
      </c>
      <c r="E27" s="39">
        <f>E16*$G$23/4</f>
        <v>1680</v>
      </c>
      <c r="F27" s="39">
        <f>F16*$G$23/4</f>
        <v>1680</v>
      </c>
    </row>
  </sheetData>
  <mergeCells count="2">
    <mergeCell ref="A1:H1"/>
    <mergeCell ref="C2:F2"/>
  </mergeCells>
  <conditionalFormatting sqref="C9:F9">
    <cfRule type="cellIs" dxfId="17" priority="2" operator="equal">
      <formula>FALSE</formula>
    </cfRule>
  </conditionalFormatting>
  <conditionalFormatting sqref="C25:F25">
    <cfRule type="cellIs" dxfId="16" priority="1" operator="equal">
      <formula>FALSE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27"/>
  <sheetViews>
    <sheetView zoomScale="130" zoomScaleNormal="130" workbookViewId="0">
      <selection activeCell="K11" sqref="K11"/>
    </sheetView>
  </sheetViews>
  <sheetFormatPr defaultRowHeight="13.2" x14ac:dyDescent="0.25"/>
  <cols>
    <col min="1" max="1" width="14.6640625" style="4" customWidth="1"/>
    <col min="2" max="2" width="5.33203125" style="4" bestFit="1" customWidth="1"/>
    <col min="3" max="6" width="10.6640625" style="4" customWidth="1"/>
    <col min="7" max="8" width="11.6640625" style="4" customWidth="1"/>
    <col min="9" max="9" width="8.88671875" style="4"/>
    <col min="10" max="10" width="9.21875" style="4" bestFit="1" customWidth="1"/>
    <col min="11" max="11" width="14.109375" style="4" bestFit="1" customWidth="1"/>
    <col min="12" max="16384" width="8.88671875" style="4"/>
  </cols>
  <sheetData>
    <row r="1" spans="1:13" ht="15.6" x14ac:dyDescent="0.3">
      <c r="A1" s="52" t="s">
        <v>140</v>
      </c>
      <c r="B1" s="52"/>
      <c r="C1" s="52"/>
      <c r="D1" s="52"/>
      <c r="E1" s="52"/>
      <c r="F1" s="52"/>
      <c r="G1" s="52"/>
      <c r="H1" s="52"/>
    </row>
    <row r="2" spans="1:13" x14ac:dyDescent="0.25">
      <c r="A2" s="4" t="s">
        <v>138</v>
      </c>
      <c r="B2" s="4">
        <v>2015</v>
      </c>
      <c r="C2" s="53">
        <v>2016</v>
      </c>
      <c r="D2" s="53"/>
      <c r="E2" s="53"/>
      <c r="F2" s="53"/>
    </row>
    <row r="3" spans="1:13" x14ac:dyDescent="0.25">
      <c r="A3" s="4" t="s">
        <v>137</v>
      </c>
      <c r="B3" s="4">
        <v>4</v>
      </c>
      <c r="C3" s="4">
        <v>1</v>
      </c>
      <c r="D3" s="4">
        <v>2</v>
      </c>
      <c r="E3" s="4">
        <v>3</v>
      </c>
      <c r="F3" s="4">
        <v>4</v>
      </c>
    </row>
    <row r="4" spans="1:13" x14ac:dyDescent="0.25">
      <c r="A4" s="4" t="s">
        <v>141</v>
      </c>
      <c r="C4" s="26">
        <v>7000</v>
      </c>
      <c r="D4" s="26">
        <v>3000</v>
      </c>
      <c r="E4" s="26">
        <v>1000</v>
      </c>
      <c r="F4" s="26">
        <v>10000</v>
      </c>
    </row>
    <row r="5" spans="1:13" x14ac:dyDescent="0.25">
      <c r="A5" s="4" t="s">
        <v>142</v>
      </c>
      <c r="C5" s="27">
        <v>7000</v>
      </c>
      <c r="D5" s="27">
        <v>4000.0000000000018</v>
      </c>
      <c r="E5" s="27">
        <v>4000</v>
      </c>
      <c r="F5" s="27">
        <v>5999.9999999999982</v>
      </c>
      <c r="J5" s="4" t="s">
        <v>208</v>
      </c>
    </row>
    <row r="6" spans="1:13" x14ac:dyDescent="0.25">
      <c r="A6" s="4" t="s">
        <v>143</v>
      </c>
      <c r="G6" s="4" t="s">
        <v>144</v>
      </c>
      <c r="H6" s="28">
        <f>SUM(H10:H11,H18:H21)</f>
        <v>1217720.0000001506</v>
      </c>
    </row>
    <row r="7" spans="1:13" x14ac:dyDescent="0.25">
      <c r="A7" s="4" t="s">
        <v>145</v>
      </c>
      <c r="C7" s="4">
        <f>B8</f>
        <v>500</v>
      </c>
      <c r="D7" s="4">
        <f>C8</f>
        <v>500</v>
      </c>
      <c r="E7" s="4">
        <f>D8</f>
        <v>1500.0000000000018</v>
      </c>
      <c r="F7" s="4">
        <f>E8</f>
        <v>4500.0000000000018</v>
      </c>
    </row>
    <row r="8" spans="1:13" x14ac:dyDescent="0.25">
      <c r="A8" s="4" t="s">
        <v>146</v>
      </c>
      <c r="B8" s="26">
        <v>500</v>
      </c>
      <c r="C8" s="4">
        <f>C7+C5-C4</f>
        <v>500</v>
      </c>
      <c r="D8" s="4">
        <f>D7+D5-D4</f>
        <v>1500.0000000000018</v>
      </c>
      <c r="E8" s="4">
        <f>E7+E5-E4</f>
        <v>4500.0000000000018</v>
      </c>
      <c r="F8" s="4">
        <f>F7+F5-F4</f>
        <v>500</v>
      </c>
    </row>
    <row r="9" spans="1:13" x14ac:dyDescent="0.25">
      <c r="C9" s="29" t="b">
        <f>C8&gt;=$B$8</f>
        <v>1</v>
      </c>
      <c r="D9" s="29" t="b">
        <f t="shared" ref="D9:F9" si="0">D8&gt;=$B$8</f>
        <v>1</v>
      </c>
      <c r="E9" s="29" t="b">
        <f t="shared" si="0"/>
        <v>1</v>
      </c>
      <c r="F9" s="29" t="b">
        <f t="shared" si="0"/>
        <v>1</v>
      </c>
      <c r="G9" s="4" t="s">
        <v>147</v>
      </c>
      <c r="H9" s="4" t="s">
        <v>148</v>
      </c>
      <c r="J9" s="4" t="s">
        <v>209</v>
      </c>
      <c r="K9" s="54">
        <v>1348520</v>
      </c>
    </row>
    <row r="10" spans="1:13" x14ac:dyDescent="0.25">
      <c r="A10" s="4" t="s">
        <v>149</v>
      </c>
      <c r="C10" s="30">
        <f>AVERAGE(C7:C8)*$G$10</f>
        <v>3000</v>
      </c>
      <c r="D10" s="30">
        <f>AVERAGE(D7:D8)*$G$10</f>
        <v>6000.0000000000055</v>
      </c>
      <c r="E10" s="30">
        <f>AVERAGE(E7:E8)*$G$10</f>
        <v>18000.000000000011</v>
      </c>
      <c r="F10" s="30">
        <f>AVERAGE(F7:F8)*$G$10</f>
        <v>15000.000000000005</v>
      </c>
      <c r="G10" s="31">
        <v>6</v>
      </c>
      <c r="H10" s="30">
        <f>SUM(C10:F10)</f>
        <v>42000.000000000022</v>
      </c>
      <c r="J10" s="4" t="s">
        <v>210</v>
      </c>
      <c r="K10" s="54">
        <v>1217720.0000001506</v>
      </c>
    </row>
    <row r="11" spans="1:13" x14ac:dyDescent="0.25">
      <c r="A11" s="4" t="s">
        <v>150</v>
      </c>
      <c r="C11" s="30">
        <f>C5*$G$11</f>
        <v>210000</v>
      </c>
      <c r="D11" s="30">
        <f>D5*$G$11</f>
        <v>120000.00000000006</v>
      </c>
      <c r="E11" s="30">
        <f>E5*$G$11</f>
        <v>120000</v>
      </c>
      <c r="F11" s="30">
        <f>F5*$G$11</f>
        <v>179999.99999999994</v>
      </c>
      <c r="G11" s="31">
        <v>30</v>
      </c>
      <c r="H11" s="30">
        <f>SUM(C11:F11)</f>
        <v>630000</v>
      </c>
      <c r="I11" s="32"/>
      <c r="J11" s="32"/>
      <c r="K11" s="60">
        <f>K9-K10</f>
        <v>130799.99999984936</v>
      </c>
      <c r="L11" s="32"/>
      <c r="M11" s="32"/>
    </row>
    <row r="12" spans="1:13" x14ac:dyDescent="0.25">
      <c r="A12" s="4" t="s">
        <v>151</v>
      </c>
      <c r="C12" s="27">
        <v>0</v>
      </c>
      <c r="D12" s="27">
        <v>0</v>
      </c>
      <c r="E12" s="27">
        <v>0</v>
      </c>
      <c r="F12" s="27">
        <v>0</v>
      </c>
      <c r="G12" s="30"/>
      <c r="I12" s="32"/>
      <c r="J12" s="32"/>
      <c r="K12" s="32"/>
      <c r="L12" s="32"/>
      <c r="M12" s="32"/>
    </row>
    <row r="13" spans="1:13" x14ac:dyDescent="0.25">
      <c r="A13" s="4" t="s">
        <v>152</v>
      </c>
      <c r="C13" s="27">
        <v>3</v>
      </c>
      <c r="D13" s="27">
        <v>7</v>
      </c>
      <c r="E13" s="27">
        <v>0</v>
      </c>
      <c r="F13" s="27">
        <v>0</v>
      </c>
      <c r="I13" s="32"/>
      <c r="J13" s="50"/>
      <c r="K13" s="32"/>
      <c r="L13" s="32"/>
      <c r="M13" s="32"/>
    </row>
    <row r="14" spans="1:13" x14ac:dyDescent="0.25">
      <c r="A14" s="4" t="s">
        <v>153</v>
      </c>
      <c r="C14" s="32"/>
      <c r="D14" s="32"/>
      <c r="E14" s="32"/>
      <c r="F14" s="32"/>
      <c r="I14" s="32"/>
      <c r="J14" s="32"/>
      <c r="K14" s="32"/>
      <c r="L14" s="32"/>
      <c r="M14" s="32"/>
    </row>
    <row r="15" spans="1:13" x14ac:dyDescent="0.25">
      <c r="A15" s="4" t="s">
        <v>145</v>
      </c>
      <c r="C15" s="32">
        <f>B16</f>
        <v>20</v>
      </c>
      <c r="D15" s="32">
        <f>C16</f>
        <v>17</v>
      </c>
      <c r="E15" s="32">
        <f>D16</f>
        <v>10</v>
      </c>
      <c r="F15" s="32">
        <f>E16</f>
        <v>10</v>
      </c>
      <c r="I15" s="32"/>
      <c r="J15" s="32"/>
      <c r="K15" s="32"/>
      <c r="L15" s="32"/>
      <c r="M15" s="32"/>
    </row>
    <row r="16" spans="1:13" x14ac:dyDescent="0.25">
      <c r="A16" s="4" t="s">
        <v>146</v>
      </c>
      <c r="B16" s="26">
        <v>20</v>
      </c>
      <c r="C16" s="32">
        <f>C15+C12-C13</f>
        <v>17</v>
      </c>
      <c r="D16" s="32">
        <f>D15+D12-D13</f>
        <v>10</v>
      </c>
      <c r="E16" s="32">
        <f>E15+E12-E13</f>
        <v>10</v>
      </c>
      <c r="F16" s="32">
        <f>F15+F12-F13</f>
        <v>10</v>
      </c>
      <c r="I16" s="32"/>
      <c r="J16" s="32"/>
      <c r="K16" s="32"/>
      <c r="L16" s="32"/>
      <c r="M16" s="32"/>
    </row>
    <row r="17" spans="1:13" x14ac:dyDescent="0.25">
      <c r="A17" s="4" t="s">
        <v>154</v>
      </c>
      <c r="C17" s="27">
        <v>240.00000000509289</v>
      </c>
      <c r="D17" s="27">
        <v>0</v>
      </c>
      <c r="E17" s="27">
        <v>0</v>
      </c>
      <c r="F17" s="27">
        <v>2400.0000000014543</v>
      </c>
      <c r="G17" s="4" t="s">
        <v>147</v>
      </c>
      <c r="H17" s="4" t="s">
        <v>148</v>
      </c>
      <c r="I17" s="32"/>
      <c r="J17" s="51"/>
      <c r="K17" s="32"/>
      <c r="L17" s="32"/>
      <c r="M17" s="32"/>
    </row>
    <row r="18" spans="1:13" x14ac:dyDescent="0.25">
      <c r="A18" s="4" t="s">
        <v>155</v>
      </c>
      <c r="C18" s="33">
        <f>C12*$G$18</f>
        <v>0</v>
      </c>
      <c r="D18" s="33">
        <f>D12*$G$18</f>
        <v>0</v>
      </c>
      <c r="E18" s="33">
        <f>E12*$G$18</f>
        <v>0</v>
      </c>
      <c r="F18" s="33">
        <f>F12*$G$18</f>
        <v>0</v>
      </c>
      <c r="G18" s="31">
        <v>3000</v>
      </c>
      <c r="H18" s="30">
        <f>SUM(C18:F18)</f>
        <v>0</v>
      </c>
      <c r="I18" s="32"/>
      <c r="J18" s="32"/>
      <c r="K18" s="32"/>
      <c r="L18" s="32"/>
      <c r="M18" s="32"/>
    </row>
    <row r="19" spans="1:13" x14ac:dyDescent="0.25">
      <c r="A19" s="4" t="s">
        <v>156</v>
      </c>
      <c r="C19" s="33">
        <f>C13*$G$19</f>
        <v>4500</v>
      </c>
      <c r="D19" s="33">
        <f>D13*$G$19</f>
        <v>10500</v>
      </c>
      <c r="E19" s="33">
        <f>E13*$G$19</f>
        <v>0</v>
      </c>
      <c r="F19" s="33">
        <f>F13*$G$19</f>
        <v>0</v>
      </c>
      <c r="G19" s="31">
        <v>1500</v>
      </c>
      <c r="H19" s="30">
        <f>SUM(C19:F19)</f>
        <v>15000</v>
      </c>
      <c r="I19" s="32"/>
      <c r="J19" s="50"/>
      <c r="K19" s="32"/>
      <c r="L19" s="32"/>
      <c r="M19" s="32"/>
    </row>
    <row r="20" spans="1:13" x14ac:dyDescent="0.25">
      <c r="A20" s="4" t="s">
        <v>157</v>
      </c>
      <c r="C20" s="30">
        <f>C16*$G$20</f>
        <v>170000</v>
      </c>
      <c r="D20" s="30">
        <f>D16*$G$20</f>
        <v>100000</v>
      </c>
      <c r="E20" s="30">
        <f>E16*$G$20</f>
        <v>100000</v>
      </c>
      <c r="F20" s="30">
        <f>F16*$G$20</f>
        <v>100000</v>
      </c>
      <c r="G20" s="31">
        <v>10000</v>
      </c>
      <c r="H20" s="30">
        <f>SUM(C20:F20)</f>
        <v>470000</v>
      </c>
      <c r="I20" s="32"/>
      <c r="J20" s="50"/>
      <c r="K20" s="32"/>
      <c r="L20" s="32"/>
      <c r="M20" s="32"/>
    </row>
    <row r="21" spans="1:13" x14ac:dyDescent="0.25">
      <c r="A21" s="4" t="s">
        <v>158</v>
      </c>
      <c r="C21" s="30">
        <f>C17*$G$21</f>
        <v>5520.0000001171366</v>
      </c>
      <c r="D21" s="30">
        <f>D17*$G$21</f>
        <v>0</v>
      </c>
      <c r="E21" s="30">
        <f>E17*$G$21</f>
        <v>0</v>
      </c>
      <c r="F21" s="30">
        <f>F17*$G$21</f>
        <v>55200.000000033448</v>
      </c>
      <c r="G21" s="31">
        <v>23</v>
      </c>
      <c r="H21" s="30">
        <f>SUM(C21:F21)</f>
        <v>60720.000000150583</v>
      </c>
      <c r="I21" s="32"/>
      <c r="J21" s="50"/>
      <c r="K21" s="32"/>
      <c r="L21" s="32"/>
      <c r="M21" s="32"/>
    </row>
    <row r="22" spans="1:13" x14ac:dyDescent="0.25">
      <c r="A22" s="4" t="s">
        <v>159</v>
      </c>
      <c r="G22" s="4" t="s">
        <v>160</v>
      </c>
      <c r="I22" s="32"/>
      <c r="J22" s="32"/>
      <c r="K22" s="32"/>
      <c r="L22" s="32"/>
      <c r="M22" s="32"/>
    </row>
    <row r="23" spans="1:13" x14ac:dyDescent="0.25">
      <c r="A23" s="4" t="s">
        <v>161</v>
      </c>
      <c r="C23" s="34">
        <f>C16*$G$23+C17</f>
        <v>8400.0000000050932</v>
      </c>
      <c r="D23" s="34">
        <f>D16*$G$23+D17</f>
        <v>4800</v>
      </c>
      <c r="E23" s="34">
        <f>E16*$G$23+E17</f>
        <v>4800</v>
      </c>
      <c r="F23" s="34">
        <f>F16*$G$23+F17</f>
        <v>7200.0000000014543</v>
      </c>
      <c r="G23" s="35">
        <v>480</v>
      </c>
      <c r="H23" s="36" t="s">
        <v>162</v>
      </c>
    </row>
    <row r="24" spans="1:13" x14ac:dyDescent="0.25">
      <c r="A24" s="4" t="s">
        <v>163</v>
      </c>
      <c r="C24" s="34">
        <f>C5*$G$24</f>
        <v>8400</v>
      </c>
      <c r="D24" s="34">
        <f>D5*$G$24</f>
        <v>4800.0000000000018</v>
      </c>
      <c r="E24" s="34">
        <f>E5*$G$24</f>
        <v>4800</v>
      </c>
      <c r="F24" s="34">
        <f>F5*$G$24</f>
        <v>7199.9999999999973</v>
      </c>
      <c r="G24" s="37">
        <v>1.2</v>
      </c>
      <c r="H24" s="36" t="s">
        <v>164</v>
      </c>
    </row>
    <row r="25" spans="1:13" x14ac:dyDescent="0.25">
      <c r="C25" s="29" t="b">
        <f t="shared" ref="C25:E25" si="1">C23&gt;=C24-0.0001</f>
        <v>1</v>
      </c>
      <c r="D25" s="29" t="b">
        <f t="shared" si="1"/>
        <v>1</v>
      </c>
      <c r="E25" s="29" t="b">
        <f t="shared" si="1"/>
        <v>1</v>
      </c>
      <c r="F25" s="29" t="b">
        <f>F23&gt;=F24-0.0001</f>
        <v>1</v>
      </c>
    </row>
    <row r="27" spans="1:13" x14ac:dyDescent="0.25">
      <c r="A27" s="38" t="s">
        <v>165</v>
      </c>
      <c r="C27" s="39">
        <f>C16*$G$23/2</f>
        <v>4080</v>
      </c>
      <c r="D27" s="39">
        <f t="shared" ref="D27:F27" si="2">D16*$G$23/2</f>
        <v>2400</v>
      </c>
      <c r="E27" s="39">
        <f t="shared" si="2"/>
        <v>2400</v>
      </c>
      <c r="F27" s="39">
        <f t="shared" si="2"/>
        <v>2400</v>
      </c>
    </row>
  </sheetData>
  <mergeCells count="2">
    <mergeCell ref="A1:H1"/>
    <mergeCell ref="C2:F2"/>
  </mergeCells>
  <conditionalFormatting sqref="C9:F9">
    <cfRule type="cellIs" dxfId="15" priority="2" operator="equal">
      <formula>FALSE</formula>
    </cfRule>
  </conditionalFormatting>
  <conditionalFormatting sqref="C25:F25">
    <cfRule type="cellIs" dxfId="14" priority="1" operator="equal">
      <formula>FALSE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27"/>
  <sheetViews>
    <sheetView zoomScale="130" zoomScaleNormal="130" workbookViewId="0">
      <selection activeCell="F5" sqref="F5"/>
    </sheetView>
  </sheetViews>
  <sheetFormatPr defaultRowHeight="13.2" x14ac:dyDescent="0.25"/>
  <cols>
    <col min="1" max="1" width="14.6640625" style="4" customWidth="1"/>
    <col min="2" max="2" width="5.33203125" style="4" bestFit="1" customWidth="1"/>
    <col min="3" max="6" width="10.6640625" style="4" customWidth="1"/>
    <col min="7" max="8" width="11.6640625" style="4" customWidth="1"/>
    <col min="9" max="9" width="8.88671875" style="4"/>
    <col min="10" max="10" width="9.21875" style="4" bestFit="1" customWidth="1"/>
    <col min="11" max="11" width="14.109375" style="4" bestFit="1" customWidth="1"/>
    <col min="12" max="16384" width="8.88671875" style="4"/>
  </cols>
  <sheetData>
    <row r="1" spans="1:13" ht="15.6" x14ac:dyDescent="0.3">
      <c r="A1" s="52" t="s">
        <v>140</v>
      </c>
      <c r="B1" s="52"/>
      <c r="C1" s="52"/>
      <c r="D1" s="52"/>
      <c r="E1" s="52"/>
      <c r="F1" s="52"/>
      <c r="G1" s="52"/>
      <c r="H1" s="52"/>
    </row>
    <row r="2" spans="1:13" x14ac:dyDescent="0.25">
      <c r="A2" s="4" t="s">
        <v>138</v>
      </c>
      <c r="B2" s="4">
        <v>2015</v>
      </c>
      <c r="C2" s="53">
        <v>2016</v>
      </c>
      <c r="D2" s="53"/>
      <c r="E2" s="53"/>
      <c r="F2" s="53"/>
    </row>
    <row r="3" spans="1:13" x14ac:dyDescent="0.25">
      <c r="A3" s="4" t="s">
        <v>137</v>
      </c>
      <c r="B3" s="4">
        <v>4</v>
      </c>
      <c r="C3" s="4">
        <v>1</v>
      </c>
      <c r="D3" s="4">
        <v>2</v>
      </c>
      <c r="E3" s="4">
        <v>3</v>
      </c>
      <c r="F3" s="4">
        <v>4</v>
      </c>
    </row>
    <row r="4" spans="1:13" x14ac:dyDescent="0.25">
      <c r="A4" s="4" t="s">
        <v>141</v>
      </c>
      <c r="C4" s="26">
        <v>7000</v>
      </c>
      <c r="D4" s="26">
        <v>3000</v>
      </c>
      <c r="E4" s="26">
        <v>1000</v>
      </c>
      <c r="F4" s="26">
        <v>10000</v>
      </c>
    </row>
    <row r="5" spans="1:13" x14ac:dyDescent="0.25">
      <c r="A5" s="4" t="s">
        <v>142</v>
      </c>
      <c r="C5" s="27">
        <v>7000</v>
      </c>
      <c r="D5" s="27">
        <v>4400.0000000000009</v>
      </c>
      <c r="E5" s="27">
        <v>4800</v>
      </c>
      <c r="F5" s="27">
        <v>4800</v>
      </c>
      <c r="J5" s="4" t="s">
        <v>211</v>
      </c>
    </row>
    <row r="6" spans="1:13" x14ac:dyDescent="0.25">
      <c r="A6" s="4" t="s">
        <v>143</v>
      </c>
      <c r="G6" s="4" t="s">
        <v>144</v>
      </c>
      <c r="H6" s="28">
        <f>SUM(H10:H11,H18:H21)</f>
        <v>1361960</v>
      </c>
    </row>
    <row r="7" spans="1:13" x14ac:dyDescent="0.25">
      <c r="A7" s="4" t="s">
        <v>145</v>
      </c>
      <c r="C7" s="4">
        <f>B8</f>
        <v>500</v>
      </c>
      <c r="D7" s="4">
        <f>C8</f>
        <v>500</v>
      </c>
      <c r="E7" s="4">
        <f>D8</f>
        <v>1900.0000000000009</v>
      </c>
      <c r="F7" s="4">
        <f>E8</f>
        <v>5700.0000000000009</v>
      </c>
    </row>
    <row r="8" spans="1:13" x14ac:dyDescent="0.25">
      <c r="A8" s="4" t="s">
        <v>146</v>
      </c>
      <c r="B8" s="26">
        <v>500</v>
      </c>
      <c r="C8" s="4">
        <f>C7+C5-C4</f>
        <v>500</v>
      </c>
      <c r="D8" s="4">
        <f>D7+D5-D4</f>
        <v>1900.0000000000009</v>
      </c>
      <c r="E8" s="4">
        <f>E7+E5-E4</f>
        <v>5700.0000000000009</v>
      </c>
      <c r="F8" s="4">
        <f>F7+F5-F4</f>
        <v>500</v>
      </c>
      <c r="J8" s="4" t="s">
        <v>210</v>
      </c>
      <c r="K8" s="28">
        <v>1361960</v>
      </c>
    </row>
    <row r="9" spans="1:13" x14ac:dyDescent="0.25">
      <c r="C9" s="29" t="b">
        <f>C8&gt;=$B$8</f>
        <v>1</v>
      </c>
      <c r="D9" s="29" t="b">
        <f t="shared" ref="D9:F9" si="0">D8&gt;=$B$8</f>
        <v>1</v>
      </c>
      <c r="E9" s="29" t="b">
        <f t="shared" si="0"/>
        <v>1</v>
      </c>
      <c r="F9" s="29" t="b">
        <f t="shared" si="0"/>
        <v>1</v>
      </c>
      <c r="G9" s="4" t="s">
        <v>147</v>
      </c>
      <c r="H9" s="4" t="s">
        <v>148</v>
      </c>
      <c r="J9" s="4" t="s">
        <v>212</v>
      </c>
      <c r="K9" s="57">
        <v>1348520</v>
      </c>
    </row>
    <row r="10" spans="1:13" x14ac:dyDescent="0.25">
      <c r="A10" s="4" t="s">
        <v>149</v>
      </c>
      <c r="C10" s="30">
        <f>AVERAGE(C7:C8)*$G$10</f>
        <v>3000</v>
      </c>
      <c r="D10" s="30">
        <f>AVERAGE(D7:D8)*$G$10</f>
        <v>7200.0000000000027</v>
      </c>
      <c r="E10" s="30">
        <f>AVERAGE(E7:E8)*$G$10</f>
        <v>22800.000000000007</v>
      </c>
      <c r="F10" s="30">
        <f>AVERAGE(F7:F8)*$G$10</f>
        <v>18600.000000000004</v>
      </c>
      <c r="G10" s="31">
        <v>6</v>
      </c>
      <c r="H10" s="30">
        <f>SUM(C10:F10)</f>
        <v>51600.000000000015</v>
      </c>
      <c r="J10" s="4" t="s">
        <v>213</v>
      </c>
      <c r="K10" s="30">
        <f>K8-K9</f>
        <v>13440</v>
      </c>
    </row>
    <row r="11" spans="1:13" x14ac:dyDescent="0.25">
      <c r="A11" s="4" t="s">
        <v>150</v>
      </c>
      <c r="C11" s="30">
        <f>C5*$G$11</f>
        <v>210000</v>
      </c>
      <c r="D11" s="30">
        <f>D5*$G$11</f>
        <v>132000.00000000003</v>
      </c>
      <c r="E11" s="30">
        <f>E5*$G$11</f>
        <v>144000</v>
      </c>
      <c r="F11" s="30">
        <f>F5*$G$11</f>
        <v>144000</v>
      </c>
      <c r="G11" s="31">
        <v>30</v>
      </c>
      <c r="H11" s="30">
        <f>SUM(C11:F11)</f>
        <v>630000</v>
      </c>
      <c r="I11" s="32"/>
      <c r="J11" s="32"/>
      <c r="K11" s="32"/>
      <c r="L11" s="32"/>
      <c r="M11" s="32"/>
    </row>
    <row r="12" spans="1:13" x14ac:dyDescent="0.25">
      <c r="A12" s="4" t="s">
        <v>151</v>
      </c>
      <c r="C12" s="27">
        <v>1</v>
      </c>
      <c r="D12" s="27">
        <v>0</v>
      </c>
      <c r="E12" s="27">
        <v>1</v>
      </c>
      <c r="F12" s="27">
        <v>0</v>
      </c>
      <c r="G12" s="30"/>
      <c r="I12" s="32"/>
      <c r="J12" s="32"/>
      <c r="K12" s="32"/>
      <c r="L12" s="32"/>
      <c r="M12" s="32"/>
    </row>
    <row r="13" spans="1:13" x14ac:dyDescent="0.25">
      <c r="A13" s="4" t="s">
        <v>152</v>
      </c>
      <c r="C13" s="27">
        <v>0</v>
      </c>
      <c r="D13" s="27">
        <v>7</v>
      </c>
      <c r="E13" s="27">
        <v>0</v>
      </c>
      <c r="F13" s="27">
        <v>0</v>
      </c>
      <c r="I13" s="32"/>
      <c r="J13" s="50"/>
      <c r="K13" s="32"/>
      <c r="L13" s="32"/>
      <c r="M13" s="32"/>
    </row>
    <row r="14" spans="1:13" x14ac:dyDescent="0.25">
      <c r="A14" s="4" t="s">
        <v>153</v>
      </c>
      <c r="C14" s="32"/>
      <c r="D14" s="32"/>
      <c r="E14" s="32"/>
      <c r="F14" s="32"/>
      <c r="I14" s="32"/>
      <c r="J14" s="32"/>
      <c r="K14" s="32"/>
      <c r="L14" s="32"/>
      <c r="M14" s="32"/>
    </row>
    <row r="15" spans="1:13" x14ac:dyDescent="0.25">
      <c r="A15" s="4" t="s">
        <v>145</v>
      </c>
      <c r="C15" s="32">
        <f>B16</f>
        <v>20</v>
      </c>
      <c r="D15" s="32">
        <f>C16</f>
        <v>21</v>
      </c>
      <c r="E15" s="32">
        <f>D16</f>
        <v>14</v>
      </c>
      <c r="F15" s="32">
        <f>E16</f>
        <v>15</v>
      </c>
      <c r="I15" s="32"/>
      <c r="J15" s="32"/>
      <c r="K15" s="32"/>
      <c r="L15" s="32"/>
      <c r="M15" s="32"/>
    </row>
    <row r="16" spans="1:13" x14ac:dyDescent="0.25">
      <c r="A16" s="4" t="s">
        <v>146</v>
      </c>
      <c r="B16" s="26">
        <v>20</v>
      </c>
      <c r="C16" s="32">
        <f>C15+C12-C13</f>
        <v>21</v>
      </c>
      <c r="D16" s="32">
        <f>D15+D12-D13</f>
        <v>14</v>
      </c>
      <c r="E16" s="32">
        <f>E15+E12-E13</f>
        <v>15</v>
      </c>
      <c r="F16" s="32">
        <f>F15+F12-F13</f>
        <v>15</v>
      </c>
      <c r="I16" s="32"/>
      <c r="J16" s="32"/>
      <c r="K16" s="32"/>
      <c r="L16" s="32"/>
      <c r="M16" s="32"/>
    </row>
    <row r="17" spans="1:13" x14ac:dyDescent="0.25">
      <c r="A17" s="4" t="s">
        <v>154</v>
      </c>
      <c r="C17" s="27">
        <v>420</v>
      </c>
      <c r="D17" s="27">
        <v>0</v>
      </c>
      <c r="E17" s="27">
        <v>0</v>
      </c>
      <c r="F17" s="27">
        <v>0</v>
      </c>
      <c r="G17" s="4" t="s">
        <v>147</v>
      </c>
      <c r="H17" s="4" t="s">
        <v>148</v>
      </c>
      <c r="I17" s="32"/>
      <c r="J17" s="51"/>
      <c r="K17" s="32"/>
      <c r="L17" s="32"/>
      <c r="M17" s="32"/>
    </row>
    <row r="18" spans="1:13" x14ac:dyDescent="0.25">
      <c r="A18" s="4" t="s">
        <v>155</v>
      </c>
      <c r="C18" s="33">
        <f>C12*$G$18</f>
        <v>3000</v>
      </c>
      <c r="D18" s="33">
        <f>D12*$G$18</f>
        <v>0</v>
      </c>
      <c r="E18" s="33">
        <f>E12*$G$18</f>
        <v>3000</v>
      </c>
      <c r="F18" s="33">
        <f>F12*$G$18</f>
        <v>0</v>
      </c>
      <c r="G18" s="31">
        <v>3000</v>
      </c>
      <c r="H18" s="30">
        <f>SUM(C18:F18)</f>
        <v>6000</v>
      </c>
      <c r="I18" s="32"/>
      <c r="J18" s="32"/>
      <c r="K18" s="32"/>
      <c r="L18" s="32"/>
      <c r="M18" s="32"/>
    </row>
    <row r="19" spans="1:13" x14ac:dyDescent="0.25">
      <c r="A19" s="4" t="s">
        <v>156</v>
      </c>
      <c r="C19" s="33">
        <f>C13*$G$19</f>
        <v>0</v>
      </c>
      <c r="D19" s="33">
        <f>D13*$G$19</f>
        <v>10500</v>
      </c>
      <c r="E19" s="33">
        <f>E13*$G$19</f>
        <v>0</v>
      </c>
      <c r="F19" s="33">
        <f>F13*$G$19</f>
        <v>0</v>
      </c>
      <c r="G19" s="31">
        <v>1500</v>
      </c>
      <c r="H19" s="30">
        <f>SUM(C19:F19)</f>
        <v>10500</v>
      </c>
      <c r="I19" s="32"/>
      <c r="J19" s="50"/>
      <c r="K19" s="32"/>
      <c r="L19" s="32"/>
      <c r="M19" s="32"/>
    </row>
    <row r="20" spans="1:13" x14ac:dyDescent="0.25">
      <c r="A20" s="4" t="s">
        <v>157</v>
      </c>
      <c r="C20" s="30">
        <f>C16*$G$20</f>
        <v>210000</v>
      </c>
      <c r="D20" s="30">
        <f>D16*$G$20</f>
        <v>140000</v>
      </c>
      <c r="E20" s="30">
        <f>E16*$G$20</f>
        <v>150000</v>
      </c>
      <c r="F20" s="30">
        <f>F16*$G$20</f>
        <v>150000</v>
      </c>
      <c r="G20" s="31">
        <v>10000</v>
      </c>
      <c r="H20" s="30">
        <f>SUM(C20:F20)</f>
        <v>650000</v>
      </c>
      <c r="I20" s="32"/>
      <c r="J20" s="50"/>
      <c r="K20" s="32"/>
      <c r="L20" s="32"/>
      <c r="M20" s="32"/>
    </row>
    <row r="21" spans="1:13" x14ac:dyDescent="0.25">
      <c r="A21" s="4" t="s">
        <v>158</v>
      </c>
      <c r="C21" s="30">
        <f>C17*$G$21</f>
        <v>13860</v>
      </c>
      <c r="D21" s="30">
        <f>D17*$G$21</f>
        <v>0</v>
      </c>
      <c r="E21" s="30">
        <f>E17*$G$21</f>
        <v>0</v>
      </c>
      <c r="F21" s="30">
        <f>F17*$G$21</f>
        <v>0</v>
      </c>
      <c r="G21" s="31">
        <v>33</v>
      </c>
      <c r="H21" s="30">
        <f>SUM(C21:F21)</f>
        <v>13860</v>
      </c>
      <c r="I21" s="32"/>
      <c r="J21" s="50"/>
      <c r="K21" s="32"/>
      <c r="L21" s="32"/>
      <c r="M21" s="32"/>
    </row>
    <row r="22" spans="1:13" x14ac:dyDescent="0.25">
      <c r="A22" s="4" t="s">
        <v>159</v>
      </c>
      <c r="G22" s="4" t="s">
        <v>160</v>
      </c>
      <c r="I22" s="32"/>
      <c r="J22" s="32"/>
      <c r="K22" s="32"/>
      <c r="L22" s="32"/>
      <c r="M22" s="32"/>
    </row>
    <row r="23" spans="1:13" x14ac:dyDescent="0.25">
      <c r="A23" s="4" t="s">
        <v>161</v>
      </c>
      <c r="C23" s="34">
        <f>C16*$G$23+C17</f>
        <v>10500</v>
      </c>
      <c r="D23" s="34">
        <f>D16*$G$23+D17</f>
        <v>6720</v>
      </c>
      <c r="E23" s="34">
        <f>E16*$G$23+E17</f>
        <v>7200</v>
      </c>
      <c r="F23" s="34">
        <f>F16*$G$23+F17</f>
        <v>7200</v>
      </c>
      <c r="G23" s="35">
        <v>480</v>
      </c>
      <c r="H23" s="36" t="s">
        <v>162</v>
      </c>
    </row>
    <row r="24" spans="1:13" x14ac:dyDescent="0.25">
      <c r="A24" s="4" t="s">
        <v>163</v>
      </c>
      <c r="C24" s="34">
        <f>C5*$G$24</f>
        <v>10500</v>
      </c>
      <c r="D24" s="34">
        <f>D5*$G$24</f>
        <v>6600.0000000000018</v>
      </c>
      <c r="E24" s="34">
        <f>E5*$G$24</f>
        <v>7200</v>
      </c>
      <c r="F24" s="34">
        <f>F5*$G$24</f>
        <v>7200</v>
      </c>
      <c r="G24" s="37">
        <v>1.5</v>
      </c>
      <c r="H24" s="36" t="s">
        <v>164</v>
      </c>
    </row>
    <row r="25" spans="1:13" x14ac:dyDescent="0.25">
      <c r="C25" s="29" t="b">
        <f t="shared" ref="C25:E25" si="1">C23&gt;=C24-0.0001</f>
        <v>1</v>
      </c>
      <c r="D25" s="29" t="b">
        <f t="shared" si="1"/>
        <v>1</v>
      </c>
      <c r="E25" s="29" t="b">
        <f t="shared" si="1"/>
        <v>1</v>
      </c>
      <c r="F25" s="29" t="b">
        <f>F23&gt;=F24-0.0001</f>
        <v>1</v>
      </c>
    </row>
    <row r="27" spans="1:13" x14ac:dyDescent="0.25">
      <c r="A27" s="38" t="s">
        <v>165</v>
      </c>
      <c r="C27" s="39">
        <f>C16*$G$23/2</f>
        <v>5040</v>
      </c>
      <c r="D27" s="39">
        <f t="shared" ref="D27:F27" si="2">D16*$G$23/2</f>
        <v>3360</v>
      </c>
      <c r="E27" s="39">
        <f t="shared" si="2"/>
        <v>3600</v>
      </c>
      <c r="F27" s="39">
        <f t="shared" si="2"/>
        <v>3600</v>
      </c>
    </row>
  </sheetData>
  <mergeCells count="2">
    <mergeCell ref="A1:H1"/>
    <mergeCell ref="C2:F2"/>
  </mergeCells>
  <conditionalFormatting sqref="C9:F9">
    <cfRule type="cellIs" dxfId="13" priority="2" operator="equal">
      <formula>FALSE</formula>
    </cfRule>
  </conditionalFormatting>
  <conditionalFormatting sqref="C25:F25">
    <cfRule type="cellIs" dxfId="12" priority="1" operator="equal">
      <formula>FALSE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27"/>
  <sheetViews>
    <sheetView zoomScale="130" zoomScaleNormal="130" workbookViewId="0">
      <selection activeCell="J14" sqref="J14"/>
    </sheetView>
  </sheetViews>
  <sheetFormatPr defaultRowHeight="13.2" x14ac:dyDescent="0.25"/>
  <cols>
    <col min="1" max="1" width="14.6640625" style="4" customWidth="1"/>
    <col min="2" max="2" width="5.33203125" style="4" bestFit="1" customWidth="1"/>
    <col min="3" max="6" width="10.6640625" style="4" customWidth="1"/>
    <col min="7" max="8" width="11.6640625" style="4" customWidth="1"/>
    <col min="9" max="9" width="8.88671875" style="4"/>
    <col min="10" max="10" width="12.88671875" style="4" customWidth="1"/>
    <col min="11" max="11" width="14.109375" style="4" bestFit="1" customWidth="1"/>
    <col min="12" max="16384" width="8.88671875" style="4"/>
  </cols>
  <sheetData>
    <row r="1" spans="1:13" ht="15.6" x14ac:dyDescent="0.3">
      <c r="A1" s="52" t="s">
        <v>140</v>
      </c>
      <c r="B1" s="52"/>
      <c r="C1" s="52"/>
      <c r="D1" s="52"/>
      <c r="E1" s="52"/>
      <c r="F1" s="52"/>
      <c r="G1" s="52"/>
      <c r="H1" s="52"/>
    </row>
    <row r="2" spans="1:13" x14ac:dyDescent="0.25">
      <c r="A2" s="4" t="s">
        <v>138</v>
      </c>
      <c r="B2" s="4">
        <v>2015</v>
      </c>
      <c r="C2" s="53">
        <v>2016</v>
      </c>
      <c r="D2" s="53"/>
      <c r="E2" s="53"/>
      <c r="F2" s="53"/>
    </row>
    <row r="3" spans="1:13" x14ac:dyDescent="0.25">
      <c r="A3" s="4" t="s">
        <v>137</v>
      </c>
      <c r="B3" s="4">
        <v>4</v>
      </c>
      <c r="C3" s="4">
        <v>1</v>
      </c>
      <c r="D3" s="4">
        <v>2</v>
      </c>
      <c r="E3" s="4">
        <v>3</v>
      </c>
      <c r="F3" s="4">
        <v>4</v>
      </c>
    </row>
    <row r="4" spans="1:13" x14ac:dyDescent="0.25">
      <c r="A4" s="4" t="s">
        <v>141</v>
      </c>
      <c r="C4" s="26">
        <v>7000</v>
      </c>
      <c r="D4" s="26">
        <v>3000</v>
      </c>
      <c r="E4" s="26">
        <v>1000</v>
      </c>
      <c r="F4" s="26">
        <v>10000</v>
      </c>
    </row>
    <row r="5" spans="1:13" x14ac:dyDescent="0.25">
      <c r="A5" s="4" t="s">
        <v>142</v>
      </c>
      <c r="C5" s="27">
        <v>6500</v>
      </c>
      <c r="D5" s="27">
        <v>4160.0000000000018</v>
      </c>
      <c r="E5" s="27">
        <v>4160</v>
      </c>
      <c r="F5" s="27">
        <v>5679.9999999999973</v>
      </c>
    </row>
    <row r="6" spans="1:13" x14ac:dyDescent="0.25">
      <c r="A6" s="4" t="s">
        <v>143</v>
      </c>
      <c r="G6" s="4" t="s">
        <v>144</v>
      </c>
      <c r="H6" s="28">
        <f>SUM(H10:H11,H18:H21)</f>
        <v>1305769.9999999998</v>
      </c>
      <c r="J6" s="4" t="s">
        <v>214</v>
      </c>
    </row>
    <row r="7" spans="1:13" x14ac:dyDescent="0.25">
      <c r="A7" s="4" t="s">
        <v>145</v>
      </c>
      <c r="C7" s="4">
        <f>B8</f>
        <v>500</v>
      </c>
      <c r="D7" s="4">
        <f>C8</f>
        <v>0</v>
      </c>
      <c r="E7" s="4">
        <f>D8</f>
        <v>1160.0000000000018</v>
      </c>
      <c r="F7" s="4">
        <f>E8</f>
        <v>4320.0000000000018</v>
      </c>
    </row>
    <row r="8" spans="1:13" x14ac:dyDescent="0.25">
      <c r="A8" s="4" t="s">
        <v>146</v>
      </c>
      <c r="B8" s="26">
        <v>500</v>
      </c>
      <c r="C8" s="4">
        <f>C7+C5-C4</f>
        <v>0</v>
      </c>
      <c r="D8" s="4">
        <f>D7+D5-D4</f>
        <v>1160.0000000000018</v>
      </c>
      <c r="E8" s="4">
        <f>E7+E5-E4</f>
        <v>4320.0000000000018</v>
      </c>
      <c r="F8" s="4">
        <f>F7+F5-F4</f>
        <v>0</v>
      </c>
      <c r="J8" s="4" t="s">
        <v>212</v>
      </c>
      <c r="K8" s="54">
        <v>1348520</v>
      </c>
    </row>
    <row r="9" spans="1:13" x14ac:dyDescent="0.25">
      <c r="C9" s="29" t="b">
        <f>C8&gt;=0</f>
        <v>1</v>
      </c>
      <c r="D9" s="29" t="b">
        <f t="shared" ref="D9:F9" si="0">D8&gt;=$B$8</f>
        <v>1</v>
      </c>
      <c r="E9" s="29" t="b">
        <f t="shared" si="0"/>
        <v>1</v>
      </c>
      <c r="F9" s="29" t="b">
        <f>F8&gt;=0</f>
        <v>1</v>
      </c>
      <c r="G9" s="4" t="s">
        <v>147</v>
      </c>
      <c r="H9" s="4" t="s">
        <v>148</v>
      </c>
      <c r="J9" s="4" t="s">
        <v>210</v>
      </c>
      <c r="K9" s="54">
        <v>1305769.9999999998</v>
      </c>
    </row>
    <row r="10" spans="1:13" x14ac:dyDescent="0.25">
      <c r="A10" s="4" t="s">
        <v>149</v>
      </c>
      <c r="C10" s="30">
        <f>AVERAGE(C7:C8)*$G$10</f>
        <v>1500</v>
      </c>
      <c r="D10" s="30">
        <f>AVERAGE(D7:D8)*$G$10</f>
        <v>3480.0000000000055</v>
      </c>
      <c r="E10" s="30">
        <f>AVERAGE(E7:E8)*$G$10</f>
        <v>16440.000000000011</v>
      </c>
      <c r="F10" s="30">
        <f>AVERAGE(F7:F8)*$G$10</f>
        <v>12960.000000000005</v>
      </c>
      <c r="G10" s="31">
        <v>6</v>
      </c>
      <c r="H10" s="30">
        <f>SUM(C10:F10)</f>
        <v>34380.000000000022</v>
      </c>
      <c r="J10" s="4" t="s">
        <v>215</v>
      </c>
      <c r="K10" s="59">
        <f>K8-K9</f>
        <v>42750.000000000233</v>
      </c>
    </row>
    <row r="11" spans="1:13" x14ac:dyDescent="0.25">
      <c r="A11" s="4" t="s">
        <v>150</v>
      </c>
      <c r="C11" s="30">
        <f>C5*$G$11</f>
        <v>195000</v>
      </c>
      <c r="D11" s="30">
        <f>D5*$G$11</f>
        <v>124800.00000000006</v>
      </c>
      <c r="E11" s="30">
        <f>E5*$G$11</f>
        <v>124800</v>
      </c>
      <c r="F11" s="30">
        <f>F5*$G$11</f>
        <v>170399.99999999991</v>
      </c>
      <c r="G11" s="31">
        <v>30</v>
      </c>
      <c r="H11" s="30">
        <f>SUM(C11:F11)</f>
        <v>615000</v>
      </c>
      <c r="I11" s="32"/>
      <c r="J11" s="32"/>
      <c r="K11" s="32"/>
      <c r="L11" s="32"/>
      <c r="M11" s="32"/>
    </row>
    <row r="12" spans="1:13" x14ac:dyDescent="0.25">
      <c r="A12" s="4" t="s">
        <v>151</v>
      </c>
      <c r="C12" s="27">
        <v>0</v>
      </c>
      <c r="D12" s="27">
        <v>0</v>
      </c>
      <c r="E12" s="27">
        <v>0</v>
      </c>
      <c r="F12" s="27">
        <v>0</v>
      </c>
      <c r="G12" s="30"/>
      <c r="I12" s="32"/>
      <c r="J12" s="32"/>
      <c r="K12" s="32"/>
      <c r="L12" s="32"/>
      <c r="M12" s="32"/>
    </row>
    <row r="13" spans="1:13" x14ac:dyDescent="0.25">
      <c r="A13" s="4" t="s">
        <v>152</v>
      </c>
      <c r="C13" s="27">
        <v>0</v>
      </c>
      <c r="D13" s="27">
        <v>7</v>
      </c>
      <c r="E13" s="27">
        <v>0</v>
      </c>
      <c r="F13" s="27">
        <v>0</v>
      </c>
      <c r="I13" s="32"/>
      <c r="J13" s="50"/>
      <c r="K13" s="32"/>
      <c r="L13" s="32"/>
      <c r="M13" s="32"/>
    </row>
    <row r="14" spans="1:13" x14ac:dyDescent="0.25">
      <c r="A14" s="4" t="s">
        <v>153</v>
      </c>
      <c r="C14" s="32"/>
      <c r="D14" s="32"/>
      <c r="E14" s="32"/>
      <c r="F14" s="32"/>
      <c r="I14" s="32"/>
      <c r="J14" s="32"/>
      <c r="K14" s="32"/>
      <c r="L14" s="32"/>
      <c r="M14" s="32"/>
    </row>
    <row r="15" spans="1:13" x14ac:dyDescent="0.25">
      <c r="A15" s="4" t="s">
        <v>145</v>
      </c>
      <c r="C15" s="32">
        <f>B16</f>
        <v>20</v>
      </c>
      <c r="D15" s="32">
        <f>C16</f>
        <v>20</v>
      </c>
      <c r="E15" s="32">
        <f>D16</f>
        <v>13</v>
      </c>
      <c r="F15" s="32">
        <f>E16</f>
        <v>13</v>
      </c>
      <c r="I15" s="32"/>
      <c r="J15" s="32"/>
      <c r="K15" s="32"/>
      <c r="L15" s="32"/>
      <c r="M15" s="32"/>
    </row>
    <row r="16" spans="1:13" x14ac:dyDescent="0.25">
      <c r="A16" s="4" t="s">
        <v>146</v>
      </c>
      <c r="B16" s="26">
        <v>20</v>
      </c>
      <c r="C16" s="32">
        <f>C15+C12-C13</f>
        <v>20</v>
      </c>
      <c r="D16" s="32">
        <f>D15+D12-D13</f>
        <v>13</v>
      </c>
      <c r="E16" s="32">
        <f>E15+E12-E13</f>
        <v>13</v>
      </c>
      <c r="F16" s="32">
        <f>F15+F12-F13</f>
        <v>13</v>
      </c>
      <c r="I16" s="32"/>
      <c r="J16" s="32"/>
      <c r="K16" s="32"/>
      <c r="L16" s="32"/>
      <c r="M16" s="32"/>
    </row>
    <row r="17" spans="1:13" x14ac:dyDescent="0.25">
      <c r="A17" s="4" t="s">
        <v>154</v>
      </c>
      <c r="C17" s="27">
        <v>150</v>
      </c>
      <c r="D17" s="27">
        <v>0</v>
      </c>
      <c r="E17" s="27">
        <v>0</v>
      </c>
      <c r="F17" s="27">
        <v>2279.9999999999945</v>
      </c>
      <c r="G17" s="4" t="s">
        <v>147</v>
      </c>
      <c r="H17" s="4" t="s">
        <v>148</v>
      </c>
      <c r="I17" s="32"/>
      <c r="J17" s="51"/>
      <c r="K17" s="32"/>
      <c r="L17" s="32"/>
      <c r="M17" s="32"/>
    </row>
    <row r="18" spans="1:13" x14ac:dyDescent="0.25">
      <c r="A18" s="4" t="s">
        <v>155</v>
      </c>
      <c r="C18" s="33">
        <f>C12*$G$18</f>
        <v>0</v>
      </c>
      <c r="D18" s="33">
        <f>D12*$G$18</f>
        <v>0</v>
      </c>
      <c r="E18" s="33">
        <f>E12*$G$18</f>
        <v>0</v>
      </c>
      <c r="F18" s="33">
        <f>F12*$G$18</f>
        <v>0</v>
      </c>
      <c r="G18" s="31">
        <v>3000</v>
      </c>
      <c r="H18" s="30">
        <f>SUM(C18:F18)</f>
        <v>0</v>
      </c>
      <c r="I18" s="32"/>
      <c r="J18" s="32"/>
      <c r="K18" s="32"/>
      <c r="L18" s="32"/>
      <c r="M18" s="32"/>
    </row>
    <row r="19" spans="1:13" x14ac:dyDescent="0.25">
      <c r="A19" s="4" t="s">
        <v>156</v>
      </c>
      <c r="C19" s="33">
        <f>C13*$G$19</f>
        <v>0</v>
      </c>
      <c r="D19" s="33">
        <f>D13*$G$19</f>
        <v>10500</v>
      </c>
      <c r="E19" s="33">
        <f>E13*$G$19</f>
        <v>0</v>
      </c>
      <c r="F19" s="33">
        <f>F13*$G$19</f>
        <v>0</v>
      </c>
      <c r="G19" s="31">
        <v>1500</v>
      </c>
      <c r="H19" s="30">
        <f>SUM(C19:F19)</f>
        <v>10500</v>
      </c>
      <c r="I19" s="32"/>
      <c r="J19" s="50"/>
      <c r="K19" s="32"/>
      <c r="L19" s="32"/>
      <c r="M19" s="32"/>
    </row>
    <row r="20" spans="1:13" x14ac:dyDescent="0.25">
      <c r="A20" s="4" t="s">
        <v>157</v>
      </c>
      <c r="C20" s="30">
        <f>C16*$G$20</f>
        <v>200000</v>
      </c>
      <c r="D20" s="30">
        <f>D16*$G$20</f>
        <v>130000</v>
      </c>
      <c r="E20" s="30">
        <f>E16*$G$20</f>
        <v>130000</v>
      </c>
      <c r="F20" s="30">
        <f>F16*$G$20</f>
        <v>130000</v>
      </c>
      <c r="G20" s="31">
        <v>10000</v>
      </c>
      <c r="H20" s="30">
        <f>SUM(C20:F20)</f>
        <v>590000</v>
      </c>
      <c r="I20" s="32"/>
      <c r="J20" s="50"/>
      <c r="K20" s="32"/>
      <c r="L20" s="32"/>
      <c r="M20" s="32"/>
    </row>
    <row r="21" spans="1:13" x14ac:dyDescent="0.25">
      <c r="A21" s="4" t="s">
        <v>158</v>
      </c>
      <c r="C21" s="30">
        <f>C17*$G$21</f>
        <v>3450</v>
      </c>
      <c r="D21" s="30">
        <f>D17*$G$21</f>
        <v>0</v>
      </c>
      <c r="E21" s="30">
        <f>E17*$G$21</f>
        <v>0</v>
      </c>
      <c r="F21" s="30">
        <f>F17*$G$21</f>
        <v>52439.999999999876</v>
      </c>
      <c r="G21" s="31">
        <v>23</v>
      </c>
      <c r="H21" s="30">
        <f>SUM(C21:F21)</f>
        <v>55889.999999999876</v>
      </c>
      <c r="I21" s="32"/>
      <c r="J21" s="50"/>
      <c r="K21" s="32"/>
      <c r="L21" s="32"/>
      <c r="M21" s="32"/>
    </row>
    <row r="22" spans="1:13" x14ac:dyDescent="0.25">
      <c r="A22" s="4" t="s">
        <v>159</v>
      </c>
      <c r="G22" s="4" t="s">
        <v>160</v>
      </c>
      <c r="I22" s="32"/>
      <c r="J22" s="32"/>
      <c r="K22" s="32"/>
      <c r="L22" s="32"/>
      <c r="M22" s="32"/>
    </row>
    <row r="23" spans="1:13" x14ac:dyDescent="0.25">
      <c r="A23" s="4" t="s">
        <v>161</v>
      </c>
      <c r="C23" s="34">
        <f>C16*$G$23+C17</f>
        <v>9750</v>
      </c>
      <c r="D23" s="34">
        <f>D16*$G$23+D17</f>
        <v>6240</v>
      </c>
      <c r="E23" s="34">
        <f>E16*$G$23+E17</f>
        <v>6240</v>
      </c>
      <c r="F23" s="34">
        <f>F16*$G$23+F17</f>
        <v>8519.9999999999945</v>
      </c>
      <c r="G23" s="35">
        <v>480</v>
      </c>
      <c r="H23" s="36" t="s">
        <v>162</v>
      </c>
    </row>
    <row r="24" spans="1:13" x14ac:dyDescent="0.25">
      <c r="A24" s="4" t="s">
        <v>163</v>
      </c>
      <c r="C24" s="34">
        <f>C5*$G$24</f>
        <v>9750</v>
      </c>
      <c r="D24" s="34">
        <f>D5*$G$24</f>
        <v>6240.0000000000027</v>
      </c>
      <c r="E24" s="34">
        <f>E5*$G$24</f>
        <v>6240</v>
      </c>
      <c r="F24" s="34">
        <f>F5*$G$24</f>
        <v>8519.9999999999964</v>
      </c>
      <c r="G24" s="37">
        <v>1.5</v>
      </c>
      <c r="H24" s="36" t="s">
        <v>164</v>
      </c>
    </row>
    <row r="25" spans="1:13" x14ac:dyDescent="0.25">
      <c r="C25" s="29" t="b">
        <f t="shared" ref="C25:E25" si="1">C23&gt;=C24-0.0001</f>
        <v>1</v>
      </c>
      <c r="D25" s="29" t="b">
        <f t="shared" si="1"/>
        <v>1</v>
      </c>
      <c r="E25" s="29" t="b">
        <f t="shared" si="1"/>
        <v>1</v>
      </c>
      <c r="F25" s="29" t="b">
        <f>F23&gt;=F24-0.0001</f>
        <v>1</v>
      </c>
    </row>
    <row r="27" spans="1:13" x14ac:dyDescent="0.25">
      <c r="A27" s="38" t="s">
        <v>165</v>
      </c>
      <c r="C27" s="39">
        <f>C16*$G$23/2</f>
        <v>4800</v>
      </c>
      <c r="D27" s="39">
        <f t="shared" ref="D27:F27" si="2">D16*$G$23/2</f>
        <v>3120</v>
      </c>
      <c r="E27" s="39">
        <f t="shared" si="2"/>
        <v>3120</v>
      </c>
      <c r="F27" s="39">
        <f t="shared" si="2"/>
        <v>3120</v>
      </c>
    </row>
  </sheetData>
  <mergeCells count="2">
    <mergeCell ref="A1:H1"/>
    <mergeCell ref="C2:F2"/>
  </mergeCells>
  <conditionalFormatting sqref="C9:F9">
    <cfRule type="cellIs" dxfId="11" priority="2" operator="equal">
      <formula>FALSE</formula>
    </cfRule>
  </conditionalFormatting>
  <conditionalFormatting sqref="C25:F25">
    <cfRule type="cellIs" dxfId="10" priority="1" operator="equal">
      <formula>FALSE</formula>
    </cfRule>
  </conditionalFormatting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HW5</vt:lpstr>
      <vt:lpstr>Questions</vt:lpstr>
      <vt:lpstr>MW_Opt</vt:lpstr>
      <vt:lpstr>Prb4</vt:lpstr>
      <vt:lpstr>Prb5</vt:lpstr>
      <vt:lpstr>Prb6</vt:lpstr>
      <vt:lpstr>Prb7</vt:lpstr>
      <vt:lpstr>Prb8</vt:lpstr>
      <vt:lpstr>Prb9</vt:lpstr>
      <vt:lpstr>Prb10</vt:lpstr>
      <vt:lpstr>Prb11</vt:lpstr>
      <vt:lpstr>Prb12</vt:lpstr>
      <vt:lpstr>Prb13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Jimmy Neil</cp:lastModifiedBy>
  <dcterms:created xsi:type="dcterms:W3CDTF">2020-09-04T21:07:05Z</dcterms:created>
  <dcterms:modified xsi:type="dcterms:W3CDTF">2020-10-15T00:38:21Z</dcterms:modified>
</cp:coreProperties>
</file>