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1685cd5063f9d2/Dokumenty/Models stocks NEW/"/>
    </mc:Choice>
  </mc:AlternateContent>
  <xr:revisionPtr revIDLastSave="797" documentId="8_{F34FBE1C-6E6C-473C-87B5-E9007F45AD48}" xr6:coauthVersionLast="47" xr6:coauthVersionMax="47" xr10:uidLastSave="{F0634BBB-9C0A-4BAA-88E7-E5CDD19FD3AF}"/>
  <bookViews>
    <workbookView xWindow="-108" yWindow="-108" windowWidth="23256" windowHeight="13896" activeTab="3" xr2:uid="{C2A537D2-81CC-41DE-90E3-F8EDF7DA01A3}"/>
  </bookViews>
  <sheets>
    <sheet name="Main" sheetId="1" r:id="rId1"/>
    <sheet name="model" sheetId="6" r:id="rId2"/>
    <sheet name="model 2" sheetId="2" state="hidden" r:id="rId3"/>
    <sheet name="TA-ERT" sheetId="3" r:id="rId4"/>
    <sheet name="glossary" sheetId="4" r:id="rId5"/>
    <sheet name="Countries" sheetId="5" r:id="rId6"/>
    <sheet name="link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5" i="6" l="1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AD44" i="6"/>
  <c r="AE44" i="6"/>
  <c r="AF44" i="6"/>
  <c r="AF45" i="6" s="1"/>
  <c r="AF46" i="6" s="1"/>
  <c r="AG44" i="6"/>
  <c r="AH44" i="6"/>
  <c r="AI44" i="6"/>
  <c r="AJ44" i="6"/>
  <c r="AK44" i="6"/>
  <c r="AL44" i="6"/>
  <c r="AM44" i="6"/>
  <c r="AN44" i="6"/>
  <c r="AO44" i="6"/>
  <c r="AP44" i="6"/>
  <c r="AQ44" i="6"/>
  <c r="AR44" i="6"/>
  <c r="AR45" i="6" s="1"/>
  <c r="AR46" i="6" s="1"/>
  <c r="AS44" i="6"/>
  <c r="AT44" i="6"/>
  <c r="AU44" i="6"/>
  <c r="AV44" i="6"/>
  <c r="AW44" i="6"/>
  <c r="AX44" i="6"/>
  <c r="AY44" i="6"/>
  <c r="AZ44" i="6"/>
  <c r="AE45" i="6"/>
  <c r="AE46" i="6" s="1"/>
  <c r="AQ45" i="6"/>
  <c r="AQ46" i="6" s="1"/>
  <c r="AC45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 s="1"/>
  <c r="AT43" i="6" s="1"/>
  <c r="AU43" i="6" s="1"/>
  <c r="AV43" i="6" s="1"/>
  <c r="AW43" i="6" s="1"/>
  <c r="AX43" i="6" s="1"/>
  <c r="AY43" i="6" s="1"/>
  <c r="AZ43" i="6" s="1"/>
  <c r="AF43" i="6"/>
  <c r="AD41" i="6"/>
  <c r="AD42" i="6" s="1"/>
  <c r="AE41" i="6"/>
  <c r="AF41" i="6"/>
  <c r="AF42" i="6" s="1"/>
  <c r="AG41" i="6"/>
  <c r="AG42" i="6" s="1"/>
  <c r="AH41" i="6"/>
  <c r="AH42" i="6" s="1"/>
  <c r="AI41" i="6"/>
  <c r="AI42" i="6" s="1"/>
  <c r="AJ41" i="6"/>
  <c r="AJ42" i="6" s="1"/>
  <c r="AK41" i="6"/>
  <c r="AK42" i="6" s="1"/>
  <c r="AL41" i="6"/>
  <c r="AL42" i="6" s="1"/>
  <c r="AM41" i="6"/>
  <c r="AM42" i="6" s="1"/>
  <c r="AN41" i="6"/>
  <c r="AN42" i="6" s="1"/>
  <c r="AO41" i="6"/>
  <c r="AO42" i="6" s="1"/>
  <c r="AP41" i="6"/>
  <c r="AP42" i="6" s="1"/>
  <c r="AQ41" i="6"/>
  <c r="AR41" i="6"/>
  <c r="AR42" i="6" s="1"/>
  <c r="AS41" i="6"/>
  <c r="AS42" i="6" s="1"/>
  <c r="AT41" i="6"/>
  <c r="AT42" i="6" s="1"/>
  <c r="AU41" i="6"/>
  <c r="AU42" i="6" s="1"/>
  <c r="AV41" i="6"/>
  <c r="AV42" i="6" s="1"/>
  <c r="AW41" i="6"/>
  <c r="AW42" i="6" s="1"/>
  <c r="AX41" i="6"/>
  <c r="AX42" i="6" s="1"/>
  <c r="AY41" i="6"/>
  <c r="AY42" i="6" s="1"/>
  <c r="AZ41" i="6"/>
  <c r="AZ42" i="6" s="1"/>
  <c r="AE42" i="6"/>
  <c r="AQ42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AP32" i="6"/>
  <c r="AQ32" i="6"/>
  <c r="AR32" i="6"/>
  <c r="AS32" i="6"/>
  <c r="AT32" i="6"/>
  <c r="AU32" i="6"/>
  <c r="AV32" i="6"/>
  <c r="AW32" i="6"/>
  <c r="AX32" i="6"/>
  <c r="AY32" i="6"/>
  <c r="AZ32" i="6"/>
  <c r="AP33" i="6"/>
  <c r="AQ33" i="6" s="1"/>
  <c r="AZ4" i="6"/>
  <c r="AX4" i="6"/>
  <c r="AY4" i="6"/>
  <c r="AR4" i="6"/>
  <c r="AS4" i="6" s="1"/>
  <c r="AT4" i="6" s="1"/>
  <c r="AU4" i="6" s="1"/>
  <c r="AV4" i="6" s="1"/>
  <c r="AW4" i="6" s="1"/>
  <c r="AK4" i="6"/>
  <c r="AL4" i="6"/>
  <c r="AM4" i="6"/>
  <c r="AN4" i="6"/>
  <c r="AO4" i="6"/>
  <c r="AP4" i="6"/>
  <c r="AQ4" i="6"/>
  <c r="AC40" i="6"/>
  <c r="AC41" i="6"/>
  <c r="AC42" i="6"/>
  <c r="AC44" i="6"/>
  <c r="AC46" i="6"/>
  <c r="AC49" i="6" s="1"/>
  <c r="M11" i="1"/>
  <c r="AD33" i="6"/>
  <c r="AD32" i="6"/>
  <c r="AE32" i="6" s="1"/>
  <c r="AF32" i="6" s="1"/>
  <c r="AG32" i="6" s="1"/>
  <c r="AH32" i="6" s="1"/>
  <c r="AI32" i="6" s="1"/>
  <c r="AJ32" i="6" s="1"/>
  <c r="AK32" i="6" s="1"/>
  <c r="AL32" i="6" s="1"/>
  <c r="AM32" i="6" s="1"/>
  <c r="AN32" i="6" s="1"/>
  <c r="AO32" i="6" s="1"/>
  <c r="AC34" i="6"/>
  <c r="AX46" i="6" l="1"/>
  <c r="AW46" i="6"/>
  <c r="AK46" i="6"/>
  <c r="AV46" i="6"/>
  <c r="AU46" i="6"/>
  <c r="AS46" i="6"/>
  <c r="AG46" i="6"/>
  <c r="AD46" i="6"/>
  <c r="AP45" i="6"/>
  <c r="AP46" i="6" s="1"/>
  <c r="AO45" i="6"/>
  <c r="AO46" i="6" s="1"/>
  <c r="AN45" i="6"/>
  <c r="AN46" i="6" s="1"/>
  <c r="AM45" i="6"/>
  <c r="AM46" i="6" s="1"/>
  <c r="AL45" i="6"/>
  <c r="AL46" i="6" s="1"/>
  <c r="AK45" i="6"/>
  <c r="AD45" i="6"/>
  <c r="AZ45" i="6"/>
  <c r="AZ46" i="6" s="1"/>
  <c r="AY45" i="6"/>
  <c r="AY46" i="6" s="1"/>
  <c r="AX45" i="6"/>
  <c r="AW45" i="6"/>
  <c r="AV45" i="6"/>
  <c r="AJ45" i="6"/>
  <c r="AJ46" i="6" s="1"/>
  <c r="AU45" i="6"/>
  <c r="AI45" i="6"/>
  <c r="AI46" i="6" s="1"/>
  <c r="AT45" i="6"/>
  <c r="AT46" i="6" s="1"/>
  <c r="AH45" i="6"/>
  <c r="AH46" i="6" s="1"/>
  <c r="AS45" i="6"/>
  <c r="AG45" i="6"/>
  <c r="AR33" i="6"/>
  <c r="AQ34" i="6"/>
  <c r="AP34" i="6"/>
  <c r="AD34" i="6"/>
  <c r="AE33" i="6"/>
  <c r="AE34" i="6"/>
  <c r="AF33" i="6"/>
  <c r="AR34" i="6" l="1"/>
  <c r="AS33" i="6"/>
  <c r="AG33" i="6"/>
  <c r="AF34" i="6"/>
  <c r="AS34" i="6" l="1"/>
  <c r="AT33" i="6"/>
  <c r="AH33" i="6"/>
  <c r="AG34" i="6"/>
  <c r="AT34" i="6" l="1"/>
  <c r="AU33" i="6"/>
  <c r="AH34" i="6"/>
  <c r="AI33" i="6"/>
  <c r="AU34" i="6" l="1"/>
  <c r="AV33" i="6"/>
  <c r="AI34" i="6"/>
  <c r="AJ33" i="6"/>
  <c r="AV34" i="6" l="1"/>
  <c r="AW33" i="6"/>
  <c r="AJ34" i="6"/>
  <c r="AK33" i="6"/>
  <c r="AW34" i="6" l="1"/>
  <c r="AX33" i="6"/>
  <c r="AK34" i="6"/>
  <c r="AL33" i="6"/>
  <c r="AX34" i="6" l="1"/>
  <c r="AY33" i="6"/>
  <c r="AL34" i="6"/>
  <c r="AM33" i="6"/>
  <c r="AY34" i="6" l="1"/>
  <c r="AZ33" i="6"/>
  <c r="AZ34" i="6" s="1"/>
  <c r="AM34" i="6"/>
  <c r="AN33" i="6"/>
  <c r="AN34" i="6" l="1"/>
  <c r="AO33" i="6"/>
  <c r="AO34" i="6" s="1"/>
  <c r="M9" i="1" l="1"/>
  <c r="M12" i="1" s="1"/>
  <c r="L9" i="1"/>
  <c r="L12" i="1" s="1"/>
  <c r="H10" i="6" l="1"/>
  <c r="H14" i="6" s="1"/>
  <c r="V10" i="6"/>
  <c r="Q10" i="6"/>
  <c r="L10" i="6"/>
  <c r="G10" i="6"/>
  <c r="AC7" i="6"/>
  <c r="AD7" i="6" s="1"/>
  <c r="X27" i="6"/>
  <c r="Y27" i="6"/>
  <c r="Z27" i="6"/>
  <c r="X10" i="6"/>
  <c r="X14" i="6" s="1"/>
  <c r="X28" i="6" s="1"/>
  <c r="Y10" i="6"/>
  <c r="Y14" i="6" s="1"/>
  <c r="Y28" i="6" s="1"/>
  <c r="Z10" i="6"/>
  <c r="Z14" i="6" s="1"/>
  <c r="Z28" i="6" s="1"/>
  <c r="AA27" i="6"/>
  <c r="AA10" i="6"/>
  <c r="AA14" i="6" s="1"/>
  <c r="AA28" i="6" s="1"/>
  <c r="AB27" i="6"/>
  <c r="AB10" i="6"/>
  <c r="S4" i="6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I3" i="6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AH3" i="6" s="1"/>
  <c r="AI3" i="6" s="1"/>
  <c r="AJ3" i="6" s="1"/>
  <c r="AC10" i="6" l="1"/>
  <c r="AC27" i="6"/>
  <c r="AE7" i="6"/>
  <c r="AD27" i="6"/>
  <c r="AD10" i="6"/>
  <c r="J21" i="6"/>
  <c r="K21" i="6"/>
  <c r="L21" i="6"/>
  <c r="M21" i="6"/>
  <c r="N21" i="6"/>
  <c r="O21" i="6"/>
  <c r="P21" i="6"/>
  <c r="Q21" i="6"/>
  <c r="R21" i="6"/>
  <c r="I21" i="6"/>
  <c r="K9" i="1"/>
  <c r="K12" i="1" s="1"/>
  <c r="AF7" i="6" l="1"/>
  <c r="AE10" i="6"/>
  <c r="AE27" i="6"/>
  <c r="AG57" i="6" l="1"/>
  <c r="AG59" i="6" s="1"/>
  <c r="AG7" i="6"/>
  <c r="AF27" i="6"/>
  <c r="AF10" i="6"/>
  <c r="AH7" i="6" l="1"/>
  <c r="AG10" i="6"/>
  <c r="AG27" i="6"/>
  <c r="E11" i="5"/>
  <c r="E10" i="5"/>
  <c r="E9" i="5"/>
  <c r="E8" i="5"/>
  <c r="E7" i="5"/>
  <c r="E5" i="5"/>
  <c r="E4" i="5"/>
  <c r="E3" i="5"/>
  <c r="E13" i="5" s="1"/>
  <c r="AI7" i="6" l="1"/>
  <c r="AH10" i="6"/>
  <c r="AH27" i="6"/>
  <c r="E14" i="5"/>
  <c r="C13" i="5"/>
  <c r="AJ7" i="6" l="1"/>
  <c r="AI27" i="6"/>
  <c r="AI10" i="6"/>
  <c r="C14" i="5"/>
  <c r="E15" i="5"/>
  <c r="AJ27" i="6" l="1"/>
  <c r="AJ10" i="6"/>
  <c r="E16" i="5"/>
  <c r="C15" i="5"/>
  <c r="E17" i="5" l="1"/>
  <c r="C16" i="5"/>
  <c r="E18" i="5" l="1"/>
  <c r="C17" i="5"/>
  <c r="E19" i="5" l="1"/>
  <c r="C18" i="5"/>
  <c r="E20" i="5" l="1"/>
  <c r="C20" i="5" s="1"/>
  <c r="C2" i="5" s="1"/>
  <c r="C19" i="5"/>
  <c r="AI19" i="2" l="1"/>
  <c r="AJ19" i="2" s="1"/>
  <c r="AH14" i="2"/>
  <c r="AH15" i="2"/>
  <c r="AH16" i="2"/>
  <c r="AH13" i="2"/>
  <c r="AH11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H27" i="2"/>
  <c r="AI10" i="2"/>
  <c r="AI16" i="2" s="1"/>
  <c r="AI9" i="2"/>
  <c r="AI15" i="2" s="1"/>
  <c r="AI8" i="2"/>
  <c r="AI14" i="2" s="1"/>
  <c r="AI7" i="2"/>
  <c r="AJ7" i="2" s="1"/>
  <c r="AK7" i="2" s="1"/>
  <c r="AL7" i="2" s="1"/>
  <c r="AM7" i="2" s="1"/>
  <c r="AN7" i="2" s="1"/>
  <c r="AO7" i="2" s="1"/>
  <c r="AP7" i="2" s="1"/>
  <c r="AQ7" i="2" s="1"/>
  <c r="AR7" i="2" s="1"/>
  <c r="AS7" i="2" s="1"/>
  <c r="AT7" i="2" s="1"/>
  <c r="AT13" i="2" s="1"/>
  <c r="J9" i="1"/>
  <c r="J12" i="1" s="1"/>
  <c r="Z2" i="2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K13" i="2" l="1"/>
  <c r="AJ13" i="2"/>
  <c r="AI13" i="2"/>
  <c r="AI17" i="2" s="1"/>
  <c r="AI21" i="2" s="1"/>
  <c r="AS13" i="2"/>
  <c r="AP13" i="2"/>
  <c r="AO13" i="2"/>
  <c r="AN13" i="2"/>
  <c r="AM13" i="2"/>
  <c r="AL13" i="2"/>
  <c r="AR13" i="2"/>
  <c r="AQ13" i="2"/>
  <c r="AK19" i="2"/>
  <c r="AH17" i="2"/>
  <c r="AH21" i="2" s="1"/>
  <c r="AI11" i="2"/>
  <c r="AJ8" i="2"/>
  <c r="AJ14" i="2" s="1"/>
  <c r="AJ10" i="2"/>
  <c r="AJ16" i="2" s="1"/>
  <c r="AJ9" i="2"/>
  <c r="AJ15" i="2" s="1"/>
  <c r="AJ17" i="2" l="1"/>
  <c r="AJ21" i="2" s="1"/>
  <c r="AL19" i="2"/>
  <c r="AJ11" i="2"/>
  <c r="AK9" i="2"/>
  <c r="AK15" i="2" s="1"/>
  <c r="AK10" i="2"/>
  <c r="AK16" i="2" s="1"/>
  <c r="AK8" i="2"/>
  <c r="AK14" i="2" s="1"/>
  <c r="AM19" i="2" l="1"/>
  <c r="AK11" i="2"/>
  <c r="AK17" i="2"/>
  <c r="AK21" i="2" s="1"/>
  <c r="AL8" i="2"/>
  <c r="AL14" i="2" s="1"/>
  <c r="AL10" i="2"/>
  <c r="AL16" i="2" s="1"/>
  <c r="AL9" i="2"/>
  <c r="AL15" i="2" s="1"/>
  <c r="AN19" i="2" l="1"/>
  <c r="AL17" i="2"/>
  <c r="AL21" i="2" s="1"/>
  <c r="AL11" i="2"/>
  <c r="AM9" i="2"/>
  <c r="AM15" i="2" s="1"/>
  <c r="AM10" i="2"/>
  <c r="AM16" i="2" s="1"/>
  <c r="AM8" i="2"/>
  <c r="AM14" i="2" s="1"/>
  <c r="AO19" i="2" l="1"/>
  <c r="AM11" i="2"/>
  <c r="AM17" i="2"/>
  <c r="AM21" i="2" s="1"/>
  <c r="AN8" i="2"/>
  <c r="AN14" i="2" s="1"/>
  <c r="AN10" i="2"/>
  <c r="AN16" i="2" s="1"/>
  <c r="AN9" i="2"/>
  <c r="AN15" i="2" s="1"/>
  <c r="AP19" i="2" l="1"/>
  <c r="AN17" i="2"/>
  <c r="AN21" i="2" s="1"/>
  <c r="AN11" i="2"/>
  <c r="AO9" i="2"/>
  <c r="AO15" i="2" s="1"/>
  <c r="AO10" i="2"/>
  <c r="AO16" i="2" s="1"/>
  <c r="AO8" i="2"/>
  <c r="AO14" i="2" s="1"/>
  <c r="AQ19" i="2" l="1"/>
  <c r="AO11" i="2"/>
  <c r="AO17" i="2"/>
  <c r="AO21" i="2" s="1"/>
  <c r="AP8" i="2"/>
  <c r="AP14" i="2" s="1"/>
  <c r="AP10" i="2"/>
  <c r="AP16" i="2" s="1"/>
  <c r="AP9" i="2"/>
  <c r="AP15" i="2" s="1"/>
  <c r="AR19" i="2" l="1"/>
  <c r="AP17" i="2"/>
  <c r="AP21" i="2" s="1"/>
  <c r="AP11" i="2"/>
  <c r="AQ8" i="2"/>
  <c r="AQ14" i="2" s="1"/>
  <c r="AQ9" i="2"/>
  <c r="AQ15" i="2" s="1"/>
  <c r="AQ10" i="2"/>
  <c r="AQ16" i="2" s="1"/>
  <c r="AS19" i="2" l="1"/>
  <c r="AQ17" i="2"/>
  <c r="AQ21" i="2" s="1"/>
  <c r="AQ11" i="2"/>
  <c r="AR8" i="2"/>
  <c r="AR14" i="2" s="1"/>
  <c r="AR10" i="2"/>
  <c r="AR16" i="2" s="1"/>
  <c r="AR9" i="2"/>
  <c r="AR15" i="2" s="1"/>
  <c r="AT19" i="2" l="1"/>
  <c r="AR17" i="2"/>
  <c r="AR21" i="2" s="1"/>
  <c r="AR11" i="2"/>
  <c r="AS8" i="2"/>
  <c r="AS14" i="2" s="1"/>
  <c r="AS9" i="2"/>
  <c r="AS15" i="2" s="1"/>
  <c r="AS10" i="2"/>
  <c r="AS16" i="2" s="1"/>
  <c r="AS17" i="2" l="1"/>
  <c r="AS21" i="2" s="1"/>
  <c r="AS11" i="2"/>
  <c r="AT10" i="2"/>
  <c r="AT16" i="2" s="1"/>
  <c r="AT9" i="2"/>
  <c r="AT15" i="2" s="1"/>
  <c r="AT8" i="2"/>
  <c r="AT14" i="2" l="1"/>
  <c r="AT17" i="2" s="1"/>
  <c r="AT21" i="2" s="1"/>
  <c r="AT11" i="2"/>
</calcChain>
</file>

<file path=xl/sharedStrings.xml><?xml version="1.0" encoding="utf-8"?>
<sst xmlns="http://schemas.openxmlformats.org/spreadsheetml/2006/main" count="210" uniqueCount="196">
  <si>
    <t>Price</t>
  </si>
  <si>
    <t>Shares</t>
  </si>
  <si>
    <t>MC</t>
  </si>
  <si>
    <t>Cash</t>
  </si>
  <si>
    <t>Debt</t>
  </si>
  <si>
    <t>EV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</si>
  <si>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</si>
  <si>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</si>
  <si>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</si>
  <si>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</si>
  <si>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</si>
  <si>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</si>
  <si>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</si>
  <si>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</si>
  <si>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</si>
  <si>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main</t>
  </si>
  <si>
    <t>Q224</t>
  </si>
  <si>
    <t>Q324</t>
  </si>
  <si>
    <t>Q424</t>
  </si>
  <si>
    <t>Q125</t>
  </si>
  <si>
    <t>Q225</t>
  </si>
  <si>
    <t>SPRB</t>
  </si>
  <si>
    <t>press</t>
  </si>
  <si>
    <t>1 in 250k</t>
  </si>
  <si>
    <t>cost per patient</t>
  </si>
  <si>
    <t>12 k patients worldwide</t>
  </si>
  <si>
    <t>cost per patient K</t>
  </si>
  <si>
    <t>revenue M</t>
  </si>
  <si>
    <t>US population M</t>
  </si>
  <si>
    <t>Japan population M</t>
  </si>
  <si>
    <t>Europe population M</t>
  </si>
  <si>
    <t>Brazil population M</t>
  </si>
  <si>
    <t>sum</t>
  </si>
  <si>
    <t>patients US n</t>
  </si>
  <si>
    <t>total patients</t>
  </si>
  <si>
    <t>patients jap n</t>
  </si>
  <si>
    <t>patients EU n</t>
  </si>
  <si>
    <t>patients braz n</t>
  </si>
  <si>
    <t>CGMV</t>
  </si>
  <si>
    <t>Cortical Gray Matter Volume - the thing thats responsible for thinking in ya head, outside layer of brain</t>
  </si>
  <si>
    <t xml:space="preserve">lysosome </t>
  </si>
  <si>
    <t>the thing in the cell that recycles stuff</t>
  </si>
  <si>
    <t>biomarker</t>
  </si>
  <si>
    <t>health indicator</t>
  </si>
  <si>
    <t xml:space="preserve">CSF </t>
  </si>
  <si>
    <t>cerebrospinal fluid</t>
  </si>
  <si>
    <t>Brand</t>
  </si>
  <si>
    <t>Indication</t>
  </si>
  <si>
    <t xml:space="preserve">MOA </t>
  </si>
  <si>
    <t>Economics</t>
  </si>
  <si>
    <t>TA-ERT (tralesinidase alfa enzyme replacement therapy)</t>
  </si>
  <si>
    <t>MPS IIIB Sanfillippo Syndrome Type B (Mucopolysaccharidosis Type IIIB)</t>
  </si>
  <si>
    <t>Phase</t>
  </si>
  <si>
    <t>BLA Q426</t>
  </si>
  <si>
    <t>Main</t>
  </si>
  <si>
    <t>Sum</t>
  </si>
  <si>
    <t>US</t>
  </si>
  <si>
    <t>Company</t>
  </si>
  <si>
    <t>https://pubmed.ncbi.nlm.nih.gov/34051828/</t>
  </si>
  <si>
    <t>Ecuador</t>
  </si>
  <si>
    <t>https://pubmed.ncbi.nlm.nih.gov/41008709/</t>
  </si>
  <si>
    <t>Egypt</t>
  </si>
  <si>
    <t>https://pubmed.ncbi.nlm.nih.gov/41071200/</t>
  </si>
  <si>
    <t>Kazakhstan</t>
  </si>
  <si>
    <t>https://pubmed.ncbi.nlm.nih.gov/40150022/</t>
  </si>
  <si>
    <t>Turkey</t>
  </si>
  <si>
    <t>https://pmc.ncbi.nlm.nih.gov/articles/PMC11913520/</t>
  </si>
  <si>
    <t>Brazil</t>
  </si>
  <si>
    <t>https://pubmed.ncbi.nlm.nih.gov/38488524/</t>
  </si>
  <si>
    <t>https://pubmed.ncbi.nlm.nih.gov/34806811/</t>
  </si>
  <si>
    <t>Iran</t>
  </si>
  <si>
    <t>Kosovo</t>
  </si>
  <si>
    <t>South Korea</t>
  </si>
  <si>
    <t>https://pubmed.ncbi.nlm.nih.gov/35629088/</t>
  </si>
  <si>
    <t>Taiwan</t>
  </si>
  <si>
    <t>https://pubmed.ncbi.nlm.nih.gov/32014045/</t>
  </si>
  <si>
    <t>https://pubmed.ncbi.nlm.nih.gov/31590383/</t>
  </si>
  <si>
    <t>Saudi Arabia</t>
  </si>
  <si>
    <t>https://pubmed.ncbi.nlm.nih.gov/36415369/</t>
  </si>
  <si>
    <t>Poland</t>
  </si>
  <si>
    <t>https://pubmed.ncbi.nlm.nih.gov/35525889/</t>
  </si>
  <si>
    <t>Canada</t>
  </si>
  <si>
    <t>Japan</t>
  </si>
  <si>
    <t>France</t>
  </si>
  <si>
    <t>Germany</t>
  </si>
  <si>
    <t>Italy</t>
  </si>
  <si>
    <t>https://pubmed.ncbi.nlm.nih.gov/34709531/</t>
  </si>
  <si>
    <t>https://pubmed.ncbi.nlm.nih.gov/34349725/</t>
  </si>
  <si>
    <t>Mexico</t>
  </si>
  <si>
    <t>https://pubmed.ncbi.nlm.nih.gov/35626423/</t>
  </si>
  <si>
    <t>https://pubmed.ncbi.nlm.nih.gov/32106281/</t>
  </si>
  <si>
    <t>China</t>
  </si>
  <si>
    <t>https://pubmed.ncbi.nlm.nih.gov/39243096/</t>
  </si>
  <si>
    <t>https://pubmed.ncbi.nlm.nih.gov/35709957/</t>
  </si>
  <si>
    <t>Q325</t>
  </si>
  <si>
    <t>-</t>
  </si>
  <si>
    <t>NAGLAZYME</t>
  </si>
  <si>
    <t>NAGLAZYME Y/Y</t>
  </si>
  <si>
    <t>https://pmc.ncbi.nlm.nih.gov/articles/PMC7916572/</t>
  </si>
  <si>
    <t>world</t>
  </si>
  <si>
    <t>0.14 per M</t>
  </si>
  <si>
    <t>0.11 per M</t>
  </si>
  <si>
    <t>US population</t>
  </si>
  <si>
    <t>patients</t>
  </si>
  <si>
    <t>revenue pp</t>
  </si>
  <si>
    <t>revenue</t>
  </si>
  <si>
    <t>COGS</t>
  </si>
  <si>
    <t>Gross profit</t>
  </si>
  <si>
    <t>SG&amp;A</t>
  </si>
  <si>
    <t>op inc</t>
  </si>
  <si>
    <t>tax</t>
  </si>
  <si>
    <t>net inc</t>
  </si>
  <si>
    <t>s/o</t>
  </si>
  <si>
    <t>tildacerfont</t>
  </si>
  <si>
    <t>MDD (Major Depressive Disorder)</t>
  </si>
  <si>
    <t>II (data expected in H126</t>
  </si>
  <si>
    <t>CRF1 receptor antagonist</t>
  </si>
  <si>
    <t>at SPRB</t>
  </si>
  <si>
    <t>role</t>
  </si>
  <si>
    <t>BioMarin Connection</t>
  </si>
  <si>
    <t>Javier Szarcberg M.D. M.P.H.</t>
  </si>
  <si>
    <t>CEO &amp; Director</t>
  </si>
  <si>
    <t>Group VP &amp; Head of Program and Portfolio Development at BioMarin</t>
  </si>
  <si>
    <t>Camilla V. Simpson, M.Sc.</t>
  </si>
  <si>
    <t>Board Member</t>
  </si>
  <si>
    <t>Senior VP &amp; Head of Product Portfolio Development at BioMarin, Group VP Regulatory Affairs</t>
  </si>
  <si>
    <t xml:space="preserve">Bruno Gagnon, B.Pharm, M.Sc. </t>
  </si>
  <si>
    <t>SVP, Clinical Development Ops</t>
  </si>
  <si>
    <t>VP, Clinical Operations at BioMarin</t>
  </si>
  <si>
    <t xml:space="preserve">Dr. Saba Sile, M.D. </t>
  </si>
  <si>
    <t>VP, Clinical Development</t>
  </si>
  <si>
    <t>clinical dev BioMarin</t>
  </si>
  <si>
    <t>https://pubmed.ncbi.nlm.nih.gov/35717448/#full-view-affiliation-2</t>
  </si>
  <si>
    <t>went public october 9 2020</t>
  </si>
  <si>
    <t>6M shares at $15 a share so 90M MC</t>
  </si>
  <si>
    <t>founded nov 2014 in Delaware</t>
  </si>
  <si>
    <t xml:space="preserve">founder Alexis Howerton, Pd.D. </t>
  </si>
  <si>
    <t>CEO history</t>
  </si>
  <si>
    <t>Alexis Howerton Ph.D.</t>
  </si>
  <si>
    <t>Richard King</t>
  </si>
  <si>
    <t>Michael Grey</t>
  </si>
  <si>
    <t>2016-2019</t>
  </si>
  <si>
    <t>2019-2021</t>
  </si>
  <si>
    <t>2021-2022</t>
  </si>
  <si>
    <t>separated via mutual agreement to transition leadership to a new CEO with more experience in advancing the companys development stage</t>
  </si>
  <si>
    <t>retired after a 35-year career in the life sciences industry, stayed as a strategic advisor through the end of 2021</t>
  </si>
  <si>
    <t>intermin CEO</t>
  </si>
  <si>
    <t>https://www.sciencedirect.com/science/article/pii/S0022356524003161?via%3Dihub</t>
  </si>
  <si>
    <t>https://pubmed.ncbi.nlm.nih.gov/36413418/</t>
  </si>
  <si>
    <t>Q425</t>
  </si>
  <si>
    <t>Generic</t>
  </si>
  <si>
    <t>MPS IIIB</t>
  </si>
  <si>
    <t>TA-ERT tralesinidase alfa ERT</t>
  </si>
  <si>
    <t>data</t>
  </si>
  <si>
    <t>trial</t>
  </si>
  <si>
    <t>approval</t>
  </si>
  <si>
    <t>BLA expected Q4 2026</t>
  </si>
  <si>
    <t>Phase 3 trial n=14</t>
  </si>
  <si>
    <t xml:space="preserve">placebo-controlled, 5 year study </t>
  </si>
  <si>
    <t>confimatory to be launched</t>
  </si>
  <si>
    <t xml:space="preserve">significant and durable reductions in CSF HS-NRE </t>
  </si>
  <si>
    <t>sustained over 5 years</t>
  </si>
  <si>
    <t xml:space="preserve">CGMV data (cortical grey matter volume) stabilized </t>
  </si>
  <si>
    <t>board</t>
  </si>
  <si>
    <t>Keil Walbert</t>
  </si>
  <si>
    <t>CMO</t>
  </si>
  <si>
    <t xml:space="preserve">Dale Hooks  </t>
  </si>
  <si>
    <t>launched 21 new products, Applied Therapeutics, got 11k shares of Spruce</t>
  </si>
  <si>
    <t>https://investors.sprucebio.com/static-files/fd883b1f-8ba0-41bf-89a2-17b91cbfb32c</t>
  </si>
  <si>
    <t>Phase 1/2 trial n=22 NCT02754076</t>
  </si>
  <si>
    <t>2012-2019</t>
  </si>
  <si>
    <t>kids 2-9</t>
  </si>
  <si>
    <t>BMN250</t>
  </si>
  <si>
    <t>2019-2023</t>
  </si>
  <si>
    <t xml:space="preserve">Allievex </t>
  </si>
  <si>
    <t>AX250</t>
  </si>
  <si>
    <t>Bankrupt in 2023</t>
  </si>
  <si>
    <t>Biomarin basically owns the upside economics. If SPRB gets this approved and sells a lot</t>
  </si>
  <si>
    <t xml:space="preserve">BioMarin collects  up to 122.5M in milestones plus low-to-mid teens royalties </t>
  </si>
  <si>
    <t>Q126</t>
  </si>
  <si>
    <t>cost pp</t>
  </si>
  <si>
    <t>TAM</t>
  </si>
  <si>
    <t>penetration</t>
  </si>
  <si>
    <t>Brian Walls</t>
  </si>
  <si>
    <t>Darren M Johnson</t>
  </si>
  <si>
    <t>VP. Commercial Operations</t>
  </si>
  <si>
    <t>VP, Market Access</t>
  </si>
  <si>
    <t>20 years biopharma, 18 product launches, rare, ultra-rare, oncology, neuology, metabolic disorders. Recently VP at Applied Therapeutics (acquired by Cycle Pharmaceuticals)</t>
  </si>
  <si>
    <t>recently com operations at Applied Therapeutics</t>
  </si>
  <si>
    <t>Q226</t>
  </si>
  <si>
    <t>Q326</t>
  </si>
  <si>
    <t>terminal</t>
  </si>
  <si>
    <t>discount</t>
  </si>
  <si>
    <t>NPV</t>
  </si>
  <si>
    <t>PS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</si>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</sst>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0"/>
  </numFmts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8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theme="10"/>
      <name val="Arial"/>
      <family val="2"/>
      <charset val="238"/>
    </font>
    <font>
      <b/>
      <sz val="10"/>
      <color theme="1"/>
      <name val="Arial"/>
      <family val="2"/>
      <charset val="238"/>
    </font>
    <font>
      <u/>
      <sz val="10"/>
      <color theme="1"/>
      <name val="Arial"/>
      <family val="2"/>
      <charset val="238"/>
    </font>
    <font>
      <b/>
      <u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0" borderId="0" xfId="1" applyFont="1"/>
    <xf numFmtId="0" fontId="5" fillId="0" borderId="0" xfId="1" applyFont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0" xfId="0" quotePrefix="1" applyFont="1"/>
    <xf numFmtId="9" fontId="1" fillId="0" borderId="0" xfId="0" applyNumberFormat="1" applyFont="1"/>
    <xf numFmtId="2" fontId="1" fillId="0" borderId="0" xfId="0" applyNumberFormat="1" applyFont="1"/>
    <xf numFmtId="38" fontId="1" fillId="0" borderId="0" xfId="0" applyNumberFormat="1" applyFont="1"/>
    <xf numFmtId="0" fontId="8" fillId="0" borderId="0" xfId="0" applyFont="1"/>
    <xf numFmtId="4" fontId="1" fillId="0" borderId="0" xfId="0" applyNumberFormat="1" applyFont="1"/>
    <xf numFmtId="0" fontId="4" fillId="0" borderId="4" xfId="1" applyFont="1" applyBorder="1"/>
    <xf numFmtId="1" fontId="1" fillId="0" borderId="0" xfId="0" applyNumberFormat="1" applyFont="1"/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258418</xdr:colOff>
      <xdr:row>1</xdr:row>
      <xdr:rowOff>53009</xdr:rowOff>
    </xdr:from>
    <xdr:to>
      <xdr:col>27</xdr:col>
      <xdr:colOff>258418</xdr:colOff>
      <xdr:row>66</xdr:row>
      <xdr:rowOff>6626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68D33C4-D9BE-0F7F-33FA-9220A4DB7EDC}"/>
            </a:ext>
          </a:extLst>
        </xdr:cNvPr>
        <xdr:cNvCxnSpPr/>
      </xdr:nvCxnSpPr>
      <xdr:spPr>
        <a:xfrm>
          <a:off x="16889896" y="218661"/>
          <a:ext cx="0" cy="107210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512196</xdr:colOff>
      <xdr:row>0</xdr:row>
      <xdr:rowOff>141798</xdr:rowOff>
    </xdr:from>
    <xdr:to>
      <xdr:col>18</xdr:col>
      <xdr:colOff>512196</xdr:colOff>
      <xdr:row>129</xdr:row>
      <xdr:rowOff>150688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974397-2621-224F-51AE-B64322E22395}"/>
            </a:ext>
          </a:extLst>
        </xdr:cNvPr>
        <xdr:cNvCxnSpPr/>
      </xdr:nvCxnSpPr>
      <xdr:spPr>
        <a:xfrm>
          <a:off x="12021709" y="141798"/>
          <a:ext cx="0" cy="21378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604510</xdr:colOff>
      <xdr:row>0</xdr:row>
      <xdr:rowOff>94934</xdr:rowOff>
    </xdr:from>
    <xdr:to>
      <xdr:col>31</xdr:col>
      <xdr:colOff>604510</xdr:colOff>
      <xdr:row>129</xdr:row>
      <xdr:rowOff>103824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EE9528-761F-4EF3-BEE3-E462C1297277}"/>
            </a:ext>
          </a:extLst>
        </xdr:cNvPr>
        <xdr:cNvCxnSpPr/>
      </xdr:nvCxnSpPr>
      <xdr:spPr>
        <a:xfrm>
          <a:off x="16381223" y="94934"/>
          <a:ext cx="0" cy="21378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560275</xdr:colOff>
      <xdr:row>2</xdr:row>
      <xdr:rowOff>30878</xdr:rowOff>
    </xdr:from>
    <xdr:to>
      <xdr:col>43</xdr:col>
      <xdr:colOff>553854</xdr:colOff>
      <xdr:row>28</xdr:row>
      <xdr:rowOff>28529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2F794-4A5A-42E6-871B-FEC529AB4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43325" y="373778"/>
          <a:ext cx="9137579" cy="4455351"/>
        </a:xfrm>
        <a:prstGeom prst="rect">
          <a:avLst/>
        </a:prstGeom>
      </xdr:spPr>
    </xdr:pic>
    <xdr:clientData/>
  </xdr:twoCellAnchor>
  <xdr:twoCellAnchor editAs="oneCell">
    <xdr:from>
      <xdr:col>27</xdr:col>
      <xdr:colOff>403514</xdr:colOff>
      <xdr:row>32</xdr:row>
      <xdr:rowOff>64078</xdr:rowOff>
    </xdr:from>
    <xdr:to>
      <xdr:col>42</xdr:col>
      <xdr:colOff>61644</xdr:colOff>
      <xdr:row>60</xdr:row>
      <xdr:rowOff>73640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DE375F-7A15-EF1A-1493-B52B21D62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76964" y="5550478"/>
          <a:ext cx="8802130" cy="4810162"/>
        </a:xfrm>
        <a:prstGeom prst="rect">
          <a:avLst/>
        </a:prstGeom>
      </xdr:spPr>
    </xdr:pic>
    <xdr:clientData/>
  </xdr:twoCellAnchor>
  <xdr:twoCellAnchor editAs="oneCell">
    <xdr:from>
      <xdr:col>23</xdr:col>
      <xdr:colOff>440184</xdr:colOff>
      <xdr:row>70</xdr:row>
      <xdr:rowOff>138806</xdr:rowOff>
    </xdr:from>
    <xdr:to>
      <xdr:col>46</xdr:col>
      <xdr:colOff>294048</xdr:colOff>
      <xdr:row>115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CD7C92-B522-0EA4-8DC2-60B4946A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75234" y="12140306"/>
          <a:ext cx="13874664" cy="7614544"/>
        </a:xfrm>
        <a:prstGeom prst="rect">
          <a:avLst/>
        </a:prstGeom>
      </xdr:spPr>
    </xdr:pic>
    <xdr:clientData/>
  </xdr:twoCellAnchor>
  <xdr:twoCellAnchor editAs="oneCell">
    <xdr:from>
      <xdr:col>9</xdr:col>
      <xdr:colOff>430236</xdr:colOff>
      <xdr:row>5</xdr:row>
      <xdr:rowOff>116174</xdr:rowOff>
    </xdr:from>
    <xdr:to>
      <xdr:col>26</xdr:col>
      <xdr:colOff>372903</xdr:colOff>
      <xdr:row>35</xdr:row>
      <xdr:rowOff>85477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3884E-98BB-274E-6C27-384B73DB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34696" y="954374"/>
          <a:ext cx="10305867" cy="4998503"/>
        </a:xfrm>
        <a:prstGeom prst="rect">
          <a:avLst/>
        </a:prstGeom>
      </xdr:spPr>
    </xdr:pic>
    <xdr:clientData/>
  </xdr:twoCellAnchor>
  <xdr:twoCellAnchor editAs="oneCell">
    <xdr:from>
      <xdr:col>4</xdr:col>
      <xdr:colOff>189235</xdr:colOff>
      <xdr:row>65</xdr:row>
      <xdr:rowOff>147052</xdr:rowOff>
    </xdr:from>
    <xdr:to>
      <xdr:col>14</xdr:col>
      <xdr:colOff>299405</xdr:colOff>
      <xdr:row>89</xdr:row>
      <xdr:rowOff>144780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84BC1A-E7D4-43AC-9C2B-7B99BCAE6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5695" y="11043652"/>
          <a:ext cx="6206170" cy="4021088"/>
        </a:xfrm>
        <a:prstGeom prst="rect">
          <a:avLst/>
        </a:prstGeom>
      </xdr:spPr>
    </xdr:pic>
    <xdr:clientData/>
  </xdr:twoCellAnchor>
  <xdr:twoCellAnchor editAs="oneCell">
    <xdr:from>
      <xdr:col>5</xdr:col>
      <xdr:colOff>331095</xdr:colOff>
      <xdr:row>46</xdr:row>
      <xdr:rowOff>46120</xdr:rowOff>
    </xdr:from>
    <xdr:to>
      <xdr:col>14</xdr:col>
      <xdr:colOff>455470</xdr:colOff>
      <xdr:row>66</xdr:row>
      <xdr:rowOff>22860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6A3D0A-CFA4-2079-9133-BC53F8888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97155" y="7757560"/>
          <a:ext cx="5610775" cy="3329540"/>
        </a:xfrm>
        <a:prstGeom prst="rect">
          <a:avLst/>
        </a:prstGeom>
      </xdr:spPr>
    </xdr:pic>
    <xdr:clientData/>
  </xdr:twoCellAnchor>
  <xdr:twoCellAnchor editAs="oneCell">
    <xdr:from>
      <xdr:col>22</xdr:col>
      <xdr:colOff>175961</xdr:colOff>
      <xdr:row>48</xdr:row>
      <xdr:rowOff>103270</xdr:rowOff>
    </xdr:from>
    <xdr:to>
      <xdr:col>48</xdr:col>
      <xdr:colOff>39142</xdr:colOff>
      <xdr:row>70</xdr:row>
      <xdr:rowOff>4697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1DAFDA-F3C5-76AB-2586-F8EF7B083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01411" y="8332870"/>
          <a:ext cx="15712781" cy="367332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vestors.sprucebio.com/news-and-events/news-releas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62642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F600-D258-4A06-817C-411221231C5A}">
  <dimension ref="B2:X30"/>
  <sheetViews>
    <sheetView showGridLines="0" zoomScale="115" zoomScaleNormal="115" workbookViewId="0">
      <selection activeCell="B3" sqref="B3"/>
    </sheetView>
  </sheetViews>
  <sheetFormatPr defaultColWidth="8.88671875" defaultRowHeight="13.2" x14ac:dyDescent="0.25"/>
  <cols>
    <col min="1" max="1" width="4.77734375" style="1" customWidth="1"/>
    <col min="2" max="2" width="47.77734375" style="1" bestFit="1" customWidth="1"/>
    <col min="3" max="3" width="30.77734375" style="1" customWidth="1"/>
    <col min="4" max="4" width="9.5546875" style="11" bestFit="1" customWidth="1"/>
    <col min="5" max="5" width="22.109375" style="1" bestFit="1" customWidth="1"/>
    <col min="6" max="6" width="10.109375" style="1" bestFit="1" customWidth="1"/>
    <col min="7" max="16" width="8.88671875" style="1"/>
    <col min="17" max="17" width="25.88671875" style="1" bestFit="1" customWidth="1"/>
    <col min="18" max="18" width="27.109375" style="1" bestFit="1" customWidth="1"/>
    <col min="19" max="21" width="8.88671875" style="1"/>
    <col min="22" max="22" width="19.21875" style="1" bestFit="1" customWidth="1"/>
    <col min="23" max="23" width="10" style="1" bestFit="1" customWidth="1"/>
    <col min="24" max="16384" width="8.88671875" style="1"/>
  </cols>
  <sheetData>
    <row r="2" spans="2:19" x14ac:dyDescent="0.25">
      <c r="B2" s="8" t="s">
        <v>46</v>
      </c>
      <c r="C2" s="9" t="s">
        <v>47</v>
      </c>
      <c r="D2" s="9" t="s">
        <v>52</v>
      </c>
      <c r="E2" s="9" t="s">
        <v>48</v>
      </c>
      <c r="F2" s="10" t="s">
        <v>49</v>
      </c>
    </row>
    <row r="3" spans="2:19" x14ac:dyDescent="0.25">
      <c r="B3" s="27" t="s">
        <v>50</v>
      </c>
      <c r="C3" s="12" t="s">
        <v>51</v>
      </c>
      <c r="D3" s="13" t="s">
        <v>53</v>
      </c>
      <c r="E3" s="12"/>
      <c r="F3" s="14"/>
      <c r="J3" s="1" t="s">
        <v>21</v>
      </c>
      <c r="Q3" s="25" t="s">
        <v>117</v>
      </c>
      <c r="R3" s="25" t="s">
        <v>118</v>
      </c>
      <c r="S3" s="25" t="s">
        <v>119</v>
      </c>
    </row>
    <row r="4" spans="2:19" x14ac:dyDescent="0.25">
      <c r="B4" s="15"/>
      <c r="F4" s="16"/>
      <c r="J4" s="4" t="s">
        <v>22</v>
      </c>
      <c r="Q4" s="1" t="s">
        <v>120</v>
      </c>
      <c r="R4" s="1" t="s">
        <v>121</v>
      </c>
      <c r="S4" s="1" t="s">
        <v>122</v>
      </c>
    </row>
    <row r="5" spans="2:19" x14ac:dyDescent="0.25">
      <c r="B5" s="15" t="s">
        <v>113</v>
      </c>
      <c r="C5" s="1" t="s">
        <v>114</v>
      </c>
      <c r="D5" s="11" t="s">
        <v>115</v>
      </c>
      <c r="E5" s="1" t="s">
        <v>116</v>
      </c>
      <c r="F5" s="16"/>
      <c r="Q5" s="1" t="s">
        <v>123</v>
      </c>
      <c r="R5" s="1" t="s">
        <v>124</v>
      </c>
      <c r="S5" s="1" t="s">
        <v>125</v>
      </c>
    </row>
    <row r="6" spans="2:19" x14ac:dyDescent="0.25">
      <c r="B6" s="15"/>
      <c r="F6" s="16"/>
      <c r="J6" s="1" t="s">
        <v>20</v>
      </c>
      <c r="K6" s="1" t="s">
        <v>94</v>
      </c>
      <c r="L6" s="1" t="s">
        <v>149</v>
      </c>
      <c r="M6" s="1" t="s">
        <v>179</v>
      </c>
      <c r="Q6" s="1" t="s">
        <v>126</v>
      </c>
      <c r="R6" s="1" t="s">
        <v>127</v>
      </c>
      <c r="S6" s="1" t="s">
        <v>128</v>
      </c>
    </row>
    <row r="7" spans="2:19" x14ac:dyDescent="0.25">
      <c r="B7" s="17"/>
      <c r="C7" s="18"/>
      <c r="D7" s="19"/>
      <c r="E7" s="18"/>
      <c r="F7" s="20"/>
      <c r="I7" s="1" t="s">
        <v>0</v>
      </c>
      <c r="J7" s="1">
        <v>160</v>
      </c>
      <c r="K7" s="1">
        <v>50</v>
      </c>
      <c r="L7" s="1">
        <v>67</v>
      </c>
      <c r="M7" s="1">
        <v>52</v>
      </c>
      <c r="Q7" s="1" t="s">
        <v>129</v>
      </c>
      <c r="R7" s="1" t="s">
        <v>130</v>
      </c>
      <c r="S7" s="1" t="s">
        <v>131</v>
      </c>
    </row>
    <row r="8" spans="2:19" x14ac:dyDescent="0.25">
      <c r="I8" s="1" t="s">
        <v>1</v>
      </c>
      <c r="J8" s="26">
        <v>0.56304200000000004</v>
      </c>
      <c r="K8" s="26">
        <v>1.07037</v>
      </c>
      <c r="L8" s="26">
        <v>1.3720429999999999</v>
      </c>
      <c r="M8" s="26">
        <v>2.752278</v>
      </c>
      <c r="N8" s="26"/>
      <c r="O8" s="26"/>
    </row>
    <row r="9" spans="2:19" x14ac:dyDescent="0.25">
      <c r="I9" s="1" t="s">
        <v>2</v>
      </c>
      <c r="J9" s="2">
        <f>+J8*J7</f>
        <v>90.086720000000014</v>
      </c>
      <c r="K9" s="2">
        <f>+K8*K7</f>
        <v>53.518500000000003</v>
      </c>
      <c r="L9" s="2">
        <f>+L8*L7</f>
        <v>91.926880999999995</v>
      </c>
      <c r="M9" s="2">
        <f>+M8*M7</f>
        <v>143.11845600000001</v>
      </c>
      <c r="N9" s="2"/>
      <c r="O9" s="2"/>
      <c r="Q9" s="1" t="s">
        <v>166</v>
      </c>
      <c r="R9" s="1" t="s">
        <v>165</v>
      </c>
      <c r="S9" s="1" t="s">
        <v>167</v>
      </c>
    </row>
    <row r="10" spans="2:19" x14ac:dyDescent="0.25">
      <c r="I10" s="1" t="s">
        <v>3</v>
      </c>
      <c r="J10" s="2">
        <v>16.387</v>
      </c>
      <c r="K10" s="2">
        <v>10.669</v>
      </c>
      <c r="L10" s="2">
        <v>48.905999999999999</v>
      </c>
      <c r="M10" s="2">
        <v>54.08</v>
      </c>
      <c r="N10" s="2"/>
      <c r="O10" s="2"/>
    </row>
    <row r="11" spans="2:19" x14ac:dyDescent="0.25">
      <c r="I11" s="1" t="s">
        <v>4</v>
      </c>
      <c r="J11" s="2">
        <v>0.94299999999999995</v>
      </c>
      <c r="K11" s="2">
        <v>0.53900000000000003</v>
      </c>
      <c r="L11" s="2">
        <v>0</v>
      </c>
      <c r="M11" s="2">
        <f>1+5.464</f>
        <v>6.4640000000000004</v>
      </c>
      <c r="N11" s="2"/>
      <c r="O11" s="2"/>
      <c r="Q11" s="1" t="s">
        <v>183</v>
      </c>
      <c r="R11" s="1" t="s">
        <v>186</v>
      </c>
      <c r="S11" s="1" t="s">
        <v>187</v>
      </c>
    </row>
    <row r="12" spans="2:19" x14ac:dyDescent="0.25">
      <c r="I12" s="1" t="s">
        <v>5</v>
      </c>
      <c r="J12" s="2">
        <f>+J9+J11-J10</f>
        <v>74.642720000000011</v>
      </c>
      <c r="K12" s="2">
        <f>+K9+K11-K10</f>
        <v>43.388500000000008</v>
      </c>
      <c r="L12" s="2">
        <f>+L9+L11-L10</f>
        <v>43.020880999999996</v>
      </c>
      <c r="M12" s="2">
        <f>+M9+M11-M10</f>
        <v>95.502456000000009</v>
      </c>
      <c r="N12" s="2"/>
      <c r="O12" s="2"/>
      <c r="Q12" s="1" t="s">
        <v>184</v>
      </c>
      <c r="R12" s="1" t="s">
        <v>185</v>
      </c>
      <c r="S12" s="1" t="s">
        <v>188</v>
      </c>
    </row>
    <row r="18" spans="13:24" x14ac:dyDescent="0.25">
      <c r="M18" s="29"/>
      <c r="V18" s="1" t="s">
        <v>137</v>
      </c>
    </row>
    <row r="19" spans="13:24" x14ac:dyDescent="0.25">
      <c r="Q19" s="1" t="s">
        <v>133</v>
      </c>
      <c r="V19" s="1" t="s">
        <v>138</v>
      </c>
      <c r="W19" s="1" t="s">
        <v>141</v>
      </c>
      <c r="X19" s="1" t="s">
        <v>144</v>
      </c>
    </row>
    <row r="20" spans="13:24" x14ac:dyDescent="0.25">
      <c r="Q20" s="1" t="s">
        <v>134</v>
      </c>
      <c r="V20" s="1" t="s">
        <v>139</v>
      </c>
      <c r="W20" s="1" t="s">
        <v>142</v>
      </c>
      <c r="X20" s="1" t="s">
        <v>145</v>
      </c>
    </row>
    <row r="21" spans="13:24" x14ac:dyDescent="0.25">
      <c r="V21" s="1" t="s">
        <v>140</v>
      </c>
      <c r="W21" s="1" t="s">
        <v>143</v>
      </c>
      <c r="X21" s="1" t="s">
        <v>146</v>
      </c>
    </row>
    <row r="22" spans="13:24" x14ac:dyDescent="0.25">
      <c r="Q22" s="1" t="s">
        <v>135</v>
      </c>
    </row>
    <row r="24" spans="13:24" x14ac:dyDescent="0.25">
      <c r="Q24" s="1" t="s">
        <v>136</v>
      </c>
    </row>
    <row r="29" spans="13:24" s="7" customFormat="1" x14ac:dyDescent="0.25">
      <c r="Q29" s="1" t="s">
        <v>163</v>
      </c>
    </row>
    <row r="30" spans="13:24" x14ac:dyDescent="0.25">
      <c r="Q30" s="1" t="s">
        <v>164</v>
      </c>
    </row>
  </sheetData>
  <hyperlinks>
    <hyperlink ref="J4" r:id="rId1" xr:uid="{216A20C3-11FB-4E19-B307-919720C87F1A}"/>
    <hyperlink ref="B3" location="'TA-ERT'!A1" display="TA-ERT (tralesinidase alfa enzyme replacement therapy)" xr:uid="{571456FC-878D-4B7A-AB0B-95D1C001F5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EE9AA-A1A4-4413-B468-D4731F410BE5}">
  <dimension ref="B3:AZ59"/>
  <sheetViews>
    <sheetView showGridLines="0" zoomScale="115" zoomScaleNormal="115" workbookViewId="0">
      <pane xSplit="2" ySplit="4" topLeftCell="AD30" activePane="bottomRight" state="frozen"/>
      <selection activeCell="O10" sqref="O10"/>
      <selection pane="topRight" activeCell="O10" sqref="O10"/>
      <selection pane="bottomLeft" activeCell="O10" sqref="O10"/>
      <selection pane="bottomRight" activeCell="AG56" sqref="AG56"/>
    </sheetView>
  </sheetViews>
  <sheetFormatPr defaultRowHeight="13.2" x14ac:dyDescent="0.25"/>
  <cols>
    <col min="1" max="1" width="4.77734375" style="1" customWidth="1"/>
    <col min="2" max="2" width="15.5546875" style="1" bestFit="1" customWidth="1"/>
    <col min="3" max="16384" width="8.88671875" style="1"/>
  </cols>
  <sheetData>
    <row r="3" spans="2:52" x14ac:dyDescent="0.25">
      <c r="G3" s="1">
        <v>0</v>
      </c>
      <c r="H3" s="1">
        <v>1</v>
      </c>
      <c r="I3" s="1">
        <f>+H3+1</f>
        <v>2</v>
      </c>
      <c r="J3" s="1">
        <f t="shared" ref="J3:AJ3" si="0">+I3+1</f>
        <v>3</v>
      </c>
      <c r="K3" s="1">
        <f t="shared" si="0"/>
        <v>4</v>
      </c>
      <c r="L3" s="1">
        <f t="shared" si="0"/>
        <v>5</v>
      </c>
      <c r="M3" s="1">
        <f t="shared" si="0"/>
        <v>6</v>
      </c>
      <c r="N3" s="1">
        <f t="shared" si="0"/>
        <v>7</v>
      </c>
      <c r="O3" s="1">
        <f t="shared" si="0"/>
        <v>8</v>
      </c>
      <c r="P3" s="1">
        <f t="shared" si="0"/>
        <v>9</v>
      </c>
      <c r="Q3" s="1">
        <f t="shared" si="0"/>
        <v>10</v>
      </c>
      <c r="R3" s="1">
        <f t="shared" si="0"/>
        <v>11</v>
      </c>
      <c r="S3" s="1">
        <f t="shared" si="0"/>
        <v>12</v>
      </c>
      <c r="T3" s="1">
        <f t="shared" si="0"/>
        <v>13</v>
      </c>
      <c r="U3" s="1">
        <f t="shared" si="0"/>
        <v>14</v>
      </c>
      <c r="V3" s="1">
        <f t="shared" si="0"/>
        <v>15</v>
      </c>
      <c r="W3" s="1">
        <f t="shared" si="0"/>
        <v>16</v>
      </c>
      <c r="X3" s="1">
        <f t="shared" si="0"/>
        <v>17</v>
      </c>
      <c r="Y3" s="1">
        <f t="shared" si="0"/>
        <v>18</v>
      </c>
      <c r="Z3" s="1">
        <f t="shared" si="0"/>
        <v>19</v>
      </c>
      <c r="AA3" s="1">
        <f t="shared" si="0"/>
        <v>20</v>
      </c>
      <c r="AB3" s="1">
        <f t="shared" si="0"/>
        <v>21</v>
      </c>
      <c r="AC3" s="1">
        <f t="shared" si="0"/>
        <v>22</v>
      </c>
      <c r="AD3" s="1">
        <f t="shared" si="0"/>
        <v>23</v>
      </c>
      <c r="AE3" s="1">
        <f t="shared" si="0"/>
        <v>24</v>
      </c>
      <c r="AF3" s="1">
        <f t="shared" si="0"/>
        <v>25</v>
      </c>
      <c r="AG3" s="1">
        <f t="shared" si="0"/>
        <v>26</v>
      </c>
      <c r="AH3" s="1">
        <f t="shared" si="0"/>
        <v>27</v>
      </c>
      <c r="AI3" s="1">
        <f t="shared" si="0"/>
        <v>28</v>
      </c>
      <c r="AJ3" s="1">
        <f t="shared" si="0"/>
        <v>29</v>
      </c>
    </row>
    <row r="4" spans="2:52" x14ac:dyDescent="0.25">
      <c r="G4" s="1">
        <v>2005</v>
      </c>
      <c r="H4" s="1">
        <v>2006</v>
      </c>
      <c r="I4" s="1">
        <v>2007</v>
      </c>
      <c r="J4" s="1">
        <v>2008</v>
      </c>
      <c r="K4" s="1">
        <v>2009</v>
      </c>
      <c r="L4" s="1">
        <v>2010</v>
      </c>
      <c r="M4" s="1">
        <v>2011</v>
      </c>
      <c r="N4" s="1">
        <v>2012</v>
      </c>
      <c r="O4" s="1">
        <v>2013</v>
      </c>
      <c r="P4" s="1">
        <v>2014</v>
      </c>
      <c r="Q4" s="1">
        <v>2015</v>
      </c>
      <c r="R4" s="1">
        <v>2016</v>
      </c>
      <c r="S4" s="1">
        <f>+R4+1</f>
        <v>2017</v>
      </c>
      <c r="T4" s="1">
        <f t="shared" ref="T4:AJ4" si="1">+S4+1</f>
        <v>2018</v>
      </c>
      <c r="U4" s="1">
        <f t="shared" si="1"/>
        <v>2019</v>
      </c>
      <c r="V4" s="1">
        <f t="shared" si="1"/>
        <v>2020</v>
      </c>
      <c r="W4" s="1">
        <f t="shared" si="1"/>
        <v>2021</v>
      </c>
      <c r="X4" s="1">
        <f t="shared" si="1"/>
        <v>2022</v>
      </c>
      <c r="Y4" s="1">
        <f t="shared" si="1"/>
        <v>2023</v>
      </c>
      <c r="Z4" s="1">
        <f t="shared" si="1"/>
        <v>2024</v>
      </c>
      <c r="AA4" s="1">
        <f t="shared" si="1"/>
        <v>2025</v>
      </c>
      <c r="AB4" s="1">
        <f t="shared" si="1"/>
        <v>2026</v>
      </c>
      <c r="AC4" s="1">
        <f t="shared" si="1"/>
        <v>2027</v>
      </c>
      <c r="AD4" s="1">
        <f t="shared" si="1"/>
        <v>2028</v>
      </c>
      <c r="AE4" s="1">
        <f t="shared" si="1"/>
        <v>2029</v>
      </c>
      <c r="AF4" s="1">
        <f t="shared" si="1"/>
        <v>2030</v>
      </c>
      <c r="AG4" s="1">
        <f t="shared" si="1"/>
        <v>2031</v>
      </c>
      <c r="AH4" s="1">
        <f t="shared" si="1"/>
        <v>2032</v>
      </c>
      <c r="AI4" s="1">
        <f t="shared" si="1"/>
        <v>2033</v>
      </c>
      <c r="AJ4" s="1">
        <f t="shared" si="1"/>
        <v>2034</v>
      </c>
      <c r="AK4" s="1">
        <f t="shared" ref="AK4" si="2">+AJ4+1</f>
        <v>2035</v>
      </c>
      <c r="AL4" s="1">
        <f t="shared" ref="AL4" si="3">+AK4+1</f>
        <v>2036</v>
      </c>
      <c r="AM4" s="1">
        <f t="shared" ref="AM4" si="4">+AL4+1</f>
        <v>2037</v>
      </c>
      <c r="AN4" s="1">
        <f t="shared" ref="AN4" si="5">+AM4+1</f>
        <v>2038</v>
      </c>
      <c r="AO4" s="1">
        <f t="shared" ref="AO4" si="6">+AN4+1</f>
        <v>2039</v>
      </c>
      <c r="AP4" s="1">
        <f t="shared" ref="AP4" si="7">+AO4+1</f>
        <v>2040</v>
      </c>
      <c r="AQ4" s="1">
        <f t="shared" ref="AQ4" si="8">+AP4+1</f>
        <v>2041</v>
      </c>
      <c r="AR4" s="1">
        <f t="shared" ref="AR4" si="9">+AQ4+1</f>
        <v>2042</v>
      </c>
      <c r="AS4" s="1">
        <f t="shared" ref="AS4" si="10">+AR4+1</f>
        <v>2043</v>
      </c>
      <c r="AT4" s="1">
        <f t="shared" ref="AT4" si="11">+AS4+1</f>
        <v>2044</v>
      </c>
      <c r="AU4" s="1">
        <f t="shared" ref="AU4" si="12">+AT4+1</f>
        <v>2045</v>
      </c>
      <c r="AV4" s="1">
        <f t="shared" ref="AV4" si="13">+AU4+1</f>
        <v>2046</v>
      </c>
      <c r="AW4" s="1">
        <f t="shared" ref="AW4" si="14">+AV4+1</f>
        <v>2047</v>
      </c>
      <c r="AX4" s="1">
        <f t="shared" ref="AX4" si="15">+AW4+1</f>
        <v>2048</v>
      </c>
      <c r="AY4" s="1">
        <f t="shared" ref="AY4:AZ4" si="16">+AX4+1</f>
        <v>2049</v>
      </c>
      <c r="AZ4" s="1">
        <f t="shared" si="16"/>
        <v>2050</v>
      </c>
    </row>
    <row r="5" spans="2:52" x14ac:dyDescent="0.25"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2:52" x14ac:dyDescent="0.25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2:52" s="2" customFormat="1" x14ac:dyDescent="0.25">
      <c r="B7" s="2" t="s">
        <v>102</v>
      </c>
      <c r="G7" s="2">
        <v>295.71666399999998</v>
      </c>
      <c r="H7" s="2">
        <v>295.71666399999998</v>
      </c>
      <c r="L7" s="2">
        <v>311.06279000000001</v>
      </c>
      <c r="Q7" s="2">
        <v>326.12649699999997</v>
      </c>
      <c r="V7" s="2">
        <v>339.43615899999998</v>
      </c>
      <c r="X7" s="2">
        <v>341.53404599999999</v>
      </c>
      <c r="Y7" s="2">
        <v>343.47733499999998</v>
      </c>
      <c r="Z7" s="2">
        <v>345.42657100000002</v>
      </c>
      <c r="AA7" s="2">
        <v>347.27580699999999</v>
      </c>
      <c r="AB7" s="2">
        <v>348.49893500000002</v>
      </c>
      <c r="AC7" s="2">
        <f>+AB7+1</f>
        <v>349.49893500000002</v>
      </c>
      <c r="AD7" s="2">
        <f t="shared" ref="AD7:AJ7" si="17">+AC7+1</f>
        <v>350.49893500000002</v>
      </c>
      <c r="AE7" s="2">
        <f t="shared" si="17"/>
        <v>351.49893500000002</v>
      </c>
      <c r="AF7" s="2">
        <f t="shared" si="17"/>
        <v>352.49893500000002</v>
      </c>
      <c r="AG7" s="2">
        <f t="shared" si="17"/>
        <v>353.49893500000002</v>
      </c>
      <c r="AH7" s="2">
        <f t="shared" si="17"/>
        <v>354.49893500000002</v>
      </c>
      <c r="AI7" s="2">
        <f t="shared" si="17"/>
        <v>355.49893500000002</v>
      </c>
      <c r="AJ7" s="2">
        <f t="shared" si="17"/>
        <v>356.49893500000002</v>
      </c>
    </row>
    <row r="8" spans="2:52" x14ac:dyDescent="0.25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2:52" x14ac:dyDescent="0.25">
      <c r="B9" s="1" t="s">
        <v>101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2:52" x14ac:dyDescent="0.25">
      <c r="B10" s="1" t="s">
        <v>103</v>
      </c>
      <c r="G10" s="23">
        <f t="shared" ref="G10:H10" si="18">+G7*0.11</f>
        <v>32.528833039999995</v>
      </c>
      <c r="H10" s="23">
        <f t="shared" si="18"/>
        <v>32.528833039999995</v>
      </c>
      <c r="I10" s="2"/>
      <c r="J10" s="2"/>
      <c r="K10" s="2"/>
      <c r="L10" s="23">
        <f t="shared" ref="L10" si="19">+L7*0.11</f>
        <v>34.216906899999998</v>
      </c>
      <c r="M10" s="2"/>
      <c r="N10" s="2"/>
      <c r="O10" s="2"/>
      <c r="P10" s="2"/>
      <c r="Q10" s="23">
        <f t="shared" ref="Q10" si="20">+Q7*0.11</f>
        <v>35.873914669999998</v>
      </c>
      <c r="R10" s="2"/>
      <c r="V10" s="23">
        <f t="shared" ref="V10" si="21">+V7*0.11</f>
        <v>37.33797749</v>
      </c>
      <c r="X10" s="23">
        <f>+X7*0.11</f>
        <v>37.568745059999998</v>
      </c>
      <c r="Y10" s="23">
        <f>+Y7*0.11</f>
        <v>37.782506849999997</v>
      </c>
      <c r="Z10" s="23">
        <f>+Z7*0.11</f>
        <v>37.996922810000001</v>
      </c>
      <c r="AA10" s="23">
        <f>+AA7*0.11</f>
        <v>38.200338770000002</v>
      </c>
      <c r="AB10" s="23">
        <f>+AB7*0.11</f>
        <v>38.33488285</v>
      </c>
      <c r="AC10" s="23">
        <f t="shared" ref="AC10:AJ10" si="22">+AC7*0.11</f>
        <v>38.444882849999999</v>
      </c>
      <c r="AD10" s="23">
        <f t="shared" si="22"/>
        <v>38.554882850000006</v>
      </c>
      <c r="AE10" s="23">
        <f t="shared" si="22"/>
        <v>38.664882850000005</v>
      </c>
      <c r="AF10" s="23">
        <f t="shared" si="22"/>
        <v>38.774882850000004</v>
      </c>
      <c r="AG10" s="23">
        <f t="shared" si="22"/>
        <v>38.884882850000004</v>
      </c>
      <c r="AH10" s="23">
        <f t="shared" si="22"/>
        <v>38.994882850000003</v>
      </c>
      <c r="AI10" s="23">
        <f t="shared" si="22"/>
        <v>39.104882850000003</v>
      </c>
      <c r="AJ10" s="23">
        <f t="shared" si="22"/>
        <v>39.214882850000002</v>
      </c>
    </row>
    <row r="11" spans="2:52" x14ac:dyDescent="0.25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52" x14ac:dyDescent="0.25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52" x14ac:dyDescent="0.25">
      <c r="B13" s="1" t="s">
        <v>96</v>
      </c>
      <c r="G13" s="2" t="s">
        <v>95</v>
      </c>
      <c r="H13" s="2">
        <v>46.5</v>
      </c>
      <c r="I13" s="2">
        <v>86.2</v>
      </c>
      <c r="J13" s="2">
        <v>132.69999999999999</v>
      </c>
      <c r="K13" s="2">
        <v>168.7</v>
      </c>
      <c r="L13" s="2">
        <v>192.7</v>
      </c>
      <c r="M13" s="2">
        <v>224.9</v>
      </c>
      <c r="N13" s="2">
        <v>257</v>
      </c>
      <c r="O13" s="2">
        <v>271.2</v>
      </c>
      <c r="P13" s="2">
        <v>334.4</v>
      </c>
      <c r="Q13" s="2">
        <v>303.10000000000002</v>
      </c>
      <c r="R13" s="2">
        <v>296.5</v>
      </c>
      <c r="X13" s="1">
        <v>444</v>
      </c>
      <c r="Y13" s="1">
        <v>420</v>
      </c>
      <c r="Z13" s="1">
        <v>480</v>
      </c>
      <c r="AA13" s="1">
        <v>480</v>
      </c>
    </row>
    <row r="14" spans="2:52" x14ac:dyDescent="0.25">
      <c r="B14" s="1" t="s">
        <v>104</v>
      </c>
      <c r="G14" s="2"/>
      <c r="H14" s="23">
        <f>+H13/H10</f>
        <v>1.429501019689823</v>
      </c>
      <c r="I14" s="2"/>
      <c r="J14" s="2"/>
      <c r="K14" s="2"/>
      <c r="L14" s="2"/>
      <c r="M14" s="2"/>
      <c r="N14" s="2"/>
      <c r="O14" s="2"/>
      <c r="P14" s="2"/>
      <c r="Q14" s="2"/>
      <c r="R14" s="2"/>
      <c r="X14" s="23">
        <f>+X13/X10</f>
        <v>11.818334610083461</v>
      </c>
      <c r="Y14" s="23">
        <f>+Y13/Y10</f>
        <v>11.11625551124594</v>
      </c>
      <c r="Z14" s="23">
        <f>+Z13/Z10</f>
        <v>12.632601918849964</v>
      </c>
      <c r="AA14" s="23">
        <f>+AA13/AA10</f>
        <v>12.56533359272091</v>
      </c>
    </row>
    <row r="15" spans="2:52" x14ac:dyDescent="0.25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21" spans="2:52" s="22" customFormat="1" x14ac:dyDescent="0.25">
      <c r="B21" s="22" t="s">
        <v>97</v>
      </c>
      <c r="I21" s="22">
        <f>+I13/H13-1</f>
        <v>0.85376344086021505</v>
      </c>
      <c r="J21" s="22">
        <f t="shared" ref="J21:R21" si="23">+J13/I13-1</f>
        <v>0.53944315545243593</v>
      </c>
      <c r="K21" s="22">
        <f t="shared" si="23"/>
        <v>0.27128862094951023</v>
      </c>
      <c r="L21" s="22">
        <f t="shared" si="23"/>
        <v>0.1422643746295198</v>
      </c>
      <c r="M21" s="22">
        <f t="shared" si="23"/>
        <v>0.16709911779968878</v>
      </c>
      <c r="N21" s="22">
        <f t="shared" si="23"/>
        <v>0.14273010226767457</v>
      </c>
      <c r="O21" s="22">
        <f t="shared" si="23"/>
        <v>5.5252918287937769E-2</v>
      </c>
      <c r="P21" s="22">
        <f t="shared" si="23"/>
        <v>0.23303834808259594</v>
      </c>
      <c r="Q21" s="22">
        <f t="shared" si="23"/>
        <v>-9.3600478468899406E-2</v>
      </c>
      <c r="R21" s="22">
        <f t="shared" si="23"/>
        <v>-2.1774991751897121E-2</v>
      </c>
    </row>
    <row r="26" spans="2:52" x14ac:dyDescent="0.25">
      <c r="B26" s="1" t="s">
        <v>100</v>
      </c>
      <c r="G26" s="1" t="s">
        <v>95</v>
      </c>
    </row>
    <row r="27" spans="2:52" s="23" customFormat="1" x14ac:dyDescent="0.25">
      <c r="B27" s="23" t="s">
        <v>103</v>
      </c>
      <c r="X27" s="23">
        <f>+X7*0.14</f>
        <v>47.81476644</v>
      </c>
      <c r="Y27" s="23">
        <f>+Y7*0.14</f>
        <v>48.086826900000005</v>
      </c>
      <c r="Z27" s="23">
        <f>+Z7*0.14</f>
        <v>48.359719940000005</v>
      </c>
      <c r="AA27" s="23">
        <f>+AA7*0.14</f>
        <v>48.618612980000002</v>
      </c>
      <c r="AB27" s="23">
        <f>+AB7*0.14</f>
        <v>48.789850900000005</v>
      </c>
      <c r="AC27" s="23">
        <f t="shared" ref="AC27:AJ27" si="24">+AC7*0.14</f>
        <v>48.929850900000005</v>
      </c>
      <c r="AD27" s="23">
        <f t="shared" si="24"/>
        <v>49.069850900000006</v>
      </c>
      <c r="AE27" s="23">
        <f t="shared" si="24"/>
        <v>49.209850900000006</v>
      </c>
      <c r="AF27" s="23">
        <f t="shared" si="24"/>
        <v>49.349850900000007</v>
      </c>
      <c r="AG27" s="23">
        <f t="shared" si="24"/>
        <v>49.489850900000008</v>
      </c>
      <c r="AH27" s="23">
        <f t="shared" si="24"/>
        <v>49.629850900000008</v>
      </c>
      <c r="AI27" s="23">
        <f t="shared" si="24"/>
        <v>49.769850900000009</v>
      </c>
      <c r="AJ27" s="23">
        <f t="shared" si="24"/>
        <v>49.909850900000009</v>
      </c>
    </row>
    <row r="28" spans="2:52" x14ac:dyDescent="0.25">
      <c r="B28" s="1" t="s">
        <v>104</v>
      </c>
      <c r="X28" s="23">
        <f>+X14</f>
        <v>11.818334610083461</v>
      </c>
      <c r="Y28" s="23">
        <f t="shared" ref="Y28:AA28" si="25">+Y14</f>
        <v>11.11625551124594</v>
      </c>
      <c r="Z28" s="23">
        <f t="shared" si="25"/>
        <v>12.632601918849964</v>
      </c>
      <c r="AA28" s="23">
        <f t="shared" si="25"/>
        <v>12.56533359272091</v>
      </c>
      <c r="AB28" s="1">
        <v>1.5</v>
      </c>
      <c r="AC28" s="1">
        <v>1.5</v>
      </c>
      <c r="AD28" s="1">
        <v>1.5</v>
      </c>
      <c r="AE28" s="1">
        <v>1.5</v>
      </c>
      <c r="AF28" s="1">
        <v>1.5</v>
      </c>
      <c r="AG28" s="1">
        <v>1.5</v>
      </c>
      <c r="AH28" s="1">
        <v>1.5</v>
      </c>
      <c r="AI28" s="1">
        <v>1.5</v>
      </c>
      <c r="AJ28" s="1">
        <v>1.5</v>
      </c>
    </row>
    <row r="29" spans="2:52" x14ac:dyDescent="0.25">
      <c r="X29" s="23"/>
      <c r="Y29" s="23"/>
      <c r="Z29" s="23"/>
      <c r="AA29" s="23"/>
    </row>
    <row r="30" spans="2:52" x14ac:dyDescent="0.25">
      <c r="X30" s="23"/>
      <c r="Y30" s="23"/>
      <c r="Z30" s="23"/>
      <c r="AA30" s="23"/>
    </row>
    <row r="31" spans="2:52" x14ac:dyDescent="0.25">
      <c r="X31" s="23"/>
      <c r="Y31" s="23"/>
      <c r="Z31" s="23"/>
      <c r="AA31" s="23"/>
    </row>
    <row r="32" spans="2:52" x14ac:dyDescent="0.25">
      <c r="B32" s="1" t="s">
        <v>103</v>
      </c>
      <c r="X32" s="23"/>
      <c r="Y32" s="23"/>
      <c r="Z32" s="23"/>
      <c r="AA32" s="23"/>
      <c r="AC32" s="1">
        <v>500</v>
      </c>
      <c r="AD32" s="1">
        <f>+AC32+1</f>
        <v>501</v>
      </c>
      <c r="AE32" s="1">
        <f t="shared" ref="AE32:AO32" si="26">+AD32+1</f>
        <v>502</v>
      </c>
      <c r="AF32" s="1">
        <f t="shared" si="26"/>
        <v>503</v>
      </c>
      <c r="AG32" s="1">
        <f t="shared" si="26"/>
        <v>504</v>
      </c>
      <c r="AH32" s="1">
        <f t="shared" si="26"/>
        <v>505</v>
      </c>
      <c r="AI32" s="1">
        <f t="shared" si="26"/>
        <v>506</v>
      </c>
      <c r="AJ32" s="1">
        <f t="shared" si="26"/>
        <v>507</v>
      </c>
      <c r="AK32" s="1">
        <f t="shared" si="26"/>
        <v>508</v>
      </c>
      <c r="AL32" s="1">
        <f t="shared" si="26"/>
        <v>509</v>
      </c>
      <c r="AM32" s="1">
        <f t="shared" si="26"/>
        <v>510</v>
      </c>
      <c r="AN32" s="1">
        <f t="shared" si="26"/>
        <v>511</v>
      </c>
      <c r="AO32" s="1">
        <f t="shared" si="26"/>
        <v>512</v>
      </c>
      <c r="AP32" s="1">
        <f t="shared" ref="AP32" si="27">+AO32+1</f>
        <v>513</v>
      </c>
      <c r="AQ32" s="1">
        <f t="shared" ref="AQ32" si="28">+AP32+1</f>
        <v>514</v>
      </c>
      <c r="AR32" s="1">
        <f t="shared" ref="AR32" si="29">+AQ32+1</f>
        <v>515</v>
      </c>
      <c r="AS32" s="1">
        <f t="shared" ref="AS32" si="30">+AR32+1</f>
        <v>516</v>
      </c>
      <c r="AT32" s="1">
        <f t="shared" ref="AT32" si="31">+AS32+1</f>
        <v>517</v>
      </c>
      <c r="AU32" s="1">
        <f t="shared" ref="AU32" si="32">+AT32+1</f>
        <v>518</v>
      </c>
      <c r="AV32" s="1">
        <f t="shared" ref="AV32" si="33">+AU32+1</f>
        <v>519</v>
      </c>
      <c r="AW32" s="1">
        <f t="shared" ref="AW32" si="34">+AV32+1</f>
        <v>520</v>
      </c>
      <c r="AX32" s="1">
        <f t="shared" ref="AX32" si="35">+AW32+1</f>
        <v>521</v>
      </c>
      <c r="AY32" s="1">
        <f t="shared" ref="AY32" si="36">+AX32+1</f>
        <v>522</v>
      </c>
      <c r="AZ32" s="1">
        <f t="shared" ref="AZ32" si="37">+AY32+1</f>
        <v>523</v>
      </c>
    </row>
    <row r="33" spans="2:52" s="23" customFormat="1" x14ac:dyDescent="0.25">
      <c r="B33" s="23" t="s">
        <v>180</v>
      </c>
      <c r="AC33" s="23">
        <v>0.5</v>
      </c>
      <c r="AD33" s="23">
        <f>+AC33*1.03</f>
        <v>0.51500000000000001</v>
      </c>
      <c r="AE33" s="23">
        <f t="shared" ref="AE33:AO33" si="38">+AD33*1.03</f>
        <v>0.53044999999999998</v>
      </c>
      <c r="AF33" s="23">
        <f t="shared" si="38"/>
        <v>0.5463635</v>
      </c>
      <c r="AG33" s="23">
        <f t="shared" si="38"/>
        <v>0.56275440500000007</v>
      </c>
      <c r="AH33" s="23">
        <f t="shared" si="38"/>
        <v>0.57963703715000003</v>
      </c>
      <c r="AI33" s="23">
        <f t="shared" si="38"/>
        <v>0.59702614826450007</v>
      </c>
      <c r="AJ33" s="23">
        <f t="shared" si="38"/>
        <v>0.6149369327124351</v>
      </c>
      <c r="AK33" s="23">
        <f t="shared" si="38"/>
        <v>0.63338504069380819</v>
      </c>
      <c r="AL33" s="23">
        <f t="shared" si="38"/>
        <v>0.65238659191462245</v>
      </c>
      <c r="AM33" s="23">
        <f t="shared" si="38"/>
        <v>0.67195818967206111</v>
      </c>
      <c r="AN33" s="23">
        <f t="shared" si="38"/>
        <v>0.69211693536222296</v>
      </c>
      <c r="AO33" s="23">
        <f t="shared" si="38"/>
        <v>0.71288044342308965</v>
      </c>
      <c r="AP33" s="23">
        <f t="shared" ref="AP33" si="39">+AO33*1.03</f>
        <v>0.7342668567257824</v>
      </c>
      <c r="AQ33" s="23">
        <f t="shared" ref="AQ33" si="40">+AP33*1.03</f>
        <v>0.75629486242755595</v>
      </c>
      <c r="AR33" s="23">
        <f t="shared" ref="AR33" si="41">+AQ33*1.03</f>
        <v>0.77898370830038266</v>
      </c>
      <c r="AS33" s="23">
        <f t="shared" ref="AS33" si="42">+AR33*1.03</f>
        <v>0.8023532195493942</v>
      </c>
      <c r="AT33" s="23">
        <f t="shared" ref="AT33" si="43">+AS33*1.03</f>
        <v>0.82642381613587601</v>
      </c>
      <c r="AU33" s="23">
        <f t="shared" ref="AU33" si="44">+AT33*1.03</f>
        <v>0.85121653061995228</v>
      </c>
      <c r="AV33" s="23">
        <f t="shared" ref="AV33" si="45">+AU33*1.03</f>
        <v>0.87675302653855092</v>
      </c>
      <c r="AW33" s="23">
        <f t="shared" ref="AW33" si="46">+AV33*1.03</f>
        <v>0.90305561733470752</v>
      </c>
      <c r="AX33" s="23">
        <f t="shared" ref="AX33" si="47">+AW33*1.03</f>
        <v>0.93014728585474882</v>
      </c>
      <c r="AY33" s="23">
        <f t="shared" ref="AY33" si="48">+AX33*1.03</f>
        <v>0.95805170443039134</v>
      </c>
      <c r="AZ33" s="23">
        <f t="shared" ref="AZ33" si="49">+AY33*1.03</f>
        <v>0.98679325556330311</v>
      </c>
    </row>
    <row r="34" spans="2:52" s="28" customFormat="1" x14ac:dyDescent="0.25">
      <c r="B34" s="28" t="s">
        <v>181</v>
      </c>
      <c r="AC34" s="28">
        <f>+AC33*AC32</f>
        <v>250</v>
      </c>
      <c r="AD34" s="28">
        <f>+AD33*AD32</f>
        <v>258.01499999999999</v>
      </c>
      <c r="AE34" s="28">
        <f t="shared" ref="AE34:AO34" si="50">+AE33*AE32</f>
        <v>266.28589999999997</v>
      </c>
      <c r="AF34" s="28">
        <f t="shared" si="50"/>
        <v>274.82084049999997</v>
      </c>
      <c r="AG34" s="28">
        <f t="shared" si="50"/>
        <v>283.62822012000004</v>
      </c>
      <c r="AH34" s="28">
        <f t="shared" si="50"/>
        <v>292.71670376075002</v>
      </c>
      <c r="AI34" s="28">
        <f t="shared" si="50"/>
        <v>302.09523102183704</v>
      </c>
      <c r="AJ34" s="28">
        <f t="shared" si="50"/>
        <v>311.77302488520462</v>
      </c>
      <c r="AK34" s="28">
        <f t="shared" si="50"/>
        <v>321.75960067245455</v>
      </c>
      <c r="AL34" s="28">
        <f t="shared" si="50"/>
        <v>332.0647752845428</v>
      </c>
      <c r="AM34" s="28">
        <f t="shared" si="50"/>
        <v>342.69867673275115</v>
      </c>
      <c r="AN34" s="28">
        <f t="shared" si="50"/>
        <v>353.67175397009595</v>
      </c>
      <c r="AO34" s="28">
        <f t="shared" si="50"/>
        <v>364.9947870326219</v>
      </c>
      <c r="AP34" s="28">
        <f t="shared" ref="AP34:AZ34" si="51">+AP33*AP32</f>
        <v>376.6788975003264</v>
      </c>
      <c r="AQ34" s="28">
        <f t="shared" si="51"/>
        <v>388.73555928776375</v>
      </c>
      <c r="AR34" s="28">
        <f t="shared" si="51"/>
        <v>401.17660977469706</v>
      </c>
      <c r="AS34" s="28">
        <f t="shared" si="51"/>
        <v>414.01426128748739</v>
      </c>
      <c r="AT34" s="28">
        <f t="shared" si="51"/>
        <v>427.26111294224791</v>
      </c>
      <c r="AU34" s="28">
        <f t="shared" si="51"/>
        <v>440.93016286113527</v>
      </c>
      <c r="AV34" s="28">
        <f t="shared" si="51"/>
        <v>455.03482077350793</v>
      </c>
      <c r="AW34" s="28">
        <f t="shared" si="51"/>
        <v>469.58892101404791</v>
      </c>
      <c r="AX34" s="28">
        <f t="shared" si="51"/>
        <v>484.60673593032413</v>
      </c>
      <c r="AY34" s="28">
        <f t="shared" si="51"/>
        <v>500.10298971266428</v>
      </c>
      <c r="AZ34" s="28">
        <f t="shared" si="51"/>
        <v>516.09287265960756</v>
      </c>
    </row>
    <row r="35" spans="2:52" s="22" customFormat="1" x14ac:dyDescent="0.25">
      <c r="B35" s="22" t="s">
        <v>182</v>
      </c>
      <c r="AC35" s="22">
        <v>0.4</v>
      </c>
      <c r="AD35" s="22">
        <v>0.8</v>
      </c>
      <c r="AE35" s="22">
        <v>0.95</v>
      </c>
      <c r="AF35" s="22">
        <v>0.95</v>
      </c>
      <c r="AG35" s="22">
        <v>0.95</v>
      </c>
      <c r="AH35" s="22">
        <v>0.95</v>
      </c>
      <c r="AI35" s="22">
        <v>0.95</v>
      </c>
      <c r="AJ35" s="22">
        <v>0.95</v>
      </c>
      <c r="AK35" s="22">
        <v>0.95</v>
      </c>
      <c r="AL35" s="22">
        <v>0.95</v>
      </c>
      <c r="AM35" s="22">
        <v>0.95</v>
      </c>
      <c r="AN35" s="22">
        <v>0.95</v>
      </c>
      <c r="AO35" s="22">
        <v>0.95</v>
      </c>
      <c r="AP35" s="22">
        <v>0.95</v>
      </c>
      <c r="AQ35" s="22">
        <v>0.95</v>
      </c>
      <c r="AR35" s="22">
        <v>0.95</v>
      </c>
      <c r="AS35" s="22">
        <v>0.95</v>
      </c>
      <c r="AT35" s="22">
        <v>0.95</v>
      </c>
      <c r="AU35" s="22">
        <v>0.95</v>
      </c>
      <c r="AV35" s="22">
        <v>0.95</v>
      </c>
      <c r="AW35" s="22">
        <v>0.95</v>
      </c>
      <c r="AX35" s="22">
        <v>0.95</v>
      </c>
      <c r="AY35" s="22">
        <v>0.95</v>
      </c>
      <c r="AZ35" s="22">
        <v>0.95</v>
      </c>
    </row>
    <row r="40" spans="2:52" s="5" customFormat="1" x14ac:dyDescent="0.25">
      <c r="B40" s="5" t="s">
        <v>105</v>
      </c>
      <c r="X40" s="6"/>
      <c r="Y40" s="6"/>
      <c r="Z40" s="6"/>
      <c r="AA40" s="6"/>
      <c r="AB40" s="6" t="s">
        <v>95</v>
      </c>
      <c r="AC40" s="6">
        <f>+AC35*AC34</f>
        <v>100</v>
      </c>
      <c r="AD40" s="6">
        <f t="shared" ref="AD40:AZ40" si="52">+AD35*AD34</f>
        <v>206.41200000000001</v>
      </c>
      <c r="AE40" s="6">
        <f t="shared" si="52"/>
        <v>252.97160499999995</v>
      </c>
      <c r="AF40" s="6">
        <f t="shared" si="52"/>
        <v>261.07979847499996</v>
      </c>
      <c r="AG40" s="6">
        <f t="shared" si="52"/>
        <v>269.44680911400002</v>
      </c>
      <c r="AH40" s="6">
        <f t="shared" si="52"/>
        <v>278.08086857271252</v>
      </c>
      <c r="AI40" s="6">
        <f t="shared" si="52"/>
        <v>286.99046947074515</v>
      </c>
      <c r="AJ40" s="6">
        <f t="shared" si="52"/>
        <v>296.18437364094439</v>
      </c>
      <c r="AK40" s="6">
        <f t="shared" si="52"/>
        <v>305.67162063883183</v>
      </c>
      <c r="AL40" s="6">
        <f t="shared" si="52"/>
        <v>315.46153652031563</v>
      </c>
      <c r="AM40" s="6">
        <f t="shared" si="52"/>
        <v>325.56374289611358</v>
      </c>
      <c r="AN40" s="6">
        <f t="shared" si="52"/>
        <v>335.98816627159113</v>
      </c>
      <c r="AO40" s="6">
        <f t="shared" si="52"/>
        <v>346.74504768099081</v>
      </c>
      <c r="AP40" s="6">
        <f t="shared" si="52"/>
        <v>357.84495262531004</v>
      </c>
      <c r="AQ40" s="6">
        <f t="shared" si="52"/>
        <v>369.29878132337552</v>
      </c>
      <c r="AR40" s="6">
        <f t="shared" si="52"/>
        <v>381.11777928596217</v>
      </c>
      <c r="AS40" s="6">
        <f t="shared" si="52"/>
        <v>393.313548223113</v>
      </c>
      <c r="AT40" s="6">
        <f t="shared" si="52"/>
        <v>405.89805729513552</v>
      </c>
      <c r="AU40" s="6">
        <f t="shared" si="52"/>
        <v>418.8836547180785</v>
      </c>
      <c r="AV40" s="6">
        <f t="shared" si="52"/>
        <v>432.28307973483254</v>
      </c>
      <c r="AW40" s="6">
        <f t="shared" si="52"/>
        <v>446.10947496334552</v>
      </c>
      <c r="AX40" s="6">
        <f t="shared" si="52"/>
        <v>460.37639913380792</v>
      </c>
      <c r="AY40" s="6">
        <f t="shared" si="52"/>
        <v>475.09784022703104</v>
      </c>
      <c r="AZ40" s="6">
        <f t="shared" si="52"/>
        <v>490.28822902662716</v>
      </c>
    </row>
    <row r="41" spans="2:52" x14ac:dyDescent="0.25">
      <c r="B41" s="1" t="s">
        <v>106</v>
      </c>
      <c r="X41" s="2"/>
      <c r="Y41" s="2"/>
      <c r="Z41" s="2"/>
      <c r="AA41" s="2"/>
      <c r="AB41" s="2"/>
      <c r="AC41" s="2">
        <f t="shared" ref="AC41:AQ41" si="53">0.1*AC40</f>
        <v>10</v>
      </c>
      <c r="AD41" s="2">
        <f t="shared" ref="AD41:AZ41" si="54">0.1*AD40</f>
        <v>20.641200000000001</v>
      </c>
      <c r="AE41" s="2">
        <f t="shared" si="54"/>
        <v>25.297160499999997</v>
      </c>
      <c r="AF41" s="2">
        <f t="shared" si="54"/>
        <v>26.107979847499998</v>
      </c>
      <c r="AG41" s="2">
        <f t="shared" si="54"/>
        <v>26.944680911400003</v>
      </c>
      <c r="AH41" s="2">
        <f t="shared" si="54"/>
        <v>27.808086857271253</v>
      </c>
      <c r="AI41" s="2">
        <f t="shared" si="54"/>
        <v>28.699046947074518</v>
      </c>
      <c r="AJ41" s="2">
        <f t="shared" si="54"/>
        <v>29.61843736409444</v>
      </c>
      <c r="AK41" s="2">
        <f t="shared" si="54"/>
        <v>30.567162063883185</v>
      </c>
      <c r="AL41" s="2">
        <f t="shared" si="54"/>
        <v>31.546153652031563</v>
      </c>
      <c r="AM41" s="2">
        <f t="shared" si="54"/>
        <v>32.556374289611362</v>
      </c>
      <c r="AN41" s="2">
        <f t="shared" si="54"/>
        <v>33.598816627159117</v>
      </c>
      <c r="AO41" s="2">
        <f t="shared" si="54"/>
        <v>34.674504768099084</v>
      </c>
      <c r="AP41" s="2">
        <f t="shared" si="54"/>
        <v>35.784495262531003</v>
      </c>
      <c r="AQ41" s="2">
        <f t="shared" si="54"/>
        <v>36.929878132337556</v>
      </c>
      <c r="AR41" s="2">
        <f t="shared" si="54"/>
        <v>38.111777928596219</v>
      </c>
      <c r="AS41" s="2">
        <f t="shared" si="54"/>
        <v>39.331354822311305</v>
      </c>
      <c r="AT41" s="2">
        <f t="shared" si="54"/>
        <v>40.589805729513557</v>
      </c>
      <c r="AU41" s="2">
        <f t="shared" si="54"/>
        <v>41.888365471807852</v>
      </c>
      <c r="AV41" s="2">
        <f t="shared" si="54"/>
        <v>43.228307973483254</v>
      </c>
      <c r="AW41" s="2">
        <f t="shared" si="54"/>
        <v>44.610947496334553</v>
      </c>
      <c r="AX41" s="2">
        <f t="shared" si="54"/>
        <v>46.037639913380794</v>
      </c>
      <c r="AY41" s="2">
        <f t="shared" si="54"/>
        <v>47.509784022703109</v>
      </c>
      <c r="AZ41" s="2">
        <f t="shared" si="54"/>
        <v>49.028822902662718</v>
      </c>
    </row>
    <row r="42" spans="2:52" x14ac:dyDescent="0.25">
      <c r="B42" s="1" t="s">
        <v>107</v>
      </c>
      <c r="X42" s="2"/>
      <c r="Y42" s="2"/>
      <c r="Z42" s="2"/>
      <c r="AA42" s="2"/>
      <c r="AB42" s="2"/>
      <c r="AC42" s="2">
        <f t="shared" ref="AC42:AZ42" si="55">+AC40-AC41</f>
        <v>90</v>
      </c>
      <c r="AD42" s="2">
        <f t="shared" si="55"/>
        <v>185.77080000000001</v>
      </c>
      <c r="AE42" s="2">
        <f t="shared" si="55"/>
        <v>227.67444449999996</v>
      </c>
      <c r="AF42" s="2">
        <f t="shared" si="55"/>
        <v>234.97181862749997</v>
      </c>
      <c r="AG42" s="2">
        <f t="shared" si="55"/>
        <v>242.50212820260001</v>
      </c>
      <c r="AH42" s="2">
        <f t="shared" si="55"/>
        <v>250.27278171544125</v>
      </c>
      <c r="AI42" s="2">
        <f t="shared" si="55"/>
        <v>258.29142252367063</v>
      </c>
      <c r="AJ42" s="2">
        <f t="shared" si="55"/>
        <v>266.56593627684992</v>
      </c>
      <c r="AK42" s="2">
        <f t="shared" si="55"/>
        <v>275.10445857494864</v>
      </c>
      <c r="AL42" s="2">
        <f t="shared" si="55"/>
        <v>283.91538286828404</v>
      </c>
      <c r="AM42" s="2">
        <f t="shared" si="55"/>
        <v>293.00736860650221</v>
      </c>
      <c r="AN42" s="2">
        <f t="shared" si="55"/>
        <v>302.389349644432</v>
      </c>
      <c r="AO42" s="2">
        <f t="shared" si="55"/>
        <v>312.07054291289171</v>
      </c>
      <c r="AP42" s="2">
        <f t="shared" si="55"/>
        <v>322.06045736277906</v>
      </c>
      <c r="AQ42" s="2">
        <f t="shared" si="55"/>
        <v>332.36890319103799</v>
      </c>
      <c r="AR42" s="2">
        <f t="shared" si="55"/>
        <v>343.00600135736596</v>
      </c>
      <c r="AS42" s="2">
        <f t="shared" si="55"/>
        <v>353.98219340080169</v>
      </c>
      <c r="AT42" s="2">
        <f t="shared" si="55"/>
        <v>365.30825156562196</v>
      </c>
      <c r="AU42" s="2">
        <f t="shared" si="55"/>
        <v>376.99528924627066</v>
      </c>
      <c r="AV42" s="2">
        <f t="shared" si="55"/>
        <v>389.05477176134929</v>
      </c>
      <c r="AW42" s="2">
        <f t="shared" si="55"/>
        <v>401.49852746701094</v>
      </c>
      <c r="AX42" s="2">
        <f t="shared" si="55"/>
        <v>414.33875922042711</v>
      </c>
      <c r="AY42" s="2">
        <f t="shared" si="55"/>
        <v>427.58805620432793</v>
      </c>
      <c r="AZ42" s="2">
        <f t="shared" si="55"/>
        <v>441.25940612396442</v>
      </c>
    </row>
    <row r="43" spans="2:52" s="2" customFormat="1" x14ac:dyDescent="0.25">
      <c r="B43" s="2" t="s">
        <v>108</v>
      </c>
      <c r="AC43" s="2">
        <v>50</v>
      </c>
      <c r="AD43" s="2">
        <v>75</v>
      </c>
      <c r="AE43" s="2">
        <v>100</v>
      </c>
      <c r="AF43" s="2">
        <f>+AE43*1.03</f>
        <v>103</v>
      </c>
      <c r="AG43" s="2">
        <f t="shared" ref="AG43:AZ43" si="56">+AF43*1.03</f>
        <v>106.09</v>
      </c>
      <c r="AH43" s="2">
        <f t="shared" si="56"/>
        <v>109.2727</v>
      </c>
      <c r="AI43" s="2">
        <f t="shared" si="56"/>
        <v>112.550881</v>
      </c>
      <c r="AJ43" s="2">
        <f t="shared" si="56"/>
        <v>115.92740743</v>
      </c>
      <c r="AK43" s="2">
        <f t="shared" si="56"/>
        <v>119.4052296529</v>
      </c>
      <c r="AL43" s="2">
        <f t="shared" si="56"/>
        <v>122.987386542487</v>
      </c>
      <c r="AM43" s="2">
        <f t="shared" si="56"/>
        <v>126.67700813876162</v>
      </c>
      <c r="AN43" s="2">
        <f t="shared" si="56"/>
        <v>130.47731838292447</v>
      </c>
      <c r="AO43" s="2">
        <f t="shared" si="56"/>
        <v>134.39163793441222</v>
      </c>
      <c r="AP43" s="2">
        <f t="shared" si="56"/>
        <v>138.4233870724446</v>
      </c>
      <c r="AQ43" s="2">
        <f t="shared" si="56"/>
        <v>142.57608868461793</v>
      </c>
      <c r="AR43" s="2">
        <f t="shared" si="56"/>
        <v>146.85337134515646</v>
      </c>
      <c r="AS43" s="2">
        <f t="shared" si="56"/>
        <v>151.25897248551115</v>
      </c>
      <c r="AT43" s="2">
        <f t="shared" si="56"/>
        <v>155.79674166007649</v>
      </c>
      <c r="AU43" s="2">
        <f t="shared" si="56"/>
        <v>160.47064390987879</v>
      </c>
      <c r="AV43" s="2">
        <f t="shared" si="56"/>
        <v>165.28476322717515</v>
      </c>
      <c r="AW43" s="2">
        <f t="shared" si="56"/>
        <v>170.24330612399041</v>
      </c>
      <c r="AX43" s="2">
        <f t="shared" si="56"/>
        <v>175.35060530771011</v>
      </c>
      <c r="AY43" s="2">
        <f t="shared" si="56"/>
        <v>180.61112346694142</v>
      </c>
      <c r="AZ43" s="2">
        <f t="shared" si="56"/>
        <v>186.02945717094966</v>
      </c>
    </row>
    <row r="44" spans="2:52" x14ac:dyDescent="0.25">
      <c r="B44" s="1" t="s">
        <v>109</v>
      </c>
      <c r="X44" s="2"/>
      <c r="Y44" s="2"/>
      <c r="Z44" s="2"/>
      <c r="AA44" s="2"/>
      <c r="AB44" s="2"/>
      <c r="AC44" s="2">
        <f t="shared" ref="AC44:AZ44" si="57">+AC42-AC43</f>
        <v>40</v>
      </c>
      <c r="AD44" s="2">
        <f t="shared" si="57"/>
        <v>110.77080000000001</v>
      </c>
      <c r="AE44" s="2">
        <f t="shared" si="57"/>
        <v>127.67444449999996</v>
      </c>
      <c r="AF44" s="2">
        <f t="shared" si="57"/>
        <v>131.97181862749997</v>
      </c>
      <c r="AG44" s="2">
        <f t="shared" si="57"/>
        <v>136.4121282026</v>
      </c>
      <c r="AH44" s="2">
        <f t="shared" si="57"/>
        <v>141.00008171544124</v>
      </c>
      <c r="AI44" s="2">
        <f t="shared" si="57"/>
        <v>145.74054152367063</v>
      </c>
      <c r="AJ44" s="2">
        <f t="shared" si="57"/>
        <v>150.63852884684991</v>
      </c>
      <c r="AK44" s="2">
        <f t="shared" si="57"/>
        <v>155.69922892204863</v>
      </c>
      <c r="AL44" s="2">
        <f t="shared" si="57"/>
        <v>160.92799632579704</v>
      </c>
      <c r="AM44" s="2">
        <f t="shared" si="57"/>
        <v>166.3303604677406</v>
      </c>
      <c r="AN44" s="2">
        <f t="shared" si="57"/>
        <v>171.91203126150754</v>
      </c>
      <c r="AO44" s="2">
        <f t="shared" si="57"/>
        <v>177.67890497847949</v>
      </c>
      <c r="AP44" s="2">
        <f t="shared" si="57"/>
        <v>183.63707029033446</v>
      </c>
      <c r="AQ44" s="2">
        <f t="shared" si="57"/>
        <v>189.79281450642006</v>
      </c>
      <c r="AR44" s="2">
        <f t="shared" si="57"/>
        <v>196.1526300122095</v>
      </c>
      <c r="AS44" s="2">
        <f t="shared" si="57"/>
        <v>202.72322091529054</v>
      </c>
      <c r="AT44" s="2">
        <f t="shared" si="57"/>
        <v>209.51150990554547</v>
      </c>
      <c r="AU44" s="2">
        <f t="shared" si="57"/>
        <v>216.52464533639187</v>
      </c>
      <c r="AV44" s="2">
        <f t="shared" si="57"/>
        <v>223.77000853417414</v>
      </c>
      <c r="AW44" s="2">
        <f t="shared" si="57"/>
        <v>231.25522134302054</v>
      </c>
      <c r="AX44" s="2">
        <f t="shared" si="57"/>
        <v>238.988153912717</v>
      </c>
      <c r="AY44" s="2">
        <f t="shared" si="57"/>
        <v>246.97693273738651</v>
      </c>
      <c r="AZ44" s="2">
        <f t="shared" si="57"/>
        <v>255.22994895301477</v>
      </c>
    </row>
    <row r="45" spans="2:52" x14ac:dyDescent="0.25">
      <c r="B45" s="1" t="s">
        <v>110</v>
      </c>
      <c r="AC45" s="2">
        <f>+AC44*0.2</f>
        <v>8</v>
      </c>
      <c r="AD45" s="2">
        <f t="shared" ref="AD45:AZ45" si="58">+AD44*0.2</f>
        <v>22.154160000000005</v>
      </c>
      <c r="AE45" s="2">
        <f t="shared" si="58"/>
        <v>25.534888899999995</v>
      </c>
      <c r="AF45" s="2">
        <f t="shared" si="58"/>
        <v>26.394363725499996</v>
      </c>
      <c r="AG45" s="2">
        <f t="shared" si="58"/>
        <v>27.282425640520003</v>
      </c>
      <c r="AH45" s="2">
        <f t="shared" si="58"/>
        <v>28.200016343088251</v>
      </c>
      <c r="AI45" s="2">
        <f t="shared" si="58"/>
        <v>29.148108304734127</v>
      </c>
      <c r="AJ45" s="2">
        <f t="shared" si="58"/>
        <v>30.127705769369982</v>
      </c>
      <c r="AK45" s="2">
        <f t="shared" si="58"/>
        <v>31.139845784409729</v>
      </c>
      <c r="AL45" s="2">
        <f t="shared" si="58"/>
        <v>32.185599265159411</v>
      </c>
      <c r="AM45" s="2">
        <f t="shared" si="58"/>
        <v>33.266072093548125</v>
      </c>
      <c r="AN45" s="2">
        <f t="shared" si="58"/>
        <v>34.382406252301507</v>
      </c>
      <c r="AO45" s="2">
        <f t="shared" si="58"/>
        <v>35.535780995695902</v>
      </c>
      <c r="AP45" s="2">
        <f t="shared" si="58"/>
        <v>36.727414058066891</v>
      </c>
      <c r="AQ45" s="2">
        <f t="shared" si="58"/>
        <v>37.958562901284012</v>
      </c>
      <c r="AR45" s="2">
        <f t="shared" si="58"/>
        <v>39.230526002441906</v>
      </c>
      <c r="AS45" s="2">
        <f t="shared" si="58"/>
        <v>40.544644183058111</v>
      </c>
      <c r="AT45" s="2">
        <f t="shared" si="58"/>
        <v>41.902301981109098</v>
      </c>
      <c r="AU45" s="2">
        <f t="shared" si="58"/>
        <v>43.30492906727838</v>
      </c>
      <c r="AV45" s="2">
        <f t="shared" si="58"/>
        <v>44.754001706834828</v>
      </c>
      <c r="AW45" s="2">
        <f t="shared" si="58"/>
        <v>46.251044268604112</v>
      </c>
      <c r="AX45" s="2">
        <f t="shared" si="58"/>
        <v>47.797630782543401</v>
      </c>
      <c r="AY45" s="2">
        <f t="shared" si="58"/>
        <v>49.395386547477301</v>
      </c>
      <c r="AZ45" s="2">
        <f t="shared" si="58"/>
        <v>51.04598979060296</v>
      </c>
    </row>
    <row r="46" spans="2:52" x14ac:dyDescent="0.25">
      <c r="B46" s="1" t="s">
        <v>111</v>
      </c>
      <c r="Y46" s="1">
        <v>0</v>
      </c>
      <c r="Z46" s="1">
        <v>0</v>
      </c>
      <c r="AA46" s="1">
        <v>0</v>
      </c>
      <c r="AB46" s="1">
        <v>0</v>
      </c>
      <c r="AC46" s="2">
        <f>+AC44-AC45</f>
        <v>32</v>
      </c>
      <c r="AD46" s="2">
        <f t="shared" ref="AD46:AZ46" si="59">+AD44-AD45</f>
        <v>88.616640000000004</v>
      </c>
      <c r="AE46" s="2">
        <f t="shared" si="59"/>
        <v>102.13955559999997</v>
      </c>
      <c r="AF46" s="2">
        <f t="shared" si="59"/>
        <v>105.57745490199997</v>
      </c>
      <c r="AG46" s="2">
        <f t="shared" si="59"/>
        <v>109.12970256208</v>
      </c>
      <c r="AH46" s="2">
        <f t="shared" si="59"/>
        <v>112.80006537235299</v>
      </c>
      <c r="AI46" s="2">
        <f t="shared" si="59"/>
        <v>116.59243321893651</v>
      </c>
      <c r="AJ46" s="2">
        <f t="shared" si="59"/>
        <v>120.51082307747993</v>
      </c>
      <c r="AK46" s="2">
        <f t="shared" si="59"/>
        <v>124.5593831376389</v>
      </c>
      <c r="AL46" s="2">
        <f t="shared" si="59"/>
        <v>128.74239706063764</v>
      </c>
      <c r="AM46" s="2">
        <f t="shared" si="59"/>
        <v>133.06428837419247</v>
      </c>
      <c r="AN46" s="2">
        <f t="shared" si="59"/>
        <v>137.52962500920603</v>
      </c>
      <c r="AO46" s="2">
        <f t="shared" si="59"/>
        <v>142.14312398278361</v>
      </c>
      <c r="AP46" s="2">
        <f t="shared" si="59"/>
        <v>146.90965623226757</v>
      </c>
      <c r="AQ46" s="2">
        <f t="shared" si="59"/>
        <v>151.83425160513605</v>
      </c>
      <c r="AR46" s="2">
        <f t="shared" si="59"/>
        <v>156.92210400976759</v>
      </c>
      <c r="AS46" s="2">
        <f t="shared" si="59"/>
        <v>162.17857673223244</v>
      </c>
      <c r="AT46" s="2">
        <f t="shared" si="59"/>
        <v>167.60920792443636</v>
      </c>
      <c r="AU46" s="2">
        <f t="shared" si="59"/>
        <v>173.21971626911349</v>
      </c>
      <c r="AV46" s="2">
        <f t="shared" si="59"/>
        <v>179.01600682733931</v>
      </c>
      <c r="AW46" s="2">
        <f t="shared" si="59"/>
        <v>185.00417707441642</v>
      </c>
      <c r="AX46" s="2">
        <f t="shared" si="59"/>
        <v>191.1905231301736</v>
      </c>
      <c r="AY46" s="2">
        <f t="shared" si="59"/>
        <v>197.5815461899092</v>
      </c>
      <c r="AZ46" s="2">
        <f t="shared" si="59"/>
        <v>204.18395916241181</v>
      </c>
    </row>
    <row r="49" spans="2:52" x14ac:dyDescent="0.25">
      <c r="B49" s="1" t="s">
        <v>195</v>
      </c>
      <c r="AC49" s="22">
        <f>+AC46/AC40</f>
        <v>0.32</v>
      </c>
      <c r="AD49" s="22">
        <f t="shared" ref="AD49:AZ49" si="60">+AD46/AD40</f>
        <v>0.42931922562641706</v>
      </c>
      <c r="AE49" s="22">
        <f t="shared" si="60"/>
        <v>0.40375897366030461</v>
      </c>
      <c r="AF49" s="22">
        <f t="shared" si="60"/>
        <v>0.40438768345422055</v>
      </c>
      <c r="AG49" s="22">
        <f t="shared" si="60"/>
        <v>0.40501389836800183</v>
      </c>
      <c r="AH49" s="22">
        <f t="shared" si="60"/>
        <v>0.40563763322271867</v>
      </c>
      <c r="AI49" s="22">
        <f t="shared" si="60"/>
        <v>0.40625890272227855</v>
      </c>
      <c r="AJ49" s="22">
        <f t="shared" si="60"/>
        <v>0.40687772145458173</v>
      </c>
      <c r="AK49" s="22">
        <f t="shared" si="60"/>
        <v>0.40749410389266333</v>
      </c>
      <c r="AL49" s="22">
        <f t="shared" si="60"/>
        <v>0.40810806439582109</v>
      </c>
      <c r="AM49" s="22">
        <f t="shared" si="60"/>
        <v>0.40871961721073125</v>
      </c>
      <c r="AN49" s="22">
        <f t="shared" si="60"/>
        <v>0.40932877647254984</v>
      </c>
      <c r="AO49" s="22">
        <f t="shared" si="60"/>
        <v>0.40993555620600186</v>
      </c>
      <c r="AP49" s="22">
        <f t="shared" si="60"/>
        <v>0.41053997032645806</v>
      </c>
      <c r="AQ49" s="22">
        <f t="shared" si="60"/>
        <v>0.41114203264099802</v>
      </c>
      <c r="AR49" s="22">
        <f t="shared" si="60"/>
        <v>0.41174175684946207</v>
      </c>
      <c r="AS49" s="22">
        <f t="shared" si="60"/>
        <v>0.4123391565454903</v>
      </c>
      <c r="AT49" s="22">
        <f t="shared" si="60"/>
        <v>0.41293424521754929</v>
      </c>
      <c r="AU49" s="22">
        <f t="shared" si="60"/>
        <v>0.41352703624994785</v>
      </c>
      <c r="AV49" s="22">
        <f t="shared" si="60"/>
        <v>0.41411754292384012</v>
      </c>
      <c r="AW49" s="22">
        <f t="shared" si="60"/>
        <v>0.41470577841821726</v>
      </c>
      <c r="AX49" s="22">
        <f t="shared" si="60"/>
        <v>0.41529175581088873</v>
      </c>
      <c r="AY49" s="22">
        <f t="shared" si="60"/>
        <v>0.41587548807945024</v>
      </c>
      <c r="AZ49" s="22">
        <f t="shared" si="60"/>
        <v>0.41645698810224291</v>
      </c>
    </row>
    <row r="53" spans="2:52" x14ac:dyDescent="0.25">
      <c r="AF53" s="1" t="s">
        <v>191</v>
      </c>
      <c r="AG53" s="22" t="s">
        <v>95</v>
      </c>
    </row>
    <row r="54" spans="2:52" x14ac:dyDescent="0.25">
      <c r="AF54" s="1" t="s">
        <v>192</v>
      </c>
      <c r="AG54" s="22">
        <v>0.1</v>
      </c>
    </row>
    <row r="55" spans="2:52" x14ac:dyDescent="0.25">
      <c r="AF55" s="1" t="s">
        <v>193</v>
      </c>
      <c r="AG55" s="24">
        <f>+NPV(AG54,Y46:AW46)+Main!M10</f>
        <v>726.23627049409833</v>
      </c>
    </row>
    <row r="56" spans="2:52" x14ac:dyDescent="0.25">
      <c r="AF56" s="1" t="s">
        <v>112</v>
      </c>
      <c r="AG56" s="23">
        <v>4</v>
      </c>
    </row>
    <row r="57" spans="2:52" x14ac:dyDescent="0.25">
      <c r="AF57" s="1" t="s">
        <v>194</v>
      </c>
      <c r="AG57" s="23">
        <f>+AG55/AG56</f>
        <v>181.55906762352458</v>
      </c>
    </row>
    <row r="58" spans="2:52" x14ac:dyDescent="0.25">
      <c r="AG58" s="1">
        <v>51</v>
      </c>
    </row>
    <row r="59" spans="2:52" x14ac:dyDescent="0.25">
      <c r="AG59" s="22">
        <f>+AG57/AG58-1</f>
        <v>2.5599817181083253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63057-3870-4DFD-8E06-88FDDED23778}">
  <dimension ref="A1:BQ98"/>
  <sheetViews>
    <sheetView showGridLines="0" zoomScale="115" zoomScaleNormal="115" workbookViewId="0">
      <pane xSplit="2" ySplit="2" topLeftCell="AE3" activePane="bottomRight" state="frozen"/>
      <selection activeCell="O10" sqref="O10"/>
      <selection pane="topRight" activeCell="O10" sqref="O10"/>
      <selection pane="bottomLeft" activeCell="O10" sqref="O10"/>
      <selection pane="bottomRight" activeCell="AH11" sqref="AH11"/>
    </sheetView>
  </sheetViews>
  <sheetFormatPr defaultColWidth="8.88671875" defaultRowHeight="13.2" x14ac:dyDescent="0.25"/>
  <cols>
    <col min="1" max="1" width="4.88671875" style="1" bestFit="1" customWidth="1"/>
    <col min="2" max="2" width="20.6640625" style="1" customWidth="1"/>
    <col min="3" max="16384" width="8.88671875" style="1"/>
  </cols>
  <sheetData>
    <row r="1" spans="1:69" x14ac:dyDescent="0.25">
      <c r="A1" s="3" t="s">
        <v>15</v>
      </c>
    </row>
    <row r="2" spans="1:69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94</v>
      </c>
      <c r="R2" s="1" t="s">
        <v>149</v>
      </c>
      <c r="S2" s="1" t="s">
        <v>179</v>
      </c>
      <c r="T2" s="1" t="s">
        <v>189</v>
      </c>
      <c r="U2" s="1" t="s">
        <v>190</v>
      </c>
      <c r="Y2" s="1">
        <v>2018</v>
      </c>
      <c r="Z2" s="1">
        <f>Y2+1</f>
        <v>2019</v>
      </c>
      <c r="AA2" s="1">
        <f t="shared" ref="AA2:AI2" si="0">Z2+1</f>
        <v>2020</v>
      </c>
      <c r="AB2" s="1">
        <f t="shared" si="0"/>
        <v>2021</v>
      </c>
      <c r="AC2" s="1">
        <f t="shared" si="0"/>
        <v>2022</v>
      </c>
      <c r="AD2" s="1">
        <f t="shared" si="0"/>
        <v>2023</v>
      </c>
      <c r="AE2" s="1">
        <f t="shared" si="0"/>
        <v>2024</v>
      </c>
      <c r="AF2" s="1">
        <f t="shared" si="0"/>
        <v>2025</v>
      </c>
      <c r="AG2" s="1">
        <f t="shared" si="0"/>
        <v>2026</v>
      </c>
      <c r="AH2" s="1">
        <f t="shared" si="0"/>
        <v>2027</v>
      </c>
      <c r="AI2" s="1">
        <f t="shared" si="0"/>
        <v>2028</v>
      </c>
      <c r="AJ2" s="1">
        <f t="shared" ref="AJ2" si="1">AI2+1</f>
        <v>2029</v>
      </c>
      <c r="AK2" s="1">
        <f t="shared" ref="AK2" si="2">AJ2+1</f>
        <v>2030</v>
      </c>
      <c r="AL2" s="1">
        <f t="shared" ref="AL2" si="3">AK2+1</f>
        <v>2031</v>
      </c>
      <c r="AM2" s="1">
        <f t="shared" ref="AM2" si="4">AL2+1</f>
        <v>2032</v>
      </c>
      <c r="AN2" s="1">
        <f t="shared" ref="AN2" si="5">AM2+1</f>
        <v>2033</v>
      </c>
      <c r="AO2" s="1">
        <f t="shared" ref="AO2" si="6">AN2+1</f>
        <v>2034</v>
      </c>
      <c r="AP2" s="1">
        <f t="shared" ref="AP2" si="7">AO2+1</f>
        <v>2035</v>
      </c>
      <c r="AQ2" s="1">
        <f t="shared" ref="AQ2" si="8">AP2+1</f>
        <v>2036</v>
      </c>
      <c r="AR2" s="1">
        <f t="shared" ref="AR2" si="9">AQ2+1</f>
        <v>2037</v>
      </c>
      <c r="AS2" s="1">
        <f t="shared" ref="AS2" si="10">AR2+1</f>
        <v>2038</v>
      </c>
    </row>
    <row r="3" spans="1:69" x14ac:dyDescent="0.25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x14ac:dyDescent="0.25">
      <c r="B4" s="2">
        <v>2000000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x14ac:dyDescent="0.25">
      <c r="B5" s="1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x14ac:dyDescent="0.25">
      <c r="B7" s="1" t="s">
        <v>28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H7" s="2">
        <v>340</v>
      </c>
      <c r="AI7" s="2">
        <f t="shared" ref="AI7:AT7" si="11">+AH7*1.01</f>
        <v>343.4</v>
      </c>
      <c r="AJ7" s="2">
        <f t="shared" si="11"/>
        <v>346.834</v>
      </c>
      <c r="AK7" s="2">
        <f t="shared" si="11"/>
        <v>350.30234000000002</v>
      </c>
      <c r="AL7" s="2">
        <f t="shared" si="11"/>
        <v>353.80536340000003</v>
      </c>
      <c r="AM7" s="2">
        <f t="shared" si="11"/>
        <v>357.34341703400003</v>
      </c>
      <c r="AN7" s="2">
        <f t="shared" si="11"/>
        <v>360.91685120434005</v>
      </c>
      <c r="AO7" s="2">
        <f t="shared" si="11"/>
        <v>364.52601971638347</v>
      </c>
      <c r="AP7" s="2">
        <f t="shared" si="11"/>
        <v>368.17127991354732</v>
      </c>
      <c r="AQ7" s="2">
        <f t="shared" si="11"/>
        <v>371.85299271268281</v>
      </c>
      <c r="AR7" s="2">
        <f t="shared" si="11"/>
        <v>375.57152263980964</v>
      </c>
      <c r="AS7" s="2">
        <f t="shared" si="11"/>
        <v>379.32723786620772</v>
      </c>
      <c r="AT7" s="2">
        <f t="shared" si="11"/>
        <v>383.12051024486982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x14ac:dyDescent="0.25">
      <c r="B8" s="1" t="s">
        <v>29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H8" s="2">
        <v>124</v>
      </c>
      <c r="AI8" s="2">
        <f>+AH8*0.98</f>
        <v>121.52</v>
      </c>
      <c r="AJ8" s="2">
        <f t="shared" ref="AJ8:AT8" si="12">+AI8*0.98</f>
        <v>119.08959999999999</v>
      </c>
      <c r="AK8" s="2">
        <f t="shared" si="12"/>
        <v>116.70780799999999</v>
      </c>
      <c r="AL8" s="2">
        <f t="shared" si="12"/>
        <v>114.37365183999998</v>
      </c>
      <c r="AM8" s="2">
        <f t="shared" si="12"/>
        <v>112.08617880319997</v>
      </c>
      <c r="AN8" s="2">
        <f t="shared" si="12"/>
        <v>109.84445522713597</v>
      </c>
      <c r="AO8" s="2">
        <f t="shared" si="12"/>
        <v>107.64756612259325</v>
      </c>
      <c r="AP8" s="2">
        <f t="shared" si="12"/>
        <v>105.49461480014138</v>
      </c>
      <c r="AQ8" s="2">
        <f t="shared" si="12"/>
        <v>103.38472250413855</v>
      </c>
      <c r="AR8" s="2">
        <f t="shared" si="12"/>
        <v>101.31702805405578</v>
      </c>
      <c r="AS8" s="2">
        <f t="shared" si="12"/>
        <v>99.290687492974669</v>
      </c>
      <c r="AT8" s="2">
        <f t="shared" si="12"/>
        <v>97.304873743115181</v>
      </c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x14ac:dyDescent="0.25">
      <c r="B9" s="1" t="s">
        <v>30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H9" s="2">
        <v>744.20799999999997</v>
      </c>
      <c r="AI9" s="2">
        <f>+AH9*0.99</f>
        <v>736.76591999999994</v>
      </c>
      <c r="AJ9" s="2">
        <f t="shared" ref="AJ9:AT9" si="13">+AI9*0.99</f>
        <v>729.39826079999989</v>
      </c>
      <c r="AK9" s="2">
        <f t="shared" si="13"/>
        <v>722.10427819199992</v>
      </c>
      <c r="AL9" s="2">
        <f t="shared" si="13"/>
        <v>714.88323541007992</v>
      </c>
      <c r="AM9" s="2">
        <f t="shared" si="13"/>
        <v>707.7344030559791</v>
      </c>
      <c r="AN9" s="2">
        <f t="shared" si="13"/>
        <v>700.65705902541936</v>
      </c>
      <c r="AO9" s="2">
        <f t="shared" si="13"/>
        <v>693.65048843516513</v>
      </c>
      <c r="AP9" s="2">
        <f t="shared" si="13"/>
        <v>686.71398355081351</v>
      </c>
      <c r="AQ9" s="2">
        <f t="shared" si="13"/>
        <v>679.84684371530534</v>
      </c>
      <c r="AR9" s="2">
        <f t="shared" si="13"/>
        <v>673.04837527815232</v>
      </c>
      <c r="AS9" s="2">
        <f t="shared" si="13"/>
        <v>666.31789152537078</v>
      </c>
      <c r="AT9" s="2">
        <f t="shared" si="13"/>
        <v>659.65471261011703</v>
      </c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x14ac:dyDescent="0.25">
      <c r="B10" s="1" t="s">
        <v>31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H10" s="2">
        <v>212</v>
      </c>
      <c r="AI10" s="2">
        <f>+AH10*1.02</f>
        <v>216.24</v>
      </c>
      <c r="AJ10" s="2">
        <f t="shared" ref="AJ10:AT10" si="14">+AI10*1.02</f>
        <v>220.56480000000002</v>
      </c>
      <c r="AK10" s="2">
        <f t="shared" si="14"/>
        <v>224.97609600000001</v>
      </c>
      <c r="AL10" s="2">
        <f t="shared" si="14"/>
        <v>229.47561792000002</v>
      </c>
      <c r="AM10" s="2">
        <f t="shared" si="14"/>
        <v>234.06513027840003</v>
      </c>
      <c r="AN10" s="2">
        <f t="shared" si="14"/>
        <v>238.74643288396803</v>
      </c>
      <c r="AO10" s="2">
        <f t="shared" si="14"/>
        <v>243.52136154164739</v>
      </c>
      <c r="AP10" s="2">
        <f t="shared" si="14"/>
        <v>248.39178877248034</v>
      </c>
      <c r="AQ10" s="2">
        <f t="shared" si="14"/>
        <v>253.35962454792994</v>
      </c>
      <c r="AR10" s="2">
        <f t="shared" si="14"/>
        <v>258.42681703888854</v>
      </c>
      <c r="AS10" s="2">
        <f t="shared" si="14"/>
        <v>263.59535337966634</v>
      </c>
      <c r="AT10" s="2">
        <f t="shared" si="14"/>
        <v>268.86726044725964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x14ac:dyDescent="0.25">
      <c r="B11" s="1" t="s">
        <v>32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H11" s="2">
        <f>+SUM(AH7:AH10)</f>
        <v>1420.2080000000001</v>
      </c>
      <c r="AI11" s="2">
        <f t="shared" ref="AI11:AT11" si="15">+SUM(AI7:AI10)</f>
        <v>1417.9259199999999</v>
      </c>
      <c r="AJ11" s="2">
        <f t="shared" si="15"/>
        <v>1415.8866607999998</v>
      </c>
      <c r="AK11" s="2">
        <f t="shared" si="15"/>
        <v>1414.090522192</v>
      </c>
      <c r="AL11" s="2">
        <f t="shared" si="15"/>
        <v>1412.53786857008</v>
      </c>
      <c r="AM11" s="2">
        <f t="shared" si="15"/>
        <v>1411.2291291715792</v>
      </c>
      <c r="AN11" s="2">
        <f t="shared" si="15"/>
        <v>1410.1647983408634</v>
      </c>
      <c r="AO11" s="2">
        <f t="shared" si="15"/>
        <v>1409.3454358157892</v>
      </c>
      <c r="AP11" s="2">
        <f t="shared" si="15"/>
        <v>1408.7716670369825</v>
      </c>
      <c r="AQ11" s="2">
        <f t="shared" si="15"/>
        <v>1408.4441834800566</v>
      </c>
      <c r="AR11" s="2">
        <f t="shared" si="15"/>
        <v>1408.3637430109065</v>
      </c>
      <c r="AS11" s="2">
        <f t="shared" si="15"/>
        <v>1408.5311702642193</v>
      </c>
      <c r="AT11" s="2">
        <f t="shared" si="15"/>
        <v>1408.9473570453617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x14ac:dyDescent="0.25">
      <c r="B13" s="1" t="s">
        <v>33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H13" s="2">
        <f>+AH7*1000000/$B$4</f>
        <v>170</v>
      </c>
      <c r="AI13" s="2">
        <f t="shared" ref="AI13:AT13" si="16">+AI7*1000000/$B$4</f>
        <v>171.7</v>
      </c>
      <c r="AJ13" s="2">
        <f t="shared" si="16"/>
        <v>173.417</v>
      </c>
      <c r="AK13" s="2">
        <f t="shared" si="16"/>
        <v>175.15117000000001</v>
      </c>
      <c r="AL13" s="2">
        <f t="shared" si="16"/>
        <v>176.90268170000002</v>
      </c>
      <c r="AM13" s="2">
        <f t="shared" si="16"/>
        <v>178.67170851700001</v>
      </c>
      <c r="AN13" s="2">
        <f t="shared" si="16"/>
        <v>180.45842560217002</v>
      </c>
      <c r="AO13" s="2">
        <f t="shared" si="16"/>
        <v>182.26300985819174</v>
      </c>
      <c r="AP13" s="2">
        <f t="shared" si="16"/>
        <v>184.08563995677366</v>
      </c>
      <c r="AQ13" s="2">
        <f t="shared" si="16"/>
        <v>185.9264963563414</v>
      </c>
      <c r="AR13" s="2">
        <f t="shared" si="16"/>
        <v>187.78576131990482</v>
      </c>
      <c r="AS13" s="2">
        <f t="shared" si="16"/>
        <v>189.66361893310386</v>
      </c>
      <c r="AT13" s="2">
        <f t="shared" si="16"/>
        <v>191.56025512243491</v>
      </c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x14ac:dyDescent="0.25">
      <c r="B14" s="1" t="s">
        <v>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H14" s="2">
        <f t="shared" ref="AH14:AT16" si="17">+AH8*1000000/$B$4</f>
        <v>62</v>
      </c>
      <c r="AI14" s="2">
        <f t="shared" si="17"/>
        <v>60.76</v>
      </c>
      <c r="AJ14" s="2">
        <f t="shared" si="17"/>
        <v>59.544799999999995</v>
      </c>
      <c r="AK14" s="2">
        <f t="shared" si="17"/>
        <v>58.353903999999993</v>
      </c>
      <c r="AL14" s="2">
        <f t="shared" si="17"/>
        <v>57.18682591999999</v>
      </c>
      <c r="AM14" s="2">
        <f t="shared" si="17"/>
        <v>56.043089401599985</v>
      </c>
      <c r="AN14" s="2">
        <f t="shared" si="17"/>
        <v>54.922227613567983</v>
      </c>
      <c r="AO14" s="2">
        <f t="shared" si="17"/>
        <v>53.823783061296623</v>
      </c>
      <c r="AP14" s="2">
        <f t="shared" si="17"/>
        <v>52.747307400070689</v>
      </c>
      <c r="AQ14" s="2">
        <f t="shared" si="17"/>
        <v>51.692361252069269</v>
      </c>
      <c r="AR14" s="2">
        <f t="shared" si="17"/>
        <v>50.658514027027891</v>
      </c>
      <c r="AS14" s="2">
        <f t="shared" si="17"/>
        <v>49.645343746487335</v>
      </c>
      <c r="AT14" s="2">
        <f t="shared" si="17"/>
        <v>48.65243687155759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x14ac:dyDescent="0.25">
      <c r="B15" s="1" t="s">
        <v>36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H15" s="2">
        <f t="shared" si="17"/>
        <v>372.10399999999998</v>
      </c>
      <c r="AI15" s="2">
        <f t="shared" si="17"/>
        <v>368.38295999999997</v>
      </c>
      <c r="AJ15" s="2">
        <f t="shared" si="17"/>
        <v>364.69913039999994</v>
      </c>
      <c r="AK15" s="2">
        <f t="shared" si="17"/>
        <v>361.05213909599996</v>
      </c>
      <c r="AL15" s="2">
        <f t="shared" si="17"/>
        <v>357.44161770503996</v>
      </c>
      <c r="AM15" s="2">
        <f t="shared" si="17"/>
        <v>353.86720152798955</v>
      </c>
      <c r="AN15" s="2">
        <f t="shared" si="17"/>
        <v>350.32852951270968</v>
      </c>
      <c r="AO15" s="2">
        <f t="shared" si="17"/>
        <v>346.82524421758256</v>
      </c>
      <c r="AP15" s="2">
        <f t="shared" si="17"/>
        <v>343.35699177540675</v>
      </c>
      <c r="AQ15" s="2">
        <f t="shared" si="17"/>
        <v>339.92342185765267</v>
      </c>
      <c r="AR15" s="2">
        <f t="shared" si="17"/>
        <v>336.52418763907616</v>
      </c>
      <c r="AS15" s="2">
        <f t="shared" si="17"/>
        <v>333.15894576268539</v>
      </c>
      <c r="AT15" s="2">
        <f t="shared" si="17"/>
        <v>329.82735630505852</v>
      </c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x14ac:dyDescent="0.25">
      <c r="B16" s="1" t="s">
        <v>37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H16" s="2">
        <f t="shared" si="17"/>
        <v>106</v>
      </c>
      <c r="AI16" s="2">
        <f t="shared" si="17"/>
        <v>108.12</v>
      </c>
      <c r="AJ16" s="2">
        <f t="shared" si="17"/>
        <v>110.28240000000001</v>
      </c>
      <c r="AK16" s="2">
        <f t="shared" si="17"/>
        <v>112.48804800000001</v>
      </c>
      <c r="AL16" s="2">
        <f t="shared" si="17"/>
        <v>114.73780896000001</v>
      </c>
      <c r="AM16" s="2">
        <f t="shared" si="17"/>
        <v>117.03256513920002</v>
      </c>
      <c r="AN16" s="2">
        <f t="shared" si="17"/>
        <v>119.37321644198401</v>
      </c>
      <c r="AO16" s="2">
        <f t="shared" si="17"/>
        <v>121.7606807708237</v>
      </c>
      <c r="AP16" s="2">
        <f t="shared" si="17"/>
        <v>124.19589438624017</v>
      </c>
      <c r="AQ16" s="2">
        <f t="shared" si="17"/>
        <v>126.67981227396497</v>
      </c>
      <c r="AR16" s="2">
        <f t="shared" si="17"/>
        <v>129.21340851944427</v>
      </c>
      <c r="AS16" s="2">
        <f t="shared" si="17"/>
        <v>131.79767668983317</v>
      </c>
      <c r="AT16" s="2">
        <f t="shared" si="17"/>
        <v>134.43363022362982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2:69" x14ac:dyDescent="0.25">
      <c r="B17" s="1" t="s">
        <v>34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H17" s="2">
        <f>+SUM(AH13:AH16)</f>
        <v>710.10400000000004</v>
      </c>
      <c r="AI17" s="2">
        <f t="shared" ref="AI17:AT17" si="18">+SUM(AI13:AI16)</f>
        <v>708.96295999999995</v>
      </c>
      <c r="AJ17" s="2">
        <f t="shared" si="18"/>
        <v>707.94333039999992</v>
      </c>
      <c r="AK17" s="2">
        <f t="shared" si="18"/>
        <v>707.04526109599999</v>
      </c>
      <c r="AL17" s="2">
        <f t="shared" si="18"/>
        <v>706.26893428504002</v>
      </c>
      <c r="AM17" s="2">
        <f t="shared" si="18"/>
        <v>705.61456458578959</v>
      </c>
      <c r="AN17" s="2">
        <f t="shared" si="18"/>
        <v>705.0823991704317</v>
      </c>
      <c r="AO17" s="2">
        <f t="shared" si="18"/>
        <v>704.67271790789459</v>
      </c>
      <c r="AP17" s="2">
        <f t="shared" si="18"/>
        <v>704.38583351849127</v>
      </c>
      <c r="AQ17" s="2">
        <f t="shared" si="18"/>
        <v>704.2220917400283</v>
      </c>
      <c r="AR17" s="2">
        <f t="shared" si="18"/>
        <v>704.18187150545327</v>
      </c>
      <c r="AS17" s="2">
        <f t="shared" si="18"/>
        <v>704.26558513210966</v>
      </c>
      <c r="AT17" s="2">
        <f t="shared" si="18"/>
        <v>704.47367852268087</v>
      </c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2:69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2:69" x14ac:dyDescent="0.25">
      <c r="B19" s="1" t="s">
        <v>24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H19" s="2">
        <v>500000</v>
      </c>
      <c r="AI19" s="2">
        <f>+AH19*1.03</f>
        <v>515000</v>
      </c>
      <c r="AJ19" s="2">
        <f t="shared" ref="AJ19:AT19" si="19">+AI19*1.03</f>
        <v>530450</v>
      </c>
      <c r="AK19" s="2">
        <f t="shared" si="19"/>
        <v>546363.5</v>
      </c>
      <c r="AL19" s="2">
        <f t="shared" si="19"/>
        <v>562754.40500000003</v>
      </c>
      <c r="AM19" s="2">
        <f t="shared" si="19"/>
        <v>579637.03714999999</v>
      </c>
      <c r="AN19" s="2">
        <f t="shared" si="19"/>
        <v>597026.14826449996</v>
      </c>
      <c r="AO19" s="2">
        <f t="shared" si="19"/>
        <v>614936.93271243502</v>
      </c>
      <c r="AP19" s="2">
        <f t="shared" si="19"/>
        <v>633385.04069380811</v>
      </c>
      <c r="AQ19" s="2">
        <f t="shared" si="19"/>
        <v>652386.59191462235</v>
      </c>
      <c r="AR19" s="2">
        <f t="shared" si="19"/>
        <v>671958.18967206101</v>
      </c>
      <c r="AS19" s="2">
        <f t="shared" si="19"/>
        <v>692116.93536222284</v>
      </c>
      <c r="AT19" s="2">
        <f t="shared" si="19"/>
        <v>712880.44342308957</v>
      </c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2:69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2:69" s="5" customFormat="1" x14ac:dyDescent="0.25">
      <c r="B21" s="5" t="s">
        <v>27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H21" s="6">
        <f>+AH19*AH17/1000000</f>
        <v>355.05200000000002</v>
      </c>
      <c r="AI21" s="6">
        <f t="shared" ref="AI21:AT21" si="20">+AI19*AI17/1000000</f>
        <v>365.11592439999998</v>
      </c>
      <c r="AJ21" s="6">
        <f t="shared" si="20"/>
        <v>375.52853961067996</v>
      </c>
      <c r="AK21" s="6">
        <f t="shared" si="20"/>
        <v>386.3037235108244</v>
      </c>
      <c r="AL21" s="6">
        <f t="shared" si="20"/>
        <v>397.45595388356179</v>
      </c>
      <c r="AM21" s="6">
        <f t="shared" si="20"/>
        <v>409.00033558639439</v>
      </c>
      <c r="AN21" s="6">
        <f t="shared" si="20"/>
        <v>420.95262898581552</v>
      </c>
      <c r="AO21" s="6">
        <f t="shared" si="20"/>
        <v>433.32927971641573</v>
      </c>
      <c r="AP21" s="6">
        <f t="shared" si="20"/>
        <v>446.14744982725153</v>
      </c>
      <c r="AQ21" s="6">
        <f t="shared" si="20"/>
        <v>459.42505038126359</v>
      </c>
      <c r="AR21" s="6">
        <f t="shared" si="20"/>
        <v>473.18077557668829</v>
      </c>
      <c r="AS21" s="6">
        <f t="shared" si="20"/>
        <v>487.43413846271835</v>
      </c>
      <c r="AT21" s="6">
        <f t="shared" si="20"/>
        <v>502.2055083251438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</row>
    <row r="22" spans="2:69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2:69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2:69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2:69" x14ac:dyDescent="0.25">
      <c r="B25" s="1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H25" s="2">
        <v>12000</v>
      </c>
      <c r="AI25" s="2">
        <v>12000</v>
      </c>
      <c r="AJ25" s="2">
        <v>12000</v>
      </c>
      <c r="AK25" s="2">
        <v>12000</v>
      </c>
      <c r="AL25" s="2">
        <v>12000</v>
      </c>
      <c r="AM25" s="2">
        <v>12000</v>
      </c>
      <c r="AN25" s="2">
        <v>12000</v>
      </c>
      <c r="AO25" s="2">
        <v>12000</v>
      </c>
      <c r="AP25" s="2">
        <v>12000</v>
      </c>
      <c r="AQ25" s="2">
        <v>12000</v>
      </c>
      <c r="AR25" s="2">
        <v>12000</v>
      </c>
      <c r="AS25" s="2">
        <v>12000</v>
      </c>
      <c r="AT25" s="2">
        <v>12000</v>
      </c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2:69" x14ac:dyDescent="0.25">
      <c r="B26" s="1" t="s">
        <v>26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H26" s="2">
        <v>500</v>
      </c>
      <c r="AI26" s="2">
        <v>500</v>
      </c>
      <c r="AJ26" s="2">
        <v>500</v>
      </c>
      <c r="AK26" s="2">
        <v>500</v>
      </c>
      <c r="AL26" s="2">
        <v>500</v>
      </c>
      <c r="AM26" s="2">
        <v>500</v>
      </c>
      <c r="AN26" s="2">
        <v>500</v>
      </c>
      <c r="AO26" s="2">
        <v>500</v>
      </c>
      <c r="AP26" s="2">
        <v>500</v>
      </c>
      <c r="AQ26" s="2">
        <v>500</v>
      </c>
      <c r="AR26" s="2">
        <v>500</v>
      </c>
      <c r="AS26" s="2">
        <v>500</v>
      </c>
      <c r="AT26" s="2">
        <v>500</v>
      </c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2:69" x14ac:dyDescent="0.25">
      <c r="B27" s="1" t="s">
        <v>27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>
        <f>+AH26*AH25/1000</f>
        <v>6000</v>
      </c>
      <c r="AI27" s="2">
        <f t="shared" ref="AI27:AT27" si="21">+AI26*AI25/1000</f>
        <v>6000</v>
      </c>
      <c r="AJ27" s="2">
        <f t="shared" si="21"/>
        <v>6000</v>
      </c>
      <c r="AK27" s="2">
        <f t="shared" si="21"/>
        <v>6000</v>
      </c>
      <c r="AL27" s="2">
        <f t="shared" si="21"/>
        <v>6000</v>
      </c>
      <c r="AM27" s="2">
        <f t="shared" si="21"/>
        <v>6000</v>
      </c>
      <c r="AN27" s="2">
        <f t="shared" si="21"/>
        <v>6000</v>
      </c>
      <c r="AO27" s="2">
        <f t="shared" si="21"/>
        <v>6000</v>
      </c>
      <c r="AP27" s="2">
        <f t="shared" si="21"/>
        <v>6000</v>
      </c>
      <c r="AQ27" s="2">
        <f t="shared" si="21"/>
        <v>6000</v>
      </c>
      <c r="AR27" s="2">
        <f t="shared" si="21"/>
        <v>6000</v>
      </c>
      <c r="AS27" s="2">
        <f t="shared" si="21"/>
        <v>6000</v>
      </c>
      <c r="AT27" s="2">
        <f t="shared" si="21"/>
        <v>6000</v>
      </c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2:69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2:69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2:69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2:69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2:69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3:69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3:69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3:69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3:69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3:69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3:69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3:69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3:69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3:69" x14ac:dyDescent="0.25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3:69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3:69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3:69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3:69" x14ac:dyDescent="0.2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3:69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3:69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3:69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3:69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3:69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3:69" x14ac:dyDescent="0.25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3:69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3:69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3:69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3:69" x14ac:dyDescent="0.2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3:69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3:69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3:69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3:69" x14ac:dyDescent="0.25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3:69" x14ac:dyDescent="0.25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3:69" x14ac:dyDescent="0.25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3:69" x14ac:dyDescent="0.25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3:69" x14ac:dyDescent="0.25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3:69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3:69" x14ac:dyDescent="0.2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3:69" x14ac:dyDescent="0.25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3:69" x14ac:dyDescent="0.25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3:69" x14ac:dyDescent="0.25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3:69" x14ac:dyDescent="0.25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3:69" x14ac:dyDescent="0.25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3:69" x14ac:dyDescent="0.25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3:69" x14ac:dyDescent="0.25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3:69" x14ac:dyDescent="0.25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3:69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3:69" x14ac:dyDescent="0.25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3:69" x14ac:dyDescent="0.25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3:69" x14ac:dyDescent="0.25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3:69" x14ac:dyDescent="0.25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3:69" x14ac:dyDescent="0.25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3:69" x14ac:dyDescent="0.25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3:69" x14ac:dyDescent="0.25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3:69" x14ac:dyDescent="0.25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3:69" x14ac:dyDescent="0.25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3:69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3:69" x14ac:dyDescent="0.25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3:69" x14ac:dyDescent="0.25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3:69" x14ac:dyDescent="0.25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3:69" x14ac:dyDescent="0.25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3:69" x14ac:dyDescent="0.25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3:69" x14ac:dyDescent="0.25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3:69" x14ac:dyDescent="0.25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3:69" x14ac:dyDescent="0.25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3:69" x14ac:dyDescent="0.25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3:69" x14ac:dyDescent="0.25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3:69" x14ac:dyDescent="0.25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3:69" x14ac:dyDescent="0.25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3:69" x14ac:dyDescent="0.25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3:69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</sheetData>
  <phoneticPr fontId="2" type="noConversion"/>
  <hyperlinks>
    <hyperlink ref="A1" location="Main!A1" display="main" xr:uid="{714A70A2-068A-4627-B448-9D32FA37C071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5E8A-5757-41EB-A6B0-4B63A511441A}">
  <dimension ref="A1:D52"/>
  <sheetViews>
    <sheetView showGridLines="0" tabSelected="1" zoomScaleNormal="100" workbookViewId="0"/>
  </sheetViews>
  <sheetFormatPr defaultRowHeight="13.2" x14ac:dyDescent="0.25"/>
  <cols>
    <col min="1" max="1" width="4.77734375" style="1" customWidth="1"/>
    <col min="2" max="16384" width="8.88671875" style="1"/>
  </cols>
  <sheetData>
    <row r="1" spans="1:3" x14ac:dyDescent="0.25">
      <c r="A1" s="3" t="s">
        <v>15</v>
      </c>
    </row>
    <row r="2" spans="1:3" x14ac:dyDescent="0.25">
      <c r="B2" s="1" t="s">
        <v>46</v>
      </c>
      <c r="C2" s="1" t="s">
        <v>152</v>
      </c>
    </row>
    <row r="3" spans="1:3" x14ac:dyDescent="0.25">
      <c r="B3" s="1" t="s">
        <v>150</v>
      </c>
    </row>
    <row r="4" spans="1:3" x14ac:dyDescent="0.25">
      <c r="B4" s="1" t="s">
        <v>47</v>
      </c>
      <c r="C4" s="1" t="s">
        <v>151</v>
      </c>
    </row>
    <row r="10" spans="1:3" x14ac:dyDescent="0.25">
      <c r="B10" s="1" t="s">
        <v>155</v>
      </c>
      <c r="C10" s="1" t="s">
        <v>156</v>
      </c>
    </row>
    <row r="14" spans="1:3" x14ac:dyDescent="0.25">
      <c r="B14" s="1" t="s">
        <v>153</v>
      </c>
    </row>
    <row r="15" spans="1:3" x14ac:dyDescent="0.25">
      <c r="C15" s="1" t="s">
        <v>160</v>
      </c>
    </row>
    <row r="16" spans="1:3" x14ac:dyDescent="0.25">
      <c r="C16" s="1" t="s">
        <v>161</v>
      </c>
    </row>
    <row r="17" spans="2:3" x14ac:dyDescent="0.25">
      <c r="C17" s="1" t="s">
        <v>162</v>
      </c>
    </row>
    <row r="21" spans="2:3" x14ac:dyDescent="0.25">
      <c r="B21" s="1" t="s">
        <v>154</v>
      </c>
    </row>
    <row r="24" spans="2:3" x14ac:dyDescent="0.25">
      <c r="C24" s="25" t="s">
        <v>157</v>
      </c>
    </row>
    <row r="25" spans="2:3" x14ac:dyDescent="0.25">
      <c r="C25" s="1" t="s">
        <v>158</v>
      </c>
    </row>
    <row r="26" spans="2:3" x14ac:dyDescent="0.25">
      <c r="C26" s="1" t="s">
        <v>159</v>
      </c>
    </row>
    <row r="32" spans="2:3" x14ac:dyDescent="0.25">
      <c r="C32" s="25" t="s">
        <v>169</v>
      </c>
    </row>
    <row r="33" spans="3:4" x14ac:dyDescent="0.25">
      <c r="C33" s="1" t="s">
        <v>170</v>
      </c>
    </row>
    <row r="34" spans="3:4" x14ac:dyDescent="0.25">
      <c r="C34" s="1" t="s">
        <v>171</v>
      </c>
    </row>
    <row r="35" spans="3:4" x14ac:dyDescent="0.25">
      <c r="C35" s="1" t="s">
        <v>172</v>
      </c>
    </row>
    <row r="37" spans="3:4" x14ac:dyDescent="0.25">
      <c r="C37" s="1" t="s">
        <v>173</v>
      </c>
    </row>
    <row r="38" spans="3:4" x14ac:dyDescent="0.25">
      <c r="C38" s="1" t="s">
        <v>174</v>
      </c>
      <c r="D38" s="1" t="s">
        <v>176</v>
      </c>
    </row>
    <row r="39" spans="3:4" x14ac:dyDescent="0.25">
      <c r="C39" s="1" t="s">
        <v>175</v>
      </c>
    </row>
    <row r="41" spans="3:4" x14ac:dyDescent="0.25">
      <c r="C41" s="1" t="s">
        <v>177</v>
      </c>
    </row>
    <row r="42" spans="3:4" x14ac:dyDescent="0.25">
      <c r="C42" s="1" t="s">
        <v>178</v>
      </c>
    </row>
    <row r="52" spans="2:2" x14ac:dyDescent="0.25">
      <c r="B52" s="1" t="s">
        <v>168</v>
      </c>
    </row>
  </sheetData>
  <hyperlinks>
    <hyperlink ref="A1" location="Main!A1" display="main" xr:uid="{AC574D7F-2337-4293-B3E4-C63B3FB1BE83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12836-7479-406C-884C-D509A1CBB79C}">
  <dimension ref="C5:D8"/>
  <sheetViews>
    <sheetView showGridLines="0" workbookViewId="0">
      <selection activeCell="C9" sqref="C9"/>
    </sheetView>
  </sheetViews>
  <sheetFormatPr defaultColWidth="8.88671875" defaultRowHeight="13.2" x14ac:dyDescent="0.25"/>
  <cols>
    <col min="1" max="16384" width="8.88671875" style="1"/>
  </cols>
  <sheetData>
    <row r="5" spans="3:4" x14ac:dyDescent="0.25">
      <c r="C5" s="1" t="s">
        <v>38</v>
      </c>
      <c r="D5" s="1" t="s">
        <v>39</v>
      </c>
    </row>
    <row r="6" spans="3:4" x14ac:dyDescent="0.25">
      <c r="C6" s="1" t="s">
        <v>40</v>
      </c>
      <c r="D6" s="1" t="s">
        <v>41</v>
      </c>
    </row>
    <row r="7" spans="3:4" x14ac:dyDescent="0.25">
      <c r="C7" s="1" t="s">
        <v>42</v>
      </c>
      <c r="D7" s="1" t="s">
        <v>43</v>
      </c>
    </row>
    <row r="8" spans="3:4" x14ac:dyDescent="0.25">
      <c r="C8" s="1" t="s">
        <v>44</v>
      </c>
      <c r="D8" s="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9A39-D76F-491B-9453-2D95B7F52F2C}">
  <dimension ref="A1:G28"/>
  <sheetViews>
    <sheetView showGridLines="0" workbookViewId="0">
      <selection activeCell="C5" sqref="C5"/>
    </sheetView>
  </sheetViews>
  <sheetFormatPr defaultRowHeight="13.2" x14ac:dyDescent="0.25"/>
  <cols>
    <col min="1" max="1" width="4.77734375" style="1" customWidth="1"/>
    <col min="2" max="2" width="11.77734375" style="1" customWidth="1"/>
    <col min="3" max="3" width="8.88671875" style="1"/>
    <col min="4" max="4" width="12.33203125" style="1" customWidth="1"/>
    <col min="5" max="5" width="10.109375" style="1" bestFit="1" customWidth="1"/>
    <col min="6" max="16384" width="8.88671875" style="1"/>
  </cols>
  <sheetData>
    <row r="1" spans="1:7" x14ac:dyDescent="0.25">
      <c r="A1" s="1" t="s">
        <v>54</v>
      </c>
    </row>
    <row r="2" spans="1:7" s="5" customFormat="1" x14ac:dyDescent="0.25">
      <c r="B2" s="5" t="s">
        <v>55</v>
      </c>
      <c r="C2" s="6">
        <f>SUM(C3:C20)</f>
        <v>443.1098715382966</v>
      </c>
    </row>
    <row r="3" spans="1:7" x14ac:dyDescent="0.25">
      <c r="B3" s="1" t="s">
        <v>56</v>
      </c>
      <c r="C3" s="2">
        <v>135</v>
      </c>
      <c r="D3" s="2">
        <v>330000000</v>
      </c>
      <c r="E3" s="2">
        <f>+D3/C3</f>
        <v>2444444.4444444445</v>
      </c>
      <c r="F3" s="1" t="s">
        <v>57</v>
      </c>
      <c r="G3" s="1" t="s">
        <v>58</v>
      </c>
    </row>
    <row r="4" spans="1:7" x14ac:dyDescent="0.25">
      <c r="B4" s="1" t="s">
        <v>59</v>
      </c>
      <c r="C4" s="2">
        <v>24</v>
      </c>
      <c r="D4" s="2">
        <v>18140000</v>
      </c>
      <c r="E4" s="2">
        <f>+D4/C4</f>
        <v>755833.33333333337</v>
      </c>
      <c r="F4" s="1" t="s">
        <v>60</v>
      </c>
    </row>
    <row r="5" spans="1:7" x14ac:dyDescent="0.25">
      <c r="B5" s="1" t="s">
        <v>61</v>
      </c>
      <c r="C5" s="2">
        <v>11</v>
      </c>
      <c r="D5" s="2">
        <v>116500000</v>
      </c>
      <c r="E5" s="2">
        <f>+D5/C5</f>
        <v>10590909.090909092</v>
      </c>
      <c r="F5" s="1" t="s">
        <v>62</v>
      </c>
    </row>
    <row r="6" spans="1:7" x14ac:dyDescent="0.25">
      <c r="B6" s="1" t="s">
        <v>63</v>
      </c>
      <c r="C6" s="2"/>
      <c r="D6" s="2"/>
      <c r="F6" s="1" t="s">
        <v>64</v>
      </c>
    </row>
    <row r="7" spans="1:7" x14ac:dyDescent="0.25">
      <c r="B7" s="1" t="s">
        <v>65</v>
      </c>
      <c r="C7" s="2">
        <v>8</v>
      </c>
      <c r="D7" s="2">
        <v>85520000</v>
      </c>
      <c r="E7" s="2">
        <f>+D7/C7</f>
        <v>10690000</v>
      </c>
      <c r="F7" s="1" t="s">
        <v>66</v>
      </c>
    </row>
    <row r="8" spans="1:7" x14ac:dyDescent="0.25">
      <c r="B8" s="1" t="s">
        <v>67</v>
      </c>
      <c r="C8" s="2">
        <v>110</v>
      </c>
      <c r="D8" s="2">
        <v>212000000</v>
      </c>
      <c r="E8" s="2">
        <f>+D8/C8</f>
        <v>1927272.7272727273</v>
      </c>
      <c r="F8" s="1" t="s">
        <v>68</v>
      </c>
      <c r="G8" s="1" t="s">
        <v>69</v>
      </c>
    </row>
    <row r="9" spans="1:7" x14ac:dyDescent="0.25">
      <c r="B9" s="1" t="s">
        <v>70</v>
      </c>
      <c r="C9" s="1">
        <v>14</v>
      </c>
      <c r="D9" s="2">
        <v>91570000</v>
      </c>
      <c r="E9" s="2">
        <f>+D9/C9</f>
        <v>6540714.2857142854</v>
      </c>
    </row>
    <row r="10" spans="1:7" x14ac:dyDescent="0.25">
      <c r="B10" s="1" t="s">
        <v>71</v>
      </c>
      <c r="C10" s="1">
        <v>1</v>
      </c>
      <c r="D10" s="2">
        <v>1600000</v>
      </c>
      <c r="E10" s="2">
        <f>+D10/C10</f>
        <v>1600000</v>
      </c>
    </row>
    <row r="11" spans="1:7" x14ac:dyDescent="0.25">
      <c r="B11" s="1" t="s">
        <v>72</v>
      </c>
      <c r="C11" s="2">
        <v>14</v>
      </c>
      <c r="D11" s="2">
        <v>51750000</v>
      </c>
      <c r="E11" s="2">
        <f>+D11/C11</f>
        <v>3696428.5714285714</v>
      </c>
      <c r="F11" s="21" t="s">
        <v>73</v>
      </c>
    </row>
    <row r="12" spans="1:7" x14ac:dyDescent="0.25">
      <c r="B12" s="1" t="s">
        <v>74</v>
      </c>
      <c r="C12" s="2">
        <v>5</v>
      </c>
      <c r="D12" s="2"/>
      <c r="E12" s="2"/>
      <c r="F12" s="21" t="s">
        <v>75</v>
      </c>
      <c r="G12" s="21" t="s">
        <v>76</v>
      </c>
    </row>
    <row r="13" spans="1:7" x14ac:dyDescent="0.25">
      <c r="B13" s="1" t="s">
        <v>77</v>
      </c>
      <c r="C13" s="2">
        <f t="shared" ref="C13:C20" si="0">+D13/E13</f>
        <v>7.383855447074855</v>
      </c>
      <c r="D13" s="2">
        <v>35300000</v>
      </c>
      <c r="E13" s="2">
        <f>AVERAGE(E3:E11)</f>
        <v>4780700.3066378068</v>
      </c>
      <c r="F13" s="21" t="s">
        <v>78</v>
      </c>
    </row>
    <row r="14" spans="1:7" x14ac:dyDescent="0.25">
      <c r="B14" s="1" t="s">
        <v>79</v>
      </c>
      <c r="C14" s="2">
        <f t="shared" si="0"/>
        <v>7.6348646974003458</v>
      </c>
      <c r="D14" s="2">
        <v>36500000</v>
      </c>
      <c r="E14" s="2">
        <f>+E13</f>
        <v>4780700.3066378068</v>
      </c>
      <c r="F14" s="21" t="s">
        <v>80</v>
      </c>
    </row>
    <row r="15" spans="1:7" x14ac:dyDescent="0.25">
      <c r="B15" s="1" t="s">
        <v>81</v>
      </c>
      <c r="C15" s="2">
        <f t="shared" si="0"/>
        <v>8.6368099549495962</v>
      </c>
      <c r="D15" s="2">
        <v>41290000</v>
      </c>
      <c r="E15" s="2">
        <f>+E14</f>
        <v>4780700.3066378068</v>
      </c>
    </row>
    <row r="16" spans="1:7" x14ac:dyDescent="0.25">
      <c r="B16" s="1" t="s">
        <v>82</v>
      </c>
      <c r="C16" s="2">
        <f t="shared" si="0"/>
        <v>25.937622533634052</v>
      </c>
      <c r="D16" s="2">
        <v>124000000</v>
      </c>
      <c r="E16" s="2">
        <f>E15</f>
        <v>4780700.3066378068</v>
      </c>
    </row>
    <row r="17" spans="2:7" x14ac:dyDescent="0.25">
      <c r="B17" s="1" t="s">
        <v>83</v>
      </c>
      <c r="C17" s="2">
        <f t="shared" si="0"/>
        <v>14.328444706080102</v>
      </c>
      <c r="D17" s="2">
        <v>68500000</v>
      </c>
      <c r="E17" s="2">
        <f>+E16</f>
        <v>4780700.3066378068</v>
      </c>
    </row>
    <row r="18" spans="2:7" x14ac:dyDescent="0.25">
      <c r="B18" s="1" t="s">
        <v>84</v>
      </c>
      <c r="C18" s="2">
        <f t="shared" si="0"/>
        <v>17.468152078901451</v>
      </c>
      <c r="D18" s="2">
        <v>83510000</v>
      </c>
      <c r="E18" s="2">
        <f>+E17</f>
        <v>4780700.3066378068</v>
      </c>
    </row>
    <row r="19" spans="2:7" x14ac:dyDescent="0.25">
      <c r="B19" s="1" t="s">
        <v>85</v>
      </c>
      <c r="C19" s="2">
        <f t="shared" si="0"/>
        <v>12.339196397250587</v>
      </c>
      <c r="D19" s="2">
        <v>58990000</v>
      </c>
      <c r="E19" s="2">
        <f>+E18</f>
        <v>4780700.3066378068</v>
      </c>
      <c r="F19" s="1" t="s">
        <v>86</v>
      </c>
      <c r="G19" s="1" t="s">
        <v>87</v>
      </c>
    </row>
    <row r="20" spans="2:7" x14ac:dyDescent="0.25">
      <c r="B20" s="1" t="s">
        <v>88</v>
      </c>
      <c r="C20" s="2">
        <f t="shared" si="0"/>
        <v>27.380925723005625</v>
      </c>
      <c r="D20" s="2">
        <v>130900000</v>
      </c>
      <c r="E20" s="2">
        <f>+E19</f>
        <v>4780700.3066378068</v>
      </c>
      <c r="F20" s="3" t="s">
        <v>89</v>
      </c>
      <c r="G20" s="1" t="s">
        <v>90</v>
      </c>
    </row>
    <row r="22" spans="2:7" x14ac:dyDescent="0.25">
      <c r="B22" s="1" t="s">
        <v>91</v>
      </c>
      <c r="C22" s="1">
        <v>15</v>
      </c>
      <c r="F22" s="1" t="s">
        <v>92</v>
      </c>
    </row>
    <row r="23" spans="2:7" x14ac:dyDescent="0.25">
      <c r="C23" s="1">
        <v>65</v>
      </c>
      <c r="F23" s="1" t="s">
        <v>93</v>
      </c>
    </row>
    <row r="28" spans="2:7" x14ac:dyDescent="0.25">
      <c r="B28" s="1" t="s">
        <v>99</v>
      </c>
      <c r="F28" s="1" t="s">
        <v>98</v>
      </c>
    </row>
  </sheetData>
  <hyperlinks>
    <hyperlink ref="F20" r:id="rId1" xr:uid="{73D5543B-ECAB-4898-BA2F-245E3B5CB85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9BFB-6847-49D4-846D-40CFF134EC5A}">
  <dimension ref="B5:B7"/>
  <sheetViews>
    <sheetView showGridLines="0" workbookViewId="0">
      <selection activeCell="B8" sqref="B8"/>
    </sheetView>
  </sheetViews>
  <sheetFormatPr defaultRowHeight="13.2" x14ac:dyDescent="0.25"/>
  <cols>
    <col min="1" max="1" width="4.77734375" style="1" customWidth="1"/>
    <col min="2" max="16384" width="8.88671875" style="1"/>
  </cols>
  <sheetData>
    <row r="5" spans="2:2" x14ac:dyDescent="0.25">
      <c r="B5" s="1" t="s">
        <v>132</v>
      </c>
    </row>
    <row r="6" spans="2:2" x14ac:dyDescent="0.25">
      <c r="B6" s="1" t="s">
        <v>147</v>
      </c>
    </row>
    <row r="7" spans="2:2" x14ac:dyDescent="0.25">
      <c r="B7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model 2</vt:lpstr>
      <vt:lpstr>TA-ERT</vt:lpstr>
      <vt:lpstr>glossary</vt:lpstr>
      <vt:lpstr>Countries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Kessler</dc:creator>
  <cp:lastModifiedBy>Franciszek Kessler</cp:lastModifiedBy>
  <dcterms:created xsi:type="dcterms:W3CDTF">2024-01-06T21:29:40Z</dcterms:created>
  <dcterms:modified xsi:type="dcterms:W3CDTF">2026-07-10T17:21:26Z</dcterms:modified>
</cp:coreProperties>
</file>