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685cd5063f9d2/Dokumenty/"/>
    </mc:Choice>
  </mc:AlternateContent>
  <xr:revisionPtr revIDLastSave="184" documentId="8_{E3085F11-6FC1-472E-9EA2-B734BC37F969}" xr6:coauthVersionLast="47" xr6:coauthVersionMax="47" xr10:uidLastSave="{089604F0-98D5-4B02-930F-782493CAAB73}"/>
  <bookViews>
    <workbookView xWindow="-120" yWindow="-120" windowWidth="29040" windowHeight="15840" activeTab="1" xr2:uid="{C2A537D2-81CC-41DE-90E3-F8EDF7DA01A3}"/>
  </bookViews>
  <sheets>
    <sheet name="Main" sheetId="1" r:id="rId1"/>
    <sheet name="Model" sheetId="2" r:id="rId2"/>
    <sheet name="Scenarios" sheetId="3" r:id="rId3"/>
    <sheet name="Not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2" l="1"/>
  <c r="K23" i="2" s="1"/>
  <c r="K45" i="2" s="1"/>
  <c r="I20" i="2"/>
  <c r="H20" i="2"/>
  <c r="G20" i="2"/>
  <c r="K8" i="2"/>
  <c r="C108" i="2"/>
  <c r="K100" i="2"/>
  <c r="K87" i="2"/>
  <c r="K67" i="2"/>
  <c r="G11" i="1"/>
  <c r="G10" i="1"/>
  <c r="G8" i="1" a="1"/>
  <c r="G8" i="1" s="1"/>
  <c r="G7" i="1" a="1"/>
  <c r="G7" i="1" s="1"/>
  <c r="V29" i="2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T29" i="2"/>
  <c r="T20" i="2"/>
  <c r="R100" i="2"/>
  <c r="R87" i="2"/>
  <c r="R67" i="2"/>
  <c r="S100" i="2"/>
  <c r="S87" i="2"/>
  <c r="S67" i="2"/>
  <c r="R43" i="2"/>
  <c r="S43" i="2"/>
  <c r="R23" i="2"/>
  <c r="R27" i="2" s="1"/>
  <c r="R45" i="2"/>
  <c r="S23" i="2"/>
  <c r="S45" i="2" s="1"/>
  <c r="H100" i="2"/>
  <c r="H87" i="2"/>
  <c r="H67" i="2"/>
  <c r="H39" i="2"/>
  <c r="H8" i="2"/>
  <c r="H36" i="2" s="1"/>
  <c r="C100" i="2"/>
  <c r="C67" i="2"/>
  <c r="G100" i="2"/>
  <c r="C87" i="2"/>
  <c r="G87" i="2"/>
  <c r="G67" i="2"/>
  <c r="C39" i="2"/>
  <c r="C20" i="2"/>
  <c r="C8" i="2"/>
  <c r="C23" i="2" s="1"/>
  <c r="C45" i="2" s="1"/>
  <c r="C43" i="2"/>
  <c r="G39" i="2"/>
  <c r="G41" i="2"/>
  <c r="G8" i="2"/>
  <c r="K43" i="2" s="1"/>
  <c r="T6" i="1"/>
  <c r="T7" i="1"/>
  <c r="T9" i="1"/>
  <c r="T10" i="1"/>
  <c r="T5" i="1"/>
  <c r="S6" i="1"/>
  <c r="S7" i="1"/>
  <c r="S8" i="1"/>
  <c r="S9" i="1"/>
  <c r="S5" i="1"/>
  <c r="Q10" i="1"/>
  <c r="R10" i="1"/>
  <c r="E39" i="2"/>
  <c r="E20" i="2"/>
  <c r="E8" i="2"/>
  <c r="E40" i="2" s="1"/>
  <c r="I39" i="2"/>
  <c r="I8" i="2"/>
  <c r="I43" i="2" s="1"/>
  <c r="F12" i="1"/>
  <c r="F11" i="1"/>
  <c r="F9" i="1"/>
  <c r="C36" i="2"/>
  <c r="E23" i="2"/>
  <c r="E27" i="2" s="1"/>
  <c r="E29" i="2" s="1"/>
  <c r="E46" i="2" s="1"/>
  <c r="P2" i="2"/>
  <c r="Q2" i="2" s="1"/>
  <c r="R2" i="2" s="1"/>
  <c r="S2" i="2" s="1"/>
  <c r="T2" i="2" s="1"/>
  <c r="G9" i="1" l="1"/>
  <c r="G12" i="1" s="1"/>
  <c r="H41" i="2"/>
  <c r="R29" i="2"/>
  <c r="R46" i="2" s="1"/>
  <c r="R44" i="2"/>
  <c r="K27" i="2"/>
  <c r="K44" i="2" s="1"/>
  <c r="E43" i="2"/>
  <c r="I40" i="2"/>
  <c r="E36" i="2"/>
  <c r="S27" i="2"/>
  <c r="I36" i="2"/>
  <c r="H43" i="2"/>
  <c r="I23" i="2"/>
  <c r="C40" i="2"/>
  <c r="E44" i="2"/>
  <c r="E45" i="2"/>
  <c r="AJ29" i="2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T8" i="2"/>
  <c r="T23" i="2" s="1"/>
  <c r="T27" i="2" s="1"/>
  <c r="T28" i="2" s="1"/>
  <c r="U2" i="2"/>
  <c r="G36" i="2"/>
  <c r="G43" i="2"/>
  <c r="G23" i="2"/>
  <c r="C27" i="2"/>
  <c r="G40" i="2"/>
  <c r="H23" i="2"/>
  <c r="H40" i="2"/>
  <c r="S44" i="2" l="1"/>
  <c r="S29" i="2"/>
  <c r="K29" i="2"/>
  <c r="K46" i="2" s="1"/>
  <c r="R49" i="2"/>
  <c r="R68" i="2" s="1"/>
  <c r="R71" i="2" s="1"/>
  <c r="R102" i="2" s="1"/>
  <c r="R105" i="2" s="1"/>
  <c r="I45" i="2"/>
  <c r="I27" i="2"/>
  <c r="C44" i="2"/>
  <c r="C29" i="2"/>
  <c r="X34" i="2"/>
  <c r="X35" i="2" s="1"/>
  <c r="X37" i="2" s="1"/>
  <c r="G27" i="2"/>
  <c r="G45" i="2"/>
  <c r="H27" i="2"/>
  <c r="H45" i="2"/>
  <c r="U8" i="2"/>
  <c r="V2" i="2"/>
  <c r="S49" i="2" l="1"/>
  <c r="S68" i="2" s="1"/>
  <c r="S71" i="2" s="1"/>
  <c r="S102" i="2" s="1"/>
  <c r="S105" i="2" s="1"/>
  <c r="S46" i="2"/>
  <c r="K49" i="2"/>
  <c r="K68" i="2" s="1"/>
  <c r="K71" i="2" s="1"/>
  <c r="I29" i="2"/>
  <c r="I46" i="2" s="1"/>
  <c r="I44" i="2"/>
  <c r="C49" i="2"/>
  <c r="C68" i="2" s="1"/>
  <c r="C71" i="2" s="1"/>
  <c r="C102" i="2" s="1"/>
  <c r="C105" i="2" s="1"/>
  <c r="C46" i="2"/>
  <c r="W2" i="2"/>
  <c r="V8" i="2"/>
  <c r="G29" i="2"/>
  <c r="G44" i="2"/>
  <c r="U20" i="2"/>
  <c r="U23" i="2" s="1"/>
  <c r="U27" i="2" s="1"/>
  <c r="U28" i="2" s="1"/>
  <c r="H29" i="2"/>
  <c r="H44" i="2"/>
  <c r="K108" i="2" l="1"/>
  <c r="K102" i="2"/>
  <c r="K105" i="2" s="1"/>
  <c r="G46" i="2"/>
  <c r="G49" i="2"/>
  <c r="G68" i="2" s="1"/>
  <c r="G71" i="2" s="1"/>
  <c r="X2" i="2"/>
  <c r="W8" i="2"/>
  <c r="V23" i="2"/>
  <c r="V27" i="2" s="1"/>
  <c r="V28" i="2" s="1"/>
  <c r="H49" i="2"/>
  <c r="H68" i="2" s="1"/>
  <c r="H71" i="2" s="1"/>
  <c r="H46" i="2"/>
  <c r="V20" i="2"/>
  <c r="H102" i="2" l="1"/>
  <c r="H105" i="2" s="1"/>
  <c r="H108" i="2"/>
  <c r="G102" i="2"/>
  <c r="G105" i="2" s="1"/>
  <c r="G108" i="2"/>
  <c r="W20" i="2"/>
  <c r="Y2" i="2"/>
  <c r="X8" i="2"/>
  <c r="Z2" i="2" l="1"/>
  <c r="Y8" i="2"/>
  <c r="X20" i="2"/>
  <c r="W23" i="2"/>
  <c r="W27" i="2" s="1"/>
  <c r="W28" i="2" s="1"/>
  <c r="Y20" i="2" l="1"/>
  <c r="X23" i="2"/>
  <c r="X27" i="2" s="1"/>
  <c r="X28" i="2" s="1"/>
  <c r="Z8" i="2"/>
  <c r="AA2" i="2"/>
  <c r="AA8" i="2" l="1"/>
  <c r="AB2" i="2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Z20" i="2"/>
  <c r="Z23" i="2"/>
  <c r="Z27" i="2" s="1"/>
  <c r="Z28" i="2" s="1"/>
  <c r="Y23" i="2"/>
  <c r="Y27" i="2" s="1"/>
  <c r="Y28" i="2" s="1"/>
  <c r="AA20" i="2" l="1"/>
  <c r="AA23" i="2" s="1"/>
  <c r="AA27" i="2" s="1"/>
  <c r="AA2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<sst xmlns="http://schemas.openxmlformats.org/spreadsheetml/2006/main" count="192" uniqueCount="142">
  <si>
    <t>Price</t>
  </si>
  <si>
    <t>Shares</t>
  </si>
  <si>
    <t>MC</t>
  </si>
  <si>
    <t>Cash</t>
  </si>
  <si>
    <t>Debt</t>
  </si>
  <si>
    <t>EV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</si>
  <si>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</si>
  <si>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</si>
  <si>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</si>
  <si>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</si>
  <si>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</si>
  <si>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</si>
  <si>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</si>
  <si>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</si>
  <si>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</si>
  <si>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PLN</t>
  </si>
  <si>
    <t xml:space="preserve">miliony </t>
  </si>
  <si>
    <t>EBITDA</t>
  </si>
  <si>
    <t>Przychody detaliczne od klientów indywidualnych i biznesowych</t>
  </si>
  <si>
    <t>Przychody hurtowe</t>
  </si>
  <si>
    <t>Przychody ze sprzedaży sprzętu</t>
  </si>
  <si>
    <t>Przychody ze sprzedaży energii</t>
  </si>
  <si>
    <t>Pozostałe przychody ze sprzedaży</t>
  </si>
  <si>
    <t>Przychody razem</t>
  </si>
  <si>
    <t>Koszty techniczne i rozliczeń miedzyoperatorskich</t>
  </si>
  <si>
    <t>Amortyzacja, utrata wartości i likwidacja</t>
  </si>
  <si>
    <t>Koszt własny sprzedanego sprzętu</t>
  </si>
  <si>
    <t>Koszty kontentu</t>
  </si>
  <si>
    <t>Koszt własny sprzedanej energii, w tym:</t>
  </si>
  <si>
    <t xml:space="preserve">amortyzacja </t>
  </si>
  <si>
    <t>Koszty dystrybucji, marketingu, obsługi i utrzymania klienta</t>
  </si>
  <si>
    <t>Wynagrodzenia i świadczenia na rzecz pracowników</t>
  </si>
  <si>
    <t>Koszty windykacji, odpisów aktualizujących wartość należności i koszt spisanych należności</t>
  </si>
  <si>
    <t>Inne koszty, w tym:</t>
  </si>
  <si>
    <t>amortyzacja</t>
  </si>
  <si>
    <t>Zysk na sprzedaży jednostki zależnej i stowarzyszonej</t>
  </si>
  <si>
    <t>Pozostałe przychody/(koszty) operacyjne netto</t>
  </si>
  <si>
    <t>Zysk z działalności operacyjnej</t>
  </si>
  <si>
    <t>Koszty operacyjne</t>
  </si>
  <si>
    <t>Zyski/(straty) z działalności inwestycyjnej, netto</t>
  </si>
  <si>
    <t>Koszty finansowe, netto</t>
  </si>
  <si>
    <t>Udział w zysku jednostek stowarzyszonychwycenianych metodą praw własności</t>
  </si>
  <si>
    <t>Zysk brutto za okres</t>
  </si>
  <si>
    <t>Podatek dochodowy</t>
  </si>
  <si>
    <t>Zysk netto za okres</t>
  </si>
  <si>
    <t>Zysk netto przypadający na akcjonariuszy Jednostki Dominującej</t>
  </si>
  <si>
    <t>Zysk/(strata) netto przypadający na akcjonariuszy niekontrolujących</t>
  </si>
  <si>
    <t>Podstawowy i rozwodniony zysk na jedną akcję</t>
  </si>
  <si>
    <t xml:space="preserve">Średnia ważona liczba wyemitowanych akcji </t>
  </si>
  <si>
    <t>Marża EBITDA</t>
  </si>
  <si>
    <t xml:space="preserve">Zysk ze sprzedaży jednostki zależnej i stowarzyszonej </t>
  </si>
  <si>
    <t>Koszty wsparcia ukrainy</t>
  </si>
  <si>
    <t>EBITDA skorygowana</t>
  </si>
  <si>
    <t>Marża EBITDA skorygowana</t>
  </si>
  <si>
    <t>Marża operacyjna</t>
  </si>
  <si>
    <t>-</t>
  </si>
  <si>
    <t>Revenue y/y</t>
  </si>
  <si>
    <t>Tax rate %</t>
  </si>
  <si>
    <t>GM %</t>
  </si>
  <si>
    <t>PM %</t>
  </si>
  <si>
    <t>Revenue streams</t>
  </si>
  <si>
    <t>Przychody detaliczy od klientów indywidualnych i biznesowych</t>
  </si>
  <si>
    <t xml:space="preserve">Przychody hurtowe </t>
  </si>
  <si>
    <t>Przychody ze sprzedaży</t>
  </si>
  <si>
    <t xml:space="preserve">Przychody ze sprzedaży energii </t>
  </si>
  <si>
    <t xml:space="preserve">Pozostałe przychody ze sprzedaży </t>
  </si>
  <si>
    <t>Przychody ze sprzedaży usług, produktów, towarów i materiałów</t>
  </si>
  <si>
    <t>% całego</t>
  </si>
  <si>
    <t>Zmiana y/y</t>
  </si>
  <si>
    <t>CFS</t>
  </si>
  <si>
    <t>Zysk netto</t>
  </si>
  <si>
    <t>NEW</t>
  </si>
  <si>
    <t>Płatności za licencje filmowe i sportowe</t>
  </si>
  <si>
    <t xml:space="preserve">Amortyzacja licencji filmowych i sportowych </t>
  </si>
  <si>
    <t>Odsetki</t>
  </si>
  <si>
    <t>Zamiana stanu zapasów</t>
  </si>
  <si>
    <t>CFO</t>
  </si>
  <si>
    <t>Zmiana stanu należności i innych aktywów</t>
  </si>
  <si>
    <t>Zmiana stanu zobowiązań i rezerw</t>
  </si>
  <si>
    <t>Zmiana stanu aktywów z tytułu kontraktów</t>
  </si>
  <si>
    <t>Strata z tytułu różnic kursowych, netto</t>
  </si>
  <si>
    <t xml:space="preserve">Zwiększenie netto wartości zestawów odbiorczych </t>
  </si>
  <si>
    <t>Udział w zysku jednostek stowarzyszonych wycenianych metodą praw włąsności</t>
  </si>
  <si>
    <t>Koszt premii za wcześniejszy wykup obligacji</t>
  </si>
  <si>
    <t xml:space="preserve">Jednorazowy przychód wynikający z modyfikacji przepływów pieniężnych w wyniku konwersji obligacji </t>
  </si>
  <si>
    <t>Inne korekty</t>
  </si>
  <si>
    <t>Korekty razem:</t>
  </si>
  <si>
    <t>Podatek dochodowy zapłacony</t>
  </si>
  <si>
    <t>Odsetki otrzymane dotyczące działalności operacyjnej</t>
  </si>
  <si>
    <t>Środki pieniężne z działalności operacyjnej (CFO)</t>
  </si>
  <si>
    <t>Środki pieniężne netto z działalności operacyjnej (CFO netto)</t>
  </si>
  <si>
    <t>CFI</t>
  </si>
  <si>
    <t>Zmiana stanu zobowiązania z tytułu kontraktów</t>
  </si>
  <si>
    <t>Nabycie rzeczowych aktywów trwałych</t>
  </si>
  <si>
    <t>Nabycie wartości niematerialnych</t>
  </si>
  <si>
    <t>Płatności z tytułu koncesji</t>
  </si>
  <si>
    <t>Nabycie akcji/udziałów w jednostkach zależnych pomniejszone o przejęte środki pieniężne</t>
  </si>
  <si>
    <t>Wpływy ze zbycia niefinansowych aktywów trwałych</t>
  </si>
  <si>
    <t>Pożyczki udzielone</t>
  </si>
  <si>
    <t>Spłata udzielonych pożyczek</t>
  </si>
  <si>
    <t>Otwrzymane dywidendy of jednostki stowarzyszonej</t>
  </si>
  <si>
    <t>Inne wpływy</t>
  </si>
  <si>
    <t>Środki pieniężne netto z działalności inwestycyjnej</t>
  </si>
  <si>
    <t>Emisja obligacji</t>
  </si>
  <si>
    <t>Spłata otrzymanych kredytów i pożyczek</t>
  </si>
  <si>
    <t>Spłata odsetek od kredytów, pożyczek, obligacji i zapłacone prowizje</t>
  </si>
  <si>
    <t>Spłata zobowiązań  z tytułu leasingu</t>
  </si>
  <si>
    <t>Spłata odsetek od leasingu</t>
  </si>
  <si>
    <t>Wpływy z tytułu realizacji instrumentów pochodnych</t>
  </si>
  <si>
    <t>Inne wpływy/(wpływy)</t>
  </si>
  <si>
    <t>CFA</t>
  </si>
  <si>
    <t>Środki pieniężne netto z działalności finansowej</t>
  </si>
  <si>
    <t>Zmiana netto środków pieniężnych i ich ekwiwalentów</t>
  </si>
  <si>
    <t>Środki pieniężne i ich ekwiwalenty na początek okresu</t>
  </si>
  <si>
    <t>Zmiana stanu środków pieniężnych z tytułu różnic kursowych</t>
  </si>
  <si>
    <t>Środki pieniężne i ich ekwiwalenty na koniec okresu</t>
  </si>
  <si>
    <t>Discount rate</t>
  </si>
  <si>
    <t>Growth</t>
  </si>
  <si>
    <t>NPV</t>
  </si>
  <si>
    <t>VPS</t>
  </si>
  <si>
    <t>Current</t>
  </si>
  <si>
    <t>Upside</t>
  </si>
  <si>
    <t>Zysk ze sprzedaży udziałów/akcji w jednostce zależnej/stowarzyszonej</t>
  </si>
  <si>
    <t>Nabycie akcji/udziałów w jednostkach stowarzyszonych</t>
  </si>
  <si>
    <t>Podwyższenie kapitału w jednostce stowarzyszonej</t>
  </si>
  <si>
    <t>Wpływ ze zbycia udziałów/akcji w jednostce zależnej.stowarzyszonej</t>
  </si>
  <si>
    <t>Nabycie obligacji</t>
  </si>
  <si>
    <t>Wykup obligacji wraz z odsetkami</t>
  </si>
  <si>
    <t>Zaciągnięcie kredytów i pożyczek</t>
  </si>
  <si>
    <t>Wypłacona dywidenda Jednostki Dominującej</t>
  </si>
  <si>
    <t>Nabycie akcji własnych</t>
  </si>
  <si>
    <t>1.</t>
  </si>
  <si>
    <t>forecasty na revenue</t>
  </si>
  <si>
    <t>ksozty rosna tyle samo co przychody</t>
  </si>
  <si>
    <t>powrot do pozostalych danych z 2022</t>
  </si>
  <si>
    <t>Q224</t>
  </si>
  <si>
    <t>Main</t>
  </si>
  <si>
    <t>Wykup obligacji</t>
  </si>
  <si>
    <t>Non GAAp</t>
  </si>
  <si>
    <t>FCF</t>
  </si>
  <si>
    <t>in M PLN</t>
  </si>
  <si>
    <t>Jak i kiedy oni spłacą długi?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</si>
</sst>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_-* #,##0.00\ [$zł-415]_-;\-* #,##0.00\ [$zł-415]_-;_-* &quot;-&quot;??\ [$zł-415]_-;_-@_-"/>
  </numFmts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165" fontId="0" fillId="0" borderId="7" xfId="0" applyNumberFormat="1" applyBorder="1"/>
    <xf numFmtId="164" fontId="0" fillId="0" borderId="5" xfId="0" applyNumberFormat="1" applyBorder="1"/>
    <xf numFmtId="164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4" fontId="2" fillId="0" borderId="0" xfId="0" applyNumberFormat="1" applyFont="1"/>
    <xf numFmtId="166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608215</xdr:colOff>
      <xdr:row>0</xdr:row>
      <xdr:rowOff>149283</xdr:rowOff>
    </xdr:from>
    <xdr:to>
      <xdr:col>10</xdr:col>
      <xdr:colOff>608215</xdr:colOff>
      <xdr:row>144</xdr:row>
      <xdr:rowOff>158173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B974397-2621-224F-51AE-B64322E22395}"/>
            </a:ext>
          </a:extLst>
        </xdr:cNvPr>
        <xdr:cNvCxnSpPr/>
      </xdr:nvCxnSpPr>
      <xdr:spPr>
        <a:xfrm>
          <a:off x="7209040" y="149283"/>
          <a:ext cx="0" cy="27250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65810</xdr:colOff>
      <xdr:row>0</xdr:row>
      <xdr:rowOff>0</xdr:rowOff>
    </xdr:from>
    <xdr:to>
      <xdr:col>19</xdr:col>
      <xdr:colOff>65810</xdr:colOff>
      <xdr:row>144</xdr:row>
      <xdr:rowOff>8890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0EE9528-761F-4EF3-BEE3-E462C1297277}"/>
            </a:ext>
          </a:extLst>
        </xdr:cNvPr>
        <xdr:cNvCxnSpPr/>
      </xdr:nvCxnSpPr>
      <xdr:spPr>
        <a:xfrm>
          <a:off x="14277110" y="0"/>
          <a:ext cx="0" cy="2469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0</xdr:row>
      <xdr:rowOff>88562</xdr:rowOff>
    </xdr:from>
    <xdr:to>
      <xdr:col>13</xdr:col>
      <xdr:colOff>69689</xdr:colOff>
      <xdr:row>21</xdr:row>
      <xdr:rowOff>15799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BADA6-C5C4-DB11-B25B-C6974C400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88562"/>
          <a:ext cx="7468709" cy="3767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133350</xdr:colOff>
      <xdr:row>16</xdr:row>
      <xdr:rowOff>157471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3356AB-9F72-6AD5-CDF0-CB968F6BC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19750" cy="282447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https://www.bing.com/financeapi/forcetrigger?t=aqbx9c&amp;q=XWAR%3aCPS&amp;form=skydnc</v>
    <v>Learn more on Bing</v>
  </rv>
  <rv s="1">
    <v>en-GB</v>
    <v>aqbx9c</v>
    <v>268435456</v>
    <v>1</v>
    <v>Powered by Refinitiv</v>
    <v>0</v>
    <v>Cyfrowy Polsat S.A. (XWAR:CPS)</v>
    <v>2</v>
    <v>3</v>
    <v>Finance</v>
    <v>4</v>
    <v>17.645</v>
    <v>9.6560000000000006</v>
    <v>0.78080000000000005</v>
    <v>-0.30499999999999999</v>
    <v>-2.3828000000000002E-2</v>
    <v>PLN</v>
    <v>Cyfrowy Polsat SA is a Poland-based pay digital television platform operator. It is composed of Cyfrowy Polsat, direct-to-home (DTH) platform, and Telewizja Polsat, commercial television (TV) broadcaster. It operates through one business segment: Retail business, comprising DTH, broadband Internet in High Speed Packet Access (HSPA) and Long Term Evolution (LTE) technologies, as well as mobile telephony services in a mobile virtual network operator (MVNO) model; and Broadcasting and television production, offering TV channels consisting of general entertainment, sports, news, business, lifestyle, movie and children’s channels. On May 7, 2014, the Company acquired 100% stake in Metelem Holding Company Ltd. It operates through Midas SA, through Polkomtel SA.</v>
    <v>8243</v>
    <v>Warsaw Stock Exchange</v>
    <v>XWAR</v>
    <v>XWAR</v>
    <v>ul. Lubinowa 4a, WARSZAWA, WOJ. MAZOWIECKIE, 03-878 PL</v>
    <v>12.97</v>
    <v>Telecommunications Services</v>
    <v>Stock</v>
    <v>45443.627083333333</v>
    <v>0</v>
    <v>12.445</v>
    <v>7991127000</v>
    <v>Cyfrowy Polsat S.A.</v>
    <v>Cyfrowy Polsat S.A.</v>
    <v>12.895</v>
    <v>17.460899999999999</v>
    <v>12.8</v>
    <v>12.494999999999999</v>
    <v>639546000</v>
    <v>CPS</v>
    <v>Cyfrowy Polsat S.A. (XWAR:CPS)</v>
    <v>2142715</v>
    <v>1626870</v>
    <v>2001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End of Day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_-* #,##0.00 [$zł-pl-PL]_-;-* #,##0.00 [$zł-pl-PL]_-;_-* "-"?? [$zł-pl-PL]_-;_-@_-</rpv>
    </rSty>
    <rSty dxfid="5">
      <rpv i="0">#,##0.00</rpv>
    </rSty>
    <rSty>
      <rpv i="1">1</rpv>
    </rSty>
    <rSty dxfid="4">
      <rpv i="0">#,##0</rpv>
    </rSty>
    <rSty dxfid="3"/>
    <rSty dxfid="1">
      <rpv i="0">_-* #,##0 [$zł-pl-PL]_-;-* #,##0 [$zł-pl-PL]_-;_-* "-" [$zł-pl-PL]_-;_-@_-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F600-D258-4A06-817C-411221231C5A}">
  <dimension ref="B3:T17"/>
  <sheetViews>
    <sheetView workbookViewId="0">
      <selection activeCell="B18" sqref="B18"/>
    </sheetView>
  </sheetViews>
  <sheetFormatPr defaultRowHeight="15" x14ac:dyDescent="0.25"/>
  <cols>
    <col min="7" max="7" width="11.28515625" bestFit="1" customWidth="1"/>
  </cols>
  <sheetData>
    <row r="3" spans="5:20" x14ac:dyDescent="0.25">
      <c r="F3" t="e" vm="1">
        <v>#VALUE!</v>
      </c>
    </row>
    <row r="4" spans="5:20" x14ac:dyDescent="0.25">
      <c r="K4" s="5" t="s">
        <v>60</v>
      </c>
      <c r="L4" s="6"/>
      <c r="M4" s="6"/>
      <c r="N4" s="6"/>
      <c r="O4" s="6"/>
      <c r="P4" s="6"/>
      <c r="Q4" s="6">
        <v>2023</v>
      </c>
      <c r="R4" s="6">
        <v>2022</v>
      </c>
      <c r="S4" s="7" t="s">
        <v>67</v>
      </c>
      <c r="T4" t="s">
        <v>68</v>
      </c>
    </row>
    <row r="5" spans="5:20" x14ac:dyDescent="0.25">
      <c r="K5" s="8" t="s">
        <v>61</v>
      </c>
      <c r="Q5" s="12">
        <v>1754.8</v>
      </c>
      <c r="R5" s="12">
        <v>1753.3</v>
      </c>
      <c r="S5" s="14">
        <f>Q5/$Q$10</f>
        <v>0.50779870937870764</v>
      </c>
      <c r="T5" s="4">
        <f>Q5/R5-1</f>
        <v>8.5552957280565778E-4</v>
      </c>
    </row>
    <row r="6" spans="5:20" x14ac:dyDescent="0.25">
      <c r="F6" t="s">
        <v>12</v>
      </c>
      <c r="G6" t="s">
        <v>14</v>
      </c>
      <c r="H6" t="s">
        <v>16</v>
      </c>
      <c r="K6" s="8" t="s">
        <v>62</v>
      </c>
      <c r="Q6" s="12">
        <v>799.3</v>
      </c>
      <c r="R6" s="12">
        <v>840.9</v>
      </c>
      <c r="S6" s="14">
        <f t="shared" ref="S6:S9" si="0">Q6/$Q$10</f>
        <v>0.23129901322452759</v>
      </c>
      <c r="T6" s="4">
        <f t="shared" ref="T6:T10" si="1">Q6/R6-1</f>
        <v>-4.9470805089784742E-2</v>
      </c>
    </row>
    <row r="7" spans="5:20" x14ac:dyDescent="0.25">
      <c r="E7" t="s">
        <v>0</v>
      </c>
      <c r="F7">
        <v>11.33</v>
      </c>
      <c r="G7" s="19" cm="1">
        <f t="array" ref="G7">_FV(F3,"Price")</f>
        <v>12.494999999999999</v>
      </c>
      <c r="H7" t="s">
        <v>15</v>
      </c>
      <c r="K7" s="8" t="s">
        <v>63</v>
      </c>
      <c r="Q7" s="12">
        <v>446.5</v>
      </c>
      <c r="R7" s="12">
        <v>472.7</v>
      </c>
      <c r="S7" s="14">
        <f t="shared" si="0"/>
        <v>0.12920681772144574</v>
      </c>
      <c r="T7" s="4">
        <f t="shared" si="1"/>
        <v>-5.5426274592764946E-2</v>
      </c>
    </row>
    <row r="8" spans="5:20" x14ac:dyDescent="0.25">
      <c r="E8" t="s">
        <v>1</v>
      </c>
      <c r="F8" s="1">
        <v>639.54601600000001</v>
      </c>
      <c r="G8" s="1" cm="1">
        <f t="array" ref="G8">_FV(F3,"Shares outstanding",TRUE)/1000000</f>
        <v>639.54600000000005</v>
      </c>
      <c r="K8" s="8" t="s">
        <v>64</v>
      </c>
      <c r="Q8" s="12">
        <v>272</v>
      </c>
      <c r="R8" s="12" t="s">
        <v>55</v>
      </c>
      <c r="S8" s="14">
        <f t="shared" si="0"/>
        <v>7.8710536215527968E-2</v>
      </c>
      <c r="T8" s="4" t="s">
        <v>71</v>
      </c>
    </row>
    <row r="9" spans="5:20" x14ac:dyDescent="0.25">
      <c r="E9" t="s">
        <v>2</v>
      </c>
      <c r="F9" s="1">
        <f>F7*F8</f>
        <v>7246.0563612799997</v>
      </c>
      <c r="G9" s="1">
        <f>+G8*G7</f>
        <v>7991.12727</v>
      </c>
      <c r="H9" t="s">
        <v>15</v>
      </c>
      <c r="K9" s="8" t="s">
        <v>65</v>
      </c>
      <c r="Q9" s="12">
        <v>183.1</v>
      </c>
      <c r="R9" s="12">
        <v>204</v>
      </c>
      <c r="S9" s="14">
        <f t="shared" si="0"/>
        <v>5.298492345979107E-2</v>
      </c>
      <c r="T9" s="4">
        <f t="shared" si="1"/>
        <v>-0.10245098039215694</v>
      </c>
    </row>
    <row r="10" spans="5:20" x14ac:dyDescent="0.25">
      <c r="E10" t="s">
        <v>3</v>
      </c>
      <c r="F10" s="1">
        <v>4181.7</v>
      </c>
      <c r="G10" s="1">
        <f>28+2694.9+24</f>
        <v>2746.9</v>
      </c>
      <c r="H10" t="s">
        <v>15</v>
      </c>
      <c r="K10" s="9" t="s">
        <v>66</v>
      </c>
      <c r="L10" s="10"/>
      <c r="M10" s="10"/>
      <c r="N10" s="10"/>
      <c r="O10" s="10"/>
      <c r="P10" s="10"/>
      <c r="Q10" s="13">
        <f>SUM(Q5:Q9)</f>
        <v>3455.7</v>
      </c>
      <c r="R10" s="13">
        <f>SUM(R5:R9)</f>
        <v>3270.8999999999996</v>
      </c>
      <c r="S10" s="11"/>
      <c r="T10" s="4">
        <f t="shared" si="1"/>
        <v>5.6498211501421647E-2</v>
      </c>
    </row>
    <row r="11" spans="5:20" x14ac:dyDescent="0.25">
      <c r="E11" t="s">
        <v>4</v>
      </c>
      <c r="F11" s="1">
        <f>14252.5+6756.3+3084.9</f>
        <v>24093.7</v>
      </c>
      <c r="G11" s="1">
        <f>9429.7+3581.6+454.9+1088.3+1190.8+358.2+184.4+2703.7</f>
        <v>18991.599999999999</v>
      </c>
      <c r="H11" t="s">
        <v>15</v>
      </c>
    </row>
    <row r="12" spans="5:20" x14ac:dyDescent="0.25">
      <c r="E12" t="s">
        <v>5</v>
      </c>
      <c r="F12" s="1">
        <f>F9+F11-F10</f>
        <v>27158.05636128</v>
      </c>
      <c r="G12" s="1">
        <f>+G11+G9-G10</f>
        <v>24235.827269999998</v>
      </c>
      <c r="H12" t="s">
        <v>15</v>
      </c>
    </row>
    <row r="17" spans="2:2" x14ac:dyDescent="0.25">
      <c r="B1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3057-3870-4DFD-8E06-88FDDED23778}">
  <dimension ref="A1:ES11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2" sqref="O2"/>
    </sheetView>
  </sheetViews>
  <sheetFormatPr defaultRowHeight="15" x14ac:dyDescent="0.25"/>
  <cols>
    <col min="2" max="2" width="34" customWidth="1"/>
  </cols>
  <sheetData>
    <row r="1" spans="1:149" x14ac:dyDescent="0.25">
      <c r="A1" t="s">
        <v>136</v>
      </c>
    </row>
    <row r="2" spans="1:149" x14ac:dyDescent="0.25">
      <c r="B2" t="s">
        <v>140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135</v>
      </c>
      <c r="O2">
        <v>2018</v>
      </c>
      <c r="P2">
        <f>O2+1</f>
        <v>2019</v>
      </c>
      <c r="Q2">
        <f t="shared" ref="Q2:Y2" si="0">P2+1</f>
        <v>2020</v>
      </c>
      <c r="R2">
        <f t="shared" si="0"/>
        <v>2021</v>
      </c>
      <c r="S2">
        <f t="shared" si="0"/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ref="Z2" si="1">Y2+1</f>
        <v>2029</v>
      </c>
      <c r="AA2">
        <f t="shared" ref="AA2" si="2">Z2+1</f>
        <v>2030</v>
      </c>
      <c r="AB2">
        <f t="shared" ref="AB2" si="3">AA2+1</f>
        <v>2031</v>
      </c>
      <c r="AC2">
        <f t="shared" ref="AC2" si="4">AB2+1</f>
        <v>2032</v>
      </c>
      <c r="AD2">
        <f t="shared" ref="AD2" si="5">AC2+1</f>
        <v>2033</v>
      </c>
      <c r="AE2">
        <f t="shared" ref="AE2" si="6">AD2+1</f>
        <v>2034</v>
      </c>
      <c r="AF2">
        <f t="shared" ref="AF2" si="7">AE2+1</f>
        <v>2035</v>
      </c>
      <c r="AG2">
        <f t="shared" ref="AG2" si="8">AF2+1</f>
        <v>2036</v>
      </c>
      <c r="AH2">
        <f t="shared" ref="AH2" si="9">AG2+1</f>
        <v>2037</v>
      </c>
      <c r="AI2">
        <f t="shared" ref="AI2" si="10">AH2+1</f>
        <v>2038</v>
      </c>
      <c r="AJ2">
        <f t="shared" ref="AJ2" si="11">AI2+1</f>
        <v>2039</v>
      </c>
      <c r="AK2">
        <f t="shared" ref="AK2" si="12">AJ2+1</f>
        <v>2040</v>
      </c>
      <c r="AL2">
        <f t="shared" ref="AL2" si="13">AK2+1</f>
        <v>2041</v>
      </c>
      <c r="AM2">
        <f t="shared" ref="AM2" si="14">AL2+1</f>
        <v>2042</v>
      </c>
      <c r="AN2">
        <f t="shared" ref="AN2" si="15">AM2+1</f>
        <v>2043</v>
      </c>
      <c r="AO2">
        <f t="shared" ref="AO2" si="16">AN2+1</f>
        <v>2044</v>
      </c>
      <c r="AP2">
        <f t="shared" ref="AP2" si="17">AO2+1</f>
        <v>2045</v>
      </c>
      <c r="AQ2">
        <f t="shared" ref="AQ2" si="18">AP2+1</f>
        <v>2046</v>
      </c>
      <c r="AR2">
        <f t="shared" ref="AR2" si="19">AQ2+1</f>
        <v>2047</v>
      </c>
      <c r="AS2">
        <f t="shared" ref="AS2" si="20">AR2+1</f>
        <v>2048</v>
      </c>
      <c r="AT2">
        <f t="shared" ref="AT2" si="21">AS2+1</f>
        <v>2049</v>
      </c>
      <c r="AU2">
        <f t="shared" ref="AU2" si="22">AT2+1</f>
        <v>2050</v>
      </c>
      <c r="AV2">
        <f t="shared" ref="AV2" si="23">AU2+1</f>
        <v>2051</v>
      </c>
      <c r="AW2">
        <f t="shared" ref="AW2" si="24">AV2+1</f>
        <v>2052</v>
      </c>
      <c r="AX2">
        <f t="shared" ref="AX2" si="25">AW2+1</f>
        <v>2053</v>
      </c>
      <c r="AY2">
        <f t="shared" ref="AY2" si="26">AX2+1</f>
        <v>2054</v>
      </c>
      <c r="AZ2">
        <f t="shared" ref="AZ2" si="27">AY2+1</f>
        <v>2055</v>
      </c>
      <c r="BA2">
        <f t="shared" ref="BA2" si="28">AZ2+1</f>
        <v>2056</v>
      </c>
      <c r="BB2">
        <f t="shared" ref="BB2" si="29">BA2+1</f>
        <v>2057</v>
      </c>
      <c r="BC2">
        <f t="shared" ref="BC2" si="30">BB2+1</f>
        <v>2058</v>
      </c>
      <c r="BD2">
        <f t="shared" ref="BD2" si="31">BC2+1</f>
        <v>2059</v>
      </c>
      <c r="BE2">
        <f t="shared" ref="BE2" si="32">BD2+1</f>
        <v>2060</v>
      </c>
      <c r="BF2">
        <f t="shared" ref="BF2" si="33">BE2+1</f>
        <v>2061</v>
      </c>
      <c r="BG2">
        <f t="shared" ref="BG2" si="34">BF2+1</f>
        <v>2062</v>
      </c>
      <c r="BH2">
        <f t="shared" ref="BH2" si="35">BG2+1</f>
        <v>2063</v>
      </c>
      <c r="BI2">
        <f t="shared" ref="BI2" si="36">BH2+1</f>
        <v>2064</v>
      </c>
      <c r="BJ2">
        <f t="shared" ref="BJ2" si="37">BI2+1</f>
        <v>2065</v>
      </c>
      <c r="BK2">
        <f t="shared" ref="BK2" si="38">BJ2+1</f>
        <v>2066</v>
      </c>
      <c r="BL2">
        <f t="shared" ref="BL2" si="39">BK2+1</f>
        <v>2067</v>
      </c>
      <c r="BM2">
        <f t="shared" ref="BM2" si="40">BL2+1</f>
        <v>2068</v>
      </c>
      <c r="BN2">
        <f t="shared" ref="BN2" si="41">BM2+1</f>
        <v>2069</v>
      </c>
      <c r="BO2">
        <f t="shared" ref="BO2" si="42">BN2+1</f>
        <v>2070</v>
      </c>
      <c r="BP2">
        <f t="shared" ref="BP2" si="43">BO2+1</f>
        <v>2071</v>
      </c>
      <c r="BQ2">
        <f t="shared" ref="BQ2" si="44">BP2+1</f>
        <v>2072</v>
      </c>
      <c r="BR2">
        <f t="shared" ref="BR2" si="45">BQ2+1</f>
        <v>2073</v>
      </c>
      <c r="BS2">
        <f t="shared" ref="BS2" si="46">BR2+1</f>
        <v>2074</v>
      </c>
      <c r="BT2">
        <f t="shared" ref="BT2" si="47">BS2+1</f>
        <v>2075</v>
      </c>
      <c r="BU2">
        <f t="shared" ref="BU2" si="48">BT2+1</f>
        <v>2076</v>
      </c>
      <c r="BV2">
        <f t="shared" ref="BV2" si="49">BU2+1</f>
        <v>2077</v>
      </c>
      <c r="BW2">
        <f t="shared" ref="BW2" si="50">BV2+1</f>
        <v>2078</v>
      </c>
      <c r="BX2">
        <f t="shared" ref="BX2" si="51">BW2+1</f>
        <v>2079</v>
      </c>
      <c r="BY2">
        <f t="shared" ref="BY2" si="52">BX2+1</f>
        <v>2080</v>
      </c>
      <c r="BZ2">
        <f t="shared" ref="BZ2" si="53">BY2+1</f>
        <v>2081</v>
      </c>
      <c r="CA2">
        <f t="shared" ref="CA2" si="54">BZ2+1</f>
        <v>2082</v>
      </c>
      <c r="CB2">
        <f t="shared" ref="CB2" si="55">CA2+1</f>
        <v>2083</v>
      </c>
      <c r="CC2">
        <f t="shared" ref="CC2" si="56">CB2+1</f>
        <v>2084</v>
      </c>
      <c r="CD2">
        <f t="shared" ref="CD2" si="57">CC2+1</f>
        <v>2085</v>
      </c>
      <c r="CE2">
        <f t="shared" ref="CE2" si="58">CD2+1</f>
        <v>2086</v>
      </c>
      <c r="CF2">
        <f t="shared" ref="CF2" si="59">CE2+1</f>
        <v>2087</v>
      </c>
      <c r="CG2">
        <f t="shared" ref="CG2" si="60">CF2+1</f>
        <v>2088</v>
      </c>
      <c r="CH2">
        <f t="shared" ref="CH2" si="61">CG2+1</f>
        <v>2089</v>
      </c>
      <c r="CI2">
        <f t="shared" ref="CI2" si="62">CH2+1</f>
        <v>2090</v>
      </c>
      <c r="CJ2">
        <f t="shared" ref="CJ2" si="63">CI2+1</f>
        <v>2091</v>
      </c>
      <c r="CK2">
        <f t="shared" ref="CK2" si="64">CJ2+1</f>
        <v>2092</v>
      </c>
      <c r="CL2">
        <f t="shared" ref="CL2" si="65">CK2+1</f>
        <v>2093</v>
      </c>
      <c r="CM2">
        <f t="shared" ref="CM2" si="66">CL2+1</f>
        <v>2094</v>
      </c>
      <c r="CN2">
        <f t="shared" ref="CN2" si="67">CM2+1</f>
        <v>2095</v>
      </c>
      <c r="CO2">
        <f t="shared" ref="CO2" si="68">CN2+1</f>
        <v>2096</v>
      </c>
      <c r="CP2">
        <f t="shared" ref="CP2" si="69">CO2+1</f>
        <v>2097</v>
      </c>
      <c r="CQ2">
        <f t="shared" ref="CQ2" si="70">CP2+1</f>
        <v>2098</v>
      </c>
      <c r="CR2">
        <f t="shared" ref="CR2" si="71">CQ2+1</f>
        <v>2099</v>
      </c>
      <c r="CS2">
        <f t="shared" ref="CS2" si="72">CR2+1</f>
        <v>2100</v>
      </c>
      <c r="CT2">
        <f t="shared" ref="CT2" si="73">CS2+1</f>
        <v>2101</v>
      </c>
      <c r="CU2">
        <f t="shared" ref="CU2" si="74">CT2+1</f>
        <v>2102</v>
      </c>
      <c r="CV2">
        <f t="shared" ref="CV2" si="75">CU2+1</f>
        <v>2103</v>
      </c>
      <c r="CW2">
        <f t="shared" ref="CW2" si="76">CV2+1</f>
        <v>2104</v>
      </c>
      <c r="CX2">
        <f t="shared" ref="CX2" si="77">CW2+1</f>
        <v>2105</v>
      </c>
      <c r="CY2">
        <f t="shared" ref="CY2" si="78">CX2+1</f>
        <v>2106</v>
      </c>
      <c r="CZ2">
        <f t="shared" ref="CZ2" si="79">CY2+1</f>
        <v>2107</v>
      </c>
      <c r="DA2">
        <f t="shared" ref="DA2" si="80">CZ2+1</f>
        <v>2108</v>
      </c>
      <c r="DB2">
        <f t="shared" ref="DB2" si="81">DA2+1</f>
        <v>2109</v>
      </c>
      <c r="DC2">
        <f t="shared" ref="DC2" si="82">DB2+1</f>
        <v>2110</v>
      </c>
      <c r="DD2">
        <f t="shared" ref="DD2" si="83">DC2+1</f>
        <v>2111</v>
      </c>
      <c r="DE2">
        <f t="shared" ref="DE2" si="84">DD2+1</f>
        <v>2112</v>
      </c>
      <c r="DF2">
        <f t="shared" ref="DF2" si="85">DE2+1</f>
        <v>2113</v>
      </c>
      <c r="DG2">
        <f t="shared" ref="DG2" si="86">DF2+1</f>
        <v>2114</v>
      </c>
      <c r="DH2">
        <f t="shared" ref="DH2" si="87">DG2+1</f>
        <v>2115</v>
      </c>
      <c r="DI2">
        <f t="shared" ref="DI2" si="88">DH2+1</f>
        <v>2116</v>
      </c>
      <c r="DJ2">
        <f t="shared" ref="DJ2" si="89">DI2+1</f>
        <v>2117</v>
      </c>
      <c r="DK2">
        <f t="shared" ref="DK2" si="90">DJ2+1</f>
        <v>2118</v>
      </c>
      <c r="DL2">
        <f t="shared" ref="DL2" si="91">DK2+1</f>
        <v>2119</v>
      </c>
      <c r="DM2">
        <f t="shared" ref="DM2" si="92">DL2+1</f>
        <v>2120</v>
      </c>
      <c r="DN2">
        <f t="shared" ref="DN2" si="93">DM2+1</f>
        <v>2121</v>
      </c>
      <c r="DO2">
        <f t="shared" ref="DO2" si="94">DN2+1</f>
        <v>2122</v>
      </c>
      <c r="DP2">
        <f t="shared" ref="DP2" si="95">DO2+1</f>
        <v>2123</v>
      </c>
      <c r="DQ2">
        <f t="shared" ref="DQ2" si="96">DP2+1</f>
        <v>2124</v>
      </c>
      <c r="DR2">
        <f t="shared" ref="DR2" si="97">DQ2+1</f>
        <v>2125</v>
      </c>
      <c r="DS2">
        <f t="shared" ref="DS2" si="98">DR2+1</f>
        <v>2126</v>
      </c>
      <c r="DT2">
        <f t="shared" ref="DT2" si="99">DS2+1</f>
        <v>2127</v>
      </c>
      <c r="DU2">
        <f t="shared" ref="DU2" si="100">DT2+1</f>
        <v>2128</v>
      </c>
      <c r="DV2">
        <f t="shared" ref="DV2" si="101">DU2+1</f>
        <v>2129</v>
      </c>
      <c r="DW2">
        <f t="shared" ref="DW2" si="102">DV2+1</f>
        <v>2130</v>
      </c>
      <c r="DX2">
        <f t="shared" ref="DX2" si="103">DW2+1</f>
        <v>2131</v>
      </c>
      <c r="DY2">
        <f t="shared" ref="DY2" si="104">DX2+1</f>
        <v>2132</v>
      </c>
      <c r="DZ2">
        <f t="shared" ref="DZ2" si="105">DY2+1</f>
        <v>2133</v>
      </c>
      <c r="EA2">
        <f t="shared" ref="EA2" si="106">DZ2+1</f>
        <v>2134</v>
      </c>
      <c r="EB2">
        <f t="shared" ref="EB2" si="107">EA2+1</f>
        <v>2135</v>
      </c>
      <c r="EC2">
        <f t="shared" ref="EC2" si="108">EB2+1</f>
        <v>2136</v>
      </c>
      <c r="ED2">
        <f t="shared" ref="ED2" si="109">EC2+1</f>
        <v>2137</v>
      </c>
      <c r="EE2">
        <f t="shared" ref="EE2" si="110">ED2+1</f>
        <v>2138</v>
      </c>
      <c r="EF2">
        <f t="shared" ref="EF2" si="111">EE2+1</f>
        <v>2139</v>
      </c>
      <c r="EG2">
        <f t="shared" ref="EG2" si="112">EF2+1</f>
        <v>2140</v>
      </c>
      <c r="EH2">
        <f t="shared" ref="EH2" si="113">EG2+1</f>
        <v>2141</v>
      </c>
      <c r="EI2">
        <f t="shared" ref="EI2" si="114">EH2+1</f>
        <v>2142</v>
      </c>
      <c r="EJ2">
        <f t="shared" ref="EJ2" si="115">EI2+1</f>
        <v>2143</v>
      </c>
      <c r="EK2">
        <f t="shared" ref="EK2" si="116">EJ2+1</f>
        <v>2144</v>
      </c>
      <c r="EL2">
        <f t="shared" ref="EL2" si="117">EK2+1</f>
        <v>2145</v>
      </c>
      <c r="EM2">
        <f t="shared" ref="EM2" si="118">EL2+1</f>
        <v>2146</v>
      </c>
      <c r="EN2">
        <f t="shared" ref="EN2" si="119">EM2+1</f>
        <v>2147</v>
      </c>
      <c r="EO2">
        <f t="shared" ref="EO2" si="120">EN2+1</f>
        <v>2148</v>
      </c>
      <c r="EP2">
        <f t="shared" ref="EP2" si="121">EO2+1</f>
        <v>2149</v>
      </c>
      <c r="EQ2">
        <f t="shared" ref="EQ2" si="122">EP2+1</f>
        <v>2150</v>
      </c>
      <c r="ER2">
        <f t="shared" ref="ER2" si="123">EQ2+1</f>
        <v>2151</v>
      </c>
      <c r="ES2">
        <f t="shared" ref="ES2" si="124">ER2+1</f>
        <v>2152</v>
      </c>
    </row>
    <row r="3" spans="1:149" x14ac:dyDescent="0.25">
      <c r="B3" t="s">
        <v>18</v>
      </c>
      <c r="C3" s="1">
        <v>1722.2</v>
      </c>
      <c r="D3" s="1"/>
      <c r="E3" s="1">
        <v>1753.3</v>
      </c>
      <c r="F3" s="1"/>
      <c r="G3" s="1">
        <v>1733.8</v>
      </c>
      <c r="H3" s="1">
        <v>1734.8</v>
      </c>
      <c r="I3" s="1">
        <v>1754.8</v>
      </c>
      <c r="J3" s="1"/>
      <c r="K3" s="1">
        <v>1770.6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149" x14ac:dyDescent="0.25">
      <c r="B4" t="s">
        <v>19</v>
      </c>
      <c r="C4" s="1">
        <v>813.1</v>
      </c>
      <c r="D4" s="1"/>
      <c r="E4" s="1">
        <v>840.9</v>
      </c>
      <c r="F4" s="1"/>
      <c r="G4" s="1">
        <v>792.3</v>
      </c>
      <c r="H4" s="1">
        <v>859</v>
      </c>
      <c r="I4" s="1">
        <v>799.3</v>
      </c>
      <c r="J4" s="1"/>
      <c r="K4" s="1">
        <v>749.7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149" x14ac:dyDescent="0.25">
      <c r="B5" t="s">
        <v>20</v>
      </c>
      <c r="C5" s="1">
        <v>336.5</v>
      </c>
      <c r="D5" s="1"/>
      <c r="E5" s="1">
        <v>472.7</v>
      </c>
      <c r="F5" s="1"/>
      <c r="G5" s="1">
        <v>484.9</v>
      </c>
      <c r="H5" s="1">
        <v>483.6</v>
      </c>
      <c r="I5" s="1">
        <v>446.5</v>
      </c>
      <c r="J5" s="1"/>
      <c r="K5" s="1">
        <v>425.9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149" x14ac:dyDescent="0.25">
      <c r="B6" t="s">
        <v>21</v>
      </c>
      <c r="C6" s="1" t="s">
        <v>55</v>
      </c>
      <c r="D6" s="1"/>
      <c r="E6" s="1" t="s">
        <v>55</v>
      </c>
      <c r="F6" s="1"/>
      <c r="G6" s="1" t="s">
        <v>55</v>
      </c>
      <c r="H6" s="1" t="s">
        <v>55</v>
      </c>
      <c r="I6" s="1">
        <v>272</v>
      </c>
      <c r="J6" s="1"/>
      <c r="K6" s="1">
        <v>281.89999999999998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149" x14ac:dyDescent="0.25">
      <c r="B7" t="s">
        <v>22</v>
      </c>
      <c r="C7" s="1">
        <v>114.9</v>
      </c>
      <c r="D7" s="1"/>
      <c r="E7" s="1">
        <v>204</v>
      </c>
      <c r="F7" s="1"/>
      <c r="G7" s="1">
        <v>188.3</v>
      </c>
      <c r="H7" s="1">
        <v>212.4</v>
      </c>
      <c r="I7" s="1">
        <v>183.1</v>
      </c>
      <c r="J7" s="1"/>
      <c r="K7" s="1">
        <v>176.9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149" s="2" customFormat="1" x14ac:dyDescent="0.25">
      <c r="B8" s="2" t="s">
        <v>23</v>
      </c>
      <c r="C8" s="3">
        <f>SUM(C3:C7)</f>
        <v>2986.7000000000003</v>
      </c>
      <c r="D8" s="3"/>
      <c r="E8" s="3">
        <f>SUM(E3:E7)</f>
        <v>3270.8999999999996</v>
      </c>
      <c r="F8" s="3"/>
      <c r="G8" s="3">
        <f>SUM(G3:G7)</f>
        <v>3199.3</v>
      </c>
      <c r="H8" s="3">
        <f>SUM(H3:H7)</f>
        <v>3289.8</v>
      </c>
      <c r="I8" s="3">
        <f>SUM(I3:I7)</f>
        <v>3455.7</v>
      </c>
      <c r="J8" s="3"/>
      <c r="K8" s="3">
        <f>SUM(K3:K7)</f>
        <v>3405.0000000000005</v>
      </c>
      <c r="L8" s="3"/>
      <c r="M8" s="3"/>
      <c r="N8" s="3"/>
      <c r="O8" s="3"/>
      <c r="P8" s="3"/>
      <c r="Q8" s="3"/>
      <c r="R8" s="3">
        <v>12444</v>
      </c>
      <c r="S8" s="3">
        <v>12915.3</v>
      </c>
      <c r="T8" s="3">
        <f>FORECAST(T2,R8:S8,R2:S2)</f>
        <v>13386.599999999977</v>
      </c>
      <c r="U8" s="3">
        <f t="shared" ref="U8:Y8" si="125">FORECAST(U2,S8:T8,S2:T2)</f>
        <v>13857.899999999907</v>
      </c>
      <c r="V8" s="3">
        <f t="shared" si="125"/>
        <v>14329.199999999837</v>
      </c>
      <c r="W8" s="3">
        <f t="shared" si="125"/>
        <v>14800.499999999767</v>
      </c>
      <c r="X8" s="3">
        <f t="shared" si="125"/>
        <v>15271.799999999697</v>
      </c>
      <c r="Y8" s="3">
        <f t="shared" si="125"/>
        <v>15743.099999999627</v>
      </c>
      <c r="Z8" s="3">
        <f t="shared" ref="Z8" si="126">FORECAST(Z2,X8:Y8,X2:Y2)</f>
        <v>16214.399999999558</v>
      </c>
      <c r="AA8" s="3">
        <f t="shared" ref="AA8" si="127">FORECAST(AA2,Y8:Z8,Y2:Z2)</f>
        <v>16685.699999999488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149" x14ac:dyDescent="0.25">
      <c r="B9" t="s">
        <v>24</v>
      </c>
      <c r="C9" s="1">
        <v>-809.5</v>
      </c>
      <c r="D9" s="1"/>
      <c r="E9" s="1">
        <v>-823.2</v>
      </c>
      <c r="F9" s="1"/>
      <c r="G9" s="1">
        <v>-808.6</v>
      </c>
      <c r="H9" s="1">
        <v>-823.9</v>
      </c>
      <c r="I9" s="1">
        <v>-838.1</v>
      </c>
      <c r="J9" s="1"/>
      <c r="K9" s="1">
        <v>-802.6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149" x14ac:dyDescent="0.25">
      <c r="B10" t="s">
        <v>25</v>
      </c>
      <c r="C10" s="1">
        <v>-446.3</v>
      </c>
      <c r="D10" s="1"/>
      <c r="E10" s="1">
        <v>-452.1</v>
      </c>
      <c r="F10" s="1"/>
      <c r="G10" s="1">
        <v>-462.5</v>
      </c>
      <c r="H10" s="1">
        <v>-468.7</v>
      </c>
      <c r="I10" s="1">
        <v>-475</v>
      </c>
      <c r="J10" s="1"/>
      <c r="K10" s="1">
        <v>-481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149" x14ac:dyDescent="0.25">
      <c r="B11" t="s">
        <v>26</v>
      </c>
      <c r="C11" s="1">
        <v>-277.5</v>
      </c>
      <c r="D11" s="1"/>
      <c r="E11" s="1">
        <v>-365.4</v>
      </c>
      <c r="F11" s="1"/>
      <c r="G11" s="1">
        <v>-392.6</v>
      </c>
      <c r="H11" s="1">
        <v>-384</v>
      </c>
      <c r="I11" s="1">
        <v>-348.1</v>
      </c>
      <c r="J11" s="1"/>
      <c r="K11" s="1">
        <v>-328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149" x14ac:dyDescent="0.25">
      <c r="B12" t="s">
        <v>27</v>
      </c>
      <c r="C12" s="1">
        <v>-473.5</v>
      </c>
      <c r="D12" s="1"/>
      <c r="E12" s="1">
        <v>-530</v>
      </c>
      <c r="F12" s="1"/>
      <c r="G12" s="1">
        <v>-514.5</v>
      </c>
      <c r="H12" s="1">
        <v>-529.4</v>
      </c>
      <c r="I12" s="1">
        <v>-516.6</v>
      </c>
      <c r="J12" s="1"/>
      <c r="K12" s="1">
        <v>-513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149" x14ac:dyDescent="0.25">
      <c r="B13" t="s">
        <v>28</v>
      </c>
      <c r="C13" s="1" t="s">
        <v>55</v>
      </c>
      <c r="D13" s="1"/>
      <c r="E13" s="1" t="s">
        <v>55</v>
      </c>
      <c r="F13" s="1"/>
      <c r="G13" s="1" t="s">
        <v>55</v>
      </c>
      <c r="H13" s="1" t="s">
        <v>55</v>
      </c>
      <c r="I13" s="1">
        <v>-255.1</v>
      </c>
      <c r="J13" s="1"/>
      <c r="K13" s="1">
        <v>-241.8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149" x14ac:dyDescent="0.25">
      <c r="B14" t="s">
        <v>29</v>
      </c>
      <c r="C14" s="1" t="s">
        <v>55</v>
      </c>
      <c r="D14" s="1"/>
      <c r="E14" s="1" t="s">
        <v>55</v>
      </c>
      <c r="F14" s="1"/>
      <c r="G14" s="1" t="s">
        <v>55</v>
      </c>
      <c r="H14" s="1" t="s">
        <v>55</v>
      </c>
      <c r="I14" s="1">
        <v>-8.5</v>
      </c>
      <c r="J14" s="1"/>
      <c r="K14" s="1">
        <v>-11.6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149" x14ac:dyDescent="0.25">
      <c r="B15" t="s">
        <v>30</v>
      </c>
      <c r="C15" s="1">
        <v>-251.1</v>
      </c>
      <c r="D15" s="1"/>
      <c r="E15" s="1">
        <v>-256.60000000000002</v>
      </c>
      <c r="F15" s="1"/>
      <c r="G15" s="1">
        <v>-243.6</v>
      </c>
      <c r="H15" s="1">
        <v>-247.7</v>
      </c>
      <c r="I15" s="1">
        <v>-258.2</v>
      </c>
      <c r="J15" s="1"/>
      <c r="K15" s="1">
        <v>-268.7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149" x14ac:dyDescent="0.25">
      <c r="B16" t="s">
        <v>31</v>
      </c>
      <c r="C16" s="1">
        <v>-244.6</v>
      </c>
      <c r="D16" s="1"/>
      <c r="E16" s="1">
        <v>-242.3</v>
      </c>
      <c r="F16" s="1"/>
      <c r="G16" s="1">
        <v>-276.10000000000002</v>
      </c>
      <c r="H16" s="1">
        <v>-274.89999999999998</v>
      </c>
      <c r="I16" s="1">
        <v>-271.60000000000002</v>
      </c>
      <c r="J16" s="1"/>
      <c r="K16" s="1">
        <v>-304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2:149" x14ac:dyDescent="0.25">
      <c r="B17" t="s">
        <v>32</v>
      </c>
      <c r="C17" s="1">
        <v>-24.8</v>
      </c>
      <c r="D17" s="1"/>
      <c r="E17" s="1">
        <v>-25.6</v>
      </c>
      <c r="F17" s="1"/>
      <c r="G17" s="1">
        <v>-29.4</v>
      </c>
      <c r="H17" s="1">
        <v>-32.5</v>
      </c>
      <c r="I17" s="1">
        <v>-32.9</v>
      </c>
      <c r="J17" s="1"/>
      <c r="K17" s="1">
        <v>-13.1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2:149" x14ac:dyDescent="0.25">
      <c r="B18" t="s">
        <v>33</v>
      </c>
      <c r="C18" s="1">
        <v>-106.4</v>
      </c>
      <c r="D18" s="1"/>
      <c r="E18" s="1">
        <v>-182.1</v>
      </c>
      <c r="F18" s="1"/>
      <c r="G18" s="1">
        <v>-164.6</v>
      </c>
      <c r="H18" s="1">
        <v>-183.9</v>
      </c>
      <c r="I18" s="1">
        <v>-169.6</v>
      </c>
      <c r="J18" s="1"/>
      <c r="K18" s="1">
        <v>-164.1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2:149" x14ac:dyDescent="0.25">
      <c r="B19" t="s">
        <v>34</v>
      </c>
      <c r="C19" s="1">
        <v>-32.700000000000003</v>
      </c>
      <c r="D19" s="1"/>
      <c r="E19" s="1" t="s">
        <v>55</v>
      </c>
      <c r="F19" s="1"/>
      <c r="G19" s="1">
        <v>-8.6999999999999993</v>
      </c>
      <c r="H19" s="1">
        <v>-0.4</v>
      </c>
      <c r="I19" s="1">
        <v>-0.4</v>
      </c>
      <c r="J19" s="1"/>
      <c r="K19" s="1">
        <v>-1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2:149" s="2" customFormat="1" x14ac:dyDescent="0.25">
      <c r="B20" s="2" t="s">
        <v>38</v>
      </c>
      <c r="C20" s="3">
        <f>SUM(C9:C19)</f>
        <v>-2666.4</v>
      </c>
      <c r="D20" s="3"/>
      <c r="E20" s="3">
        <f>SUM(E9:E19)</f>
        <v>-2877.3</v>
      </c>
      <c r="F20" s="3"/>
      <c r="G20" s="3">
        <f>SUM(G9:G13,G15:G18)</f>
        <v>-2891.8999999999996</v>
      </c>
      <c r="H20" s="3">
        <f>SUM(H9:H13,H15:H18)</f>
        <v>-2945</v>
      </c>
      <c r="I20" s="3">
        <f>SUM(I9:I13,I15:I18)</f>
        <v>-3165.1999999999994</v>
      </c>
      <c r="J20" s="3"/>
      <c r="K20" s="3">
        <f>SUM(K9:K13,K15:K18)</f>
        <v>-3116.2999999999997</v>
      </c>
      <c r="L20" s="3"/>
      <c r="M20" s="3"/>
      <c r="N20" s="3"/>
      <c r="O20" s="3"/>
      <c r="P20" s="3"/>
      <c r="Q20" s="3"/>
      <c r="R20" s="3">
        <v>-10305.5</v>
      </c>
      <c r="S20" s="3">
        <v>-11399.8</v>
      </c>
      <c r="T20" s="3">
        <f>-10305.5*1.0365</f>
        <v>-10681.650749999999</v>
      </c>
      <c r="U20" s="3">
        <f>T20*(1+(U8/T8-1))</f>
        <v>-11057.718011177165</v>
      </c>
      <c r="V20" s="3">
        <f t="shared" ref="V20:AA20" si="128">U20*(1+(V8/U8-1))</f>
        <v>-11433.785272354331</v>
      </c>
      <c r="W20" s="3">
        <f t="shared" si="128"/>
        <v>-11809.852533531499</v>
      </c>
      <c r="X20" s="3">
        <f t="shared" si="128"/>
        <v>-12185.919794708665</v>
      </c>
      <c r="Y20" s="3">
        <f t="shared" si="128"/>
        <v>-12561.987055885833</v>
      </c>
      <c r="Z20" s="3">
        <f t="shared" si="128"/>
        <v>-12938.054317062999</v>
      </c>
      <c r="AA20" s="3">
        <f t="shared" si="128"/>
        <v>-13314.121578240167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2:149" x14ac:dyDescent="0.25">
      <c r="B21" t="s">
        <v>35</v>
      </c>
      <c r="C21" s="1" t="s">
        <v>55</v>
      </c>
      <c r="D21" s="1"/>
      <c r="E21" s="1">
        <v>113.4</v>
      </c>
      <c r="F21" s="1"/>
      <c r="G21" s="1" t="s">
        <v>55</v>
      </c>
      <c r="H21" s="1">
        <v>0</v>
      </c>
      <c r="I21" s="1">
        <v>220.1</v>
      </c>
      <c r="J21" s="1"/>
      <c r="K21" s="1">
        <v>10</v>
      </c>
      <c r="L21" s="1"/>
      <c r="M21" s="1"/>
      <c r="N21" s="1"/>
      <c r="O21" s="1"/>
      <c r="P21" s="1"/>
      <c r="Q21" s="1"/>
      <c r="R21" s="1">
        <v>3680.6</v>
      </c>
      <c r="S21" s="1">
        <v>153.19999999999999</v>
      </c>
      <c r="T21" s="1">
        <v>153.19999999999999</v>
      </c>
      <c r="U21" s="1">
        <v>153.19999999999999</v>
      </c>
      <c r="V21" s="1">
        <v>153.19999999999999</v>
      </c>
      <c r="W21" s="1">
        <v>153.19999999999999</v>
      </c>
      <c r="X21" s="1">
        <v>153.19999999999999</v>
      </c>
      <c r="Y21" s="1">
        <v>153.19999999999999</v>
      </c>
      <c r="Z21" s="1">
        <v>153.19999999999999</v>
      </c>
      <c r="AA21" s="1">
        <v>153.19999999999999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2:149" x14ac:dyDescent="0.25">
      <c r="B22" t="s">
        <v>36</v>
      </c>
      <c r="C22" s="1" t="s">
        <v>55</v>
      </c>
      <c r="D22" s="1"/>
      <c r="E22" s="1">
        <v>-6.1</v>
      </c>
      <c r="F22" s="1"/>
      <c r="G22" s="1" t="s">
        <v>55</v>
      </c>
      <c r="H22" s="1">
        <v>-15</v>
      </c>
      <c r="I22" s="1">
        <v>0.3</v>
      </c>
      <c r="J22" s="1"/>
      <c r="K22" s="1">
        <v>154</v>
      </c>
      <c r="L22" s="1"/>
      <c r="M22" s="1"/>
      <c r="N22" s="1"/>
      <c r="O22" s="1"/>
      <c r="P22" s="1"/>
      <c r="Q22" s="1"/>
      <c r="R22" s="1">
        <v>-22.7</v>
      </c>
      <c r="S22" s="1">
        <v>-26.5</v>
      </c>
      <c r="T22" s="1">
        <v>-26.5</v>
      </c>
      <c r="U22" s="1">
        <v>-26.5</v>
      </c>
      <c r="V22" s="1">
        <v>-26.5</v>
      </c>
      <c r="W22" s="1">
        <v>-26.5</v>
      </c>
      <c r="X22" s="1">
        <v>-26.5</v>
      </c>
      <c r="Y22" s="1">
        <v>-26.5</v>
      </c>
      <c r="Z22" s="1">
        <v>-26.5</v>
      </c>
      <c r="AA22" s="1">
        <v>-26.5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2:149" s="2" customFormat="1" x14ac:dyDescent="0.25">
      <c r="B23" s="2" t="s">
        <v>37</v>
      </c>
      <c r="C23" s="3">
        <f>C8+SUM(C20:C22)</f>
        <v>320.30000000000018</v>
      </c>
      <c r="D23" s="3"/>
      <c r="E23" s="3">
        <f>E8+E20+E21+E22</f>
        <v>500.89999999999941</v>
      </c>
      <c r="F23" s="3"/>
      <c r="G23" s="3">
        <f>G8+SUM(G20:G22)</f>
        <v>307.40000000000055</v>
      </c>
      <c r="H23" s="3">
        <f>H8+H20+H21+H22</f>
        <v>329.80000000000018</v>
      </c>
      <c r="I23" s="3">
        <f>I8+I20+I21+I22</f>
        <v>510.90000000000049</v>
      </c>
      <c r="J23" s="3"/>
      <c r="K23" s="3">
        <f>K8+K20+K21+K22</f>
        <v>452.70000000000073</v>
      </c>
      <c r="L23" s="3"/>
      <c r="M23" s="3"/>
      <c r="N23" s="3"/>
      <c r="O23" s="3"/>
      <c r="P23" s="3"/>
      <c r="Q23" s="3"/>
      <c r="R23" s="3">
        <f>R8+R20+R21+R22</f>
        <v>5796.4000000000005</v>
      </c>
      <c r="S23" s="3">
        <f>S8+S20+S21+S22</f>
        <v>1642.2</v>
      </c>
      <c r="T23" s="3">
        <f t="shared" ref="T23:AA23" si="129">T8+T20+T21+T22</f>
        <v>2831.6492499999777</v>
      </c>
      <c r="U23" s="3">
        <f t="shared" si="129"/>
        <v>2926.8819888227417</v>
      </c>
      <c r="V23" s="3">
        <f t="shared" si="129"/>
        <v>3022.1147276455058</v>
      </c>
      <c r="W23" s="3">
        <f t="shared" si="129"/>
        <v>3117.3474664682681</v>
      </c>
      <c r="X23" s="3">
        <f t="shared" si="129"/>
        <v>3212.5802052910321</v>
      </c>
      <c r="Y23" s="3">
        <f t="shared" si="129"/>
        <v>3307.8129441137944</v>
      </c>
      <c r="Z23" s="3">
        <f t="shared" si="129"/>
        <v>3403.0456829365585</v>
      </c>
      <c r="AA23" s="3">
        <f t="shared" si="129"/>
        <v>3498.2784217593207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2:149" x14ac:dyDescent="0.25">
      <c r="B24" t="s">
        <v>39</v>
      </c>
      <c r="C24" s="1">
        <v>6.9</v>
      </c>
      <c r="D24" s="1"/>
      <c r="E24" s="1">
        <v>-18.100000000000001</v>
      </c>
      <c r="F24" s="1"/>
      <c r="G24" s="1">
        <v>20.8</v>
      </c>
      <c r="H24" s="1">
        <v>21</v>
      </c>
      <c r="I24" s="1">
        <v>39.9</v>
      </c>
      <c r="J24" s="1"/>
      <c r="K24" s="1">
        <v>19.2</v>
      </c>
      <c r="L24" s="1"/>
      <c r="M24" s="1"/>
      <c r="N24" s="1"/>
      <c r="O24" s="1"/>
      <c r="P24" s="1"/>
      <c r="Q24" s="1"/>
      <c r="R24" s="1">
        <v>-26.9</v>
      </c>
      <c r="S24" s="1">
        <v>23.5</v>
      </c>
      <c r="T24" s="1">
        <v>-26.9</v>
      </c>
      <c r="U24" s="1">
        <v>-26.9</v>
      </c>
      <c r="V24" s="1">
        <v>-26.9</v>
      </c>
      <c r="W24" s="1">
        <v>-26.9</v>
      </c>
      <c r="X24" s="1">
        <v>-26.9</v>
      </c>
      <c r="Y24" s="1">
        <v>-26.9</v>
      </c>
      <c r="Z24" s="1">
        <v>-26.9</v>
      </c>
      <c r="AA24" s="1">
        <v>-26.9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2:149" x14ac:dyDescent="0.25">
      <c r="B25" t="s">
        <v>40</v>
      </c>
      <c r="C25" s="1">
        <v>-76.8</v>
      </c>
      <c r="D25" s="1"/>
      <c r="E25" s="1">
        <v>-209.3</v>
      </c>
      <c r="F25" s="1"/>
      <c r="G25" s="1">
        <v>-255.7</v>
      </c>
      <c r="H25" s="1">
        <v>-300.7</v>
      </c>
      <c r="I25" s="1">
        <v>-399</v>
      </c>
      <c r="J25" s="1"/>
      <c r="K25" s="1">
        <v>-201.3</v>
      </c>
      <c r="L25" s="1"/>
      <c r="M25" s="1"/>
      <c r="N25" s="1"/>
      <c r="O25" s="1"/>
      <c r="P25" s="1"/>
      <c r="Q25" s="1"/>
      <c r="R25" s="1">
        <v>-178.8</v>
      </c>
      <c r="S25" s="1">
        <v>-649.9</v>
      </c>
      <c r="T25" s="1">
        <v>-178.8</v>
      </c>
      <c r="U25" s="1">
        <v>-178.8</v>
      </c>
      <c r="V25" s="1">
        <v>-178.8</v>
      </c>
      <c r="W25" s="1">
        <v>-178.8</v>
      </c>
      <c r="X25" s="1">
        <v>-178.8</v>
      </c>
      <c r="Y25" s="1">
        <v>-178.8</v>
      </c>
      <c r="Z25" s="1">
        <v>-178.8</v>
      </c>
      <c r="AA25" s="1">
        <v>-178.8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2:149" x14ac:dyDescent="0.25">
      <c r="B26" t="s">
        <v>41</v>
      </c>
      <c r="C26" s="1">
        <v>14.7</v>
      </c>
      <c r="D26" s="1"/>
      <c r="E26" s="1">
        <v>23.8</v>
      </c>
      <c r="F26" s="1"/>
      <c r="G26" s="1">
        <v>20.3</v>
      </c>
      <c r="H26" s="1">
        <v>-9.9</v>
      </c>
      <c r="I26" s="1">
        <v>19.3</v>
      </c>
      <c r="J26" s="1"/>
      <c r="K26" s="1" t="s">
        <v>55</v>
      </c>
      <c r="L26" s="1"/>
      <c r="M26" s="1"/>
      <c r="N26" s="1"/>
      <c r="O26" s="1"/>
      <c r="P26" s="1"/>
      <c r="Q26" s="1"/>
      <c r="R26" s="1">
        <v>75.400000000000006</v>
      </c>
      <c r="S26" s="1">
        <v>94.5</v>
      </c>
      <c r="T26" s="1">
        <v>75.400000000000006</v>
      </c>
      <c r="U26" s="1">
        <v>75.400000000000006</v>
      </c>
      <c r="V26" s="1">
        <v>75.400000000000006</v>
      </c>
      <c r="W26" s="1">
        <v>75.400000000000006</v>
      </c>
      <c r="X26" s="1">
        <v>75.400000000000006</v>
      </c>
      <c r="Y26" s="1">
        <v>75.400000000000006</v>
      </c>
      <c r="Z26" s="1">
        <v>75.400000000000006</v>
      </c>
      <c r="AA26" s="1">
        <v>75.400000000000006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2:149" s="2" customFormat="1" x14ac:dyDescent="0.25">
      <c r="B27" s="2" t="s">
        <v>42</v>
      </c>
      <c r="C27" s="3">
        <f>SUM(C23:C26)</f>
        <v>265.10000000000014</v>
      </c>
      <c r="D27" s="3"/>
      <c r="E27" s="3">
        <f>SUM(E23:E26)</f>
        <v>297.29999999999939</v>
      </c>
      <c r="F27" s="3"/>
      <c r="G27" s="3">
        <f>SUM(G23:G26)</f>
        <v>92.800000000000566</v>
      </c>
      <c r="H27" s="3">
        <f>SUM(H23:H26)</f>
        <v>40.200000000000195</v>
      </c>
      <c r="I27" s="3">
        <f>SUM(I23:I26)</f>
        <v>171.10000000000053</v>
      </c>
      <c r="J27" s="3"/>
      <c r="K27" s="3">
        <f>SUM(K23:K26)</f>
        <v>270.6000000000007</v>
      </c>
      <c r="L27" s="3"/>
      <c r="M27" s="3"/>
      <c r="N27" s="3"/>
      <c r="O27" s="3"/>
      <c r="P27" s="3"/>
      <c r="Q27" s="3"/>
      <c r="R27" s="3">
        <f>SUM(R23:R26)</f>
        <v>5666.1</v>
      </c>
      <c r="S27" s="3">
        <f>SUM(S23:S26)</f>
        <v>1110.3000000000002</v>
      </c>
      <c r="T27" s="3">
        <f t="shared" ref="T27:AA27" si="130">SUM(T23:T26)</f>
        <v>2701.3492499999775</v>
      </c>
      <c r="U27" s="3">
        <f t="shared" si="130"/>
        <v>2796.5819888227416</v>
      </c>
      <c r="V27" s="3">
        <f t="shared" si="130"/>
        <v>2891.8147276455056</v>
      </c>
      <c r="W27" s="3">
        <f t="shared" si="130"/>
        <v>2987.0474664682679</v>
      </c>
      <c r="X27" s="3">
        <f t="shared" si="130"/>
        <v>3082.280205291032</v>
      </c>
      <c r="Y27" s="3">
        <f t="shared" si="130"/>
        <v>3177.5129441137942</v>
      </c>
      <c r="Z27" s="3">
        <f t="shared" si="130"/>
        <v>3272.7456829365583</v>
      </c>
      <c r="AA27" s="3">
        <f t="shared" si="130"/>
        <v>3367.9784217593206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2:149" x14ac:dyDescent="0.25">
      <c r="B28" t="s">
        <v>43</v>
      </c>
      <c r="C28" s="1">
        <v>-52.3</v>
      </c>
      <c r="D28" s="1"/>
      <c r="E28" s="1">
        <v>-66.2</v>
      </c>
      <c r="F28" s="1"/>
      <c r="G28" s="1">
        <v>-13.1</v>
      </c>
      <c r="H28" s="1">
        <v>-32.1</v>
      </c>
      <c r="I28" s="1">
        <v>-68.900000000000006</v>
      </c>
      <c r="J28" s="1"/>
      <c r="K28" s="1">
        <v>-86.3</v>
      </c>
      <c r="L28" s="1"/>
      <c r="M28" s="1"/>
      <c r="N28" s="1"/>
      <c r="O28" s="1"/>
      <c r="P28" s="1"/>
      <c r="Q28" s="1"/>
      <c r="R28" s="1">
        <v>-1251.5999999999999</v>
      </c>
      <c r="S28" s="1">
        <v>-209.2</v>
      </c>
      <c r="T28" s="1">
        <f>-(T27*0.2)</f>
        <v>-540.26984999999547</v>
      </c>
      <c r="U28" s="1">
        <f t="shared" ref="U28:AA28" si="131">-(U27*0.2)</f>
        <v>-559.31639776454836</v>
      </c>
      <c r="V28" s="1">
        <f t="shared" si="131"/>
        <v>-578.36294552910113</v>
      </c>
      <c r="W28" s="1">
        <f t="shared" si="131"/>
        <v>-597.40949329365355</v>
      </c>
      <c r="X28" s="1">
        <f t="shared" si="131"/>
        <v>-616.45604105820644</v>
      </c>
      <c r="Y28" s="1">
        <f t="shared" si="131"/>
        <v>-635.50258882275887</v>
      </c>
      <c r="Z28" s="1">
        <f t="shared" si="131"/>
        <v>-654.54913658731175</v>
      </c>
      <c r="AA28" s="1">
        <f t="shared" si="131"/>
        <v>-673.59568435186418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2:149" s="2" customFormat="1" x14ac:dyDescent="0.25">
      <c r="B29" s="2" t="s">
        <v>44</v>
      </c>
      <c r="C29" s="3">
        <f>C27+C28</f>
        <v>212.80000000000013</v>
      </c>
      <c r="D29" s="3"/>
      <c r="E29" s="3">
        <f>E27+E28</f>
        <v>231.0999999999994</v>
      </c>
      <c r="F29" s="3"/>
      <c r="G29" s="3">
        <f>G27+G28</f>
        <v>79.700000000000571</v>
      </c>
      <c r="H29" s="3">
        <f>H27+H28</f>
        <v>8.1000000000001933</v>
      </c>
      <c r="I29" s="3">
        <f>I27+I28</f>
        <v>102.20000000000053</v>
      </c>
      <c r="J29" s="3"/>
      <c r="K29" s="3">
        <f>K27+K28</f>
        <v>184.30000000000069</v>
      </c>
      <c r="L29" s="3"/>
      <c r="M29" s="3"/>
      <c r="N29" s="3"/>
      <c r="O29" s="3"/>
      <c r="P29" s="3"/>
      <c r="Q29" s="3"/>
      <c r="R29" s="3">
        <f>R27+R28</f>
        <v>4414.5</v>
      </c>
      <c r="S29" s="3">
        <f>S27+S28</f>
        <v>901.10000000000014</v>
      </c>
      <c r="T29" s="3">
        <f>243</f>
        <v>243</v>
      </c>
      <c r="U29" s="3">
        <v>293</v>
      </c>
      <c r="V29" s="3">
        <f>695</f>
        <v>695</v>
      </c>
      <c r="W29" s="3">
        <f t="shared" ref="W29:AA29" si="132">V29</f>
        <v>695</v>
      </c>
      <c r="X29" s="3">
        <f t="shared" si="132"/>
        <v>695</v>
      </c>
      <c r="Y29" s="3">
        <f t="shared" si="132"/>
        <v>695</v>
      </c>
      <c r="Z29" s="3">
        <f t="shared" si="132"/>
        <v>695</v>
      </c>
      <c r="AA29" s="3">
        <f t="shared" si="132"/>
        <v>695</v>
      </c>
      <c r="AB29" s="3">
        <f t="shared" ref="AB29:CF29" si="133">AA29*(1+$X$32)</f>
        <v>695</v>
      </c>
      <c r="AC29" s="3">
        <f t="shared" si="133"/>
        <v>695</v>
      </c>
      <c r="AD29" s="3">
        <f t="shared" si="133"/>
        <v>695</v>
      </c>
      <c r="AE29" s="3">
        <f t="shared" si="133"/>
        <v>695</v>
      </c>
      <c r="AF29" s="3">
        <f t="shared" si="133"/>
        <v>695</v>
      </c>
      <c r="AG29" s="3">
        <f t="shared" si="133"/>
        <v>695</v>
      </c>
      <c r="AH29" s="3">
        <f t="shared" si="133"/>
        <v>695</v>
      </c>
      <c r="AI29" s="3">
        <f t="shared" si="133"/>
        <v>695</v>
      </c>
      <c r="AJ29" s="3">
        <f t="shared" si="133"/>
        <v>695</v>
      </c>
      <c r="AK29" s="3">
        <f t="shared" si="133"/>
        <v>695</v>
      </c>
      <c r="AL29" s="3">
        <f t="shared" si="133"/>
        <v>695</v>
      </c>
      <c r="AM29" s="3">
        <f t="shared" si="133"/>
        <v>695</v>
      </c>
      <c r="AN29" s="3">
        <f t="shared" si="133"/>
        <v>695</v>
      </c>
      <c r="AO29" s="3">
        <f t="shared" si="133"/>
        <v>695</v>
      </c>
      <c r="AP29" s="3">
        <f t="shared" si="133"/>
        <v>695</v>
      </c>
      <c r="AQ29" s="3">
        <f t="shared" si="133"/>
        <v>695</v>
      </c>
      <c r="AR29" s="3">
        <f t="shared" si="133"/>
        <v>695</v>
      </c>
      <c r="AS29" s="3">
        <f t="shared" si="133"/>
        <v>695</v>
      </c>
      <c r="AT29" s="3">
        <f t="shared" si="133"/>
        <v>695</v>
      </c>
      <c r="AU29" s="3">
        <f t="shared" si="133"/>
        <v>695</v>
      </c>
      <c r="AV29" s="3">
        <f t="shared" si="133"/>
        <v>695</v>
      </c>
      <c r="AW29" s="3">
        <f t="shared" si="133"/>
        <v>695</v>
      </c>
      <c r="AX29" s="3">
        <f t="shared" si="133"/>
        <v>695</v>
      </c>
      <c r="AY29" s="3">
        <f t="shared" si="133"/>
        <v>695</v>
      </c>
      <c r="AZ29" s="3">
        <f t="shared" si="133"/>
        <v>695</v>
      </c>
      <c r="BA29" s="3">
        <f t="shared" si="133"/>
        <v>695</v>
      </c>
      <c r="BB29" s="3">
        <f t="shared" si="133"/>
        <v>695</v>
      </c>
      <c r="BC29" s="3">
        <f t="shared" si="133"/>
        <v>695</v>
      </c>
      <c r="BD29" s="3">
        <f t="shared" si="133"/>
        <v>695</v>
      </c>
      <c r="BE29" s="3">
        <f t="shared" si="133"/>
        <v>695</v>
      </c>
      <c r="BF29" s="3">
        <f t="shared" si="133"/>
        <v>695</v>
      </c>
      <c r="BG29" s="3">
        <f t="shared" si="133"/>
        <v>695</v>
      </c>
      <c r="BH29" s="3">
        <f t="shared" si="133"/>
        <v>695</v>
      </c>
      <c r="BI29" s="3">
        <f t="shared" si="133"/>
        <v>695</v>
      </c>
      <c r="BJ29" s="3">
        <f t="shared" si="133"/>
        <v>695</v>
      </c>
      <c r="BK29" s="3">
        <f t="shared" si="133"/>
        <v>695</v>
      </c>
      <c r="BL29" s="3">
        <f t="shared" si="133"/>
        <v>695</v>
      </c>
      <c r="BM29" s="3">
        <f t="shared" si="133"/>
        <v>695</v>
      </c>
      <c r="BN29" s="3">
        <f t="shared" si="133"/>
        <v>695</v>
      </c>
      <c r="BO29" s="3">
        <f t="shared" si="133"/>
        <v>695</v>
      </c>
      <c r="BP29" s="3">
        <f t="shared" si="133"/>
        <v>695</v>
      </c>
      <c r="BQ29" s="3">
        <f t="shared" si="133"/>
        <v>695</v>
      </c>
      <c r="BR29" s="3">
        <f t="shared" si="133"/>
        <v>695</v>
      </c>
      <c r="BS29" s="3">
        <f t="shared" si="133"/>
        <v>695</v>
      </c>
      <c r="BT29" s="3">
        <f t="shared" si="133"/>
        <v>695</v>
      </c>
      <c r="BU29" s="3">
        <f t="shared" si="133"/>
        <v>695</v>
      </c>
      <c r="BV29" s="3">
        <f t="shared" si="133"/>
        <v>695</v>
      </c>
      <c r="BW29" s="3">
        <f t="shared" si="133"/>
        <v>695</v>
      </c>
      <c r="BX29" s="3">
        <f t="shared" si="133"/>
        <v>695</v>
      </c>
      <c r="BY29" s="3">
        <f t="shared" si="133"/>
        <v>695</v>
      </c>
      <c r="BZ29" s="3">
        <f t="shared" si="133"/>
        <v>695</v>
      </c>
      <c r="CA29" s="3">
        <f t="shared" si="133"/>
        <v>695</v>
      </c>
      <c r="CB29" s="3">
        <f t="shared" si="133"/>
        <v>695</v>
      </c>
      <c r="CC29" s="3">
        <f t="shared" si="133"/>
        <v>695</v>
      </c>
      <c r="CD29" s="3">
        <f t="shared" si="133"/>
        <v>695</v>
      </c>
      <c r="CE29" s="3">
        <f t="shared" si="133"/>
        <v>695</v>
      </c>
      <c r="CF29" s="3">
        <f t="shared" si="133"/>
        <v>695</v>
      </c>
      <c r="CG29" s="3">
        <f t="shared" ref="CG29:ER29" si="134">CF29*(1+$X$32)</f>
        <v>695</v>
      </c>
      <c r="CH29" s="3">
        <f t="shared" si="134"/>
        <v>695</v>
      </c>
      <c r="CI29" s="3">
        <f t="shared" si="134"/>
        <v>695</v>
      </c>
      <c r="CJ29" s="3">
        <f t="shared" si="134"/>
        <v>695</v>
      </c>
      <c r="CK29" s="3">
        <f t="shared" si="134"/>
        <v>695</v>
      </c>
      <c r="CL29" s="3">
        <f t="shared" si="134"/>
        <v>695</v>
      </c>
      <c r="CM29" s="3">
        <f t="shared" si="134"/>
        <v>695</v>
      </c>
      <c r="CN29" s="3">
        <f t="shared" si="134"/>
        <v>695</v>
      </c>
      <c r="CO29" s="3">
        <f t="shared" si="134"/>
        <v>695</v>
      </c>
      <c r="CP29" s="3">
        <f t="shared" si="134"/>
        <v>695</v>
      </c>
      <c r="CQ29" s="3">
        <f t="shared" si="134"/>
        <v>695</v>
      </c>
      <c r="CR29" s="3">
        <f t="shared" si="134"/>
        <v>695</v>
      </c>
      <c r="CS29" s="3">
        <f t="shared" si="134"/>
        <v>695</v>
      </c>
      <c r="CT29" s="3">
        <f t="shared" si="134"/>
        <v>695</v>
      </c>
      <c r="CU29" s="3">
        <f t="shared" si="134"/>
        <v>695</v>
      </c>
      <c r="CV29" s="3">
        <f t="shared" si="134"/>
        <v>695</v>
      </c>
      <c r="CW29" s="3">
        <f t="shared" si="134"/>
        <v>695</v>
      </c>
      <c r="CX29" s="3">
        <f t="shared" si="134"/>
        <v>695</v>
      </c>
      <c r="CY29" s="3">
        <f t="shared" si="134"/>
        <v>695</v>
      </c>
      <c r="CZ29" s="3">
        <f t="shared" si="134"/>
        <v>695</v>
      </c>
      <c r="DA29" s="3">
        <f t="shared" si="134"/>
        <v>695</v>
      </c>
      <c r="DB29" s="3">
        <f t="shared" si="134"/>
        <v>695</v>
      </c>
      <c r="DC29" s="3">
        <f t="shared" si="134"/>
        <v>695</v>
      </c>
      <c r="DD29" s="3">
        <f t="shared" si="134"/>
        <v>695</v>
      </c>
      <c r="DE29" s="3">
        <f t="shared" si="134"/>
        <v>695</v>
      </c>
      <c r="DF29" s="3">
        <f t="shared" si="134"/>
        <v>695</v>
      </c>
      <c r="DG29" s="3">
        <f t="shared" si="134"/>
        <v>695</v>
      </c>
      <c r="DH29" s="3">
        <f t="shared" si="134"/>
        <v>695</v>
      </c>
      <c r="DI29" s="3">
        <f t="shared" si="134"/>
        <v>695</v>
      </c>
      <c r="DJ29" s="3">
        <f t="shared" si="134"/>
        <v>695</v>
      </c>
      <c r="DK29" s="3">
        <f t="shared" si="134"/>
        <v>695</v>
      </c>
      <c r="DL29" s="3">
        <f t="shared" si="134"/>
        <v>695</v>
      </c>
      <c r="DM29" s="3">
        <f t="shared" si="134"/>
        <v>695</v>
      </c>
      <c r="DN29" s="3">
        <f t="shared" si="134"/>
        <v>695</v>
      </c>
      <c r="DO29" s="3">
        <f t="shared" si="134"/>
        <v>695</v>
      </c>
      <c r="DP29" s="3">
        <f t="shared" si="134"/>
        <v>695</v>
      </c>
      <c r="DQ29" s="3">
        <f t="shared" si="134"/>
        <v>695</v>
      </c>
      <c r="DR29" s="3">
        <f t="shared" si="134"/>
        <v>695</v>
      </c>
      <c r="DS29" s="3">
        <f t="shared" si="134"/>
        <v>695</v>
      </c>
      <c r="DT29" s="3">
        <f t="shared" si="134"/>
        <v>695</v>
      </c>
      <c r="DU29" s="3">
        <f t="shared" si="134"/>
        <v>695</v>
      </c>
      <c r="DV29" s="3">
        <f t="shared" si="134"/>
        <v>695</v>
      </c>
      <c r="DW29" s="3">
        <f t="shared" si="134"/>
        <v>695</v>
      </c>
      <c r="DX29" s="3">
        <f t="shared" si="134"/>
        <v>695</v>
      </c>
      <c r="DY29" s="3">
        <f t="shared" si="134"/>
        <v>695</v>
      </c>
      <c r="DZ29" s="3">
        <f t="shared" si="134"/>
        <v>695</v>
      </c>
      <c r="EA29" s="3">
        <f t="shared" si="134"/>
        <v>695</v>
      </c>
      <c r="EB29" s="3">
        <f t="shared" si="134"/>
        <v>695</v>
      </c>
      <c r="EC29" s="3">
        <f t="shared" si="134"/>
        <v>695</v>
      </c>
      <c r="ED29" s="3">
        <f t="shared" si="134"/>
        <v>695</v>
      </c>
      <c r="EE29" s="3">
        <f t="shared" si="134"/>
        <v>695</v>
      </c>
      <c r="EF29" s="3">
        <f t="shared" si="134"/>
        <v>695</v>
      </c>
      <c r="EG29" s="3">
        <f t="shared" si="134"/>
        <v>695</v>
      </c>
      <c r="EH29" s="3">
        <f t="shared" si="134"/>
        <v>695</v>
      </c>
      <c r="EI29" s="3">
        <f t="shared" si="134"/>
        <v>695</v>
      </c>
      <c r="EJ29" s="3">
        <f t="shared" si="134"/>
        <v>695</v>
      </c>
      <c r="EK29" s="3">
        <f t="shared" si="134"/>
        <v>695</v>
      </c>
      <c r="EL29" s="3">
        <f t="shared" si="134"/>
        <v>695</v>
      </c>
      <c r="EM29" s="3">
        <f t="shared" si="134"/>
        <v>695</v>
      </c>
      <c r="EN29" s="3">
        <f t="shared" si="134"/>
        <v>695</v>
      </c>
      <c r="EO29" s="3">
        <f t="shared" si="134"/>
        <v>695</v>
      </c>
      <c r="EP29" s="3">
        <f t="shared" si="134"/>
        <v>695</v>
      </c>
      <c r="EQ29" s="3">
        <f t="shared" si="134"/>
        <v>695</v>
      </c>
      <c r="ER29" s="3">
        <f t="shared" si="134"/>
        <v>695</v>
      </c>
      <c r="ES29" s="3">
        <f t="shared" ref="ES29" si="135">ER29*(1+$X$32)</f>
        <v>695</v>
      </c>
    </row>
    <row r="30" spans="2:149" x14ac:dyDescent="0.25">
      <c r="B30" t="s">
        <v>45</v>
      </c>
      <c r="C30" s="1">
        <v>214.9</v>
      </c>
      <c r="D30" s="1"/>
      <c r="E30" s="1">
        <v>236.7</v>
      </c>
      <c r="F30" s="1"/>
      <c r="G30" s="1">
        <v>64.5</v>
      </c>
      <c r="H30" s="1">
        <v>-7.3</v>
      </c>
      <c r="I30" s="1">
        <v>120.8</v>
      </c>
      <c r="J30" s="1"/>
      <c r="K30" s="1">
        <v>180.1</v>
      </c>
      <c r="L30" s="1"/>
      <c r="M30" s="1"/>
      <c r="N30" s="1"/>
      <c r="O30" s="1"/>
      <c r="P30" s="1"/>
      <c r="Q30" s="1"/>
      <c r="R30" s="1">
        <v>4408.8</v>
      </c>
      <c r="S30" s="1">
        <v>900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2:149" x14ac:dyDescent="0.25">
      <c r="B31" t="s">
        <v>46</v>
      </c>
      <c r="C31">
        <v>-2.1</v>
      </c>
      <c r="E31">
        <v>-5.6</v>
      </c>
      <c r="G31">
        <v>6.5</v>
      </c>
      <c r="H31">
        <v>15.4</v>
      </c>
      <c r="I31">
        <v>-18.600000000000001</v>
      </c>
      <c r="K31">
        <v>4.2</v>
      </c>
      <c r="R31">
        <v>5.7</v>
      </c>
      <c r="S31">
        <v>1.1000000000000001</v>
      </c>
    </row>
    <row r="32" spans="2:149" s="2" customFormat="1" x14ac:dyDescent="0.25">
      <c r="B32" s="2" t="s">
        <v>47</v>
      </c>
      <c r="C32" s="2">
        <v>0.37</v>
      </c>
      <c r="E32" s="2">
        <v>0.42</v>
      </c>
      <c r="G32" s="2">
        <v>0.13</v>
      </c>
      <c r="H32" s="2">
        <v>0.01</v>
      </c>
      <c r="I32" s="2">
        <v>0.19</v>
      </c>
      <c r="K32" s="2">
        <v>0.33</v>
      </c>
      <c r="R32" s="2">
        <v>6.95</v>
      </c>
      <c r="S32" s="2">
        <v>1.62</v>
      </c>
      <c r="V32" s="18"/>
      <c r="W32" s="2" t="s">
        <v>117</v>
      </c>
      <c r="X32" s="16">
        <v>0</v>
      </c>
    </row>
    <row r="33" spans="1:59" x14ac:dyDescent="0.25">
      <c r="B33" t="s">
        <v>48</v>
      </c>
      <c r="C33" s="1">
        <v>568.37189000000001</v>
      </c>
      <c r="D33" s="1"/>
      <c r="E33" s="1">
        <v>550.703531</v>
      </c>
      <c r="F33" s="1"/>
      <c r="G33" s="1">
        <v>550.703531</v>
      </c>
      <c r="H33" s="1">
        <v>561.52580399999999</v>
      </c>
      <c r="I33" s="1">
        <v>550.703531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116</v>
      </c>
      <c r="X33" s="17">
        <v>0.1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118</v>
      </c>
      <c r="X34" s="1">
        <f>NPV(X33,T29:ES29)</f>
        <v>6206.8306016106562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B35" t="s">
        <v>17</v>
      </c>
      <c r="C35" s="1">
        <v>766.6</v>
      </c>
      <c r="D35" s="1"/>
      <c r="E35" s="1">
        <v>953</v>
      </c>
      <c r="F35" s="1"/>
      <c r="G35" s="1">
        <v>761.2</v>
      </c>
      <c r="H35" s="1">
        <v>798.5</v>
      </c>
      <c r="I35" s="1">
        <v>994.8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119</v>
      </c>
      <c r="X35" s="1">
        <f>X34/Main!F8</f>
        <v>9.7050570972685986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B36" t="s">
        <v>49</v>
      </c>
      <c r="C36" s="4">
        <f>C35/C8</f>
        <v>0.25667124250845413</v>
      </c>
      <c r="D36" s="1"/>
      <c r="E36" s="4">
        <f>E35/E8</f>
        <v>0.29135711883579446</v>
      </c>
      <c r="F36" s="1"/>
      <c r="G36" s="4">
        <f>G35/G8</f>
        <v>0.23792704654143093</v>
      </c>
      <c r="H36" s="4">
        <f>H35/H8</f>
        <v>0.24271992218371935</v>
      </c>
      <c r="I36" s="4">
        <f>I35/I8</f>
        <v>0.28787221112943834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120</v>
      </c>
      <c r="X36">
        <v>10.4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B37" t="s">
        <v>50</v>
      </c>
      <c r="C37" s="1">
        <v>0</v>
      </c>
      <c r="D37" s="1"/>
      <c r="E37" s="1">
        <v>113.4</v>
      </c>
      <c r="F37" s="1"/>
      <c r="G37" s="1">
        <v>0</v>
      </c>
      <c r="H37" s="1">
        <v>0</v>
      </c>
      <c r="I37" s="1">
        <v>220.1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121</v>
      </c>
      <c r="X37" s="17">
        <f>X35/X36-1</f>
        <v>-6.6821432954942472E-2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B38" t="s">
        <v>51</v>
      </c>
      <c r="C38" s="1">
        <v>-34.1</v>
      </c>
      <c r="D38" s="1"/>
      <c r="E38" s="1" t="s">
        <v>55</v>
      </c>
      <c r="F38" s="1"/>
      <c r="G38" s="1" t="s">
        <v>55</v>
      </c>
      <c r="H38" s="1" t="s">
        <v>55</v>
      </c>
      <c r="I38" s="1" t="s">
        <v>55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B39" t="s">
        <v>52</v>
      </c>
      <c r="C39" s="1">
        <f>C35-C37-C38</f>
        <v>800.7</v>
      </c>
      <c r="D39" s="1"/>
      <c r="E39" s="1">
        <f>E35-E37</f>
        <v>839.6</v>
      </c>
      <c r="F39" s="1"/>
      <c r="G39" s="1">
        <f>G35-G37</f>
        <v>761.2</v>
      </c>
      <c r="H39" s="1">
        <f>H35-H37</f>
        <v>798.5</v>
      </c>
      <c r="I39" s="1">
        <f>I35-I37</f>
        <v>774.69999999999993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4" customFormat="1" x14ac:dyDescent="0.25">
      <c r="B40" s="4" t="s">
        <v>53</v>
      </c>
      <c r="C40" s="4">
        <f>C39/C8</f>
        <v>0.26808852579770315</v>
      </c>
      <c r="E40" s="4">
        <f>E39/E8</f>
        <v>0.25668776177810393</v>
      </c>
      <c r="G40" s="4">
        <f>G39/G8</f>
        <v>0.23792704654143093</v>
      </c>
      <c r="H40" s="4">
        <f>H39/H8</f>
        <v>0.24271992218371935</v>
      </c>
      <c r="I40" s="4">
        <f>I39/I8</f>
        <v>0.22418033972856438</v>
      </c>
    </row>
    <row r="41" spans="1:59" s="4" customFormat="1" x14ac:dyDescent="0.25">
      <c r="B41" s="4" t="s">
        <v>54</v>
      </c>
      <c r="C41" s="4">
        <v>0.107</v>
      </c>
      <c r="E41" s="4">
        <v>0.153</v>
      </c>
      <c r="G41" s="4">
        <f>G20/G8+1</f>
        <v>9.6083518269621693E-2</v>
      </c>
      <c r="H41" s="4">
        <f>H20/H8+1</f>
        <v>0.10480880296674577</v>
      </c>
      <c r="I41" s="4">
        <v>0.14799999999999999</v>
      </c>
    </row>
    <row r="42" spans="1:5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s="4" customFormat="1" x14ac:dyDescent="0.25">
      <c r="B43" s="4" t="s">
        <v>56</v>
      </c>
      <c r="C43" s="4" t="e">
        <f>C8/#REF!-1</f>
        <v>#REF!</v>
      </c>
      <c r="E43" s="4" t="e">
        <f>E8/A8-1</f>
        <v>#DIV/0!</v>
      </c>
      <c r="G43" s="4">
        <f>G8/C8-1</f>
        <v>7.1182241269628577E-2</v>
      </c>
      <c r="H43" s="4" t="e">
        <f>H8/D8-1</f>
        <v>#DIV/0!</v>
      </c>
      <c r="I43" s="4">
        <f>I8/E8-1</f>
        <v>5.6498211501421647E-2</v>
      </c>
      <c r="K43" s="4">
        <f>K8/G8-1</f>
        <v>6.4295314600068876E-2</v>
      </c>
      <c r="R43" s="4" t="e">
        <f>R8/Q8-1</f>
        <v>#DIV/0!</v>
      </c>
      <c r="S43" s="4">
        <f>S8/R8-1</f>
        <v>3.787367405978781E-2</v>
      </c>
    </row>
    <row r="44" spans="1:59" s="4" customFormat="1" x14ac:dyDescent="0.25">
      <c r="B44" s="4" t="s">
        <v>57</v>
      </c>
      <c r="C44" s="4">
        <f>C28/C27*(-1)</f>
        <v>0.1972840437570727</v>
      </c>
      <c r="E44" s="4">
        <f>E28/E27*(-1)</f>
        <v>0.22267070299360961</v>
      </c>
      <c r="G44" s="4">
        <f>G28/G27*(-1)</f>
        <v>0.1411637931034474</v>
      </c>
      <c r="H44" s="4">
        <f>H28/H27*(-1)</f>
        <v>0.79850746268656336</v>
      </c>
      <c r="I44" s="4">
        <f>I28/I27*(-1)</f>
        <v>0.40268848626534071</v>
      </c>
      <c r="K44" s="4">
        <f>K28/K27*(-1)</f>
        <v>0.31892091648189125</v>
      </c>
      <c r="R44" s="4">
        <f>R28/R27*(-1)</f>
        <v>0.22089267750304439</v>
      </c>
      <c r="S44" s="4">
        <f>S28/S27*(-1)</f>
        <v>0.18841754480770959</v>
      </c>
    </row>
    <row r="45" spans="1:59" s="4" customFormat="1" x14ac:dyDescent="0.25">
      <c r="B45" s="4" t="s">
        <v>58</v>
      </c>
      <c r="C45" s="4">
        <f>C23/C8</f>
        <v>0.10724210667291664</v>
      </c>
      <c r="E45" s="4">
        <f>E23/E8</f>
        <v>0.15313827998410207</v>
      </c>
      <c r="G45" s="4">
        <f>G23/G8</f>
        <v>9.6083518269621651E-2</v>
      </c>
      <c r="H45" s="4">
        <f>H23/H8</f>
        <v>0.10024925527387687</v>
      </c>
      <c r="I45" s="4">
        <f>I23/I8</f>
        <v>0.14784269467835764</v>
      </c>
      <c r="K45" s="4">
        <f>K23/K8</f>
        <v>0.13295154185022046</v>
      </c>
      <c r="R45" s="4">
        <f>R23/R8</f>
        <v>0.4657987785278046</v>
      </c>
      <c r="S45" s="4">
        <f>S23/S8</f>
        <v>0.12715151796706234</v>
      </c>
    </row>
    <row r="46" spans="1:59" s="4" customFormat="1" x14ac:dyDescent="0.25">
      <c r="B46" s="4" t="s">
        <v>59</v>
      </c>
      <c r="C46" s="4">
        <f>C29/C8</f>
        <v>7.1249204807982094E-2</v>
      </c>
      <c r="E46" s="4">
        <f>E29/E8</f>
        <v>7.0653337002048192E-2</v>
      </c>
      <c r="G46" s="4">
        <f>G29/G8</f>
        <v>2.4911699434251419E-2</v>
      </c>
      <c r="H46" s="4">
        <f>H29/H8</f>
        <v>2.4621557541492471E-3</v>
      </c>
      <c r="I46" s="4">
        <f>I29/I8</f>
        <v>2.9574326475099267E-2</v>
      </c>
      <c r="K46" s="4">
        <f>K29/K8</f>
        <v>5.4126284875183749E-2</v>
      </c>
      <c r="R46" s="4">
        <f>R29/R8</f>
        <v>0.35474927675988427</v>
      </c>
      <c r="S46" s="4">
        <f>S29/S8</f>
        <v>6.9769962757349827E-2</v>
      </c>
    </row>
    <row r="47" spans="1:59" s="4" customFormat="1" x14ac:dyDescent="0.25"/>
    <row r="48" spans="1:59" x14ac:dyDescent="0.25">
      <c r="A48" t="s">
        <v>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5">
      <c r="A49" t="s">
        <v>76</v>
      </c>
      <c r="B49" s="4" t="s">
        <v>70</v>
      </c>
      <c r="C49" s="1">
        <f>C29</f>
        <v>212.80000000000013</v>
      </c>
      <c r="D49" s="1"/>
      <c r="E49" s="1"/>
      <c r="F49" s="1"/>
      <c r="G49" s="1">
        <f>G29</f>
        <v>79.700000000000571</v>
      </c>
      <c r="H49" s="1">
        <f>H29</f>
        <v>8.1000000000001933</v>
      </c>
      <c r="I49" s="1"/>
      <c r="J49" s="1"/>
      <c r="K49" s="1">
        <f>K29</f>
        <v>184.30000000000069</v>
      </c>
      <c r="L49" s="1"/>
      <c r="M49" s="1"/>
      <c r="N49" s="1"/>
      <c r="O49" s="1"/>
      <c r="P49" s="1"/>
      <c r="Q49" s="1"/>
      <c r="R49" s="1">
        <f>R29</f>
        <v>4414.5</v>
      </c>
      <c r="S49" s="1">
        <f>S29</f>
        <v>901.10000000000014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5">
      <c r="B50" s="4" t="s">
        <v>25</v>
      </c>
      <c r="C50" s="1">
        <v>446.3</v>
      </c>
      <c r="D50" s="1"/>
      <c r="E50" s="1"/>
      <c r="F50" s="1"/>
      <c r="G50" s="1">
        <v>462.5</v>
      </c>
      <c r="H50" s="1">
        <v>469.29999999999995</v>
      </c>
      <c r="I50" s="1"/>
      <c r="J50" s="1"/>
      <c r="K50" s="1">
        <v>493.6</v>
      </c>
      <c r="L50" s="1"/>
      <c r="M50" s="1"/>
      <c r="N50" s="1"/>
      <c r="O50" s="1"/>
      <c r="P50" s="1"/>
      <c r="Q50" s="1"/>
      <c r="R50" s="1">
        <v>1903.2</v>
      </c>
      <c r="S50" s="1">
        <v>1829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5">
      <c r="B51" s="4" t="s">
        <v>72</v>
      </c>
      <c r="C51" s="1">
        <v>-178</v>
      </c>
      <c r="D51" s="1"/>
      <c r="E51" s="1"/>
      <c r="F51" s="1"/>
      <c r="G51" s="1">
        <v>-187.2</v>
      </c>
      <c r="H51" s="1">
        <v>-154.10000000000002</v>
      </c>
      <c r="I51" s="1"/>
      <c r="J51" s="1"/>
      <c r="K51" s="1">
        <v>-206.7</v>
      </c>
      <c r="L51" s="1"/>
      <c r="M51" s="1"/>
      <c r="N51" s="1"/>
      <c r="O51" s="1"/>
      <c r="P51" s="1"/>
      <c r="Q51" s="1"/>
      <c r="R51" s="1">
        <v>-645</v>
      </c>
      <c r="S51" s="1">
        <v>-587.1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25">
      <c r="B52" s="4" t="s">
        <v>73</v>
      </c>
      <c r="C52" s="1">
        <v>149.80000000000001</v>
      </c>
      <c r="D52" s="1"/>
      <c r="E52" s="1"/>
      <c r="F52" s="1"/>
      <c r="G52" s="1">
        <v>151.30000000000001</v>
      </c>
      <c r="H52" s="1">
        <v>167.3</v>
      </c>
      <c r="I52" s="1"/>
      <c r="J52" s="1"/>
      <c r="K52" s="1">
        <v>146.4</v>
      </c>
      <c r="L52" s="1"/>
      <c r="M52" s="1"/>
      <c r="N52" s="1"/>
      <c r="O52" s="1"/>
      <c r="P52" s="1"/>
      <c r="Q52" s="1"/>
      <c r="R52" s="1">
        <v>558.79999999999995</v>
      </c>
      <c r="S52" s="1">
        <v>668.6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25">
      <c r="B53" s="4" t="s">
        <v>74</v>
      </c>
      <c r="C53" s="1">
        <v>112.3</v>
      </c>
      <c r="D53" s="1"/>
      <c r="E53" s="1"/>
      <c r="F53" s="1"/>
      <c r="G53" s="1">
        <v>236.9</v>
      </c>
      <c r="H53" s="1">
        <v>277.10000000000002</v>
      </c>
      <c r="I53" s="1"/>
      <c r="J53" s="1"/>
      <c r="K53" s="1">
        <v>264.2</v>
      </c>
      <c r="L53" s="1"/>
      <c r="M53" s="1"/>
      <c r="N53" s="1"/>
      <c r="O53" s="1"/>
      <c r="P53" s="1"/>
      <c r="Q53" s="1"/>
      <c r="R53" s="1">
        <v>299.39999999999998</v>
      </c>
      <c r="S53" s="1">
        <v>660.6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5">
      <c r="B54" s="4" t="s">
        <v>75</v>
      </c>
      <c r="C54" s="1">
        <v>-1.8</v>
      </c>
      <c r="D54" s="1"/>
      <c r="E54" s="1"/>
      <c r="F54" s="1"/>
      <c r="G54" s="1">
        <v>-109.8</v>
      </c>
      <c r="H54" s="1">
        <v>2.3999999999999915</v>
      </c>
      <c r="I54" s="1"/>
      <c r="J54" s="1"/>
      <c r="K54" s="1">
        <v>-4.2</v>
      </c>
      <c r="L54" s="1"/>
      <c r="M54" s="1"/>
      <c r="N54" s="1"/>
      <c r="O54" s="1"/>
      <c r="P54" s="1"/>
      <c r="Q54" s="1"/>
      <c r="R54" s="1">
        <v>-295.39999999999998</v>
      </c>
      <c r="S54" s="1">
        <v>-82.5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5">
      <c r="B55" s="4" t="s">
        <v>77</v>
      </c>
      <c r="C55" s="1">
        <v>41.7</v>
      </c>
      <c r="D55" s="1"/>
      <c r="E55" s="1"/>
      <c r="F55" s="1"/>
      <c r="G55" s="1">
        <v>132.5</v>
      </c>
      <c r="H55" s="1">
        <v>5.8000000000000114</v>
      </c>
      <c r="I55" s="1"/>
      <c r="J55" s="1"/>
      <c r="K55" s="1">
        <v>-71</v>
      </c>
      <c r="L55" s="1"/>
      <c r="M55" s="1"/>
      <c r="N55" s="1"/>
      <c r="O55" s="1"/>
      <c r="P55" s="1"/>
      <c r="Q55" s="1"/>
      <c r="R55" s="1">
        <v>-25.7</v>
      </c>
      <c r="S55" s="1">
        <v>-0.9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5">
      <c r="B56" s="4" t="s">
        <v>78</v>
      </c>
      <c r="C56" s="1">
        <v>-143.80000000000001</v>
      </c>
      <c r="D56" s="1"/>
      <c r="E56" s="1"/>
      <c r="F56" s="1"/>
      <c r="G56" s="1">
        <v>-330.2</v>
      </c>
      <c r="H56" s="1">
        <v>275</v>
      </c>
      <c r="I56" s="1"/>
      <c r="J56" s="1"/>
      <c r="K56" s="1">
        <v>0.6</v>
      </c>
      <c r="L56" s="1"/>
      <c r="M56" s="1"/>
      <c r="N56" s="1"/>
      <c r="O56" s="1"/>
      <c r="P56" s="1"/>
      <c r="Q56" s="1"/>
      <c r="R56" s="1">
        <v>-55</v>
      </c>
      <c r="S56" s="1">
        <v>-218.6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5">
      <c r="B57" s="4" t="s">
        <v>79</v>
      </c>
      <c r="C57" s="1">
        <v>24.2</v>
      </c>
      <c r="D57" s="1"/>
      <c r="E57" s="1"/>
      <c r="F57" s="1"/>
      <c r="G57" s="1">
        <v>-14.6</v>
      </c>
      <c r="H57" s="1">
        <v>2.1999999999999993</v>
      </c>
      <c r="I57" s="1"/>
      <c r="J57" s="1"/>
      <c r="K57" s="1">
        <v>8.1999999999999993</v>
      </c>
      <c r="L57" s="1"/>
      <c r="M57" s="1"/>
      <c r="N57" s="1"/>
      <c r="O57" s="1"/>
      <c r="P57" s="1"/>
      <c r="Q57" s="1"/>
      <c r="R57" s="1">
        <v>119.7</v>
      </c>
      <c r="S57" s="1">
        <v>55.1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5">
      <c r="B58" s="4" t="s">
        <v>92</v>
      </c>
      <c r="C58" s="1">
        <v>-13.3</v>
      </c>
      <c r="D58" s="1"/>
      <c r="E58" s="1"/>
      <c r="F58" s="1"/>
      <c r="G58" s="1">
        <v>22.1</v>
      </c>
      <c r="H58" s="1">
        <v>1</v>
      </c>
      <c r="I58" s="1"/>
      <c r="J58" s="1"/>
      <c r="K58" s="1">
        <v>37.700000000000003</v>
      </c>
      <c r="L58" s="1"/>
      <c r="M58" s="1"/>
      <c r="N58" s="1"/>
      <c r="O58" s="1"/>
      <c r="P58" s="1"/>
      <c r="Q58" s="1"/>
      <c r="R58" s="1">
        <v>-30.6</v>
      </c>
      <c r="S58" s="1">
        <v>-48.1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5">
      <c r="B59" s="4" t="s">
        <v>80</v>
      </c>
      <c r="C59" s="1">
        <v>2.6</v>
      </c>
      <c r="D59" s="1"/>
      <c r="E59" s="1"/>
      <c r="F59" s="1"/>
      <c r="G59" s="1">
        <v>0.1</v>
      </c>
      <c r="H59" s="1">
        <v>-19.8</v>
      </c>
      <c r="I59" s="1"/>
      <c r="J59" s="1"/>
      <c r="K59" s="1">
        <v>-20.5</v>
      </c>
      <c r="L59" s="1"/>
      <c r="M59" s="1"/>
      <c r="N59" s="1"/>
      <c r="O59" s="1"/>
      <c r="P59" s="1"/>
      <c r="Q59" s="1"/>
      <c r="R59" s="1">
        <v>-1.9</v>
      </c>
      <c r="S59" s="1">
        <v>14.6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5">
      <c r="B60" s="4" t="s">
        <v>43</v>
      </c>
      <c r="C60" s="1">
        <v>52.3</v>
      </c>
      <c r="D60" s="1"/>
      <c r="E60" s="1"/>
      <c r="F60" s="1"/>
      <c r="G60" s="1">
        <v>13.1</v>
      </c>
      <c r="H60" s="1">
        <v>32.1</v>
      </c>
      <c r="I60" s="1"/>
      <c r="J60" s="1"/>
      <c r="K60" s="1">
        <v>86.3</v>
      </c>
      <c r="L60" s="1"/>
      <c r="M60" s="1"/>
      <c r="N60" s="1"/>
      <c r="O60" s="1"/>
      <c r="P60" s="1"/>
      <c r="Q60" s="1"/>
      <c r="R60" s="1">
        <v>1251.5999999999999</v>
      </c>
      <c r="S60" s="1">
        <v>209.2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5">
      <c r="B61" s="4" t="s">
        <v>81</v>
      </c>
      <c r="C61" s="1">
        <v>-37.700000000000003</v>
      </c>
      <c r="D61" s="1"/>
      <c r="E61" s="1"/>
      <c r="F61" s="1"/>
      <c r="G61" s="1">
        <v>-24.8</v>
      </c>
      <c r="H61" s="1">
        <v>-22.400000000000002</v>
      </c>
      <c r="I61" s="1"/>
      <c r="J61" s="1"/>
      <c r="K61" s="1">
        <v>-45.8</v>
      </c>
      <c r="L61" s="1"/>
      <c r="M61" s="1"/>
      <c r="N61" s="1"/>
      <c r="O61" s="1"/>
      <c r="P61" s="1"/>
      <c r="Q61" s="1"/>
      <c r="R61" s="1">
        <v>-110</v>
      </c>
      <c r="S61" s="1">
        <v>-113.1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5">
      <c r="B62" s="4" t="s">
        <v>82</v>
      </c>
      <c r="C62" s="1">
        <v>-14.7</v>
      </c>
      <c r="D62" s="1"/>
      <c r="E62" s="1"/>
      <c r="F62" s="1"/>
      <c r="G62" s="1">
        <v>-20.3</v>
      </c>
      <c r="H62" s="1">
        <v>9.9</v>
      </c>
      <c r="I62" s="1"/>
      <c r="J62" s="1"/>
      <c r="K62" s="1" t="s">
        <v>55</v>
      </c>
      <c r="L62" s="1"/>
      <c r="M62" s="1"/>
      <c r="N62" s="1"/>
      <c r="O62" s="1"/>
      <c r="P62" s="1"/>
      <c r="Q62" s="1"/>
      <c r="R62" s="1">
        <v>-75.400000000000006</v>
      </c>
      <c r="S62" s="1">
        <v>-94.5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5">
      <c r="B63" s="4" t="s">
        <v>83</v>
      </c>
      <c r="C63" s="1" t="s">
        <v>55</v>
      </c>
      <c r="D63" s="1"/>
      <c r="E63" s="1"/>
      <c r="F63" s="1"/>
      <c r="G63" s="1">
        <v>9.6999999999999993</v>
      </c>
      <c r="H63" s="1">
        <v>0</v>
      </c>
      <c r="I63" s="1"/>
      <c r="J63" s="1"/>
      <c r="K63" s="1">
        <v>-10</v>
      </c>
      <c r="L63" s="1"/>
      <c r="M63" s="1"/>
      <c r="N63" s="1"/>
      <c r="O63" s="1"/>
      <c r="P63" s="1"/>
      <c r="Q63" s="1"/>
      <c r="R63" s="1" t="s">
        <v>55</v>
      </c>
      <c r="S63" s="1" t="s">
        <v>55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5">
      <c r="B64" s="4" t="s">
        <v>84</v>
      </c>
      <c r="C64" s="1" t="s">
        <v>55</v>
      </c>
      <c r="D64" s="1"/>
      <c r="E64" s="1"/>
      <c r="F64" s="1"/>
      <c r="G64" s="1">
        <v>-19.2</v>
      </c>
      <c r="H64" s="1">
        <v>0</v>
      </c>
      <c r="I64" s="1"/>
      <c r="J64" s="1"/>
      <c r="K64" s="1">
        <v>-2.5</v>
      </c>
      <c r="L64" s="1"/>
      <c r="M64" s="1"/>
      <c r="N64" s="1"/>
      <c r="O64" s="1"/>
      <c r="P64" s="1"/>
      <c r="Q64" s="1"/>
      <c r="R64" s="1" t="s">
        <v>55</v>
      </c>
      <c r="S64" s="1" t="s">
        <v>55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5">
      <c r="B65" s="4" t="s">
        <v>122</v>
      </c>
      <c r="C65" s="1"/>
      <c r="D65" s="1"/>
      <c r="E65" s="1"/>
      <c r="F65" s="1"/>
      <c r="G65" s="1"/>
      <c r="H65" s="1"/>
      <c r="I65" s="1"/>
      <c r="J65" s="1"/>
      <c r="K65" s="1" t="s">
        <v>55</v>
      </c>
      <c r="L65" s="1"/>
      <c r="M65" s="1"/>
      <c r="N65" s="1"/>
      <c r="O65" s="1"/>
      <c r="P65" s="1"/>
      <c r="Q65" s="1"/>
      <c r="R65" s="1">
        <v>-3680.6</v>
      </c>
      <c r="S65" s="1">
        <v>-153.19999999999999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5">
      <c r="B66" s="4" t="s">
        <v>85</v>
      </c>
      <c r="C66" s="1">
        <v>14.1</v>
      </c>
      <c r="D66" s="1"/>
      <c r="E66" s="1"/>
      <c r="F66" s="1"/>
      <c r="G66" s="1">
        <v>-37.4</v>
      </c>
      <c r="H66" s="1">
        <v>-18.100000000000001</v>
      </c>
      <c r="I66" s="1"/>
      <c r="J66" s="1"/>
      <c r="K66" s="1">
        <v>-60.5</v>
      </c>
      <c r="L66" s="1"/>
      <c r="M66" s="1"/>
      <c r="N66" s="1"/>
      <c r="O66" s="1"/>
      <c r="P66" s="1"/>
      <c r="Q66" s="1"/>
      <c r="R66" s="1">
        <v>62.1</v>
      </c>
      <c r="S66" s="1">
        <v>-66.7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s="2" customFormat="1" x14ac:dyDescent="0.25">
      <c r="B67" s="15" t="s">
        <v>86</v>
      </c>
      <c r="C67" s="3">
        <f>SUM(C50:C66)</f>
        <v>454.00000000000011</v>
      </c>
      <c r="D67" s="3"/>
      <c r="E67" s="3"/>
      <c r="F67" s="3"/>
      <c r="G67" s="3">
        <f>SUM(G50:G66)</f>
        <v>284.7000000000001</v>
      </c>
      <c r="H67" s="3">
        <f>SUM(H50:H66)</f>
        <v>1027.7</v>
      </c>
      <c r="I67" s="3"/>
      <c r="J67" s="3"/>
      <c r="K67" s="3">
        <f>SUM(K50:K66)</f>
        <v>615.80000000000007</v>
      </c>
      <c r="L67" s="3"/>
      <c r="M67" s="3"/>
      <c r="N67" s="3"/>
      <c r="O67" s="3"/>
      <c r="P67" s="3"/>
      <c r="Q67" s="3"/>
      <c r="R67" s="3">
        <f>SUM(R50:R66)</f>
        <v>-724.80000000000007</v>
      </c>
      <c r="S67" s="3">
        <f>SUM(S50:S66)</f>
        <v>2072.4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s="2" customFormat="1" x14ac:dyDescent="0.25">
      <c r="B68" s="15" t="s">
        <v>89</v>
      </c>
      <c r="C68" s="3">
        <f>C67+C49</f>
        <v>666.80000000000018</v>
      </c>
      <c r="D68" s="3"/>
      <c r="E68" s="3"/>
      <c r="F68" s="3"/>
      <c r="G68" s="3">
        <f>G67+G49</f>
        <v>364.40000000000066</v>
      </c>
      <c r="H68" s="3">
        <f>H67+H49</f>
        <v>1035.8000000000002</v>
      </c>
      <c r="I68" s="3"/>
      <c r="J68" s="3"/>
      <c r="K68" s="3">
        <f>K67+K49</f>
        <v>800.10000000000082</v>
      </c>
      <c r="L68" s="3"/>
      <c r="M68" s="3"/>
      <c r="N68" s="3"/>
      <c r="O68" s="3"/>
      <c r="P68" s="3"/>
      <c r="Q68" s="3"/>
      <c r="R68" s="3">
        <f>R67+R49</f>
        <v>3689.7</v>
      </c>
      <c r="S68" s="3">
        <f>S67+S49</f>
        <v>2973.5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B69" s="4" t="s">
        <v>87</v>
      </c>
      <c r="C69" s="1">
        <v>-98.9</v>
      </c>
      <c r="D69" s="1"/>
      <c r="E69" s="1"/>
      <c r="F69" s="1"/>
      <c r="G69" s="1">
        <v>-80.5</v>
      </c>
      <c r="H69" s="1">
        <v>-116</v>
      </c>
      <c r="I69" s="1"/>
      <c r="J69" s="1"/>
      <c r="K69" s="1">
        <v>-67.8</v>
      </c>
      <c r="L69" s="1"/>
      <c r="M69" s="1"/>
      <c r="N69" s="1"/>
      <c r="O69" s="1"/>
      <c r="P69" s="1"/>
      <c r="Q69" s="1"/>
      <c r="R69" s="1">
        <v>-463</v>
      </c>
      <c r="S69" s="1">
        <v>-1278.4000000000001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5">
      <c r="B70" s="4" t="s">
        <v>88</v>
      </c>
      <c r="C70" s="1">
        <v>10.9</v>
      </c>
      <c r="D70" s="1"/>
      <c r="E70" s="1"/>
      <c r="F70" s="1"/>
      <c r="G70" s="1">
        <v>24.4</v>
      </c>
      <c r="H70" s="1">
        <v>22</v>
      </c>
      <c r="I70" s="1"/>
      <c r="J70" s="1"/>
      <c r="K70" s="1">
        <v>30.5</v>
      </c>
      <c r="L70" s="1"/>
      <c r="M70" s="1"/>
      <c r="N70" s="1"/>
      <c r="O70" s="1"/>
      <c r="P70" s="1"/>
      <c r="Q70" s="1"/>
      <c r="R70" s="1">
        <v>7.6</v>
      </c>
      <c r="S70" s="1">
        <v>66.599999999999994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s="2" customFormat="1" x14ac:dyDescent="0.25">
      <c r="B71" s="15" t="s">
        <v>90</v>
      </c>
      <c r="C71" s="3">
        <f>SUM(C68:C70)</f>
        <v>578.80000000000018</v>
      </c>
      <c r="D71" s="3"/>
      <c r="E71" s="3"/>
      <c r="F71" s="3"/>
      <c r="G71" s="3">
        <f>SUM(G68:G70)</f>
        <v>308.30000000000064</v>
      </c>
      <c r="H71" s="3">
        <f>SUM(H68:H70)</f>
        <v>941.80000000000018</v>
      </c>
      <c r="I71" s="3"/>
      <c r="J71" s="3"/>
      <c r="K71" s="3">
        <f>SUM(K68:K70)</f>
        <v>762.80000000000086</v>
      </c>
      <c r="L71" s="3"/>
      <c r="M71" s="3"/>
      <c r="N71" s="3"/>
      <c r="O71" s="3"/>
      <c r="P71" s="3"/>
      <c r="Q71" s="3"/>
      <c r="R71" s="3">
        <f>SUM(R68:R70)</f>
        <v>3234.2999999999997</v>
      </c>
      <c r="S71" s="3">
        <f>SUM(S68:S70)</f>
        <v>1761.6999999999998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5">
      <c r="A73" t="s">
        <v>91</v>
      </c>
      <c r="B73" t="s">
        <v>93</v>
      </c>
      <c r="C73" s="1">
        <v>-222.5</v>
      </c>
      <c r="D73" s="1"/>
      <c r="E73" s="1"/>
      <c r="F73" s="1"/>
      <c r="G73" s="1">
        <v>-215.4</v>
      </c>
      <c r="H73" s="1">
        <v>-128.79999999999998</v>
      </c>
      <c r="I73" s="1"/>
      <c r="J73" s="1"/>
      <c r="K73" s="1">
        <v>-233.7</v>
      </c>
      <c r="L73" s="1"/>
      <c r="M73" s="1"/>
      <c r="N73" s="1"/>
      <c r="O73" s="1"/>
      <c r="P73" s="1"/>
      <c r="Q73" s="1"/>
      <c r="R73" s="1">
        <v>-924.1</v>
      </c>
      <c r="S73" s="1">
        <v>-776.9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5">
      <c r="B74" t="s">
        <v>94</v>
      </c>
      <c r="C74" s="1">
        <v>-102.4</v>
      </c>
      <c r="D74" s="1"/>
      <c r="E74" s="1"/>
      <c r="F74" s="1"/>
      <c r="G74" s="1">
        <v>-79.8</v>
      </c>
      <c r="H74" s="1">
        <v>-87.000000000000014</v>
      </c>
      <c r="I74" s="1"/>
      <c r="J74" s="1"/>
      <c r="K74" s="1">
        <v>-101.9</v>
      </c>
      <c r="L74" s="1"/>
      <c r="M74" s="1"/>
      <c r="N74" s="1"/>
      <c r="O74" s="1"/>
      <c r="P74" s="1"/>
      <c r="Q74" s="1"/>
      <c r="R74" s="1">
        <v>-234.7</v>
      </c>
      <c r="S74" s="1">
        <v>-337.5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5">
      <c r="B75" t="s">
        <v>95</v>
      </c>
      <c r="C75" s="1">
        <v>-6.4</v>
      </c>
      <c r="D75" s="1"/>
      <c r="E75" s="1"/>
      <c r="F75" s="1"/>
      <c r="G75" s="1">
        <v>-852.2</v>
      </c>
      <c r="H75" s="1">
        <v>-1.5999999999999091</v>
      </c>
      <c r="I75" s="1"/>
      <c r="J75" s="1"/>
      <c r="K75" s="1">
        <v>-271.89999999999998</v>
      </c>
      <c r="L75" s="1"/>
      <c r="M75" s="1"/>
      <c r="N75" s="1"/>
      <c r="O75" s="1"/>
      <c r="P75" s="1"/>
      <c r="Q75" s="1"/>
      <c r="R75" s="1">
        <v>-159.4</v>
      </c>
      <c r="S75" s="1">
        <v>-514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5">
      <c r="B76" t="s">
        <v>96</v>
      </c>
      <c r="C76" s="1">
        <v>-13</v>
      </c>
      <c r="D76" s="1"/>
      <c r="E76" s="1"/>
      <c r="F76" s="1"/>
      <c r="G76" s="1">
        <v>-0.1</v>
      </c>
      <c r="H76" s="1">
        <v>0</v>
      </c>
      <c r="I76" s="1"/>
      <c r="J76" s="1"/>
      <c r="K76" s="1">
        <v>-6.2</v>
      </c>
      <c r="L76" s="1"/>
      <c r="M76" s="1"/>
      <c r="N76" s="1"/>
      <c r="O76" s="1"/>
      <c r="P76" s="1"/>
      <c r="Q76" s="1"/>
      <c r="R76" s="1">
        <v>-946.4</v>
      </c>
      <c r="S76" s="1">
        <v>-266.5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5">
      <c r="B77" t="s">
        <v>123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-500</v>
      </c>
      <c r="S77" s="1">
        <v>-4.9000000000000004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5">
      <c r="B78" t="s">
        <v>124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55</v>
      </c>
      <c r="S78" s="1">
        <v>-473.8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5">
      <c r="B79" t="s">
        <v>125</v>
      </c>
      <c r="C79" s="1"/>
      <c r="D79" s="1"/>
      <c r="E79" s="1"/>
      <c r="F79" s="1"/>
      <c r="G79" s="1"/>
      <c r="H79" s="1"/>
      <c r="I79" s="1"/>
      <c r="J79" s="1"/>
      <c r="K79" s="1">
        <v>12</v>
      </c>
      <c r="L79" s="1"/>
      <c r="M79" s="1"/>
      <c r="N79" s="1"/>
      <c r="O79" s="1"/>
      <c r="P79" s="1"/>
      <c r="Q79" s="1"/>
      <c r="R79" s="1">
        <v>7111.9</v>
      </c>
      <c r="S79" s="1">
        <v>757.4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5">
      <c r="B80" t="s">
        <v>97</v>
      </c>
      <c r="C80" s="1">
        <v>0.6</v>
      </c>
      <c r="D80" s="1"/>
      <c r="E80" s="1"/>
      <c r="F80" s="1"/>
      <c r="G80" s="1">
        <v>6.4</v>
      </c>
      <c r="H80" s="1">
        <v>2.1999999999999993</v>
      </c>
      <c r="I80" s="1"/>
      <c r="J80" s="1"/>
      <c r="K80" s="1">
        <v>6.5</v>
      </c>
      <c r="L80" s="1"/>
      <c r="M80" s="1"/>
      <c r="N80" s="1"/>
      <c r="O80" s="1"/>
      <c r="P80" s="1"/>
      <c r="Q80" s="1"/>
      <c r="R80" s="1">
        <v>5.7</v>
      </c>
      <c r="S80" s="1">
        <v>78.2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5">
      <c r="B81" t="s">
        <v>98</v>
      </c>
      <c r="C81" s="1">
        <v>-192.7</v>
      </c>
      <c r="D81" s="1"/>
      <c r="E81" s="1"/>
      <c r="F81" s="1"/>
      <c r="G81" s="1">
        <v>-144</v>
      </c>
      <c r="H81" s="1">
        <v>-198.5</v>
      </c>
      <c r="I81" s="1"/>
      <c r="J81" s="1"/>
      <c r="K81" s="1">
        <v>-0.5</v>
      </c>
      <c r="L81" s="1"/>
      <c r="M81" s="1"/>
      <c r="N81" s="1"/>
      <c r="O81" s="1"/>
      <c r="P81" s="1"/>
      <c r="Q81" s="1"/>
      <c r="R81" s="1">
        <v>-64.900000000000006</v>
      </c>
      <c r="S81" s="1">
        <v>-686.9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5">
      <c r="B82" t="s">
        <v>99</v>
      </c>
      <c r="C82" s="1">
        <v>1.2</v>
      </c>
      <c r="D82" s="1"/>
      <c r="E82" s="1"/>
      <c r="F82" s="1"/>
      <c r="G82" s="1">
        <v>60.5</v>
      </c>
      <c r="H82" s="1">
        <v>72.300000000000011</v>
      </c>
      <c r="I82" s="1"/>
      <c r="J82" s="1"/>
      <c r="K82" s="1" t="s">
        <v>55</v>
      </c>
      <c r="L82" s="1"/>
      <c r="M82" s="1"/>
      <c r="N82" s="1"/>
      <c r="O82" s="1"/>
      <c r="P82" s="1"/>
      <c r="Q82" s="1"/>
      <c r="R82" s="1">
        <v>1</v>
      </c>
      <c r="S82" s="1">
        <v>272.5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5">
      <c r="B83" t="s">
        <v>126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-27.8</v>
      </c>
      <c r="S83" s="1" t="s">
        <v>55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5">
      <c r="B84" t="s">
        <v>127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8.6</v>
      </c>
      <c r="S84" s="1" t="s">
        <v>55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5">
      <c r="B85" t="s">
        <v>100</v>
      </c>
      <c r="C85" s="1" t="s">
        <v>55</v>
      </c>
      <c r="D85" s="1"/>
      <c r="E85" s="1"/>
      <c r="F85" s="1"/>
      <c r="G85" s="1">
        <v>7.1</v>
      </c>
      <c r="H85" s="1">
        <v>66.7</v>
      </c>
      <c r="I85" s="1"/>
      <c r="J85" s="1"/>
      <c r="K85" s="1">
        <v>-2</v>
      </c>
      <c r="L85" s="1"/>
      <c r="M85" s="1"/>
      <c r="N85" s="1"/>
      <c r="O85" s="1"/>
      <c r="P85" s="1"/>
      <c r="Q85" s="1"/>
      <c r="R85" s="1">
        <v>59.2</v>
      </c>
      <c r="S85" s="1">
        <v>64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5">
      <c r="B86" t="s">
        <v>101</v>
      </c>
      <c r="C86" s="1">
        <v>0.4</v>
      </c>
      <c r="D86" s="1"/>
      <c r="E86" s="1"/>
      <c r="F86" s="1"/>
      <c r="G86" s="1">
        <v>6.4</v>
      </c>
      <c r="H86" s="1">
        <v>-4.4000000000000004</v>
      </c>
      <c r="I86" s="1"/>
      <c r="J86" s="1"/>
      <c r="K86" s="1"/>
      <c r="L86" s="1"/>
      <c r="M86" s="1"/>
      <c r="N86" s="1"/>
      <c r="O86" s="1"/>
      <c r="P86" s="1"/>
      <c r="Q86" s="1"/>
      <c r="R86" s="1">
        <v>-1.2</v>
      </c>
      <c r="S86" s="1">
        <v>11.8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s="2" customFormat="1" x14ac:dyDescent="0.25">
      <c r="B87" s="2" t="s">
        <v>102</v>
      </c>
      <c r="C87" s="3">
        <f>SUM(C73:C86)</f>
        <v>-534.79999999999984</v>
      </c>
      <c r="D87" s="3"/>
      <c r="E87" s="3"/>
      <c r="F87" s="3"/>
      <c r="G87" s="3">
        <f>SUM(G73:G86)</f>
        <v>-1211.0999999999999</v>
      </c>
      <c r="H87" s="3">
        <f>SUM(H73:H86)</f>
        <v>-279.09999999999991</v>
      </c>
      <c r="I87" s="3"/>
      <c r="J87" s="3"/>
      <c r="K87" s="3">
        <f>SUM(K73:K86)</f>
        <v>-597.70000000000005</v>
      </c>
      <c r="L87" s="3"/>
      <c r="M87" s="3"/>
      <c r="N87" s="3"/>
      <c r="O87" s="3"/>
      <c r="P87" s="3"/>
      <c r="Q87" s="3"/>
      <c r="R87" s="3">
        <f>SUM(R73:R86)</f>
        <v>4327.8999999999996</v>
      </c>
      <c r="S87" s="3">
        <f>SUM(S73:S86)</f>
        <v>-1876.6000000000001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5">
      <c r="A89" t="s">
        <v>110</v>
      </c>
      <c r="B89" t="s">
        <v>103</v>
      </c>
      <c r="C89" s="1" t="s">
        <v>55</v>
      </c>
      <c r="D89" s="1"/>
      <c r="E89" s="1"/>
      <c r="F89" s="1"/>
      <c r="G89" s="1">
        <v>1142.0999999999999</v>
      </c>
      <c r="H89" s="1">
        <v>-54.099999999999909</v>
      </c>
      <c r="I89" s="1"/>
      <c r="J89" s="1"/>
      <c r="K89" s="1" t="s">
        <v>55</v>
      </c>
      <c r="L89" s="1"/>
      <c r="M89" s="1"/>
      <c r="N89" s="1"/>
      <c r="O89" s="1"/>
      <c r="P89" s="1"/>
      <c r="Q89" s="1"/>
      <c r="R89" s="1" t="s">
        <v>55</v>
      </c>
      <c r="S89" s="1" t="s">
        <v>55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5">
      <c r="B90" t="s">
        <v>128</v>
      </c>
      <c r="C90" s="1" t="s">
        <v>55</v>
      </c>
      <c r="D90" s="1"/>
      <c r="E90" s="1"/>
      <c r="F90" s="1"/>
      <c r="G90" s="1">
        <v>865.9</v>
      </c>
      <c r="H90" s="1">
        <v>2281.7999999999997</v>
      </c>
      <c r="I90" s="1"/>
      <c r="J90" s="1"/>
      <c r="K90" s="1">
        <v>39.4</v>
      </c>
      <c r="L90" s="1"/>
      <c r="M90" s="1"/>
      <c r="N90" s="1"/>
      <c r="O90" s="1"/>
      <c r="P90" s="1"/>
      <c r="Q90" s="1"/>
      <c r="R90" s="1">
        <v>1665</v>
      </c>
      <c r="S90" s="1">
        <v>141.19999999999999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5">
      <c r="B91" t="s">
        <v>104</v>
      </c>
      <c r="C91" s="1">
        <v>-200</v>
      </c>
      <c r="D91" s="1"/>
      <c r="E91" s="1"/>
      <c r="F91" s="1"/>
      <c r="G91" s="1">
        <v>-200</v>
      </c>
      <c r="H91" s="1">
        <v>-552.5</v>
      </c>
      <c r="I91" s="1"/>
      <c r="J91" s="1"/>
      <c r="K91" s="1">
        <v>-22.1</v>
      </c>
      <c r="L91" s="1"/>
      <c r="M91" s="1"/>
      <c r="N91" s="1"/>
      <c r="O91" s="1"/>
      <c r="P91" s="1"/>
      <c r="Q91" s="1"/>
      <c r="R91" s="1">
        <v>-2682.8</v>
      </c>
      <c r="S91" s="1">
        <v>-1045.0999999999999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5">
      <c r="B92" t="s">
        <v>137</v>
      </c>
      <c r="C92" s="1"/>
      <c r="D92" s="1"/>
      <c r="E92" s="1"/>
      <c r="F92" s="1"/>
      <c r="G92" s="1"/>
      <c r="H92" s="1"/>
      <c r="I92" s="1"/>
      <c r="J92" s="1"/>
      <c r="K92" s="1">
        <v>-311.89999999999998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5">
      <c r="B93" t="s">
        <v>105</v>
      </c>
      <c r="C93" s="1">
        <v>-79.8</v>
      </c>
      <c r="D93" s="1"/>
      <c r="E93" s="1"/>
      <c r="F93" s="1"/>
      <c r="G93" s="1">
        <v>-219.4</v>
      </c>
      <c r="H93" s="1">
        <v>-281.89999999999998</v>
      </c>
      <c r="I93" s="1"/>
      <c r="J93" s="1"/>
      <c r="K93" s="1">
        <v>-398.7</v>
      </c>
      <c r="L93" s="1"/>
      <c r="M93" s="1"/>
      <c r="N93" s="1"/>
      <c r="O93" s="1"/>
      <c r="P93" s="1"/>
      <c r="Q93" s="1"/>
      <c r="R93" s="1">
        <v>-208.2</v>
      </c>
      <c r="S93" s="1">
        <v>-616.9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5">
      <c r="B94" t="s">
        <v>106</v>
      </c>
      <c r="C94" s="1">
        <v>-52.9</v>
      </c>
      <c r="D94" s="1"/>
      <c r="E94" s="1"/>
      <c r="F94" s="1"/>
      <c r="G94" s="1">
        <v>-57.6</v>
      </c>
      <c r="H94" s="1">
        <v>-47.1</v>
      </c>
      <c r="I94" s="1"/>
      <c r="J94" s="1"/>
      <c r="K94" s="1">
        <v>-61.8</v>
      </c>
      <c r="L94" s="1"/>
      <c r="M94" s="1"/>
      <c r="N94" s="1"/>
      <c r="O94" s="1"/>
      <c r="P94" s="1"/>
      <c r="Q94" s="1"/>
      <c r="R94" s="1">
        <v>-335.4</v>
      </c>
      <c r="S94" s="1">
        <v>-196.4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5">
      <c r="B95" t="s">
        <v>107</v>
      </c>
      <c r="C95" s="1">
        <v>-5.4</v>
      </c>
      <c r="D95" s="1"/>
      <c r="E95" s="1"/>
      <c r="F95" s="1"/>
      <c r="G95" s="1">
        <v>-6.3</v>
      </c>
      <c r="H95" s="1">
        <v>-6.6000000000000005</v>
      </c>
      <c r="I95" s="1"/>
      <c r="J95" s="1"/>
      <c r="K95" s="1">
        <v>-8.6999999999999993</v>
      </c>
      <c r="L95" s="1"/>
      <c r="M95" s="1"/>
      <c r="N95" s="1"/>
      <c r="O95" s="1"/>
      <c r="P95" s="1"/>
      <c r="Q95" s="1"/>
      <c r="R95" s="1">
        <v>-32.4</v>
      </c>
      <c r="S95" s="1">
        <v>-20.2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5">
      <c r="B96" t="s">
        <v>129</v>
      </c>
      <c r="C96" s="1"/>
      <c r="D96" s="1"/>
      <c r="E96" s="1"/>
      <c r="F96" s="1"/>
      <c r="G96" s="1"/>
      <c r="H96" s="1"/>
      <c r="I96" s="1"/>
      <c r="J96" s="1"/>
      <c r="K96" s="1" t="s">
        <v>55</v>
      </c>
      <c r="L96" s="1"/>
      <c r="M96" s="1"/>
      <c r="N96" s="1"/>
      <c r="O96" s="1"/>
      <c r="P96" s="1"/>
      <c r="Q96" s="1"/>
      <c r="R96" s="1">
        <v>-1186.2</v>
      </c>
      <c r="S96" s="1">
        <v>-660.8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2:59" x14ac:dyDescent="0.25">
      <c r="B97" t="s">
        <v>108</v>
      </c>
      <c r="C97" s="1">
        <v>7.4</v>
      </c>
      <c r="D97" s="1"/>
      <c r="E97" s="1"/>
      <c r="F97" s="1"/>
      <c r="G97" s="1">
        <v>32.799999999999997</v>
      </c>
      <c r="H97" s="1">
        <v>15.600000000000001</v>
      </c>
      <c r="I97" s="1"/>
      <c r="J97" s="1"/>
      <c r="K97" s="1">
        <v>4.5999999999999996</v>
      </c>
      <c r="L97" s="1"/>
      <c r="M97" s="1"/>
      <c r="N97" s="1"/>
      <c r="O97" s="1"/>
      <c r="P97" s="1"/>
      <c r="Q97" s="1"/>
      <c r="R97" s="1">
        <v>-37.4</v>
      </c>
      <c r="S97" s="1">
        <v>109.4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2:59" x14ac:dyDescent="0.25">
      <c r="B98" t="s">
        <v>130</v>
      </c>
      <c r="C98" s="1"/>
      <c r="D98" s="1"/>
      <c r="E98" s="1"/>
      <c r="F98" s="1"/>
      <c r="G98" s="1"/>
      <c r="H98" s="1"/>
      <c r="I98" s="1"/>
      <c r="J98" s="1"/>
      <c r="K98" s="1" t="s">
        <v>55</v>
      </c>
      <c r="L98" s="1"/>
      <c r="M98" s="1"/>
      <c r="N98" s="1"/>
      <c r="O98" s="1"/>
      <c r="P98" s="1"/>
      <c r="Q98" s="1"/>
      <c r="R98" s="1">
        <v>-2464</v>
      </c>
      <c r="S98" s="1">
        <v>-393.9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2:59" x14ac:dyDescent="0.25">
      <c r="B99" t="s">
        <v>109</v>
      </c>
      <c r="C99" s="1">
        <v>-1.5</v>
      </c>
      <c r="D99" s="1"/>
      <c r="E99" s="1"/>
      <c r="F99" s="1"/>
      <c r="G99" s="1">
        <v>9.8000000000000007</v>
      </c>
      <c r="H99" s="1">
        <v>-7.0000000000000009</v>
      </c>
      <c r="I99" s="1"/>
      <c r="J99" s="1"/>
      <c r="K99" s="1">
        <v>-3.6</v>
      </c>
      <c r="L99" s="1"/>
      <c r="M99" s="1"/>
      <c r="N99" s="1"/>
      <c r="O99" s="1"/>
      <c r="P99" s="1"/>
      <c r="Q99" s="1"/>
      <c r="R99" s="1">
        <v>-1.5</v>
      </c>
      <c r="S99" s="1">
        <v>-23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2:59" s="2" customFormat="1" x14ac:dyDescent="0.25">
      <c r="B100" s="2" t="s">
        <v>111</v>
      </c>
      <c r="C100" s="3">
        <f>SUM(C89:C99)</f>
        <v>-332.2</v>
      </c>
      <c r="D100" s="3"/>
      <c r="E100" s="3"/>
      <c r="F100" s="3"/>
      <c r="G100" s="3">
        <f>SUM(G89:G99)</f>
        <v>1567.3</v>
      </c>
      <c r="H100" s="3">
        <f>SUM(H89:H99)</f>
        <v>1348.1999999999998</v>
      </c>
      <c r="I100" s="3"/>
      <c r="J100" s="3"/>
      <c r="K100" s="3">
        <f>SUM(K89:K99)</f>
        <v>-762.8</v>
      </c>
      <c r="L100" s="3"/>
      <c r="M100" s="3"/>
      <c r="N100" s="3"/>
      <c r="O100" s="3"/>
      <c r="P100" s="3"/>
      <c r="Q100" s="3"/>
      <c r="R100" s="3">
        <f>SUM(R89:R99)</f>
        <v>-5282.9</v>
      </c>
      <c r="S100" s="3">
        <f>SUM(S89:S99)</f>
        <v>-2705.7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2:59" s="2" customFormat="1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2:59" s="2" customFormat="1" x14ac:dyDescent="0.25">
      <c r="B102" s="2" t="s">
        <v>112</v>
      </c>
      <c r="C102" s="3">
        <f>C71+C87+C100</f>
        <v>-288.19999999999965</v>
      </c>
      <c r="D102" s="3"/>
      <c r="E102" s="3"/>
      <c r="F102" s="3"/>
      <c r="G102" s="3">
        <f>G71+G87+G100</f>
        <v>664.50000000000068</v>
      </c>
      <c r="H102" s="3">
        <f>H71+H87+H100</f>
        <v>2010.9</v>
      </c>
      <c r="I102" s="3"/>
      <c r="J102" s="3"/>
      <c r="K102" s="3">
        <f>K71+K87+K100</f>
        <v>-597.69999999999914</v>
      </c>
      <c r="L102" s="3"/>
      <c r="M102" s="3"/>
      <c r="N102" s="3"/>
      <c r="O102" s="3"/>
      <c r="P102" s="3"/>
      <c r="Q102" s="3"/>
      <c r="R102" s="3">
        <f>R100+R87+R71</f>
        <v>2279.2999999999997</v>
      </c>
      <c r="S102" s="3">
        <f>S100+S87+S71</f>
        <v>-2820.6000000000004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2:59" x14ac:dyDescent="0.25">
      <c r="B103" t="s">
        <v>113</v>
      </c>
      <c r="C103" s="1">
        <v>3644.3</v>
      </c>
      <c r="D103" s="1"/>
      <c r="E103" s="1"/>
      <c r="F103" s="1"/>
      <c r="G103" s="1">
        <v>817.8</v>
      </c>
      <c r="H103" s="1">
        <v>817.8</v>
      </c>
      <c r="I103" s="1"/>
      <c r="J103" s="1"/>
      <c r="K103" s="1">
        <v>3325.7</v>
      </c>
      <c r="L103" s="1"/>
      <c r="M103" s="1"/>
      <c r="N103" s="1"/>
      <c r="O103" s="1"/>
      <c r="P103" s="1"/>
      <c r="Q103" s="1"/>
      <c r="R103" s="1">
        <v>1365.8</v>
      </c>
      <c r="S103" s="1">
        <v>3644.3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2:59" x14ac:dyDescent="0.25">
      <c r="B104" t="s">
        <v>114</v>
      </c>
      <c r="C104" s="1">
        <v>-2.4</v>
      </c>
      <c r="D104" s="1"/>
      <c r="E104" s="1"/>
      <c r="F104" s="1"/>
      <c r="G104" s="1">
        <v>-0.2</v>
      </c>
      <c r="H104" s="1">
        <v>-12.6</v>
      </c>
      <c r="I104" s="1"/>
      <c r="J104" s="1"/>
      <c r="K104" s="1">
        <v>-9.6999999999999993</v>
      </c>
      <c r="L104" s="1"/>
      <c r="M104" s="1"/>
      <c r="N104" s="1"/>
      <c r="O104" s="1"/>
      <c r="P104" s="1"/>
      <c r="Q104" s="1"/>
      <c r="R104" s="1">
        <v>-0.8</v>
      </c>
      <c r="S104" s="1">
        <v>-5.9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2:59" s="2" customFormat="1" x14ac:dyDescent="0.25">
      <c r="B105" s="2" t="s">
        <v>115</v>
      </c>
      <c r="C105" s="3">
        <f>C102+C103+C104</f>
        <v>3353.7000000000003</v>
      </c>
      <c r="D105" s="3"/>
      <c r="E105" s="3"/>
      <c r="F105" s="3"/>
      <c r="G105" s="3">
        <f>G102+G103+G104</f>
        <v>1482.1000000000006</v>
      </c>
      <c r="H105" s="3">
        <f>H102+H103+H104</f>
        <v>2816.1</v>
      </c>
      <c r="I105" s="3"/>
      <c r="J105" s="3"/>
      <c r="K105" s="3">
        <f>K102+K103+K104</f>
        <v>2718.3000000000011</v>
      </c>
      <c r="L105" s="3"/>
      <c r="M105" s="3"/>
      <c r="N105" s="3"/>
      <c r="O105" s="3"/>
      <c r="P105" s="3"/>
      <c r="Q105" s="3"/>
      <c r="R105" s="3">
        <f>SUM(R102:R104)</f>
        <v>3644.2999999999993</v>
      </c>
      <c r="S105" s="3">
        <f>SUM(S102:S104)</f>
        <v>817.79999999999984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2:59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2:59" x14ac:dyDescent="0.25">
      <c r="B107" t="s">
        <v>138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2:59" s="20" customFormat="1" x14ac:dyDescent="0.25">
      <c r="B108" s="20" t="s">
        <v>139</v>
      </c>
      <c r="C108" s="21">
        <f>C71+C73</f>
        <v>356.30000000000018</v>
      </c>
      <c r="D108" s="21"/>
      <c r="E108" s="21"/>
      <c r="F108" s="21"/>
      <c r="G108" s="21">
        <f>G71+G73</f>
        <v>92.900000000000631</v>
      </c>
      <c r="H108" s="21">
        <f>H71+H73</f>
        <v>813.00000000000023</v>
      </c>
      <c r="I108" s="21"/>
      <c r="J108" s="21"/>
      <c r="K108" s="21">
        <f>K71+K73</f>
        <v>529.10000000000082</v>
      </c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</row>
    <row r="109" spans="2:59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2:59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2:59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2:59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3:59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484-BC04-410D-A3F6-C3DE9CE71BD3}">
  <dimension ref="O3:P5"/>
  <sheetViews>
    <sheetView workbookViewId="0">
      <selection activeCell="P6" sqref="P6"/>
    </sheetView>
  </sheetViews>
  <sheetFormatPr defaultRowHeight="15" x14ac:dyDescent="0.25"/>
  <sheetData>
    <row r="3" spans="15:16" x14ac:dyDescent="0.25">
      <c r="O3" s="2" t="s">
        <v>131</v>
      </c>
      <c r="P3" t="s">
        <v>132</v>
      </c>
    </row>
    <row r="4" spans="15:16" x14ac:dyDescent="0.25">
      <c r="P4" t="s">
        <v>133</v>
      </c>
    </row>
    <row r="5" spans="15:16" x14ac:dyDescent="0.25">
      <c r="P5" t="s">
        <v>134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1D0E-F908-4BCF-AC42-89C095981092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Scenarios</vt:lpstr>
      <vt:lpstr>Noty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Kessler</dc:creator>
  <cp:lastModifiedBy>Franciszek Kessler</cp:lastModifiedBy>
  <dcterms:created xsi:type="dcterms:W3CDTF">2024-01-06T21:29:40Z</dcterms:created>
  <dcterms:modified xsi:type="dcterms:W3CDTF">2024-06-02T13:42:21Z</dcterms:modified>
</cp:coreProperties>
</file>